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queryTables/queryTable1.xml" ContentType="application/vnd.openxmlformats-officedocument.spreadsheetml.query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wsl$\Ubuntu\home\paul\local_git\OCTT-certification\PICS\"/>
    </mc:Choice>
  </mc:AlternateContent>
  <xr:revisionPtr revIDLastSave="0" documentId="13_ncr:1_{1471761C-629F-48DB-92F9-D1965AF53ECB}" xr6:coauthVersionLast="47" xr6:coauthVersionMax="47" xr10:uidLastSave="{00000000-0000-0000-0000-000000000000}"/>
  <workbookProtection workbookAlgorithmName="SHA-512" workbookHashValue="1NbLedB/AHQtHsAcPB49C0dK9D1tbFHzAT1k0p4E9+uVASjbE6dfsulPj7MLYNpIIMN+//efAeTS8vMkXOxoHw==" workbookSaltValue="/NKq9LzpSaH7NetSAkrAvA==" workbookSpinCount="100000" lockStructure="1"/>
  <bookViews>
    <workbookView xWindow="-120" yWindow="-120" windowWidth="29040" windowHeight="15840" tabRatio="840" xr2:uid="{AA674DD9-1E2A-F346-8CC4-024FE9D19703}"/>
  </bookViews>
  <sheets>
    <sheet name="Explanation" sheetId="12" r:id="rId1"/>
    <sheet name="General information" sheetId="3" r:id="rId2"/>
    <sheet name="Profile selection" sheetId="13" r:id="rId3"/>
    <sheet name="Optional features" sheetId="20" r:id="rId4"/>
    <sheet name="Additional questions" sheetId="10" r:id="rId5"/>
    <sheet name="Other&amp;Vendor Specific Settings" sheetId="18" r:id="rId6"/>
    <sheet name="HIDDEN Testrun Results" sheetId="19" state="hidden" r:id="rId7"/>
    <sheet name="Performance Measurement" sheetId="8" r:id="rId8"/>
    <sheet name="CSMS Testcases" sheetId="1" r:id="rId9"/>
    <sheet name="Statement of Approval" sheetId="17" r:id="rId10"/>
    <sheet name="HIDDEN import" sheetId="11" state="hidden" r:id="rId11"/>
    <sheet name="HIDDEN calc sheet" sheetId="15" state="hidden" r:id="rId12"/>
    <sheet name="HIDDEN features" sheetId="21" state="hidden" r:id="rId13"/>
    <sheet name="MD" sheetId="9" state="hidden" r:id="rId14"/>
  </sheets>
  <definedNames>
    <definedName name="_xlnm._FilterDatabase" localSheetId="8" hidden="1">'CSMS Testcases'!$A$1:$K$250</definedName>
    <definedName name="_xlnm._FilterDatabase" localSheetId="10" hidden="1">'HIDDEN import'!$A$1:$G$70</definedName>
    <definedName name="Additional_questions">'Additional questions'!$B$3:$D$5</definedName>
    <definedName name="Authorization_options_for_local_start">#REF!</definedName>
    <definedName name="Authorization_options_for_remote_start">#REF!</definedName>
    <definedName name="CE_Security">'Optional features'!$B$4:$D$7</definedName>
    <definedName name="Certification_Extensions">'Profile selection'!$B$14:$D$15</definedName>
    <definedName name="Communication_technology">'Performance Measurement'!$B$12:$C$12</definedName>
    <definedName name="CP_Advanced_Device_Management">#REF!</definedName>
    <definedName name="CP_Advanced_Security">#REF!</definedName>
    <definedName name="CP_Advanced_User_Interface">#REF!</definedName>
    <definedName name="CP_CORE">#REF!</definedName>
    <definedName name="CP_CORE_2">#REF!</definedName>
    <definedName name="CP_ISO15118_Support">#REF!</definedName>
    <definedName name="CP_Local_Authorization_List_Management">#REF!</definedName>
    <definedName name="CP_Reservation">#REF!</definedName>
    <definedName name="CP_Smart_Charging">#REF!</definedName>
    <definedName name="Device_info">'General information'!$B$2:$C$5</definedName>
    <definedName name="Measured_performance">'Performance Measurement'!$B$8:$F$10</definedName>
    <definedName name="OCPP_16_Certification">Explanation!$C$6:$D$11</definedName>
    <definedName name="Performance_measurement">'Performance Measurement'!$B$3:$G$5</definedName>
    <definedName name="Performed_On">'Statement of Approval'!$B$13:$C$13</definedName>
    <definedName name="Profile_Selection">'Profile selection'!$B$3:$D$9</definedName>
    <definedName name="Security_profiles">'Optional features'!$C$5:$D$7</definedName>
    <definedName name="Test_laboratory">'Statement of Approval'!$B$15:$C$20</definedName>
    <definedName name="Test_laboratory_signature">'Statement of Approval'!$E$12:$F$13</definedName>
    <definedName name="Test_laboratory_signature_image">'Statement of Approval'!$A$11:$H$21</definedName>
    <definedName name="Test_Report_Reference">'Statement of Approval'!$B$14:$C$14</definedName>
    <definedName name="testresults" localSheetId="6">'HIDDEN Testrun Results'!$A$1:$B$1</definedName>
    <definedName name="Vendor">'Statement of Approval'!$B$5:$C$9</definedName>
    <definedName name="Vendor_signature">'Statement of Approval'!$E$4:$F$5</definedName>
    <definedName name="Vendor_signature_image">'Statement of Approval'!$A$3:$H$10</definedName>
    <definedName name="Vendor_Specific_Settings">'Other&amp;Vendor Specific Settings'!$B$5:$D$28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6" i="15" l="1"/>
  <c r="E7" i="20" l="1"/>
  <c r="E6" i="20"/>
  <c r="E5" i="20"/>
  <c r="E4" i="20"/>
  <c r="G16" i="17"/>
  <c r="A59" i="1" l="1"/>
  <c r="B59" i="1"/>
  <c r="K59" i="1" s="1"/>
  <c r="C59" i="1"/>
  <c r="E59" i="1"/>
  <c r="F59" i="1"/>
  <c r="A60" i="1"/>
  <c r="G60" i="1" s="1"/>
  <c r="B60" i="1"/>
  <c r="K60" i="1" s="1"/>
  <c r="C60" i="1"/>
  <c r="E60" i="1"/>
  <c r="F60" i="1"/>
  <c r="A61" i="1"/>
  <c r="B61" i="1"/>
  <c r="K61" i="1" s="1"/>
  <c r="C61" i="1"/>
  <c r="E61" i="1"/>
  <c r="F61" i="1"/>
  <c r="A62" i="1"/>
  <c r="G62" i="1" s="1"/>
  <c r="B62" i="1"/>
  <c r="C62" i="1"/>
  <c r="E62" i="1"/>
  <c r="F62" i="1"/>
  <c r="A63" i="1"/>
  <c r="G63" i="1" s="1"/>
  <c r="B63" i="1"/>
  <c r="K63" i="1" s="1"/>
  <c r="C63" i="1"/>
  <c r="E63" i="1"/>
  <c r="F63" i="1"/>
  <c r="A64" i="1"/>
  <c r="G64" i="1" s="1"/>
  <c r="B64" i="1"/>
  <c r="K64" i="1" s="1"/>
  <c r="C64" i="1"/>
  <c r="E64" i="1"/>
  <c r="F64" i="1"/>
  <c r="A65" i="1"/>
  <c r="G65" i="1" s="1"/>
  <c r="B65" i="1"/>
  <c r="C65" i="1"/>
  <c r="E65" i="1"/>
  <c r="F65" i="1"/>
  <c r="A66" i="1"/>
  <c r="B66" i="1"/>
  <c r="C66" i="1"/>
  <c r="E66" i="1"/>
  <c r="F66" i="1"/>
  <c r="A67" i="1"/>
  <c r="B67" i="1"/>
  <c r="K67" i="1" s="1"/>
  <c r="C67" i="1"/>
  <c r="E67" i="1"/>
  <c r="F67" i="1"/>
  <c r="G67" i="1"/>
  <c r="A68" i="1"/>
  <c r="G68" i="1" s="1"/>
  <c r="B68" i="1"/>
  <c r="K68" i="1" s="1"/>
  <c r="C68" i="1"/>
  <c r="E68" i="1"/>
  <c r="F68" i="1"/>
  <c r="A69" i="1"/>
  <c r="B69" i="1"/>
  <c r="K69" i="1" s="1"/>
  <c r="C69" i="1"/>
  <c r="E69" i="1"/>
  <c r="F69" i="1"/>
  <c r="A70" i="1"/>
  <c r="B70" i="1"/>
  <c r="K70" i="1" s="1"/>
  <c r="C70" i="1"/>
  <c r="E70" i="1"/>
  <c r="D6" i="15" s="1"/>
  <c r="F70" i="1"/>
  <c r="A71" i="1"/>
  <c r="G71" i="1" s="1"/>
  <c r="B71" i="1"/>
  <c r="K71" i="1" s="1"/>
  <c r="C71" i="1"/>
  <c r="E71" i="1"/>
  <c r="F71" i="1"/>
  <c r="A72" i="1"/>
  <c r="B72" i="1"/>
  <c r="K72" i="1" s="1"/>
  <c r="C72" i="1"/>
  <c r="E72" i="1"/>
  <c r="F72" i="1"/>
  <c r="A71" i="11"/>
  <c r="A72" i="11"/>
  <c r="C6" i="20"/>
  <c r="C7" i="20"/>
  <c r="C5" i="20"/>
  <c r="B3" i="15" s="1"/>
  <c r="A62" i="11"/>
  <c r="A3" i="1"/>
  <c r="G3" i="1" s="1"/>
  <c r="B3" i="1"/>
  <c r="K3" i="1" s="1"/>
  <c r="C3" i="1"/>
  <c r="E3" i="1"/>
  <c r="F3" i="1"/>
  <c r="A4" i="1"/>
  <c r="G4" i="1" s="1"/>
  <c r="B4" i="1"/>
  <c r="K4" i="1" s="1"/>
  <c r="C4" i="1"/>
  <c r="E4" i="1"/>
  <c r="F4" i="1"/>
  <c r="A5" i="1"/>
  <c r="G5" i="1" s="1"/>
  <c r="B5" i="1"/>
  <c r="K5" i="1" s="1"/>
  <c r="C5" i="1"/>
  <c r="E5" i="1"/>
  <c r="F5" i="1"/>
  <c r="A6" i="1"/>
  <c r="G6" i="1" s="1"/>
  <c r="B6" i="1"/>
  <c r="K6" i="1" s="1"/>
  <c r="C6" i="1"/>
  <c r="E6" i="1"/>
  <c r="F6" i="1"/>
  <c r="A7" i="1"/>
  <c r="G7" i="1" s="1"/>
  <c r="B7" i="1"/>
  <c r="K7" i="1" s="1"/>
  <c r="C7" i="1"/>
  <c r="E7" i="1"/>
  <c r="F7" i="1"/>
  <c r="A8" i="1"/>
  <c r="G8" i="1" s="1"/>
  <c r="B8" i="1"/>
  <c r="K8" i="1" s="1"/>
  <c r="C8" i="1"/>
  <c r="E8" i="1"/>
  <c r="F8" i="1"/>
  <c r="A9" i="1"/>
  <c r="G9" i="1" s="1"/>
  <c r="B9" i="1"/>
  <c r="C9" i="1"/>
  <c r="E9" i="1"/>
  <c r="F9" i="1"/>
  <c r="A10" i="1"/>
  <c r="G10" i="1" s="1"/>
  <c r="B10" i="1"/>
  <c r="C10" i="1"/>
  <c r="E10" i="1"/>
  <c r="F10" i="1"/>
  <c r="A11" i="1"/>
  <c r="G11" i="1" s="1"/>
  <c r="B11" i="1"/>
  <c r="K11" i="1" s="1"/>
  <c r="C11" i="1"/>
  <c r="E11" i="1"/>
  <c r="F11" i="1"/>
  <c r="A12" i="1"/>
  <c r="B12" i="1"/>
  <c r="K12" i="1" s="1"/>
  <c r="C12" i="1"/>
  <c r="E12" i="1"/>
  <c r="F12" i="1"/>
  <c r="A13" i="1"/>
  <c r="B13" i="1"/>
  <c r="K13" i="1" s="1"/>
  <c r="C13" i="1"/>
  <c r="E13" i="1"/>
  <c r="F13" i="1"/>
  <c r="A14" i="1"/>
  <c r="G14" i="1" s="1"/>
  <c r="B14" i="1"/>
  <c r="K14" i="1" s="1"/>
  <c r="C14" i="1"/>
  <c r="E14" i="1"/>
  <c r="F14" i="1"/>
  <c r="A15" i="1"/>
  <c r="G15" i="1" s="1"/>
  <c r="B15" i="1"/>
  <c r="K15" i="1" s="1"/>
  <c r="C15" i="1"/>
  <c r="E15" i="1"/>
  <c r="F15" i="1"/>
  <c r="A16" i="1"/>
  <c r="B16" i="1"/>
  <c r="K16" i="1" s="1"/>
  <c r="C16" i="1"/>
  <c r="E16" i="1"/>
  <c r="F16" i="1"/>
  <c r="A17" i="1"/>
  <c r="G17" i="1" s="1"/>
  <c r="B17" i="1"/>
  <c r="K17" i="1" s="1"/>
  <c r="C17" i="1"/>
  <c r="E17" i="1"/>
  <c r="F17" i="1"/>
  <c r="A18" i="1"/>
  <c r="B18" i="1"/>
  <c r="K18" i="1" s="1"/>
  <c r="C18" i="1"/>
  <c r="E18" i="1"/>
  <c r="F18" i="1"/>
  <c r="A19" i="1"/>
  <c r="G19" i="1" s="1"/>
  <c r="B19" i="1"/>
  <c r="K19" i="1" s="1"/>
  <c r="C19" i="1"/>
  <c r="E19" i="1"/>
  <c r="F19" i="1"/>
  <c r="A20" i="1"/>
  <c r="G20" i="1" s="1"/>
  <c r="B20" i="1"/>
  <c r="K20" i="1" s="1"/>
  <c r="C20" i="1"/>
  <c r="E20" i="1"/>
  <c r="F20" i="1"/>
  <c r="A21" i="1"/>
  <c r="G21" i="1" s="1"/>
  <c r="B21" i="1"/>
  <c r="K21" i="1" s="1"/>
  <c r="C21" i="1"/>
  <c r="E21" i="1"/>
  <c r="F21" i="1"/>
  <c r="A22" i="1"/>
  <c r="G22" i="1" s="1"/>
  <c r="B22" i="1"/>
  <c r="K22" i="1" s="1"/>
  <c r="C22" i="1"/>
  <c r="E22" i="1"/>
  <c r="F22" i="1"/>
  <c r="A23" i="1"/>
  <c r="G23" i="1" s="1"/>
  <c r="B23" i="1"/>
  <c r="K23" i="1" s="1"/>
  <c r="C23" i="1"/>
  <c r="E23" i="1"/>
  <c r="F23" i="1"/>
  <c r="A24" i="1"/>
  <c r="B24" i="1"/>
  <c r="K24" i="1" s="1"/>
  <c r="C24" i="1"/>
  <c r="E24" i="1"/>
  <c r="F24" i="1"/>
  <c r="A25" i="1"/>
  <c r="G25" i="1" s="1"/>
  <c r="B25" i="1"/>
  <c r="C25" i="1"/>
  <c r="E25" i="1"/>
  <c r="F25" i="1"/>
  <c r="A26" i="1"/>
  <c r="G26" i="1" s="1"/>
  <c r="B26" i="1"/>
  <c r="C26" i="1"/>
  <c r="E26" i="1"/>
  <c r="F26" i="1"/>
  <c r="A27" i="1"/>
  <c r="G27" i="1" s="1"/>
  <c r="B27" i="1"/>
  <c r="K27" i="1" s="1"/>
  <c r="C27" i="1"/>
  <c r="E27" i="1"/>
  <c r="F27" i="1"/>
  <c r="A28" i="1"/>
  <c r="B28" i="1"/>
  <c r="K28" i="1" s="1"/>
  <c r="C28" i="1"/>
  <c r="E28" i="1"/>
  <c r="F28" i="1"/>
  <c r="A29" i="1"/>
  <c r="B29" i="1"/>
  <c r="K29" i="1" s="1"/>
  <c r="C29" i="1"/>
  <c r="E29" i="1"/>
  <c r="F29" i="1"/>
  <c r="A30" i="1"/>
  <c r="G30" i="1" s="1"/>
  <c r="B30" i="1"/>
  <c r="K30" i="1" s="1"/>
  <c r="C30" i="1"/>
  <c r="E30" i="1"/>
  <c r="F30" i="1"/>
  <c r="A31" i="1"/>
  <c r="G31" i="1" s="1"/>
  <c r="B31" i="1"/>
  <c r="K31" i="1" s="1"/>
  <c r="C31" i="1"/>
  <c r="E31" i="1"/>
  <c r="F31" i="1"/>
  <c r="A32" i="1"/>
  <c r="B32" i="1"/>
  <c r="K32" i="1" s="1"/>
  <c r="C32" i="1"/>
  <c r="E32" i="1"/>
  <c r="F32" i="1"/>
  <c r="A33" i="1"/>
  <c r="G33" i="1" s="1"/>
  <c r="B33" i="1"/>
  <c r="K33" i="1" s="1"/>
  <c r="C33" i="1"/>
  <c r="E33" i="1"/>
  <c r="F33" i="1"/>
  <c r="A34" i="1"/>
  <c r="G34" i="1" s="1"/>
  <c r="B34" i="1"/>
  <c r="K34" i="1" s="1"/>
  <c r="C34" i="1"/>
  <c r="E34" i="1"/>
  <c r="F34" i="1"/>
  <c r="A35" i="1"/>
  <c r="B35" i="1"/>
  <c r="K35" i="1" s="1"/>
  <c r="C35" i="1"/>
  <c r="E35" i="1"/>
  <c r="F35" i="1"/>
  <c r="A36" i="1"/>
  <c r="G36" i="1" s="1"/>
  <c r="B36" i="1"/>
  <c r="K36" i="1" s="1"/>
  <c r="C36" i="1"/>
  <c r="E36" i="1"/>
  <c r="F36" i="1"/>
  <c r="A37" i="1"/>
  <c r="G37" i="1" s="1"/>
  <c r="B37" i="1"/>
  <c r="K37" i="1" s="1"/>
  <c r="C37" i="1"/>
  <c r="E37" i="1"/>
  <c r="F37" i="1"/>
  <c r="A38" i="1"/>
  <c r="B38" i="1"/>
  <c r="K38" i="1" s="1"/>
  <c r="C38" i="1"/>
  <c r="E38" i="1"/>
  <c r="F38" i="1"/>
  <c r="A39" i="1"/>
  <c r="G39" i="1" s="1"/>
  <c r="B39" i="1"/>
  <c r="K39" i="1" s="1"/>
  <c r="C39" i="1"/>
  <c r="E39" i="1"/>
  <c r="F39" i="1"/>
  <c r="A40" i="1"/>
  <c r="G40" i="1" s="1"/>
  <c r="B40" i="1"/>
  <c r="K40" i="1" s="1"/>
  <c r="C40" i="1"/>
  <c r="E40" i="1"/>
  <c r="F40" i="1"/>
  <c r="A41" i="1"/>
  <c r="G41" i="1" s="1"/>
  <c r="B41" i="1"/>
  <c r="K41" i="1" s="1"/>
  <c r="C41" i="1"/>
  <c r="E41" i="1"/>
  <c r="F41" i="1"/>
  <c r="A42" i="1"/>
  <c r="G42" i="1" s="1"/>
  <c r="B42" i="1"/>
  <c r="C42" i="1"/>
  <c r="E42" i="1"/>
  <c r="F42" i="1"/>
  <c r="A43" i="1"/>
  <c r="G43" i="1" s="1"/>
  <c r="B43" i="1"/>
  <c r="K43" i="1" s="1"/>
  <c r="C43" i="1"/>
  <c r="E43" i="1"/>
  <c r="F43" i="1"/>
  <c r="A44" i="1"/>
  <c r="B44" i="1"/>
  <c r="K44" i="1" s="1"/>
  <c r="C44" i="1"/>
  <c r="E44" i="1"/>
  <c r="F44" i="1"/>
  <c r="A45" i="1"/>
  <c r="B45" i="1"/>
  <c r="K45" i="1" s="1"/>
  <c r="C45" i="1"/>
  <c r="E45" i="1"/>
  <c r="F45" i="1"/>
  <c r="A46" i="1"/>
  <c r="B46" i="1"/>
  <c r="K46" i="1" s="1"/>
  <c r="C46" i="1"/>
  <c r="E46" i="1"/>
  <c r="F46" i="1"/>
  <c r="A47" i="1"/>
  <c r="G47" i="1" s="1"/>
  <c r="B47" i="1"/>
  <c r="C47" i="1"/>
  <c r="E47" i="1"/>
  <c r="F47" i="1"/>
  <c r="A48" i="1"/>
  <c r="B48" i="1"/>
  <c r="K48" i="1" s="1"/>
  <c r="C48" i="1"/>
  <c r="E48" i="1"/>
  <c r="F48" i="1"/>
  <c r="A49" i="1"/>
  <c r="G49" i="1" s="1"/>
  <c r="B49" i="1"/>
  <c r="K49" i="1" s="1"/>
  <c r="C49" i="1"/>
  <c r="E49" i="1"/>
  <c r="F49" i="1"/>
  <c r="A50" i="1"/>
  <c r="B50" i="1"/>
  <c r="K50" i="1" s="1"/>
  <c r="C50" i="1"/>
  <c r="E50" i="1"/>
  <c r="F50" i="1"/>
  <c r="A51" i="1"/>
  <c r="B51" i="1"/>
  <c r="K51" i="1" s="1"/>
  <c r="C51" i="1"/>
  <c r="E51" i="1"/>
  <c r="F51" i="1"/>
  <c r="A52" i="1"/>
  <c r="G52" i="1" s="1"/>
  <c r="B52" i="1"/>
  <c r="K52" i="1" s="1"/>
  <c r="C52" i="1"/>
  <c r="E52" i="1"/>
  <c r="F52" i="1"/>
  <c r="A53" i="1"/>
  <c r="G53" i="1" s="1"/>
  <c r="B53" i="1"/>
  <c r="K53" i="1" s="1"/>
  <c r="C53" i="1"/>
  <c r="E53" i="1"/>
  <c r="F53" i="1"/>
  <c r="A54" i="1"/>
  <c r="B54" i="1"/>
  <c r="K54" i="1" s="1"/>
  <c r="C54" i="1"/>
  <c r="E54" i="1"/>
  <c r="F54" i="1"/>
  <c r="A55" i="1"/>
  <c r="G55" i="1" s="1"/>
  <c r="B55" i="1"/>
  <c r="K55" i="1" s="1"/>
  <c r="C55" i="1"/>
  <c r="E55" i="1"/>
  <c r="F55" i="1"/>
  <c r="A56" i="1"/>
  <c r="G56" i="1" s="1"/>
  <c r="B56" i="1"/>
  <c r="K56" i="1" s="1"/>
  <c r="C56" i="1"/>
  <c r="E56" i="1"/>
  <c r="F56" i="1"/>
  <c r="A57" i="1"/>
  <c r="G57" i="1" s="1"/>
  <c r="B57" i="1"/>
  <c r="K57" i="1" s="1"/>
  <c r="C57" i="1"/>
  <c r="E57" i="1"/>
  <c r="F57" i="1"/>
  <c r="A58" i="1"/>
  <c r="G58" i="1" s="1"/>
  <c r="B58" i="1"/>
  <c r="C58" i="1"/>
  <c r="E58" i="1"/>
  <c r="F58" i="1"/>
  <c r="B4" i="15" l="1"/>
  <c r="B5" i="15"/>
  <c r="K62" i="1"/>
  <c r="G66" i="1"/>
  <c r="G70" i="1"/>
  <c r="K65" i="1"/>
  <c r="G61" i="1"/>
  <c r="K66" i="1"/>
  <c r="G59" i="1"/>
  <c r="G72" i="1"/>
  <c r="G69" i="1"/>
  <c r="F1" i="20"/>
  <c r="B2" i="15"/>
  <c r="G46" i="1"/>
  <c r="G24" i="1"/>
  <c r="G50" i="1"/>
  <c r="K47" i="1"/>
  <c r="G38" i="1"/>
  <c r="G54" i="1"/>
  <c r="K25" i="1"/>
  <c r="K9" i="1"/>
  <c r="G18" i="1"/>
  <c r="G44" i="1"/>
  <c r="G28" i="1"/>
  <c r="G12" i="1"/>
  <c r="K58" i="1"/>
  <c r="K42" i="1"/>
  <c r="K26" i="1"/>
  <c r="K10" i="1"/>
  <c r="G51" i="1"/>
  <c r="G35" i="1"/>
  <c r="G48" i="1"/>
  <c r="G32" i="1"/>
  <c r="G16" i="1"/>
  <c r="G45" i="1"/>
  <c r="G29" i="1"/>
  <c r="G13" i="1"/>
  <c r="A59" i="11" l="1"/>
  <c r="A60" i="11"/>
  <c r="A61" i="11"/>
  <c r="A63" i="11"/>
  <c r="A64" i="11"/>
  <c r="A65" i="11"/>
  <c r="A66" i="11"/>
  <c r="A67" i="11"/>
  <c r="A68" i="11"/>
  <c r="A69" i="11"/>
  <c r="A70" i="11"/>
  <c r="A50" i="11"/>
  <c r="A51" i="11"/>
  <c r="A52" i="11"/>
  <c r="A2" i="1"/>
  <c r="G2" i="1" s="1"/>
  <c r="B2" i="1"/>
  <c r="K2" i="1" s="1"/>
  <c r="C2" i="1"/>
  <c r="E2" i="1"/>
  <c r="F2" i="1"/>
  <c r="D4" i="15" l="1"/>
  <c r="D5" i="15"/>
  <c r="D3" i="15"/>
  <c r="D2" i="15"/>
  <c r="G20" i="17" l="1"/>
  <c r="G19" i="17"/>
  <c r="G18" i="17"/>
  <c r="G17" i="17"/>
  <c r="G15" i="17"/>
  <c r="G14" i="17"/>
  <c r="G13" i="17"/>
  <c r="G12" i="17"/>
  <c r="G9" i="17"/>
  <c r="G8" i="17"/>
  <c r="G7" i="17"/>
  <c r="G6" i="17"/>
  <c r="G5" i="17"/>
  <c r="G4" i="17"/>
  <c r="I1" i="17"/>
  <c r="C10" i="8"/>
  <c r="D10" i="8"/>
  <c r="E10" i="8"/>
  <c r="E9" i="8"/>
  <c r="D9" i="8"/>
  <c r="C9" i="8"/>
  <c r="H5" i="8" l="1"/>
  <c r="H4" i="8"/>
  <c r="F1" i="10"/>
  <c r="E4" i="10"/>
  <c r="D5" i="3"/>
  <c r="D4" i="3"/>
  <c r="D3" i="3"/>
  <c r="D2" i="3"/>
  <c r="E9" i="13"/>
  <c r="E8" i="13"/>
  <c r="E7" i="13"/>
  <c r="E6" i="13"/>
  <c r="E4" i="13"/>
  <c r="E5" i="13"/>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3" i="11"/>
  <c r="A54" i="11"/>
  <c r="A55" i="11"/>
  <c r="A56" i="11"/>
  <c r="A57" i="11"/>
  <c r="A58" i="11"/>
  <c r="A2" i="11"/>
  <c r="I67" i="1" l="1"/>
  <c r="D71" i="1"/>
  <c r="J71" i="1" s="1"/>
  <c r="I68" i="1"/>
  <c r="I71" i="1"/>
  <c r="D67" i="1"/>
  <c r="J67" i="1" s="1"/>
  <c r="I64" i="1"/>
  <c r="I66" i="1"/>
  <c r="I61" i="1"/>
  <c r="D72" i="1"/>
  <c r="J72" i="1" s="1"/>
  <c r="D63" i="1"/>
  <c r="J63" i="1" s="1"/>
  <c r="I70" i="1"/>
  <c r="D60" i="1"/>
  <c r="J60" i="1" s="1"/>
  <c r="D62" i="1"/>
  <c r="J62" i="1" s="1"/>
  <c r="D69" i="1"/>
  <c r="J69" i="1" s="1"/>
  <c r="D66" i="1"/>
  <c r="J66" i="1" s="1"/>
  <c r="D59" i="1"/>
  <c r="J59" i="1" s="1"/>
  <c r="D70" i="1"/>
  <c r="J70" i="1" s="1"/>
  <c r="I65" i="1"/>
  <c r="I63" i="1"/>
  <c r="I72" i="1"/>
  <c r="D68" i="1"/>
  <c r="J68" i="1" s="1"/>
  <c r="D65" i="1"/>
  <c r="J65" i="1" s="1"/>
  <c r="I62" i="1"/>
  <c r="D61" i="1"/>
  <c r="J61" i="1" s="1"/>
  <c r="D64" i="1"/>
  <c r="J64" i="1" s="1"/>
  <c r="I60" i="1"/>
  <c r="I59" i="1"/>
  <c r="I69" i="1"/>
  <c r="D43" i="1"/>
  <c r="J43" i="1" s="1"/>
  <c r="D57" i="1"/>
  <c r="J57" i="1" s="1"/>
  <c r="D41" i="1"/>
  <c r="J41" i="1" s="1"/>
  <c r="D52" i="1"/>
  <c r="J52" i="1" s="1"/>
  <c r="I11" i="1"/>
  <c r="I24" i="1"/>
  <c r="D27" i="1"/>
  <c r="J27" i="1" s="1"/>
  <c r="H27" i="1" s="1"/>
  <c r="I43" i="1"/>
  <c r="D55" i="1"/>
  <c r="J55" i="1" s="1"/>
  <c r="I6" i="1"/>
  <c r="I22" i="1"/>
  <c r="I41" i="1"/>
  <c r="D53" i="1"/>
  <c r="J53" i="1" s="1"/>
  <c r="H53" i="1" s="1"/>
  <c r="D37" i="1"/>
  <c r="J37" i="1" s="1"/>
  <c r="I4" i="1"/>
  <c r="I44" i="1"/>
  <c r="I25" i="1"/>
  <c r="D56" i="1"/>
  <c r="J56" i="1" s="1"/>
  <c r="D23" i="1"/>
  <c r="J23" i="1" s="1"/>
  <c r="D40" i="1"/>
  <c r="J40" i="1" s="1"/>
  <c r="I21" i="1"/>
  <c r="I37" i="1"/>
  <c r="D11" i="1"/>
  <c r="J11" i="1" s="1"/>
  <c r="D50" i="1"/>
  <c r="J50" i="1" s="1"/>
  <c r="H50" i="1" s="1"/>
  <c r="I49" i="1"/>
  <c r="D25" i="1"/>
  <c r="J25" i="1" s="1"/>
  <c r="H25" i="1" s="1"/>
  <c r="I16" i="1"/>
  <c r="I55" i="1"/>
  <c r="D49" i="1"/>
  <c r="J49" i="1" s="1"/>
  <c r="I34" i="1"/>
  <c r="D3" i="1"/>
  <c r="J3" i="1" s="1"/>
  <c r="I53" i="1"/>
  <c r="I47" i="1"/>
  <c r="I19" i="1"/>
  <c r="D26" i="1"/>
  <c r="J26" i="1" s="1"/>
  <c r="I10" i="1"/>
  <c r="D24" i="1"/>
  <c r="J24" i="1" s="1"/>
  <c r="D4" i="1"/>
  <c r="J4" i="1" s="1"/>
  <c r="D16" i="1"/>
  <c r="J16" i="1" s="1"/>
  <c r="D20" i="1"/>
  <c r="J20" i="1" s="1"/>
  <c r="I50" i="1"/>
  <c r="I12" i="1"/>
  <c r="I39" i="1"/>
  <c r="D45" i="1"/>
  <c r="J45" i="1" s="1"/>
  <c r="H45" i="1" s="1"/>
  <c r="D33" i="1"/>
  <c r="J33" i="1" s="1"/>
  <c r="H33" i="1" s="1"/>
  <c r="I7" i="1"/>
  <c r="I58" i="1"/>
  <c r="I5" i="1"/>
  <c r="D31" i="1"/>
  <c r="J31" i="1" s="1"/>
  <c r="D22" i="1"/>
  <c r="J22" i="1" s="1"/>
  <c r="D29" i="1"/>
  <c r="J29" i="1" s="1"/>
  <c r="D8" i="1"/>
  <c r="J8" i="1" s="1"/>
  <c r="D18" i="1"/>
  <c r="J18" i="1" s="1"/>
  <c r="D17" i="1"/>
  <c r="J17" i="1" s="1"/>
  <c r="I31" i="1"/>
  <c r="D5" i="1"/>
  <c r="J5" i="1" s="1"/>
  <c r="D39" i="1"/>
  <c r="J39" i="1" s="1"/>
  <c r="D35" i="1"/>
  <c r="J35" i="1" s="1"/>
  <c r="D44" i="1"/>
  <c r="J44" i="1" s="1"/>
  <c r="D6" i="1"/>
  <c r="J6" i="1" s="1"/>
  <c r="D15" i="1"/>
  <c r="J15" i="1" s="1"/>
  <c r="D12" i="1"/>
  <c r="J12" i="1" s="1"/>
  <c r="I23" i="1"/>
  <c r="D9" i="1"/>
  <c r="J9" i="1" s="1"/>
  <c r="I29" i="1"/>
  <c r="D36" i="1"/>
  <c r="J36" i="1" s="1"/>
  <c r="I17" i="1"/>
  <c r="D38" i="1"/>
  <c r="J38" i="1" s="1"/>
  <c r="D48" i="1"/>
  <c r="J48" i="1" s="1"/>
  <c r="D51" i="1"/>
  <c r="J51" i="1" s="1"/>
  <c r="H51" i="1" s="1"/>
  <c r="I18" i="1"/>
  <c r="I45" i="1"/>
  <c r="D19" i="1"/>
  <c r="J19" i="1" s="1"/>
  <c r="D7" i="1"/>
  <c r="J7" i="1" s="1"/>
  <c r="I3" i="1"/>
  <c r="D58" i="1"/>
  <c r="J58" i="1" s="1"/>
  <c r="D13" i="1"/>
  <c r="J13" i="1" s="1"/>
  <c r="I57" i="1"/>
  <c r="D32" i="1"/>
  <c r="J32" i="1" s="1"/>
  <c r="H32" i="1" s="1"/>
  <c r="I28" i="1"/>
  <c r="I51" i="1"/>
  <c r="I35" i="1"/>
  <c r="I48" i="1"/>
  <c r="I32" i="1"/>
  <c r="D42" i="1"/>
  <c r="J42" i="1" s="1"/>
  <c r="H42" i="1" s="1"/>
  <c r="I14" i="1"/>
  <c r="I20" i="1"/>
  <c r="I13" i="1"/>
  <c r="I42" i="1"/>
  <c r="I26" i="1"/>
  <c r="D14" i="1"/>
  <c r="J14" i="1" s="1"/>
  <c r="D10" i="1"/>
  <c r="J10" i="1" s="1"/>
  <c r="I30" i="1"/>
  <c r="D54" i="1"/>
  <c r="J54" i="1" s="1"/>
  <c r="D46" i="1"/>
  <c r="J46" i="1" s="1"/>
  <c r="H46" i="1" s="1"/>
  <c r="I54" i="1"/>
  <c r="I40" i="1"/>
  <c r="I9" i="1"/>
  <c r="D28" i="1"/>
  <c r="J28" i="1" s="1"/>
  <c r="D34" i="1"/>
  <c r="J34" i="1" s="1"/>
  <c r="I33" i="1"/>
  <c r="I36" i="1"/>
  <c r="D47" i="1"/>
  <c r="J47" i="1" s="1"/>
  <c r="D21" i="1"/>
  <c r="J21" i="1" s="1"/>
  <c r="D30" i="1"/>
  <c r="J30" i="1" s="1"/>
  <c r="I56" i="1"/>
  <c r="I46" i="1"/>
  <c r="I38" i="1"/>
  <c r="I52" i="1"/>
  <c r="I27" i="1"/>
  <c r="I8" i="1"/>
  <c r="I15" i="1"/>
  <c r="D2" i="1"/>
  <c r="J2" i="1" s="1"/>
  <c r="I2" i="1"/>
  <c r="I1" i="8"/>
  <c r="H61" i="1" l="1"/>
  <c r="H70" i="1"/>
  <c r="H66" i="1"/>
  <c r="H64" i="1"/>
  <c r="H68" i="1"/>
  <c r="H69" i="1"/>
  <c r="H63" i="1"/>
  <c r="H59" i="1"/>
  <c r="H62" i="1"/>
  <c r="H72" i="1"/>
  <c r="H71" i="1"/>
  <c r="H60" i="1"/>
  <c r="H65" i="1"/>
  <c r="H67" i="1"/>
  <c r="H15" i="1"/>
  <c r="H39" i="1"/>
  <c r="H52" i="1"/>
  <c r="H48" i="1"/>
  <c r="H6" i="1"/>
  <c r="H17" i="1"/>
  <c r="H40" i="1"/>
  <c r="H12" i="1"/>
  <c r="H4" i="1"/>
  <c r="H11" i="1"/>
  <c r="H24" i="1"/>
  <c r="H23" i="1"/>
  <c r="H44" i="1"/>
  <c r="H34" i="1"/>
  <c r="H29" i="1"/>
  <c r="H22" i="1"/>
  <c r="H21" i="1"/>
  <c r="H13" i="1"/>
  <c r="H36" i="1"/>
  <c r="H54" i="1"/>
  <c r="H18" i="1"/>
  <c r="H35" i="1"/>
  <c r="H14" i="1"/>
  <c r="H3" i="1"/>
  <c r="H5" i="1"/>
  <c r="H38" i="1"/>
  <c r="H20" i="1"/>
  <c r="H16" i="1"/>
  <c r="H9" i="1"/>
  <c r="H8" i="1"/>
  <c r="H10" i="1"/>
  <c r="H30" i="1"/>
  <c r="H26" i="1"/>
  <c r="H19" i="1"/>
  <c r="H31" i="1"/>
  <c r="H47" i="1"/>
  <c r="H56" i="1"/>
  <c r="H58" i="1"/>
  <c r="H41" i="1"/>
  <c r="H7" i="1"/>
  <c r="H57" i="1"/>
  <c r="H49" i="1"/>
  <c r="H28" i="1"/>
  <c r="H55" i="1"/>
  <c r="H37" i="1"/>
  <c r="H43" i="1"/>
  <c r="H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FF7E469-07B6-9C41-9446-B7088928F0EC}" name="testresults" type="6" refreshedVersion="8" background="1" saveData="1">
    <textPr sourceFile="/Users/frederik/Library/CloudStorage/OneDrive-StichtingOpenChargeAlliance/OCTT-certification/testresults.csv" comma="1">
      <textFields count="2">
        <textField/>
        <textField/>
      </textFields>
    </textPr>
  </connection>
</connections>
</file>

<file path=xl/sharedStrings.xml><?xml version="1.0" encoding="utf-8"?>
<sst xmlns="http://schemas.openxmlformats.org/spreadsheetml/2006/main" count="567" uniqueCount="306">
  <si>
    <t>Protocol Implementation Conformance Statement</t>
  </si>
  <si>
    <t>Date:</t>
  </si>
  <si>
    <t>Instruction</t>
  </si>
  <si>
    <t>This document can be used by following these steps:</t>
  </si>
  <si>
    <r>
      <t>Specify the General information of your CSMS in column C of the tab "</t>
    </r>
    <r>
      <rPr>
        <i/>
        <sz val="12"/>
        <color rgb="FF000000"/>
        <rFont val="Calibri"/>
        <family val="2"/>
      </rPr>
      <t>General information</t>
    </r>
    <r>
      <rPr>
        <sz val="12"/>
        <color rgb="FF000000"/>
        <rFont val="Calibri"/>
        <family val="2"/>
      </rPr>
      <t>".</t>
    </r>
  </si>
  <si>
    <r>
      <rPr>
        <sz val="12"/>
        <color rgb="FF000000"/>
        <rFont val="Calibri"/>
        <family val="2"/>
      </rPr>
      <t>Select the Certification Profiles that you want to certify during your Certification run in column C of the tab "</t>
    </r>
    <r>
      <rPr>
        <i/>
        <sz val="12"/>
        <color rgb="FF000000"/>
        <rFont val="Calibri"/>
        <family val="2"/>
      </rPr>
      <t>Profile Selection</t>
    </r>
    <r>
      <rPr>
        <sz val="12"/>
        <color rgb="FF000000"/>
        <rFont val="Calibri"/>
        <family val="2"/>
      </rPr>
      <t>"</t>
    </r>
  </si>
  <si>
    <t>Fill in the answer to the questions on the tab "Additional questions" (in column D)</t>
  </si>
  <si>
    <t>General information</t>
  </si>
  <si>
    <t>&lt;fill in your company name&gt; </t>
  </si>
  <si>
    <t>Profile selection</t>
  </si>
  <si>
    <t>Certification Profile</t>
  </si>
  <si>
    <t>Supported</t>
  </si>
  <si>
    <t>Description</t>
  </si>
  <si>
    <t>Core</t>
  </si>
  <si>
    <t>Yes</t>
  </si>
  <si>
    <t>Basic Charging Station functionality for booting, authorization (incl. cache if available), configuration, transactions, remote control, including basic security.</t>
  </si>
  <si>
    <t>Local Authorization List Management</t>
  </si>
  <si>
    <t>No</t>
  </si>
  <si>
    <t>Smart Charging</t>
  </si>
  <si>
    <t>Support for Smart Charging (all profile types, including stacking), to control charging.</t>
  </si>
  <si>
    <t>Reservation</t>
  </si>
  <si>
    <t>Support for reservation of a connector of a Charging Station.</t>
  </si>
  <si>
    <t>Supported / present </t>
  </si>
  <si>
    <t>Additional question</t>
  </si>
  <si>
    <t>Additional questions for lab testing:</t>
  </si>
  <si>
    <t>AQ-1</t>
  </si>
  <si>
    <t>Can your CSMS be configured to first respond to a BootNotificationRequest with status Pending or Rejected?</t>
  </si>
  <si>
    <t>Testcase</t>
  </si>
  <si>
    <t>Name</t>
  </si>
  <si>
    <t>CSMS Status</t>
  </si>
  <si>
    <t>Feature ID</t>
  </si>
  <si>
    <t>Feature Name</t>
  </si>
  <si>
    <t>Status</t>
  </si>
  <si>
    <t>Perform test for certification  (based on PICS)</t>
  </si>
  <si>
    <t xml:space="preserve">Perform test for certification </t>
  </si>
  <si>
    <t>Profile selected</t>
  </si>
  <si>
    <t>Mandatory test for a mandatory feature</t>
  </si>
  <si>
    <t>Mandatory for optional feature</t>
  </si>
  <si>
    <t>Possibly mandatory, depending on your system</t>
  </si>
  <si>
    <t>Performance measurement</t>
  </si>
  <si>
    <t>Name </t>
  </si>
  <si>
    <t>Unit </t>
  </si>
  <si>
    <t>Description </t>
  </si>
  <si>
    <t>OCPP response time </t>
  </si>
  <si>
    <t>seconds </t>
  </si>
  <si>
    <t>Response time Authorize </t>
  </si>
  <si>
    <t>The response time for the Authorize message. </t>
  </si>
  <si>
    <t>Helper</t>
  </si>
  <si>
    <t>M</t>
  </si>
  <si>
    <t>C</t>
  </si>
  <si>
    <t>Send Local Authorization List - Full</t>
  </si>
  <si>
    <t>Key</t>
  </si>
  <si>
    <t>Value (based on formula)</t>
  </si>
  <si>
    <t>Optional feature related</t>
  </si>
  <si>
    <t>Used</t>
  </si>
  <si>
    <t>Vendor</t>
  </si>
  <si>
    <r>
      <rPr>
        <b/>
        <sz val="11"/>
        <color theme="1"/>
        <rFont val="Calibri"/>
        <family val="2"/>
        <scheme val="minor"/>
      </rPr>
      <t>Date</t>
    </r>
    <r>
      <rPr>
        <sz val="12"/>
        <color theme="1"/>
        <rFont val="Calibri"/>
        <family val="2"/>
        <scheme val="minor"/>
      </rPr>
      <t>:</t>
    </r>
  </si>
  <si>
    <t>Signature:</t>
  </si>
  <si>
    <t>Company</t>
  </si>
  <si>
    <t>&lt;vendor name&gt;</t>
  </si>
  <si>
    <t>Department</t>
  </si>
  <si>
    <t>Position</t>
  </si>
  <si>
    <t>Location</t>
  </si>
  <si>
    <t>Test laboratory</t>
  </si>
  <si>
    <t>Id</t>
  </si>
  <si>
    <t>Device Under Test </t>
  </si>
  <si>
    <t>&lt;type name and / or model number&gt; </t>
  </si>
  <si>
    <t>Charging Station Management System</t>
  </si>
  <si>
    <t>…</t>
  </si>
  <si>
    <t>Test Report Reference</t>
  </si>
  <si>
    <t>Vendor provided performance values</t>
  </si>
  <si>
    <t>Max Value</t>
  </si>
  <si>
    <t>Min Value</t>
  </si>
  <si>
    <t>Communication technology used during performance measurement: </t>
  </si>
  <si>
    <t>Please note: only 1 communication technology is measured for performance, so if multiple technologies available in a Charging Station, please select for which the measurements should be executed by the lab. </t>
  </si>
  <si>
    <t>PICS Version:</t>
  </si>
  <si>
    <t>OCPP Spec Version</t>
  </si>
  <si>
    <t>OCPP Errata Version</t>
  </si>
  <si>
    <t>Configuration Setting</t>
  </si>
  <si>
    <t>Configured Value</t>
  </si>
  <si>
    <t>Test Performed On</t>
  </si>
  <si>
    <t>Product Designation</t>
  </si>
  <si>
    <t>&lt;type software version of the product&gt; </t>
  </si>
  <si>
    <t>OCPP Software Version </t>
  </si>
  <si>
    <t>&lt;date the test lab completed testing&gt;</t>
  </si>
  <si>
    <t>&lt;vendor department name&gt;</t>
  </si>
  <si>
    <t>&lt;vendor location&gt;</t>
  </si>
  <si>
    <t>&lt;signature date&gt;</t>
  </si>
  <si>
    <t>&lt;vendor representative name&gt;</t>
  </si>
  <si>
    <t>&lt;vendor representative position&gt;</t>
  </si>
  <si>
    <t>&lt;testlab representative name&gt;</t>
  </si>
  <si>
    <t>&lt;testlab organization name&gt;</t>
  </si>
  <si>
    <t>&lt;testlab department name&gt;</t>
  </si>
  <si>
    <t>&lt;testlab representative position&gt;</t>
  </si>
  <si>
    <t>&lt;testlab location&gt;</t>
  </si>
  <si>
    <t>&lt;internal testlab reference&gt;</t>
  </si>
  <si>
    <r>
      <t>&lt;WiFi / ethernet / mobile&gt;</t>
    </r>
    <r>
      <rPr>
        <b/>
        <sz val="11"/>
        <color rgb="FF7030A0"/>
        <rFont val="Arial"/>
        <family val="2"/>
      </rPr>
      <t> </t>
    </r>
  </si>
  <si>
    <t>&lt;vendor maximum&gt;</t>
  </si>
  <si>
    <t>Statement of Approval</t>
  </si>
  <si>
    <t xml:space="preserve">… </t>
  </si>
  <si>
    <t xml:space="preserve">... </t>
  </si>
  <si>
    <t>Other OCPP &amp; Vendor specific settings</t>
  </si>
  <si>
    <t>The table below should contain all relevant OCPP and vendor-specific settings  that are relevant for the test laboratory and for the correct OCPP-compliant functioning : </t>
  </si>
  <si>
    <t>Vendor Name </t>
  </si>
  <si>
    <t>Measured performance (filled in by testlab after completion of the tests)</t>
  </si>
  <si>
    <t xml:space="preserve">List of Additional Questions is currently: </t>
  </si>
  <si>
    <t>Specify which optional features you have implemented in your CSMS in columns D and E of the tab "Optional features". Fill in all black fields, purple fields will be populated during certification</t>
  </si>
  <si>
    <r>
      <t>Fill in all OCPP and vendor-specific settings that are relevant for certification in the tab "</t>
    </r>
    <r>
      <rPr>
        <i/>
        <sz val="12"/>
        <color rgb="FF000000"/>
        <rFont val="Calibri"/>
        <family val="2"/>
      </rPr>
      <t>Other&amp;Vendor Specific Settings</t>
    </r>
    <r>
      <rPr>
        <sz val="12"/>
        <color rgb="FF000000"/>
        <rFont val="Calibri"/>
        <family val="2"/>
      </rPr>
      <t>".</t>
    </r>
  </si>
  <si>
    <t>Before submitting this document to a testlab for a certification test:</t>
  </si>
  <si>
    <r>
      <t>Enter your performance commitment in the tab '</t>
    </r>
    <r>
      <rPr>
        <i/>
        <sz val="12"/>
        <color theme="1"/>
        <rFont val="Calibri"/>
        <family val="2"/>
        <scheme val="minor"/>
      </rPr>
      <t>Performance Measurement</t>
    </r>
    <r>
      <rPr>
        <sz val="12"/>
        <color theme="1"/>
        <rFont val="Calibri"/>
        <family val="2"/>
        <scheme val="minor"/>
      </rPr>
      <t xml:space="preserve">' in column C (black fields only, purple fields will be populated during certification) </t>
    </r>
  </si>
  <si>
    <t>Ensure that all tabs that have a check show a green VALID status on the top row</t>
  </si>
  <si>
    <r>
      <t>You can now see the test cases that need to be passed on the tab "</t>
    </r>
    <r>
      <rPr>
        <i/>
        <sz val="12"/>
        <color rgb="FF000000"/>
        <rFont val="Calibri"/>
        <family val="2"/>
      </rPr>
      <t>CSMS Testcases</t>
    </r>
    <r>
      <rPr>
        <sz val="12"/>
        <color rgb="FF000000"/>
        <rFont val="Calibri"/>
        <family val="2"/>
      </rPr>
      <t>" by filtering column H for the value "TRUE".</t>
    </r>
  </si>
  <si>
    <t xml:space="preserve">Performance Measurement is currently: </t>
  </si>
  <si>
    <t>Average Value</t>
  </si>
  <si>
    <t>Value</t>
  </si>
  <si>
    <r>
      <t xml:space="preserve">double-check the selected values entered in the steps above and be sure that the configuration specified will allow all required testcases to PASS. </t>
    </r>
    <r>
      <rPr>
        <b/>
        <sz val="12"/>
        <color theme="1"/>
        <rFont val="Calibri"/>
        <family val="2"/>
        <scheme val="minor"/>
      </rPr>
      <t>Please note that all values provided in the PICS will be shown on the Certificate.</t>
    </r>
  </si>
  <si>
    <t xml:space="preserve">Statement of Approval is currently: </t>
  </si>
  <si>
    <t>Changelog:</t>
  </si>
  <si>
    <t>OCPP 1.6 Certification</t>
  </si>
  <si>
    <t>Edition 2 FINAL, 2017-09-28</t>
  </si>
  <si>
    <t>1.0.0</t>
  </si>
  <si>
    <t>Initial version</t>
  </si>
  <si>
    <t>Firmware Management</t>
  </si>
  <si>
    <t>Remote Trigger</t>
  </si>
  <si>
    <t>Support for (remote) firmware update management and diagnostic log file download.</t>
  </si>
  <si>
    <t>Features to manage a local list in the charging station containing authorization data for whitelisting users.</t>
  </si>
  <si>
    <t>Support for remotely triggering messages that originate from a Charging Station. This can be used for resending messages or for getting the latest information from the Charging Station.</t>
  </si>
  <si>
    <t>OCPP 1.6 Security</t>
  </si>
  <si>
    <t>TC_003_CSMS</t>
  </si>
  <si>
    <t>TC_004_1_CSMS</t>
  </si>
  <si>
    <t>TC_004_2_CSMS</t>
  </si>
  <si>
    <t>TC_005_1_CSMS</t>
  </si>
  <si>
    <t>TC_007_CSMS</t>
  </si>
  <si>
    <t>TC_061_CSMS</t>
  </si>
  <si>
    <t>TC_010_CSMS</t>
  </si>
  <si>
    <t>TC_011_1_CSMS</t>
  </si>
  <si>
    <t>TC_011_2_CSMS</t>
  </si>
  <si>
    <t>TC_012_CSMS</t>
  </si>
  <si>
    <t>TC_013_CSMS</t>
  </si>
  <si>
    <t>TC_014_CSMS</t>
  </si>
  <si>
    <t>TC_017_1_CSMS</t>
  </si>
  <si>
    <t>TC_017_2_CSMS</t>
  </si>
  <si>
    <t>TC_019_1_CSMS</t>
  </si>
  <si>
    <t>TC_019_2_CSMS</t>
  </si>
  <si>
    <t>TC_021_CSMS</t>
  </si>
  <si>
    <t>TC_023_1_CSMS</t>
  </si>
  <si>
    <t>TC_023_2_CSMS</t>
  </si>
  <si>
    <t>TC_023_3_CSMS</t>
  </si>
  <si>
    <t>TC_024_CSMS</t>
  </si>
  <si>
    <t>TC_026_CSMS</t>
  </si>
  <si>
    <t>TC_028_CSMS</t>
  </si>
  <si>
    <t>TC_030_CSMS</t>
  </si>
  <si>
    <t>TC_031_CSMS</t>
  </si>
  <si>
    <t>TC_032_1_CSMS</t>
  </si>
  <si>
    <t>TC_037_1_CSMS</t>
  </si>
  <si>
    <t>TC_037_3_CSMS</t>
  </si>
  <si>
    <t>TC_039_CSMS</t>
  </si>
  <si>
    <t>TC_040_1_CSMS</t>
  </si>
  <si>
    <t>TC_040_2_CSMS</t>
  </si>
  <si>
    <t>TC_042_2_CSMS</t>
  </si>
  <si>
    <t>TC_043_3_CSMS</t>
  </si>
  <si>
    <t>TC_043_4_CSMS</t>
  </si>
  <si>
    <t>TC_043_5_CSMS</t>
  </si>
  <si>
    <t>TC_044_1_CSMS</t>
  </si>
  <si>
    <t>TC_044_2_CSMS</t>
  </si>
  <si>
    <t>TC_044_3_CSMS</t>
  </si>
  <si>
    <t>TC_045_1_CSMS</t>
  </si>
  <si>
    <t>TC_045_2_CSMS</t>
  </si>
  <si>
    <t>TC_046_CSMS</t>
  </si>
  <si>
    <t>TC_047_CSMS</t>
  </si>
  <si>
    <t>TC_048_2_CSMS</t>
  </si>
  <si>
    <t>TC_048_3_CSMS</t>
  </si>
  <si>
    <t>TC_048_4_CSMS</t>
  </si>
  <si>
    <t>TC_049_CSMS</t>
  </si>
  <si>
    <t>TC_051_CSMS</t>
  </si>
  <si>
    <t>TC_054_CSMS</t>
  </si>
  <si>
    <t>TC_055_CSMS</t>
  </si>
  <si>
    <t>TC_056_CSMS</t>
  </si>
  <si>
    <t>TC_057_CSMS</t>
  </si>
  <si>
    <t>TC_066_CSMS</t>
  </si>
  <si>
    <t>TC_067_CSMS</t>
  </si>
  <si>
    <t>TC_059_CSMS</t>
  </si>
  <si>
    <t>TC_064_CSMS</t>
  </si>
  <si>
    <t>TC_074_CSMS</t>
  </si>
  <si>
    <t>TC_076_CSMS</t>
  </si>
  <si>
    <t>TC_077_CSMS</t>
  </si>
  <si>
    <t>TC_078_CSMS</t>
  </si>
  <si>
    <t>TC_079_CSMS</t>
  </si>
  <si>
    <t>TC_080_CSMS</t>
  </si>
  <si>
    <t>TC_081_CSMS</t>
  </si>
  <si>
    <t>Regular Charging Session - Plugin First</t>
  </si>
  <si>
    <t>Regular Charging Session – Identification First</t>
  </si>
  <si>
    <t>Regular Charging Session – Identification First - ConnectionTimeOut</t>
  </si>
  <si>
    <t>Regular Start Charging Session – Cached Id</t>
  </si>
  <si>
    <t>Clear Authorization Data in Authorization Cache</t>
  </si>
  <si>
    <t>Remote Start Charging Session – Cable Plugged in First</t>
  </si>
  <si>
    <t>Remote Start Charging Session – Remote Start First</t>
  </si>
  <si>
    <t>Remote Stop Charging Session</t>
  </si>
  <si>
    <t>Hard Reset Without transaction</t>
  </si>
  <si>
    <t>Soft Reset Without Transaction</t>
  </si>
  <si>
    <t>Unlock connector - no charging session running (Not fixed cable)</t>
  </si>
  <si>
    <t>Unlock connector - no charging session running (Fixed cable)</t>
  </si>
  <si>
    <t>Retrieve all configuration keys</t>
  </si>
  <si>
    <t>Retrieve specific configuration key</t>
  </si>
  <si>
    <t>Change/set Configuration</t>
  </si>
  <si>
    <t>Start Charging Session – Authorize invalid</t>
  </si>
  <si>
    <t>Start Charging Session – Authorize expired</t>
  </si>
  <si>
    <t>Start Charging Session – Authorize blocked</t>
  </si>
  <si>
    <t>Start Charging Session Lock Failure</t>
  </si>
  <si>
    <t>Remote Start Charging Session – Rejected</t>
  </si>
  <si>
    <t>Remote Stop Transaction – Rejected</t>
  </si>
  <si>
    <t>O</t>
  </si>
  <si>
    <t>Unlock Connector – Unlock Failure</t>
  </si>
  <si>
    <t>Unlock Connector – Unknown Connector</t>
  </si>
  <si>
    <t>Power failure boot charging point - configured to stop transaction(s) before going down</t>
  </si>
  <si>
    <t>Offline Transaction</t>
  </si>
  <si>
    <t>Configuration keys</t>
  </si>
  <si>
    <t>Configuration Keys</t>
  </si>
  <si>
    <t>Data Transfer to a Central System</t>
  </si>
  <si>
    <t>Get Local List Version (empty)</t>
  </si>
  <si>
    <t>Send Local Authorization List - Failed</t>
  </si>
  <si>
    <t>Send Local Authorization List - Differential</t>
  </si>
  <si>
    <t>Firmware Update - Download and Install</t>
  </si>
  <si>
    <t>Firmware Update - Download Failed</t>
  </si>
  <si>
    <t>Firmware Update - Installation Failed</t>
  </si>
  <si>
    <t>Get Diagnostics</t>
  </si>
  <si>
    <t>Get Diagnostics - Upload Failed</t>
  </si>
  <si>
    <t>Reservation of a Connector - Expire</t>
  </si>
  <si>
    <t>Reservation of a Connector - Occupied</t>
  </si>
  <si>
    <t>Reservation of a Connector - Unavailable</t>
  </si>
  <si>
    <t>Reservation of a Charge Point - Transaction</t>
  </si>
  <si>
    <t>Cancel Reservation</t>
  </si>
  <si>
    <t>Trigger Message</t>
  </si>
  <si>
    <t>Trigger Message - Rejected</t>
  </si>
  <si>
    <t>Central Smart Charging - TxDefaultProfile</t>
  </si>
  <si>
    <t>Central Smart Charging - TxProfile</t>
  </si>
  <si>
    <t>Get Composite Schedule</t>
  </si>
  <si>
    <t>Clear Charging Profile</t>
  </si>
  <si>
    <t>Remote Start Transaction with Charging Profile</t>
  </si>
  <si>
    <t>Update Charge Point Password for HTTP Basic Authentication</t>
  </si>
  <si>
    <t>Only applicable if the DUT supports security profile 3.</t>
  </si>
  <si>
    <t>Delete a specific certificate from the Charge Point</t>
  </si>
  <si>
    <t>Invalid ChargePointCertificate Security Event</t>
  </si>
  <si>
    <t>Invalid CentralSystemCertificate Security Event</t>
  </si>
  <si>
    <t>Get Security Log</t>
  </si>
  <si>
    <t>Secure Firmware Update</t>
  </si>
  <si>
    <t>Secure Firmware Update - Invalid Signature</t>
  </si>
  <si>
    <t>Optional test case</t>
  </si>
  <si>
    <t>Pure optional</t>
  </si>
  <si>
    <t>The timeout used for exchanging OCPP response messages. Messages to the DUT can be handled within this timeout.</t>
  </si>
  <si>
    <t>TC_073_CSMS</t>
  </si>
  <si>
    <t>Only applicable if the DUT supports security profile 1 or 2.</t>
  </si>
  <si>
    <t>TC_052_CSMS</t>
  </si>
  <si>
    <t>TC_053_CSMS</t>
  </si>
  <si>
    <t>Cancel Reservation - Rejected</t>
  </si>
  <si>
    <t>Use a reserved Connector with parentIdTag</t>
  </si>
  <si>
    <t>Security extension (based on Security Whitepaper).</t>
  </si>
  <si>
    <t xml:space="preserve">This document must be used to define the system that you want to certify in the Open Charge Alliance OCPP Certification Program for OCPP 1.6. By defining a system / device using this document, a vendor or certification lab can determine the exact test cases that have to be performed during the certification run for OCPP 1.6 certification. 
This document is only intended to be updated using Microsoft Excel. It contains many calculations to ensure that the combination of values is sound and as a tool for the user it also calculates which testcases are required. We have locked the sheet to ensure only the fields that are intended for input can be modified and are fully aware that it is possible to remove this protection. We cannot accept any filled in PICS documents that have  the password protection removed or that have been modified using another program than Microsoft Excel. Doing so makes this PICS invalid and renders it unusable for starting your certification proces.
</t>
  </si>
  <si>
    <t>TC_001_CSMS</t>
  </si>
  <si>
    <t>Update Charge Point Certificate by request of Central System</t>
  </si>
  <si>
    <t>TC_075_1_CSMS</t>
  </si>
  <si>
    <t>TC_075_2_CSMS</t>
  </si>
  <si>
    <t>Install a certificate on the Charge Point - CentralSystemRootCertificate</t>
  </si>
  <si>
    <t>Offline Start Transaction - Valid IdTag</t>
  </si>
  <si>
    <t>Offline Start Transaction - Invalid IdTag - StopTransactionOnInvalidId = true</t>
  </si>
  <si>
    <t>EV Side Disconnected - StopTransactionOnEVSideDisconnect = true - UnlockConnectorOnEVSideDisconnect = true</t>
  </si>
  <si>
    <t>Security extension</t>
  </si>
  <si>
    <t>Id </t>
  </si>
  <si>
    <t>Supported / Present </t>
  </si>
  <si>
    <t>SEC-1</t>
  </si>
  <si>
    <t>SEC-2</t>
  </si>
  <si>
    <t>SEC-3</t>
  </si>
  <si>
    <t>Optional</t>
  </si>
  <si>
    <t>Implementation of the whitepaper: Improved security for OCPP 1.6-J</t>
  </si>
  <si>
    <t>Security Profile 2: TLS (1.2 or higher) with Basic Authentication</t>
  </si>
  <si>
    <t>Security Profile 1: Unsecured Transport with Basic Authentication</t>
  </si>
  <si>
    <t>Security Profile 3: TLS (1.2 or higher) with Client Side Certificates</t>
  </si>
  <si>
    <t>Optional features</t>
  </si>
  <si>
    <t xml:space="preserve">List of Optional Features is currently: </t>
  </si>
  <si>
    <t>TC_085_CSMS</t>
  </si>
  <si>
    <t>TC_086_CSMS</t>
  </si>
  <si>
    <t>TC_087_CSMS</t>
  </si>
  <si>
    <t>Basic Authentication - Valid username/password combination</t>
  </si>
  <si>
    <t>TLS - server-side certificate - Valid certificate</t>
  </si>
  <si>
    <t>TLS - Client-side certificate - valid certificate</t>
  </si>
  <si>
    <t>Only applicable if the DUT supports security profile 1.</t>
  </si>
  <si>
    <t>Only applicable if the DUT supports security profile 2.</t>
  </si>
  <si>
    <t>Cold Boot Charge Point</t>
  </si>
  <si>
    <t>Remote Start Charging Session – Time Out</t>
  </si>
  <si>
    <t>Reservation of a Connector - Transaction</t>
  </si>
  <si>
    <t>Reservation of a Connector - Rejected</t>
  </si>
  <si>
    <t>Install a certificate on the Charge Point - ManufacturerRootCertificate</t>
  </si>
  <si>
    <t>Certification Extension</t>
  </si>
  <si>
    <t>Name reviewer</t>
  </si>
  <si>
    <t>&lt;optional testlab reviewer name&gt;</t>
  </si>
  <si>
    <t>I hereby declare that the information provided in the document is correct and complete and that I approve this document to be submitted for OCPP 1.6 certification based on this information.</t>
  </si>
  <si>
    <t>Feature</t>
  </si>
  <si>
    <t>Certification Profile / security</t>
  </si>
  <si>
    <t xml:space="preserve">Name </t>
  </si>
  <si>
    <t>Security Whitepaper Edition 3 (Improved security for OCPP 1.6-J v1.3, 2022-02-17)</t>
  </si>
  <si>
    <t>Errata v4.0 Release, 2019-10-23</t>
  </si>
  <si>
    <t>Test lab result</t>
  </si>
  <si>
    <t>Test lab remark</t>
  </si>
  <si>
    <t>Only applicable if the DUT supports security profile 2 or 3.</t>
  </si>
  <si>
    <t>1.0.1</t>
  </si>
  <si>
    <t>Fixed formula for test cases 085 and 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</si>
</sst>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5"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rgb="FF7030A0"/>
      <name val="Arial"/>
      <family val="2"/>
    </font>
    <font>
      <b/>
      <sz val="11"/>
      <name val="Arial"/>
      <family val="2"/>
    </font>
    <font>
      <sz val="11"/>
      <name val="Arial"/>
      <family val="2"/>
    </font>
    <font>
      <b/>
      <sz val="11"/>
      <color theme="1"/>
      <name val="Arial"/>
      <family val="2"/>
    </font>
    <font>
      <sz val="11"/>
      <color rgb="FF7030A0"/>
      <name val="Arial"/>
      <family val="2"/>
    </font>
    <font>
      <sz val="11"/>
      <color rgb="FF000000"/>
      <name val="Arial"/>
      <family val="2"/>
    </font>
    <font>
      <b/>
      <sz val="28"/>
      <color theme="1"/>
      <name val="Calibri"/>
      <family val="2"/>
      <scheme val="minor"/>
    </font>
    <font>
      <sz val="28"/>
      <color theme="1"/>
      <name val="Calibri"/>
      <family val="2"/>
      <scheme val="minor"/>
    </font>
    <font>
      <b/>
      <sz val="16"/>
      <color theme="1"/>
      <name val="Calibri"/>
      <family val="2"/>
      <scheme val="minor"/>
    </font>
    <font>
      <sz val="16"/>
      <color theme="1"/>
      <name val="Calibri"/>
      <family val="2"/>
      <scheme val="minor"/>
    </font>
    <font>
      <i/>
      <sz val="12"/>
      <color theme="1"/>
      <name val="Calibri"/>
      <family val="2"/>
      <scheme val="minor"/>
    </font>
    <font>
      <sz val="12"/>
      <color rgb="FF000000"/>
      <name val="Calibri"/>
      <family val="2"/>
    </font>
    <font>
      <i/>
      <sz val="12"/>
      <color rgb="FF000000"/>
      <name val="Calibri"/>
      <family val="2"/>
    </font>
    <font>
      <b/>
      <sz val="18"/>
      <color theme="1"/>
      <name val="Calibri"/>
      <family val="2"/>
      <scheme val="minor"/>
    </font>
    <font>
      <i/>
      <sz val="11"/>
      <name val="Arial"/>
      <family val="2"/>
    </font>
    <font>
      <b/>
      <sz val="18"/>
      <name val="Arial"/>
      <family val="2"/>
    </font>
    <font>
      <b/>
      <sz val="11"/>
      <color theme="1"/>
      <name val="Calibri"/>
      <family val="2"/>
      <scheme val="minor"/>
    </font>
    <font>
      <b/>
      <sz val="14"/>
      <color rgb="FF7030A0"/>
      <name val="Calibri"/>
      <family val="2"/>
      <scheme val="minor"/>
    </font>
    <font>
      <b/>
      <sz val="12"/>
      <name val="Arial"/>
      <family val="2"/>
    </font>
    <font>
      <b/>
      <sz val="12"/>
      <color rgb="FFFF0000"/>
      <name val="Calibri"/>
      <family val="2"/>
      <scheme val="minor"/>
    </font>
    <font>
      <sz val="8"/>
      <name val="Calibri"/>
      <family val="2"/>
      <scheme val="minor"/>
    </font>
  </fonts>
  <fills count="6">
    <fill>
      <patternFill patternType="none"/>
    </fill>
    <fill>
      <patternFill patternType="gray125"/>
    </fill>
    <fill>
      <patternFill patternType="solid">
        <fgColor rgb="FFFFF2CC"/>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bgColor indexed="64"/>
      </patternFill>
    </fill>
  </fills>
  <borders count="76">
    <border>
      <left/>
      <right/>
      <top/>
      <bottom/>
      <diagonal/>
    </border>
    <border>
      <left style="thin">
        <color rgb="FF000000"/>
      </left>
      <right/>
      <top style="thin">
        <color rgb="FF000000"/>
      </top>
      <bottom style="medium">
        <color rgb="FFFFD966"/>
      </bottom>
      <diagonal/>
    </border>
    <border>
      <left/>
      <right style="thin">
        <color rgb="FF000000"/>
      </right>
      <top style="thin">
        <color rgb="FF000000"/>
      </top>
      <bottom style="medium">
        <color rgb="FFFFD966"/>
      </bottom>
      <diagonal/>
    </border>
    <border>
      <left style="thin">
        <color rgb="FF000000"/>
      </left>
      <right/>
      <top style="medium">
        <color rgb="FFFFD966"/>
      </top>
      <bottom style="medium">
        <color rgb="FFFFD966"/>
      </bottom>
      <diagonal/>
    </border>
    <border>
      <left/>
      <right style="thin">
        <color rgb="FF000000"/>
      </right>
      <top style="medium">
        <color rgb="FFFFD966"/>
      </top>
      <bottom style="medium">
        <color rgb="FFFFD966"/>
      </bottom>
      <diagonal/>
    </border>
    <border>
      <left style="thin">
        <color rgb="FF000000"/>
      </left>
      <right/>
      <top style="medium">
        <color rgb="FFFFD966"/>
      </top>
      <bottom style="thin">
        <color rgb="FF000000"/>
      </bottom>
      <diagonal/>
    </border>
    <border>
      <left/>
      <right style="thin">
        <color rgb="FF000000"/>
      </right>
      <top style="medium">
        <color rgb="FFFFD966"/>
      </top>
      <bottom style="thin">
        <color rgb="FF000000"/>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D966"/>
      </left>
      <right style="medium">
        <color rgb="FFFFD966"/>
      </right>
      <top style="medium">
        <color rgb="FFFFC000"/>
      </top>
      <bottom/>
      <diagonal/>
    </border>
    <border>
      <left style="medium">
        <color rgb="FFFFD966"/>
      </left>
      <right style="medium">
        <color rgb="FFFFD966"/>
      </right>
      <top style="medium">
        <color rgb="FFFFD966"/>
      </top>
      <bottom/>
      <diagonal/>
    </border>
    <border>
      <left style="medium">
        <color rgb="FFFFD966"/>
      </left>
      <right style="medium">
        <color rgb="FFFFD966"/>
      </right>
      <top style="medium">
        <color rgb="FFFFD966"/>
      </top>
      <bottom style="medium">
        <color rgb="FFFFC000"/>
      </bottom>
      <diagonal/>
    </border>
    <border>
      <left style="thin">
        <color rgb="FF000000"/>
      </left>
      <right/>
      <top style="thin">
        <color rgb="FF000000"/>
      </top>
      <bottom style="medium">
        <color rgb="FFFFC000"/>
      </bottom>
      <diagonal/>
    </border>
    <border>
      <left/>
      <right/>
      <top style="thin">
        <color rgb="FF000000"/>
      </top>
      <bottom style="medium">
        <color rgb="FFFFC000"/>
      </bottom>
      <diagonal/>
    </border>
    <border>
      <left/>
      <right/>
      <top/>
      <bottom style="thin">
        <color rgb="FF000000"/>
      </bottom>
      <diagonal/>
    </border>
    <border>
      <left style="medium">
        <color rgb="FFFFD966"/>
      </left>
      <right style="medium">
        <color rgb="FFFFD966"/>
      </right>
      <top style="medium">
        <color rgb="FFFFD966"/>
      </top>
      <bottom style="medium">
        <color rgb="FFFFD966"/>
      </bottom>
      <diagonal/>
    </border>
    <border>
      <left style="thin">
        <color rgb="FF000000"/>
      </left>
      <right style="medium">
        <color rgb="FFFFD966"/>
      </right>
      <top style="medium">
        <color rgb="FFFFD966"/>
      </top>
      <bottom style="medium">
        <color rgb="FFFFD966"/>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rgb="FFFFD966"/>
      </bottom>
      <diagonal/>
    </border>
    <border>
      <left style="thin">
        <color rgb="FF000000"/>
      </left>
      <right/>
      <top style="thin">
        <color indexed="64"/>
      </top>
      <bottom style="medium">
        <color rgb="FFFFD966"/>
      </bottom>
      <diagonal/>
    </border>
    <border>
      <left/>
      <right style="thin">
        <color indexed="64"/>
      </right>
      <top style="thin">
        <color indexed="64"/>
      </top>
      <bottom style="medium">
        <color rgb="FFFFD966"/>
      </bottom>
      <diagonal/>
    </border>
    <border>
      <left style="thin">
        <color indexed="64"/>
      </left>
      <right/>
      <top style="medium">
        <color rgb="FFFFD966"/>
      </top>
      <bottom style="medium">
        <color rgb="FFFFD966"/>
      </bottom>
      <diagonal/>
    </border>
    <border>
      <left/>
      <right style="thin">
        <color indexed="64"/>
      </right>
      <top style="medium">
        <color rgb="FFFFD966"/>
      </top>
      <bottom style="medium">
        <color rgb="FFFFD966"/>
      </bottom>
      <diagonal/>
    </border>
    <border>
      <left style="thin">
        <color rgb="FF000000"/>
      </left>
      <right/>
      <top/>
      <bottom style="medium">
        <color rgb="FFFFC000"/>
      </bottom>
      <diagonal/>
    </border>
    <border>
      <left/>
      <right/>
      <top/>
      <bottom style="medium">
        <color rgb="FFFFC000"/>
      </bottom>
      <diagonal/>
    </border>
    <border>
      <left style="thin">
        <color rgb="FF000000"/>
      </left>
      <right style="medium">
        <color rgb="FFFFD966"/>
      </right>
      <top style="medium">
        <color rgb="FFFFD966"/>
      </top>
      <bottom/>
      <diagonal/>
    </border>
    <border>
      <left style="medium">
        <color rgb="FFFFD966"/>
      </left>
      <right/>
      <top style="medium">
        <color rgb="FFFFC000"/>
      </top>
      <bottom style="medium">
        <color rgb="FFFFD966"/>
      </bottom>
      <diagonal/>
    </border>
    <border>
      <left/>
      <right/>
      <top style="medium">
        <color rgb="FFFFC000"/>
      </top>
      <bottom style="medium">
        <color rgb="FFFFD966"/>
      </bottom>
      <diagonal/>
    </border>
    <border>
      <left/>
      <right style="medium">
        <color rgb="FFFFD966"/>
      </right>
      <top style="medium">
        <color rgb="FFFFC000"/>
      </top>
      <bottom style="medium">
        <color rgb="FFFFD966"/>
      </bottom>
      <diagonal/>
    </border>
    <border>
      <left style="medium">
        <color rgb="FFFFD966"/>
      </left>
      <right/>
      <top style="medium">
        <color rgb="FFFFD966"/>
      </top>
      <bottom style="medium">
        <color rgb="FFFFD966"/>
      </bottom>
      <diagonal/>
    </border>
    <border>
      <left/>
      <right/>
      <top style="medium">
        <color rgb="FFFFD966"/>
      </top>
      <bottom style="medium">
        <color rgb="FFFFD966"/>
      </bottom>
      <diagonal/>
    </border>
    <border>
      <left/>
      <right style="medium">
        <color rgb="FFFFD966"/>
      </right>
      <top style="medium">
        <color rgb="FFFFD966"/>
      </top>
      <bottom style="medium">
        <color rgb="FFFFD966"/>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rgb="FFFFD966"/>
      </top>
      <bottom style="medium">
        <color rgb="FFFFC000"/>
      </bottom>
      <diagonal/>
    </border>
    <border>
      <left style="thin">
        <color rgb="FF000000"/>
      </left>
      <right/>
      <top style="medium">
        <color rgb="FFFFD966"/>
      </top>
      <bottom style="medium">
        <color rgb="FFFFC000"/>
      </bottom>
      <diagonal/>
    </border>
    <border>
      <left/>
      <right style="thin">
        <color indexed="64"/>
      </right>
      <top style="medium">
        <color rgb="FFFFD966"/>
      </top>
      <bottom style="medium">
        <color rgb="FFFFC000"/>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thin">
        <color indexed="64"/>
      </bottom>
      <diagonal/>
    </border>
    <border>
      <left style="medium">
        <color indexed="64"/>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C000"/>
      </left>
      <right/>
      <top style="medium">
        <color rgb="FFFFC000"/>
      </top>
      <bottom/>
      <diagonal/>
    </border>
    <border>
      <left style="medium">
        <color rgb="FFFFC000"/>
      </left>
      <right style="medium">
        <color rgb="FFFFD966"/>
      </right>
      <top style="thin">
        <color rgb="FFFFC000"/>
      </top>
      <bottom style="medium">
        <color rgb="FFFFC000"/>
      </bottom>
      <diagonal/>
    </border>
    <border>
      <left style="medium">
        <color rgb="FFFFD966"/>
      </left>
      <right style="medium">
        <color rgb="FFFFC000"/>
      </right>
      <top style="medium">
        <color rgb="FFFFC000"/>
      </top>
      <bottom style="medium">
        <color rgb="FFFFC000"/>
      </bottom>
      <diagonal/>
    </border>
  </borders>
  <cellStyleXfs count="2">
    <xf numFmtId="0" fontId="0" fillId="0" borderId="0"/>
    <xf numFmtId="0" fontId="2" fillId="0" borderId="0"/>
  </cellStyleXfs>
  <cellXfs count="149">
    <xf numFmtId="0" fontId="0" fillId="0" borderId="0" xfId="0"/>
    <xf numFmtId="0" fontId="3" fillId="0" borderId="0" xfId="0" applyFont="1"/>
    <xf numFmtId="0" fontId="4" fillId="0" borderId="1" xfId="0" applyFont="1" applyBorder="1" applyAlignment="1">
      <alignment horizontal="left" vertical="center" wrapText="1"/>
    </xf>
    <xf numFmtId="0" fontId="4" fillId="3" borderId="7" xfId="0" applyFont="1" applyFill="1" applyBorder="1" applyAlignment="1">
      <alignmen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7" fillId="2" borderId="9" xfId="0" applyFont="1" applyFill="1" applyBorder="1" applyAlignment="1">
      <alignment vertical="center" wrapText="1"/>
    </xf>
    <xf numFmtId="0" fontId="6" fillId="0" borderId="0" xfId="0" applyFont="1" applyAlignment="1">
      <alignment horizontal="left" vertical="center" wrapText="1"/>
    </xf>
    <xf numFmtId="0" fontId="6" fillId="2" borderId="15"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0" fillId="0" borderId="0" xfId="0" applyAlignment="1">
      <alignment wrapText="1"/>
    </xf>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14" fontId="0" fillId="0" borderId="0" xfId="0" applyNumberFormat="1" applyAlignment="1">
      <alignment horizontal="left"/>
    </xf>
    <xf numFmtId="0" fontId="0" fillId="0" borderId="0" xfId="0" applyAlignment="1">
      <alignment vertical="top" wrapText="1"/>
    </xf>
    <xf numFmtId="0" fontId="0" fillId="0" borderId="0" xfId="0" applyAlignment="1">
      <alignment vertical="top"/>
    </xf>
    <xf numFmtId="0" fontId="15" fillId="0" borderId="0" xfId="0" applyFont="1" applyAlignment="1">
      <alignment wrapText="1"/>
    </xf>
    <xf numFmtId="0" fontId="17" fillId="0" borderId="0" xfId="0" applyFont="1" applyAlignment="1">
      <alignment horizontal="center" vertical="center"/>
    </xf>
    <xf numFmtId="0" fontId="5" fillId="2" borderId="0" xfId="0" applyFont="1" applyFill="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6" fillId="0" borderId="21" xfId="0" applyFont="1" applyBorder="1" applyAlignment="1">
      <alignment horizontal="left" vertical="center" wrapText="1"/>
    </xf>
    <xf numFmtId="0" fontId="4" fillId="0" borderId="23" xfId="0" applyFont="1" applyBorder="1" applyAlignment="1">
      <alignment horizontal="left" vertical="center" wrapText="1"/>
    </xf>
    <xf numFmtId="0" fontId="3" fillId="3" borderId="0" xfId="0" applyFont="1" applyFill="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3" borderId="0" xfId="0" applyFont="1" applyFill="1"/>
    <xf numFmtId="0" fontId="18" fillId="4" borderId="18" xfId="0" applyFont="1" applyFill="1" applyBorder="1" applyAlignment="1">
      <alignment horizontal="left" vertical="center" wrapText="1"/>
    </xf>
    <xf numFmtId="0" fontId="9" fillId="2" borderId="17" xfId="0" applyFont="1" applyFill="1" applyBorder="1" applyAlignment="1" applyProtection="1">
      <alignment horizontal="center" vertical="center" wrapText="1"/>
      <protection locked="0"/>
    </xf>
    <xf numFmtId="0" fontId="0" fillId="0" borderId="0" xfId="0" applyProtection="1">
      <protection locked="0"/>
    </xf>
    <xf numFmtId="0" fontId="2" fillId="0" borderId="0" xfId="1"/>
    <xf numFmtId="0" fontId="2" fillId="0" borderId="27" xfId="1" applyBorder="1"/>
    <xf numFmtId="0" fontId="2" fillId="0" borderId="28" xfId="1" applyBorder="1" applyAlignment="1">
      <alignment vertical="center"/>
    </xf>
    <xf numFmtId="0" fontId="20" fillId="0" borderId="30" xfId="1" applyFont="1" applyBorder="1" applyAlignment="1">
      <alignment vertical="center"/>
    </xf>
    <xf numFmtId="0" fontId="2" fillId="0" borderId="32" xfId="1" applyBorder="1"/>
    <xf numFmtId="0" fontId="20" fillId="0" borderId="33" xfId="1" applyFont="1" applyBorder="1" applyAlignment="1">
      <alignment vertical="center"/>
    </xf>
    <xf numFmtId="0" fontId="20" fillId="0" borderId="39" xfId="1" applyFont="1" applyBorder="1" applyAlignment="1">
      <alignment vertical="center"/>
    </xf>
    <xf numFmtId="0" fontId="2" fillId="0" borderId="41" xfId="1" applyBorder="1"/>
    <xf numFmtId="0" fontId="4" fillId="0" borderId="22" xfId="0" applyFont="1" applyBorder="1" applyAlignment="1">
      <alignment horizontal="center" vertical="center" wrapText="1"/>
    </xf>
    <xf numFmtId="0" fontId="5" fillId="2" borderId="3" xfId="0" applyFont="1" applyFill="1" applyBorder="1" applyAlignment="1" applyProtection="1">
      <alignment horizontal="left" vertical="center" wrapText="1"/>
      <protection locked="0"/>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5"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164" fontId="14" fillId="0" borderId="0" xfId="0" quotePrefix="1" applyNumberFormat="1" applyFont="1" applyAlignment="1">
      <alignment horizontal="left"/>
    </xf>
    <xf numFmtId="0" fontId="5"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2" fillId="0" borderId="20" xfId="0" applyFont="1" applyBorder="1" applyAlignment="1">
      <alignment horizontal="left" vertical="center" wrapText="1"/>
    </xf>
    <xf numFmtId="0" fontId="0" fillId="0" borderId="20" xfId="0" applyBorder="1" applyProtection="1">
      <protection locked="0"/>
    </xf>
    <xf numFmtId="0" fontId="4" fillId="3" borderId="49" xfId="0" applyFont="1" applyFill="1" applyBorder="1" applyAlignment="1">
      <alignment horizontal="left" vertical="center" wrapText="1"/>
    </xf>
    <xf numFmtId="0" fontId="5" fillId="0" borderId="51" xfId="0" applyFont="1" applyBorder="1" applyAlignment="1">
      <alignment vertical="center" wrapText="1"/>
    </xf>
    <xf numFmtId="0" fontId="6" fillId="0" borderId="10" xfId="0" applyFont="1" applyBorder="1" applyAlignment="1">
      <alignment vertical="center" wrapText="1"/>
    </xf>
    <xf numFmtId="0" fontId="5" fillId="0" borderId="58" xfId="0" applyFont="1" applyBorder="1" applyAlignment="1">
      <alignment horizontal="left" vertical="center" wrapText="1"/>
    </xf>
    <xf numFmtId="0" fontId="4" fillId="0" borderId="24" xfId="0" applyFont="1" applyBorder="1" applyAlignment="1">
      <alignment horizontal="center" vertical="center" wrapText="1"/>
    </xf>
    <xf numFmtId="0" fontId="4" fillId="0" borderId="46" xfId="0" applyFont="1" applyBorder="1" applyAlignment="1">
      <alignment horizontal="left" vertical="center" wrapText="1"/>
    </xf>
    <xf numFmtId="0" fontId="2" fillId="0" borderId="35" xfId="1" applyBorder="1" applyAlignment="1">
      <alignment vertical="center"/>
    </xf>
    <xf numFmtId="0" fontId="2" fillId="0" borderId="36" xfId="1" applyBorder="1" applyAlignment="1">
      <alignment vertical="center"/>
    </xf>
    <xf numFmtId="0" fontId="20" fillId="0" borderId="63" xfId="1" applyFont="1" applyBorder="1" applyAlignment="1">
      <alignment horizontal="left" vertical="center"/>
    </xf>
    <xf numFmtId="165" fontId="14" fillId="0" borderId="0" xfId="0" applyNumberFormat="1" applyFont="1" applyAlignment="1">
      <alignment horizontal="left"/>
    </xf>
    <xf numFmtId="0" fontId="6" fillId="2" borderId="4" xfId="0" applyFont="1" applyFill="1" applyBorder="1" applyAlignment="1">
      <alignment horizontal="left" vertical="center" wrapText="1"/>
    </xf>
    <xf numFmtId="0" fontId="6" fillId="0" borderId="2" xfId="0" applyFont="1" applyBorder="1" applyAlignment="1" applyProtection="1">
      <alignment horizontal="left" vertical="center" wrapText="1"/>
      <protection locked="0"/>
    </xf>
    <xf numFmtId="0" fontId="2" fillId="0" borderId="31" xfId="1" applyBorder="1" applyAlignment="1" applyProtection="1">
      <alignment vertical="center"/>
      <protection locked="0"/>
    </xf>
    <xf numFmtId="0" fontId="2" fillId="0" borderId="34" xfId="1" applyBorder="1" applyAlignment="1" applyProtection="1">
      <alignment vertical="center"/>
      <protection locked="0"/>
    </xf>
    <xf numFmtId="0" fontId="2" fillId="0" borderId="40" xfId="1" applyBorder="1" applyAlignment="1" applyProtection="1">
      <alignment vertical="center"/>
      <protection locked="0"/>
    </xf>
    <xf numFmtId="14" fontId="2" fillId="0" borderId="29" xfId="1" applyNumberFormat="1" applyBorder="1" applyAlignment="1" applyProtection="1">
      <alignment horizontal="left" vertical="center"/>
      <protection locked="0"/>
    </xf>
    <xf numFmtId="0" fontId="2" fillId="0" borderId="64" xfId="1" applyBorder="1" applyAlignment="1" applyProtection="1">
      <alignment horizontal="left" vertical="center"/>
      <protection locked="0"/>
    </xf>
    <xf numFmtId="0" fontId="2" fillId="0" borderId="65" xfId="1" applyBorder="1" applyAlignment="1" applyProtection="1">
      <alignment vertical="center"/>
      <protection locked="0"/>
    </xf>
    <xf numFmtId="0" fontId="2" fillId="0" borderId="66" xfId="1" applyBorder="1" applyAlignment="1" applyProtection="1">
      <alignment vertical="center"/>
      <protection locked="0"/>
    </xf>
    <xf numFmtId="0" fontId="2" fillId="0" borderId="67" xfId="1" applyBorder="1" applyAlignment="1" applyProtection="1">
      <alignment vertical="center"/>
      <protection locked="0"/>
    </xf>
    <xf numFmtId="14" fontId="2" fillId="0" borderId="29" xfId="1" applyNumberFormat="1" applyBorder="1" applyAlignment="1" applyProtection="1">
      <alignment vertical="center"/>
      <protection locked="0"/>
    </xf>
    <xf numFmtId="0" fontId="8" fillId="0" borderId="59"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14" fontId="2" fillId="0" borderId="36" xfId="1" applyNumberFormat="1" applyBorder="1" applyAlignment="1">
      <alignment vertical="center"/>
    </xf>
    <xf numFmtId="0" fontId="2" fillId="0" borderId="68" xfId="1" applyBorder="1"/>
    <xf numFmtId="0" fontId="3" fillId="0" borderId="0" xfId="0" applyFont="1" applyAlignment="1">
      <alignment vertical="center"/>
    </xf>
    <xf numFmtId="0" fontId="23" fillId="0" borderId="0" xfId="0" applyFont="1" applyAlignment="1">
      <alignment vertical="center"/>
    </xf>
    <xf numFmtId="0" fontId="8" fillId="0" borderId="10" xfId="0" applyFont="1" applyBorder="1" applyAlignment="1">
      <alignment vertical="center" wrapText="1"/>
    </xf>
    <xf numFmtId="0" fontId="8" fillId="2" borderId="15" xfId="0" applyFont="1" applyFill="1" applyBorder="1" applyAlignment="1">
      <alignment horizontal="left" vertical="center" wrapText="1"/>
    </xf>
    <xf numFmtId="0" fontId="6" fillId="2" borderId="60" xfId="0" applyFont="1" applyFill="1" applyBorder="1" applyAlignment="1" applyProtection="1">
      <alignment vertical="center" wrapText="1"/>
      <protection locked="0"/>
    </xf>
    <xf numFmtId="0" fontId="6" fillId="4" borderId="61" xfId="0" applyFont="1" applyFill="1" applyBorder="1" applyAlignment="1" applyProtection="1">
      <alignment horizontal="left" vertical="center" wrapText="1"/>
      <protection locked="0"/>
    </xf>
    <xf numFmtId="0" fontId="6" fillId="2" borderId="62" xfId="0" applyFont="1" applyFill="1" applyBorder="1" applyAlignment="1" applyProtection="1">
      <alignment vertical="center" wrapText="1"/>
      <protection locked="0"/>
    </xf>
    <xf numFmtId="2" fontId="8" fillId="0" borderId="10" xfId="0" applyNumberFormat="1" applyFont="1" applyBorder="1" applyAlignment="1">
      <alignment horizontal="center" vertical="center" wrapText="1"/>
    </xf>
    <xf numFmtId="2" fontId="8" fillId="2" borderId="15"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0" fillId="0" borderId="0" xfId="0" applyAlignment="1">
      <alignment vertical="center"/>
    </xf>
    <xf numFmtId="0" fontId="6" fillId="0" borderId="15" xfId="0" applyFont="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20" fillId="0" borderId="69" xfId="1" applyFont="1" applyBorder="1" applyAlignment="1">
      <alignment vertical="center"/>
    </xf>
    <xf numFmtId="0" fontId="0" fillId="0" borderId="0" xfId="0" applyAlignment="1">
      <alignment horizontal="right" vertical="center"/>
    </xf>
    <xf numFmtId="0" fontId="0" fillId="0" borderId="0" xfId="0" applyAlignment="1">
      <alignment horizontal="right"/>
    </xf>
    <xf numFmtId="0" fontId="5" fillId="0" borderId="10" xfId="0" applyFont="1" applyBorder="1" applyAlignment="1">
      <alignment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0" fontId="5" fillId="2" borderId="10" xfId="0" applyFont="1" applyFill="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49" fontId="9" fillId="0" borderId="70" xfId="0" applyNumberFormat="1" applyFont="1" applyBorder="1" applyAlignment="1">
      <alignment horizontal="left" vertical="center" wrapText="1"/>
    </xf>
    <xf numFmtId="49" fontId="9" fillId="0" borderId="71" xfId="0" applyNumberFormat="1" applyFont="1" applyBorder="1" applyAlignment="1">
      <alignment horizontal="left" vertical="center" wrapText="1"/>
    </xf>
    <xf numFmtId="0" fontId="9" fillId="0" borderId="72" xfId="0" applyFont="1" applyBorder="1" applyAlignment="1" applyProtection="1">
      <alignment horizontal="center" vertical="center" wrapText="1"/>
      <protection locked="0"/>
    </xf>
    <xf numFmtId="49" fontId="9" fillId="2" borderId="18" xfId="0" applyNumberFormat="1" applyFont="1" applyFill="1" applyBorder="1" applyAlignment="1">
      <alignment horizontal="left" vertical="center" wrapText="1"/>
    </xf>
    <xf numFmtId="49" fontId="4" fillId="2" borderId="70" xfId="0" applyNumberFormat="1" applyFont="1" applyFill="1" applyBorder="1" applyAlignment="1">
      <alignment horizontal="left" vertical="center" wrapText="1"/>
    </xf>
    <xf numFmtId="0" fontId="4" fillId="2" borderId="71" xfId="0" applyFont="1" applyFill="1" applyBorder="1" applyAlignment="1">
      <alignment horizontal="left" vertical="center" wrapText="1"/>
    </xf>
    <xf numFmtId="0" fontId="4" fillId="2" borderId="72" xfId="0" applyFont="1" applyFill="1" applyBorder="1" applyAlignment="1">
      <alignment horizontal="center" vertical="center" wrapText="1"/>
    </xf>
    <xf numFmtId="49" fontId="9" fillId="0" borderId="0" xfId="0" applyNumberFormat="1" applyFont="1" applyAlignment="1">
      <alignment horizontal="left" vertical="center" wrapText="1"/>
    </xf>
    <xf numFmtId="49" fontId="9" fillId="2" borderId="0" xfId="0" applyNumberFormat="1" applyFont="1" applyFill="1" applyAlignment="1">
      <alignment horizontal="left" vertical="center" wrapText="1"/>
    </xf>
    <xf numFmtId="49" fontId="9" fillId="0" borderId="19"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0" fontId="9" fillId="0" borderId="21" xfId="0" applyFont="1" applyBorder="1" applyAlignment="1" applyProtection="1">
      <alignment horizontal="center" vertical="center" wrapText="1"/>
      <protection locked="0"/>
    </xf>
    <xf numFmtId="0" fontId="4" fillId="3" borderId="73" xfId="0" applyFont="1" applyFill="1" applyBorder="1" applyAlignment="1">
      <alignment vertical="center" wrapText="1"/>
    </xf>
    <xf numFmtId="0" fontId="7" fillId="2" borderId="74" xfId="0" applyFont="1" applyFill="1" applyBorder="1" applyAlignment="1">
      <alignment vertical="center" wrapText="1"/>
    </xf>
    <xf numFmtId="0" fontId="7" fillId="2" borderId="75" xfId="0" applyFont="1" applyFill="1" applyBorder="1" applyAlignment="1">
      <alignment vertical="center" wrapText="1"/>
    </xf>
    <xf numFmtId="49" fontId="0" fillId="0" borderId="0" xfId="0" applyNumberFormat="1"/>
    <xf numFmtId="0" fontId="5" fillId="2" borderId="11" xfId="0" applyFont="1" applyFill="1" applyBorder="1" applyAlignment="1" applyProtection="1">
      <alignment horizontal="center" vertical="center" wrapText="1"/>
      <protection locked="0"/>
    </xf>
    <xf numFmtId="0" fontId="1" fillId="0" borderId="65" xfId="1" applyFont="1" applyBorder="1" applyAlignment="1" applyProtection="1">
      <alignment vertical="center"/>
      <protection locked="0"/>
    </xf>
    <xf numFmtId="0" fontId="3" fillId="3" borderId="0" xfId="0" applyFont="1" applyFill="1" applyAlignment="1">
      <alignment horizontal="left"/>
    </xf>
    <xf numFmtId="0" fontId="17" fillId="0" borderId="14" xfId="0" applyFont="1" applyBorder="1" applyAlignment="1">
      <alignment horizontal="center" vertical="center"/>
    </xf>
    <xf numFmtId="0" fontId="17" fillId="0" borderId="0" xfId="0" applyFont="1" applyAlignment="1">
      <alignment horizontal="center"/>
    </xf>
    <xf numFmtId="0" fontId="0" fillId="0" borderId="0" xfId="0" applyAlignment="1">
      <alignment horizontal="center"/>
    </xf>
    <xf numFmtId="49" fontId="17" fillId="0" borderId="0" xfId="0" applyNumberFormat="1" applyFont="1" applyAlignment="1">
      <alignment horizontal="center"/>
    </xf>
    <xf numFmtId="0" fontId="19" fillId="0" borderId="0" xfId="0" applyFont="1" applyAlignment="1">
      <alignment horizontal="center" vertical="center"/>
    </xf>
    <xf numFmtId="0" fontId="6" fillId="0" borderId="0" xfId="0" applyFont="1" applyAlignment="1">
      <alignment vertical="center" wrapText="1"/>
    </xf>
    <xf numFmtId="0" fontId="19" fillId="0" borderId="0" xfId="0" applyFont="1" applyAlignment="1">
      <alignment horizontal="center" vertical="center" wrapText="1"/>
    </xf>
    <xf numFmtId="0" fontId="4" fillId="3" borderId="13" xfId="0" applyFont="1" applyFill="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0" fontId="6" fillId="2" borderId="57" xfId="0" applyFont="1" applyFill="1" applyBorder="1" applyAlignment="1">
      <alignment vertical="center" wrapText="1"/>
    </xf>
    <xf numFmtId="0" fontId="6" fillId="0" borderId="0" xfId="0" applyFont="1" applyAlignment="1">
      <alignment horizontal="left" vertical="center" wrapText="1"/>
    </xf>
    <xf numFmtId="0" fontId="22" fillId="0" borderId="14" xfId="0" applyFont="1" applyBorder="1" applyAlignment="1">
      <alignment vertical="center" wrapText="1"/>
    </xf>
    <xf numFmtId="0" fontId="2" fillId="0" borderId="37" xfId="1" applyBorder="1" applyAlignment="1" applyProtection="1">
      <alignment horizontal="center"/>
      <protection locked="0"/>
    </xf>
    <xf numFmtId="0" fontId="2" fillId="0" borderId="38" xfId="1" applyBorder="1" applyAlignment="1" applyProtection="1">
      <alignment horizontal="center"/>
      <protection locked="0"/>
    </xf>
    <xf numFmtId="0" fontId="2" fillId="0" borderId="42" xfId="1" applyBorder="1" applyAlignment="1" applyProtection="1">
      <alignment horizontal="center"/>
      <protection locked="0"/>
    </xf>
    <xf numFmtId="0" fontId="2" fillId="0" borderId="43" xfId="1" applyBorder="1" applyAlignment="1" applyProtection="1">
      <alignment horizontal="center"/>
      <protection locked="0"/>
    </xf>
    <xf numFmtId="0" fontId="21" fillId="5" borderId="25" xfId="1" applyFont="1" applyFill="1" applyBorder="1" applyAlignment="1">
      <alignment horizontal="left" vertical="center"/>
    </xf>
    <xf numFmtId="0" fontId="21" fillId="5" borderId="26" xfId="1" applyFont="1" applyFill="1" applyBorder="1" applyAlignment="1">
      <alignment horizontal="left" vertical="center"/>
    </xf>
  </cellXfs>
  <cellStyles count="2">
    <cellStyle name="Normal" xfId="0" builtinId="0"/>
    <cellStyle name="Normal 2" xfId="1" xr:uid="{6D2080AF-0422-4F9E-8394-4F8C4E0F7B6C}"/>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1</xdr:col>
      <xdr:colOff>401955</xdr:colOff>
      <xdr:row>2</xdr:row>
      <xdr:rowOff>369570</xdr:rowOff>
    </xdr:to>
    <xdr:pic>
      <xdr:nvPicPr>
        <xdr:cNvPr id="2" name="Picture 1">
          <a:extLst>
            <a:ext uri="{FF2B5EF4-FFF2-40B4-BE49-F238E27FC236}">
              <a16:creationId xmlns:a16="http://schemas.microsoft.com/office/drawing/2014/main" id="{E1DE9479-7A37-4BD0-9D40-830D8BC27F09}"/>
            </a:ext>
          </a:extLst>
        </xdr:cNvPr>
        <xdr:cNvPicPr>
          <a:picLocks noChangeAspect="1"/>
        </xdr:cNvPicPr>
      </xdr:nvPicPr>
      <xdr:blipFill>
        <a:blip xmlns:r="http://schemas.openxmlformats.org/officeDocument/2006/relationships" r:embed="rId1"/>
        <a:stretch>
          <a:fillRect/>
        </a:stretch>
      </xdr:blipFill>
      <xdr:spPr>
        <a:xfrm>
          <a:off x="137160" y="60960"/>
          <a:ext cx="960120" cy="716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0</xdr:row>
      <xdr:rowOff>716280</xdr:rowOff>
    </xdr:to>
    <xdr:pic>
      <xdr:nvPicPr>
        <xdr:cNvPr id="2" name="Picture 1">
          <a:extLst>
            <a:ext uri="{FF2B5EF4-FFF2-40B4-BE49-F238E27FC236}">
              <a16:creationId xmlns:a16="http://schemas.microsoft.com/office/drawing/2014/main" id="{0E152C07-F9E0-479A-B37A-09066D2498D4}"/>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274320</xdr:colOff>
      <xdr:row>1</xdr:row>
      <xdr:rowOff>310515</xdr:rowOff>
    </xdr:to>
    <xdr:pic>
      <xdr:nvPicPr>
        <xdr:cNvPr id="2" name="Picture 1">
          <a:extLst>
            <a:ext uri="{FF2B5EF4-FFF2-40B4-BE49-F238E27FC236}">
              <a16:creationId xmlns:a16="http://schemas.microsoft.com/office/drawing/2014/main" id="{168E4E0B-CD3F-45D3-8C8F-AB4891F0E666}"/>
            </a:ext>
          </a:extLst>
        </xdr:cNvPr>
        <xdr:cNvPicPr>
          <a:picLocks noChangeAspect="1"/>
        </xdr:cNvPicPr>
      </xdr:nvPicPr>
      <xdr:blipFill>
        <a:blip xmlns:r="http://schemas.openxmlformats.org/officeDocument/2006/relationships" r:embed="rId1"/>
        <a:stretch>
          <a:fillRect/>
        </a:stretch>
      </xdr:blipFill>
      <xdr:spPr>
        <a:xfrm>
          <a:off x="0" y="0"/>
          <a:ext cx="960120" cy="7010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209550</xdr:colOff>
      <xdr:row>1</xdr:row>
      <xdr:rowOff>297443</xdr:rowOff>
    </xdr:to>
    <xdr:pic>
      <xdr:nvPicPr>
        <xdr:cNvPr id="2" name="Picture 1">
          <a:extLst>
            <a:ext uri="{FF2B5EF4-FFF2-40B4-BE49-F238E27FC236}">
              <a16:creationId xmlns:a16="http://schemas.microsoft.com/office/drawing/2014/main" id="{0EB7632D-C7B0-4898-ACE2-7ABC273B7E3F}"/>
            </a:ext>
          </a:extLst>
        </xdr:cNvPr>
        <xdr:cNvPicPr>
          <a:picLocks noChangeAspect="1"/>
        </xdr:cNvPicPr>
      </xdr:nvPicPr>
      <xdr:blipFill>
        <a:blip xmlns:r="http://schemas.openxmlformats.org/officeDocument/2006/relationships" r:embed="rId1"/>
        <a:stretch>
          <a:fillRect/>
        </a:stretch>
      </xdr:blipFill>
      <xdr:spPr>
        <a:xfrm>
          <a:off x="0" y="1"/>
          <a:ext cx="895350" cy="707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49695</xdr:rowOff>
    </xdr:from>
    <xdr:to>
      <xdr:col>0</xdr:col>
      <xdr:colOff>967740</xdr:colOff>
      <xdr:row>1</xdr:row>
      <xdr:rowOff>64521</xdr:rowOff>
    </xdr:to>
    <xdr:pic>
      <xdr:nvPicPr>
        <xdr:cNvPr id="2" name="Picture 1">
          <a:extLst>
            <a:ext uri="{FF2B5EF4-FFF2-40B4-BE49-F238E27FC236}">
              <a16:creationId xmlns:a16="http://schemas.microsoft.com/office/drawing/2014/main" id="{66E5E5E6-8717-4C9B-96D3-7FA26F8103BD}"/>
            </a:ext>
          </a:extLst>
        </xdr:cNvPr>
        <xdr:cNvPicPr>
          <a:picLocks noChangeAspect="1"/>
        </xdr:cNvPicPr>
      </xdr:nvPicPr>
      <xdr:blipFill>
        <a:blip xmlns:r="http://schemas.openxmlformats.org/officeDocument/2006/relationships" r:embed="rId1"/>
        <a:stretch>
          <a:fillRect/>
        </a:stretch>
      </xdr:blipFill>
      <xdr:spPr>
        <a:xfrm>
          <a:off x="0" y="49695"/>
          <a:ext cx="960120" cy="716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1</xdr:row>
      <xdr:rowOff>516255</xdr:rowOff>
    </xdr:to>
    <xdr:pic>
      <xdr:nvPicPr>
        <xdr:cNvPr id="2" name="Picture 1">
          <a:extLst>
            <a:ext uri="{FF2B5EF4-FFF2-40B4-BE49-F238E27FC236}">
              <a16:creationId xmlns:a16="http://schemas.microsoft.com/office/drawing/2014/main" id="{46650B5D-EB9F-4FF7-95F0-4E8BBE26DEFE}"/>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67236</xdr:colOff>
      <xdr:row>0</xdr:row>
      <xdr:rowOff>100853</xdr:rowOff>
    </xdr:from>
    <xdr:to>
      <xdr:col>0</xdr:col>
      <xdr:colOff>1010211</xdr:colOff>
      <xdr:row>0</xdr:row>
      <xdr:rowOff>816573</xdr:rowOff>
    </xdr:to>
    <xdr:pic>
      <xdr:nvPicPr>
        <xdr:cNvPr id="3" name="Picture 1">
          <a:extLst>
            <a:ext uri="{FF2B5EF4-FFF2-40B4-BE49-F238E27FC236}">
              <a16:creationId xmlns:a16="http://schemas.microsoft.com/office/drawing/2014/main" id="{6B9207DE-1B3D-4B52-A5CB-F2CF17549762}"/>
            </a:ext>
          </a:extLst>
        </xdr:cNvPr>
        <xdr:cNvPicPr>
          <a:picLocks noChangeAspect="1"/>
        </xdr:cNvPicPr>
      </xdr:nvPicPr>
      <xdr:blipFill>
        <a:blip xmlns:r="http://schemas.openxmlformats.org/officeDocument/2006/relationships" r:embed="rId1"/>
        <a:stretch>
          <a:fillRect/>
        </a:stretch>
      </xdr:blipFill>
      <xdr:spPr>
        <a:xfrm>
          <a:off x="67236" y="100853"/>
          <a:ext cx="939165" cy="720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960120" cy="719455"/>
    <xdr:pic>
      <xdr:nvPicPr>
        <xdr:cNvPr id="4" name="Picture 3">
          <a:extLst>
            <a:ext uri="{FF2B5EF4-FFF2-40B4-BE49-F238E27FC236}">
              <a16:creationId xmlns:a16="http://schemas.microsoft.com/office/drawing/2014/main" id="{BECADEEA-E7B1-2246-9ABC-8FACF45522C3}"/>
            </a:ext>
          </a:extLst>
        </xdr:cNvPr>
        <xdr:cNvPicPr>
          <a:picLocks noChangeAspect="1"/>
        </xdr:cNvPicPr>
      </xdr:nvPicPr>
      <xdr:blipFill>
        <a:blip xmlns:r="http://schemas.openxmlformats.org/officeDocument/2006/relationships" r:embed="rId1"/>
        <a:stretch>
          <a:fillRect/>
        </a:stretch>
      </xdr:blipFill>
      <xdr:spPr>
        <a:xfrm>
          <a:off x="0" y="0"/>
          <a:ext cx="960120" cy="719455"/>
        </a:xfrm>
        <a:prstGeom prst="rect">
          <a:avLst/>
        </a:prstGeom>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estresults" connectionId="1" xr16:uid="{AB3ADE9D-E4E6-FD49-AC0D-781453E45937}"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861E-D593-4F0A-ABBD-BE79601CFDF5}">
  <dimension ref="C3:D34"/>
  <sheetViews>
    <sheetView showGridLines="0" tabSelected="1" workbookViewId="0"/>
  </sheetViews>
  <sheetFormatPr defaultColWidth="8.875" defaultRowHeight="15.75" x14ac:dyDescent="0.25"/>
  <cols>
    <col min="3" max="3" width="25.125" customWidth="1"/>
    <col min="4" max="4" width="94.625" customWidth="1"/>
  </cols>
  <sheetData>
    <row r="3" spans="3:4" ht="36" x14ac:dyDescent="0.55000000000000004">
      <c r="C3" s="13" t="s">
        <v>0</v>
      </c>
      <c r="D3" s="14"/>
    </row>
    <row r="5" spans="3:4" ht="21" x14ac:dyDescent="0.35">
      <c r="C5" s="15" t="s">
        <v>118</v>
      </c>
      <c r="D5" s="16"/>
    </row>
    <row r="6" spans="3:4" x14ac:dyDescent="0.25">
      <c r="C6" s="17" t="s">
        <v>75</v>
      </c>
      <c r="D6" s="50" t="s">
        <v>304</v>
      </c>
    </row>
    <row r="7" spans="3:4" x14ac:dyDescent="0.25">
      <c r="C7" s="17" t="s">
        <v>1</v>
      </c>
      <c r="D7" s="64">
        <v>45553</v>
      </c>
    </row>
    <row r="8" spans="3:4" x14ac:dyDescent="0.25">
      <c r="C8" s="17"/>
      <c r="D8" s="18"/>
    </row>
    <row r="9" spans="3:4" x14ac:dyDescent="0.25">
      <c r="C9" s="17" t="s">
        <v>76</v>
      </c>
      <c r="D9" s="18" t="s">
        <v>119</v>
      </c>
    </row>
    <row r="10" spans="3:4" x14ac:dyDescent="0.25">
      <c r="C10" s="17" t="s">
        <v>77</v>
      </c>
      <c r="D10" s="18" t="s">
        <v>300</v>
      </c>
    </row>
    <row r="11" spans="3:4" x14ac:dyDescent="0.25">
      <c r="C11" s="17" t="s">
        <v>266</v>
      </c>
      <c r="D11" s="18" t="s">
        <v>299</v>
      </c>
    </row>
    <row r="13" spans="3:4" x14ac:dyDescent="0.25">
      <c r="D13" s="17" t="s">
        <v>2</v>
      </c>
    </row>
    <row r="14" spans="3:4" ht="189" x14ac:dyDescent="0.25">
      <c r="D14" s="19" t="s">
        <v>257</v>
      </c>
    </row>
    <row r="16" spans="3:4" x14ac:dyDescent="0.25">
      <c r="D16" s="1" t="s">
        <v>3</v>
      </c>
    </row>
    <row r="17" spans="3:4" x14ac:dyDescent="0.25">
      <c r="C17" s="20">
        <v>1</v>
      </c>
      <c r="D17" s="21" t="s">
        <v>4</v>
      </c>
    </row>
    <row r="18" spans="3:4" ht="31.5" x14ac:dyDescent="0.25">
      <c r="C18" s="20">
        <v>2</v>
      </c>
      <c r="D18" s="21" t="s">
        <v>5</v>
      </c>
    </row>
    <row r="19" spans="3:4" ht="31.5" x14ac:dyDescent="0.25">
      <c r="C19" s="20">
        <v>3</v>
      </c>
      <c r="D19" s="21" t="s">
        <v>106</v>
      </c>
    </row>
    <row r="20" spans="3:4" x14ac:dyDescent="0.25">
      <c r="C20" s="20">
        <v>4</v>
      </c>
      <c r="D20" s="12" t="s">
        <v>6</v>
      </c>
    </row>
    <row r="21" spans="3:4" ht="31.5" x14ac:dyDescent="0.25">
      <c r="C21" s="20">
        <v>5</v>
      </c>
      <c r="D21" s="21" t="s">
        <v>107</v>
      </c>
    </row>
    <row r="22" spans="3:4" ht="31.5" x14ac:dyDescent="0.25">
      <c r="C22" s="20">
        <v>6</v>
      </c>
      <c r="D22" s="21" t="s">
        <v>111</v>
      </c>
    </row>
    <row r="23" spans="3:4" x14ac:dyDescent="0.25">
      <c r="C23" s="20"/>
    </row>
    <row r="24" spans="3:4" x14ac:dyDescent="0.25">
      <c r="D24" s="1" t="s">
        <v>108</v>
      </c>
    </row>
    <row r="25" spans="3:4" ht="35.1" customHeight="1" x14ac:dyDescent="0.25">
      <c r="C25" s="20">
        <v>7</v>
      </c>
      <c r="D25" s="19" t="s">
        <v>115</v>
      </c>
    </row>
    <row r="26" spans="3:4" ht="31.5" x14ac:dyDescent="0.25">
      <c r="C26" s="20">
        <v>8</v>
      </c>
      <c r="D26" s="12" t="s">
        <v>109</v>
      </c>
    </row>
    <row r="27" spans="3:4" x14ac:dyDescent="0.25">
      <c r="C27" s="20">
        <v>9</v>
      </c>
      <c r="D27" t="s">
        <v>110</v>
      </c>
    </row>
    <row r="31" spans="3:4" x14ac:dyDescent="0.25">
      <c r="C31" s="17" t="s">
        <v>117</v>
      </c>
      <c r="D31" s="1"/>
    </row>
    <row r="32" spans="3:4" x14ac:dyDescent="0.25">
      <c r="C32" s="98" t="s">
        <v>304</v>
      </c>
      <c r="D32" t="s">
        <v>305</v>
      </c>
    </row>
    <row r="33" spans="3:4" x14ac:dyDescent="0.25">
      <c r="C33" s="98" t="s">
        <v>120</v>
      </c>
      <c r="D33" t="s">
        <v>121</v>
      </c>
    </row>
    <row r="34" spans="3:4" x14ac:dyDescent="0.25">
      <c r="C34" s="97"/>
      <c r="D34" s="12"/>
    </row>
  </sheetData>
  <sheetProtection algorithmName="SHA-512" hashValue="AD+mFG0Glk4osc8wL/yhxSvjHzwsm6DRz1I4w3935hX3BrUy/75TA4Z1RML15MzA67/BeHhxkQ+BJ4DpVi9HfQ==" saltValue="vIirm46PWO5ozpdIiUbrSg==" spinCount="100000" sheet="1" objects="1" scenarios="1"/>
  <pageMargins left="0.7" right="0.7" top="0.75" bottom="0.75" header="0.3" footer="0.3"/>
  <pageSetup paperSize="9" orientation="portrait" r:id="rId1"/>
  <headerFooter>
    <oddFooter>&amp;C_x000D_&amp;1#&amp;"Arial"&amp;9&amp;K000000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8F90-5D02-4E21-99AC-15A950466953}">
  <sheetPr>
    <tabColor theme="7"/>
    <pageSetUpPr fitToPage="1"/>
  </sheetPr>
  <dimension ref="B1:I21"/>
  <sheetViews>
    <sheetView showGridLines="0" workbookViewId="0">
      <selection activeCell="C5" sqref="C5"/>
    </sheetView>
  </sheetViews>
  <sheetFormatPr defaultColWidth="9" defaultRowHeight="15" x14ac:dyDescent="0.25"/>
  <cols>
    <col min="1" max="1" width="2.375" style="36" customWidth="1"/>
    <col min="2" max="2" width="21.375" style="36" customWidth="1"/>
    <col min="3" max="3" width="30.125" style="36" customWidth="1"/>
    <col min="4" max="4" width="2" style="36" customWidth="1"/>
    <col min="5" max="5" width="8.5" style="36" customWidth="1"/>
    <col min="6" max="6" width="15.375" style="36" customWidth="1"/>
    <col min="7" max="7" width="9" style="36"/>
    <col min="8" max="8" width="30" style="36" bestFit="1" customWidth="1"/>
    <col min="9" max="16384" width="9" style="36"/>
  </cols>
  <sheetData>
    <row r="1" spans="2:9" customFormat="1" ht="61.5" customHeight="1" x14ac:dyDescent="0.25">
      <c r="B1" s="36"/>
      <c r="C1" s="131" t="s">
        <v>98</v>
      </c>
      <c r="D1" s="131"/>
      <c r="E1" s="131"/>
      <c r="F1" s="131"/>
      <c r="H1" s="93" t="s">
        <v>116</v>
      </c>
      <c r="I1" s="82" t="str">
        <f>IF(AND(ISERROR(FIND("&lt;",_xlfn.CONCAT(C5:C21))),_xlfn.CONCAT(G4:G21)=""),"VALID","INVALID")</f>
        <v>INVALID</v>
      </c>
    </row>
    <row r="2" spans="2:9" customFormat="1" ht="37.5" customHeight="1" x14ac:dyDescent="0.25">
      <c r="B2" s="36"/>
      <c r="C2" s="141" t="s">
        <v>295</v>
      </c>
      <c r="D2" s="141"/>
      <c r="E2" s="141"/>
      <c r="F2" s="141"/>
    </row>
    <row r="3" spans="2:9" ht="15.75" thickBot="1" x14ac:dyDescent="0.3"/>
    <row r="4" spans="2:9" ht="21.75" customHeight="1" thickBot="1" x14ac:dyDescent="0.3">
      <c r="B4" s="147" t="s">
        <v>55</v>
      </c>
      <c r="C4" s="148"/>
      <c r="D4" s="37"/>
      <c r="E4" s="38" t="s">
        <v>56</v>
      </c>
      <c r="F4" s="75" t="s">
        <v>87</v>
      </c>
      <c r="G4" s="83" t="str">
        <f>IF(ISBLANK(F4),"&lt;---- This field cannot be left empty!",IF(NOT(ISERROR(FIND("&lt;",F4))),"&lt;---- Please enter a valid date",""))</f>
        <v>&lt;---- Please enter a valid date</v>
      </c>
    </row>
    <row r="5" spans="2:9" ht="21.75" customHeight="1" x14ac:dyDescent="0.25">
      <c r="B5" s="39" t="s">
        <v>28</v>
      </c>
      <c r="C5" s="67" t="s">
        <v>88</v>
      </c>
      <c r="D5" s="40"/>
      <c r="E5" s="61" t="s">
        <v>57</v>
      </c>
      <c r="F5" s="80"/>
      <c r="G5" s="83" t="str">
        <f t="shared" ref="G5:G9" si="0">IF(ISBLANK(C5),"&lt;---- This field cannot be left empty!",IF(NOT(ISERROR(FIND("&lt;",C5))),"&lt;---- Please enter a valid value",""))</f>
        <v>&lt;---- Please enter a valid value</v>
      </c>
    </row>
    <row r="6" spans="2:9" ht="21.75" customHeight="1" x14ac:dyDescent="0.25">
      <c r="B6" s="41" t="s">
        <v>58</v>
      </c>
      <c r="C6" s="68" t="s">
        <v>59</v>
      </c>
      <c r="D6" s="40"/>
      <c r="E6" s="143"/>
      <c r="F6" s="144"/>
      <c r="G6" s="83" t="str">
        <f t="shared" si="0"/>
        <v>&lt;---- Please enter a valid value</v>
      </c>
    </row>
    <row r="7" spans="2:9" ht="21.75" customHeight="1" x14ac:dyDescent="0.25">
      <c r="B7" s="41" t="s">
        <v>60</v>
      </c>
      <c r="C7" s="68" t="s">
        <v>85</v>
      </c>
      <c r="D7" s="40"/>
      <c r="E7" s="143"/>
      <c r="F7" s="144"/>
      <c r="G7" s="83" t="str">
        <f t="shared" si="0"/>
        <v>&lt;---- Please enter a valid value</v>
      </c>
    </row>
    <row r="8" spans="2:9" ht="21.75" customHeight="1" x14ac:dyDescent="0.25">
      <c r="B8" s="41" t="s">
        <v>61</v>
      </c>
      <c r="C8" s="68" t="s">
        <v>89</v>
      </c>
      <c r="D8" s="40"/>
      <c r="E8" s="143"/>
      <c r="F8" s="144"/>
      <c r="G8" s="83" t="str">
        <f t="shared" si="0"/>
        <v>&lt;---- Please enter a valid value</v>
      </c>
    </row>
    <row r="9" spans="2:9" ht="21.75" customHeight="1" thickBot="1" x14ac:dyDescent="0.3">
      <c r="B9" s="42" t="s">
        <v>62</v>
      </c>
      <c r="C9" s="69" t="s">
        <v>86</v>
      </c>
      <c r="D9" s="43"/>
      <c r="E9" s="145"/>
      <c r="F9" s="146"/>
      <c r="G9" s="83" t="str">
        <f t="shared" si="0"/>
        <v>&lt;---- Please enter a valid value</v>
      </c>
    </row>
    <row r="11" spans="2:9" ht="15.75" thickBot="1" x14ac:dyDescent="0.3"/>
    <row r="12" spans="2:9" ht="23.25" customHeight="1" thickBot="1" x14ac:dyDescent="0.3">
      <c r="B12" s="147" t="s">
        <v>63</v>
      </c>
      <c r="C12" s="148"/>
      <c r="D12" s="37"/>
      <c r="E12" s="38" t="s">
        <v>56</v>
      </c>
      <c r="F12" s="75" t="s">
        <v>87</v>
      </c>
      <c r="G12" s="83" t="str">
        <f>IF(ISBLANK(F12),"&lt;---- This field cannot be left empty!",IF(NOT(ISERROR(FIND("&lt;",F12))),"&lt;---- Please enter a valid date",""))</f>
        <v>&lt;---- Please enter a valid date</v>
      </c>
    </row>
    <row r="13" spans="2:9" ht="23.25" customHeight="1" x14ac:dyDescent="0.25">
      <c r="B13" s="63" t="s">
        <v>80</v>
      </c>
      <c r="C13" s="70" t="s">
        <v>84</v>
      </c>
      <c r="D13" s="40"/>
      <c r="E13" s="61" t="s">
        <v>57</v>
      </c>
      <c r="F13" s="62"/>
      <c r="G13" s="83" t="str">
        <f>IF(ISBLANK(C13),"&lt;---- This field cannot be left empty!",IF(NOT(ISERROR(FIND("&lt;",C13))),"&lt;---- Please enter a valid date",""))</f>
        <v>&lt;---- Please enter a valid date</v>
      </c>
    </row>
    <row r="14" spans="2:9" ht="23.25" customHeight="1" x14ac:dyDescent="0.25">
      <c r="B14" s="63" t="s">
        <v>69</v>
      </c>
      <c r="C14" s="71" t="s">
        <v>95</v>
      </c>
      <c r="D14" s="81"/>
      <c r="E14" s="143"/>
      <c r="F14" s="144"/>
      <c r="G14" s="83" t="str">
        <f>IF(ISBLANK(C14),"&lt;---- This field cannot be left empty!",IF(NOT(ISERROR(FIND("&lt;",C14))),"&lt;---- Please enter a valid value",""))</f>
        <v>&lt;---- Please enter a valid value</v>
      </c>
    </row>
    <row r="15" spans="2:9" ht="23.25" customHeight="1" x14ac:dyDescent="0.25">
      <c r="B15" s="39" t="s">
        <v>28</v>
      </c>
      <c r="C15" s="72" t="s">
        <v>90</v>
      </c>
      <c r="E15" s="143"/>
      <c r="F15" s="144"/>
      <c r="G15" s="83" t="str">
        <f t="shared" ref="G15:G20" si="1">IF(ISBLANK(C15),"&lt;---- This field cannot be left empty!",IF(NOT(ISERROR(FIND("&lt;",C15))),"&lt;---- Please enter a valid value",""))</f>
        <v>&lt;---- Please enter a valid value</v>
      </c>
    </row>
    <row r="16" spans="2:9" ht="23.25" customHeight="1" x14ac:dyDescent="0.25">
      <c r="B16" s="96" t="s">
        <v>293</v>
      </c>
      <c r="C16" s="125" t="s">
        <v>294</v>
      </c>
      <c r="E16" s="143"/>
      <c r="F16" s="144"/>
      <c r="G16" s="83" t="str">
        <f>IF(NOT(ISERROR(FIND("&lt;",C16))),"&lt;---- Please enter a valid value or leave empty when not applicable",IF(C15=C16,"&lt;---- Reviewer cannot be the same as the lab representative, please leave empty if not applicable.",""))</f>
        <v>&lt;---- Please enter a valid value or leave empty when not applicable</v>
      </c>
    </row>
    <row r="17" spans="2:7" ht="23.25" customHeight="1" x14ac:dyDescent="0.25">
      <c r="B17" s="41" t="s">
        <v>58</v>
      </c>
      <c r="C17" s="73" t="s">
        <v>91</v>
      </c>
      <c r="D17" s="40"/>
      <c r="E17" s="143"/>
      <c r="F17" s="144"/>
      <c r="G17" s="83" t="str">
        <f t="shared" si="1"/>
        <v>&lt;---- Please enter a valid value</v>
      </c>
    </row>
    <row r="18" spans="2:7" ht="23.25" customHeight="1" x14ac:dyDescent="0.25">
      <c r="B18" s="41" t="s">
        <v>60</v>
      </c>
      <c r="C18" s="73" t="s">
        <v>92</v>
      </c>
      <c r="D18" s="40"/>
      <c r="E18" s="143"/>
      <c r="F18" s="144"/>
      <c r="G18" s="83" t="str">
        <f t="shared" si="1"/>
        <v>&lt;---- Please enter a valid value</v>
      </c>
    </row>
    <row r="19" spans="2:7" ht="23.25" customHeight="1" x14ac:dyDescent="0.25">
      <c r="B19" s="41" t="s">
        <v>61</v>
      </c>
      <c r="C19" s="73" t="s">
        <v>93</v>
      </c>
      <c r="D19" s="40"/>
      <c r="E19" s="143"/>
      <c r="F19" s="144"/>
      <c r="G19" s="83" t="str">
        <f t="shared" si="1"/>
        <v>&lt;---- Please enter a valid value</v>
      </c>
    </row>
    <row r="20" spans="2:7" ht="23.25" customHeight="1" thickBot="1" x14ac:dyDescent="0.3">
      <c r="B20" s="42" t="s">
        <v>62</v>
      </c>
      <c r="C20" s="74" t="s">
        <v>94</v>
      </c>
      <c r="D20" s="43"/>
      <c r="E20" s="145"/>
      <c r="F20" s="146"/>
      <c r="G20" s="83" t="str">
        <f t="shared" si="1"/>
        <v>&lt;---- Please enter a valid value</v>
      </c>
    </row>
    <row r="21" spans="2:7" ht="15.75" x14ac:dyDescent="0.25">
      <c r="G21" s="83"/>
    </row>
  </sheetData>
  <sheetProtection formatCells="0" formatColumns="0" formatRows="0"/>
  <mergeCells count="6">
    <mergeCell ref="E14:F20"/>
    <mergeCell ref="C2:F2"/>
    <mergeCell ref="C1:F1"/>
    <mergeCell ref="B4:C4"/>
    <mergeCell ref="E6:F9"/>
    <mergeCell ref="B12:C12"/>
  </mergeCells>
  <conditionalFormatting sqref="I1">
    <cfRule type="cellIs" dxfId="1" priority="1" operator="equal">
      <formula>"INVALID"</formula>
    </cfRule>
    <cfRule type="cellIs" dxfId="0" priority="2" operator="equal">
      <formula>"VALID"</formula>
    </cfRule>
  </conditionalFormatting>
  <pageMargins left="0.7" right="0.7" top="0.75" bottom="0.75" header="0.3" footer="0.3"/>
  <pageSetup scale="77" orientation="portrait" r:id="rId1"/>
  <headerFooter>
    <oddFooter>&amp;C_x000D_&amp;1#&amp;"Arial"&amp;9&amp;K000000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0C1A-347A-4CF2-8EA4-BCDC897ADA20}">
  <dimension ref="A1:G72"/>
  <sheetViews>
    <sheetView topLeftCell="A46" zoomScale="85" zoomScaleNormal="85" workbookViewId="0">
      <selection activeCell="F71" sqref="F71"/>
    </sheetView>
  </sheetViews>
  <sheetFormatPr defaultColWidth="8.875" defaultRowHeight="15.75" x14ac:dyDescent="0.25"/>
  <cols>
    <col min="1" max="1" width="28.5" customWidth="1"/>
    <col min="2" max="2" width="20.375" bestFit="1" customWidth="1"/>
    <col min="3" max="3" width="26.625" bestFit="1" customWidth="1"/>
    <col min="4" max="4" width="79.375" customWidth="1"/>
    <col min="5" max="5" width="44.5" customWidth="1"/>
    <col min="6" max="6" width="49.5" bestFit="1" customWidth="1"/>
    <col min="7" max="7" width="41.875" customWidth="1"/>
  </cols>
  <sheetData>
    <row r="1" spans="1:7" x14ac:dyDescent="0.25">
      <c r="A1" s="1" t="s">
        <v>47</v>
      </c>
      <c r="B1" s="1" t="s">
        <v>27</v>
      </c>
      <c r="C1" s="1" t="s">
        <v>10</v>
      </c>
      <c r="D1" s="1" t="s">
        <v>28</v>
      </c>
      <c r="E1" s="1" t="s">
        <v>29</v>
      </c>
      <c r="F1" s="1" t="s">
        <v>30</v>
      </c>
      <c r="G1" s="1" t="s">
        <v>31</v>
      </c>
    </row>
    <row r="2" spans="1:7" x14ac:dyDescent="0.25">
      <c r="A2" t="str">
        <f>B2&amp;" "&amp;C2</f>
        <v>TC_001_CSMS Core</v>
      </c>
      <c r="B2" t="s">
        <v>258</v>
      </c>
      <c r="C2" t="s">
        <v>13</v>
      </c>
      <c r="D2" t="s">
        <v>287</v>
      </c>
      <c r="E2" t="s">
        <v>48</v>
      </c>
    </row>
    <row r="3" spans="1:7" x14ac:dyDescent="0.25">
      <c r="A3" t="str">
        <f t="shared" ref="A3:A64" si="0">B3&amp;" "&amp;C3</f>
        <v>TC_003_CSMS Core</v>
      </c>
      <c r="B3" t="s">
        <v>128</v>
      </c>
      <c r="C3" t="s">
        <v>13</v>
      </c>
      <c r="D3" t="s">
        <v>190</v>
      </c>
      <c r="E3" t="s">
        <v>48</v>
      </c>
    </row>
    <row r="4" spans="1:7" x14ac:dyDescent="0.25">
      <c r="A4" t="str">
        <f t="shared" si="0"/>
        <v>TC_004_1_CSMS Core</v>
      </c>
      <c r="B4" t="s">
        <v>129</v>
      </c>
      <c r="C4" t="s">
        <v>13</v>
      </c>
      <c r="D4" t="s">
        <v>191</v>
      </c>
      <c r="E4" t="s">
        <v>48</v>
      </c>
    </row>
    <row r="5" spans="1:7" x14ac:dyDescent="0.25">
      <c r="A5" t="str">
        <f t="shared" si="0"/>
        <v>TC_004_2_CSMS Core</v>
      </c>
      <c r="B5" t="s">
        <v>130</v>
      </c>
      <c r="C5" t="s">
        <v>13</v>
      </c>
      <c r="D5" t="s">
        <v>192</v>
      </c>
      <c r="E5" t="s">
        <v>48</v>
      </c>
    </row>
    <row r="6" spans="1:7" x14ac:dyDescent="0.25">
      <c r="A6" t="str">
        <f t="shared" si="0"/>
        <v>TC_005_1_CSMS Core</v>
      </c>
      <c r="B6" t="s">
        <v>131</v>
      </c>
      <c r="C6" t="s">
        <v>13</v>
      </c>
      <c r="D6" t="s">
        <v>265</v>
      </c>
      <c r="E6" t="s">
        <v>48</v>
      </c>
    </row>
    <row r="7" spans="1:7" x14ac:dyDescent="0.25">
      <c r="A7" t="str">
        <f t="shared" si="0"/>
        <v>TC_007_CSMS Core</v>
      </c>
      <c r="B7" t="s">
        <v>132</v>
      </c>
      <c r="C7" t="s">
        <v>13</v>
      </c>
      <c r="D7" t="s">
        <v>193</v>
      </c>
      <c r="E7" t="s">
        <v>48</v>
      </c>
    </row>
    <row r="8" spans="1:7" x14ac:dyDescent="0.25">
      <c r="A8" t="str">
        <f t="shared" si="0"/>
        <v>TC_061_CSMS Core</v>
      </c>
      <c r="B8" t="s">
        <v>133</v>
      </c>
      <c r="C8" t="s">
        <v>13</v>
      </c>
      <c r="D8" t="s">
        <v>194</v>
      </c>
      <c r="E8" t="s">
        <v>48</v>
      </c>
    </row>
    <row r="9" spans="1:7" x14ac:dyDescent="0.25">
      <c r="A9" t="str">
        <f t="shared" si="0"/>
        <v>TC_010_CSMS Core</v>
      </c>
      <c r="B9" t="s">
        <v>134</v>
      </c>
      <c r="C9" t="s">
        <v>13</v>
      </c>
      <c r="D9" t="s">
        <v>195</v>
      </c>
      <c r="E9" t="s">
        <v>48</v>
      </c>
    </row>
    <row r="10" spans="1:7" x14ac:dyDescent="0.25">
      <c r="A10" t="str">
        <f t="shared" si="0"/>
        <v>TC_011_1_CSMS Core</v>
      </c>
      <c r="B10" t="s">
        <v>135</v>
      </c>
      <c r="C10" t="s">
        <v>13</v>
      </c>
      <c r="D10" t="s">
        <v>196</v>
      </c>
      <c r="E10" t="s">
        <v>48</v>
      </c>
    </row>
    <row r="11" spans="1:7" x14ac:dyDescent="0.25">
      <c r="A11" t="str">
        <f t="shared" si="0"/>
        <v>TC_011_2_CSMS Core</v>
      </c>
      <c r="B11" t="s">
        <v>136</v>
      </c>
      <c r="C11" t="s">
        <v>13</v>
      </c>
      <c r="D11" t="s">
        <v>288</v>
      </c>
      <c r="E11" t="s">
        <v>48</v>
      </c>
    </row>
    <row r="12" spans="1:7" x14ac:dyDescent="0.25">
      <c r="A12" t="str">
        <f t="shared" si="0"/>
        <v>TC_012_CSMS Core</v>
      </c>
      <c r="B12" t="s">
        <v>137</v>
      </c>
      <c r="C12" t="s">
        <v>13</v>
      </c>
      <c r="D12" t="s">
        <v>197</v>
      </c>
      <c r="E12" t="s">
        <v>48</v>
      </c>
    </row>
    <row r="13" spans="1:7" x14ac:dyDescent="0.25">
      <c r="A13" t="str">
        <f t="shared" si="0"/>
        <v>TC_013_CSMS Core</v>
      </c>
      <c r="B13" t="s">
        <v>138</v>
      </c>
      <c r="C13" t="s">
        <v>13</v>
      </c>
      <c r="D13" t="s">
        <v>198</v>
      </c>
      <c r="E13" t="s">
        <v>48</v>
      </c>
    </row>
    <row r="14" spans="1:7" x14ac:dyDescent="0.25">
      <c r="A14" t="str">
        <f t="shared" si="0"/>
        <v>TC_014_CSMS Core</v>
      </c>
      <c r="B14" t="s">
        <v>139</v>
      </c>
      <c r="C14" t="s">
        <v>13</v>
      </c>
      <c r="D14" t="s">
        <v>199</v>
      </c>
      <c r="E14" t="s">
        <v>48</v>
      </c>
    </row>
    <row r="15" spans="1:7" x14ac:dyDescent="0.25">
      <c r="A15" t="str">
        <f t="shared" si="0"/>
        <v>TC_017_1_CSMS Core</v>
      </c>
      <c r="B15" t="s">
        <v>140</v>
      </c>
      <c r="C15" t="s">
        <v>13</v>
      </c>
      <c r="D15" t="s">
        <v>200</v>
      </c>
      <c r="E15" t="s">
        <v>48</v>
      </c>
    </row>
    <row r="16" spans="1:7" x14ac:dyDescent="0.25">
      <c r="A16" t="str">
        <f t="shared" si="0"/>
        <v>TC_017_2_CSMS Core</v>
      </c>
      <c r="B16" t="s">
        <v>141</v>
      </c>
      <c r="C16" t="s">
        <v>13</v>
      </c>
      <c r="D16" t="s">
        <v>201</v>
      </c>
      <c r="E16" t="s">
        <v>48</v>
      </c>
    </row>
    <row r="17" spans="1:5" x14ac:dyDescent="0.25">
      <c r="A17" t="str">
        <f t="shared" si="0"/>
        <v>TC_019_1_CSMS Core</v>
      </c>
      <c r="B17" t="s">
        <v>142</v>
      </c>
      <c r="C17" t="s">
        <v>13</v>
      </c>
      <c r="D17" t="s">
        <v>202</v>
      </c>
      <c r="E17" t="s">
        <v>48</v>
      </c>
    </row>
    <row r="18" spans="1:5" x14ac:dyDescent="0.25">
      <c r="A18" t="str">
        <f t="shared" si="0"/>
        <v>TC_019_2_CSMS Core</v>
      </c>
      <c r="B18" t="s">
        <v>143</v>
      </c>
      <c r="C18" t="s">
        <v>13</v>
      </c>
      <c r="D18" t="s">
        <v>203</v>
      </c>
      <c r="E18" t="s">
        <v>48</v>
      </c>
    </row>
    <row r="19" spans="1:5" x14ac:dyDescent="0.25">
      <c r="A19" t="str">
        <f t="shared" si="0"/>
        <v>TC_021_CSMS Core</v>
      </c>
      <c r="B19" t="s">
        <v>144</v>
      </c>
      <c r="C19" t="s">
        <v>13</v>
      </c>
      <c r="D19" t="s">
        <v>204</v>
      </c>
      <c r="E19" t="s">
        <v>48</v>
      </c>
    </row>
    <row r="20" spans="1:5" x14ac:dyDescent="0.25">
      <c r="A20" t="str">
        <f t="shared" si="0"/>
        <v>TC_023_1_CSMS Core</v>
      </c>
      <c r="B20" t="s">
        <v>145</v>
      </c>
      <c r="C20" t="s">
        <v>13</v>
      </c>
      <c r="D20" t="s">
        <v>205</v>
      </c>
      <c r="E20" t="s">
        <v>48</v>
      </c>
    </row>
    <row r="21" spans="1:5" x14ac:dyDescent="0.25">
      <c r="A21" t="str">
        <f t="shared" si="0"/>
        <v>TC_023_2_CSMS Core</v>
      </c>
      <c r="B21" t="s">
        <v>146</v>
      </c>
      <c r="C21" t="s">
        <v>13</v>
      </c>
      <c r="D21" t="s">
        <v>206</v>
      </c>
      <c r="E21" t="s">
        <v>48</v>
      </c>
    </row>
    <row r="22" spans="1:5" x14ac:dyDescent="0.25">
      <c r="A22" t="str">
        <f t="shared" si="0"/>
        <v>TC_023_3_CSMS Core</v>
      </c>
      <c r="B22" t="s">
        <v>147</v>
      </c>
      <c r="C22" t="s">
        <v>13</v>
      </c>
      <c r="D22" t="s">
        <v>207</v>
      </c>
      <c r="E22" t="s">
        <v>48</v>
      </c>
    </row>
    <row r="23" spans="1:5" x14ac:dyDescent="0.25">
      <c r="A23" t="str">
        <f t="shared" si="0"/>
        <v>TC_024_CSMS Core</v>
      </c>
      <c r="B23" t="s">
        <v>148</v>
      </c>
      <c r="C23" t="s">
        <v>13</v>
      </c>
      <c r="D23" t="s">
        <v>208</v>
      </c>
      <c r="E23" t="s">
        <v>48</v>
      </c>
    </row>
    <row r="24" spans="1:5" x14ac:dyDescent="0.25">
      <c r="A24" t="str">
        <f t="shared" si="0"/>
        <v>TC_026_CSMS Core</v>
      </c>
      <c r="B24" t="s">
        <v>149</v>
      </c>
      <c r="C24" t="s">
        <v>13</v>
      </c>
      <c r="D24" t="s">
        <v>209</v>
      </c>
      <c r="E24" t="s">
        <v>48</v>
      </c>
    </row>
    <row r="25" spans="1:5" x14ac:dyDescent="0.25">
      <c r="A25" t="str">
        <f t="shared" si="0"/>
        <v>TC_028_CSMS Core</v>
      </c>
      <c r="B25" t="s">
        <v>150</v>
      </c>
      <c r="C25" t="s">
        <v>13</v>
      </c>
      <c r="D25" t="s">
        <v>210</v>
      </c>
      <c r="E25" t="s">
        <v>211</v>
      </c>
    </row>
    <row r="26" spans="1:5" x14ac:dyDescent="0.25">
      <c r="A26" t="str">
        <f t="shared" si="0"/>
        <v>TC_030_CSMS Core</v>
      </c>
      <c r="B26" t="s">
        <v>151</v>
      </c>
      <c r="C26" t="s">
        <v>13</v>
      </c>
      <c r="D26" t="s">
        <v>212</v>
      </c>
      <c r="E26" t="s">
        <v>48</v>
      </c>
    </row>
    <row r="27" spans="1:5" x14ac:dyDescent="0.25">
      <c r="A27" t="str">
        <f t="shared" si="0"/>
        <v>TC_031_CSMS Core</v>
      </c>
      <c r="B27" t="s">
        <v>152</v>
      </c>
      <c r="C27" t="s">
        <v>13</v>
      </c>
      <c r="D27" t="s">
        <v>213</v>
      </c>
      <c r="E27" t="s">
        <v>211</v>
      </c>
    </row>
    <row r="28" spans="1:5" x14ac:dyDescent="0.25">
      <c r="A28" t="str">
        <f t="shared" si="0"/>
        <v>TC_032_1_CSMS Core</v>
      </c>
      <c r="B28" t="s">
        <v>153</v>
      </c>
      <c r="C28" t="s">
        <v>13</v>
      </c>
      <c r="D28" t="s">
        <v>214</v>
      </c>
      <c r="E28" t="s">
        <v>48</v>
      </c>
    </row>
    <row r="29" spans="1:5" x14ac:dyDescent="0.25">
      <c r="A29" t="str">
        <f t="shared" si="0"/>
        <v>TC_037_1_CSMS Core</v>
      </c>
      <c r="B29" t="s">
        <v>154</v>
      </c>
      <c r="C29" t="s">
        <v>13</v>
      </c>
      <c r="D29" t="s">
        <v>263</v>
      </c>
      <c r="E29" t="s">
        <v>48</v>
      </c>
    </row>
    <row r="30" spans="1:5" x14ac:dyDescent="0.25">
      <c r="A30" t="str">
        <f t="shared" si="0"/>
        <v>TC_037_3_CSMS Core</v>
      </c>
      <c r="B30" t="s">
        <v>155</v>
      </c>
      <c r="C30" t="s">
        <v>13</v>
      </c>
      <c r="D30" t="s">
        <v>264</v>
      </c>
      <c r="E30" t="s">
        <v>48</v>
      </c>
    </row>
    <row r="31" spans="1:5" x14ac:dyDescent="0.25">
      <c r="A31" t="str">
        <f t="shared" si="0"/>
        <v>TC_039_CSMS Core</v>
      </c>
      <c r="B31" t="s">
        <v>156</v>
      </c>
      <c r="C31" t="s">
        <v>13</v>
      </c>
      <c r="D31" t="s">
        <v>215</v>
      </c>
      <c r="E31" t="s">
        <v>48</v>
      </c>
    </row>
    <row r="32" spans="1:5" x14ac:dyDescent="0.25">
      <c r="A32" t="str">
        <f t="shared" si="0"/>
        <v>TC_040_1_CSMS Core</v>
      </c>
      <c r="B32" t="s">
        <v>157</v>
      </c>
      <c r="C32" t="s">
        <v>13</v>
      </c>
      <c r="D32" t="s">
        <v>216</v>
      </c>
      <c r="E32" t="s">
        <v>211</v>
      </c>
    </row>
    <row r="33" spans="1:5" x14ac:dyDescent="0.25">
      <c r="A33" t="str">
        <f t="shared" si="0"/>
        <v>TC_040_2_CSMS Core</v>
      </c>
      <c r="B33" t="s">
        <v>158</v>
      </c>
      <c r="C33" t="s">
        <v>13</v>
      </c>
      <c r="D33" t="s">
        <v>217</v>
      </c>
      <c r="E33" t="s">
        <v>211</v>
      </c>
    </row>
    <row r="34" spans="1:5" x14ac:dyDescent="0.25">
      <c r="A34" t="str">
        <f t="shared" si="0"/>
        <v>TC_042_2_CSMS Local Authorization List Management</v>
      </c>
      <c r="B34" t="s">
        <v>159</v>
      </c>
      <c r="C34" t="s">
        <v>16</v>
      </c>
      <c r="D34" t="s">
        <v>219</v>
      </c>
      <c r="E34" t="s">
        <v>48</v>
      </c>
    </row>
    <row r="35" spans="1:5" x14ac:dyDescent="0.25">
      <c r="A35" t="str">
        <f t="shared" si="0"/>
        <v>TC_043_3_CSMS Local Authorization List Management</v>
      </c>
      <c r="B35" t="s">
        <v>160</v>
      </c>
      <c r="C35" t="s">
        <v>16</v>
      </c>
      <c r="D35" t="s">
        <v>220</v>
      </c>
      <c r="E35" t="s">
        <v>48</v>
      </c>
    </row>
    <row r="36" spans="1:5" x14ac:dyDescent="0.25">
      <c r="A36" t="str">
        <f t="shared" si="0"/>
        <v>TC_043_4_CSMS Local Authorization List Management</v>
      </c>
      <c r="B36" t="s">
        <v>161</v>
      </c>
      <c r="C36" t="s">
        <v>16</v>
      </c>
      <c r="D36" t="s">
        <v>50</v>
      </c>
      <c r="E36" t="s">
        <v>48</v>
      </c>
    </row>
    <row r="37" spans="1:5" x14ac:dyDescent="0.25">
      <c r="A37" t="str">
        <f t="shared" si="0"/>
        <v>TC_043_5_CSMS Local Authorization List Management</v>
      </c>
      <c r="B37" t="s">
        <v>162</v>
      </c>
      <c r="C37" t="s">
        <v>16</v>
      </c>
      <c r="D37" t="s">
        <v>221</v>
      </c>
      <c r="E37" t="s">
        <v>48</v>
      </c>
    </row>
    <row r="38" spans="1:5" x14ac:dyDescent="0.25">
      <c r="A38" t="str">
        <f t="shared" si="0"/>
        <v>TC_044_1_CSMS Firmware Management</v>
      </c>
      <c r="B38" t="s">
        <v>163</v>
      </c>
      <c r="C38" t="s">
        <v>122</v>
      </c>
      <c r="D38" t="s">
        <v>222</v>
      </c>
      <c r="E38" t="s">
        <v>48</v>
      </c>
    </row>
    <row r="39" spans="1:5" x14ac:dyDescent="0.25">
      <c r="A39" t="str">
        <f t="shared" si="0"/>
        <v>TC_044_2_CSMS Firmware Management</v>
      </c>
      <c r="B39" t="s">
        <v>164</v>
      </c>
      <c r="C39" t="s">
        <v>122</v>
      </c>
      <c r="D39" t="s">
        <v>223</v>
      </c>
      <c r="E39" t="s">
        <v>48</v>
      </c>
    </row>
    <row r="40" spans="1:5" x14ac:dyDescent="0.25">
      <c r="A40" t="str">
        <f t="shared" si="0"/>
        <v>TC_044_3_CSMS Firmware Management</v>
      </c>
      <c r="B40" t="s">
        <v>165</v>
      </c>
      <c r="C40" t="s">
        <v>122</v>
      </c>
      <c r="D40" t="s">
        <v>224</v>
      </c>
      <c r="E40" t="s">
        <v>48</v>
      </c>
    </row>
    <row r="41" spans="1:5" x14ac:dyDescent="0.25">
      <c r="A41" t="str">
        <f t="shared" si="0"/>
        <v>TC_045_1_CSMS Firmware Management</v>
      </c>
      <c r="B41" t="s">
        <v>166</v>
      </c>
      <c r="C41" t="s">
        <v>122</v>
      </c>
      <c r="D41" t="s">
        <v>225</v>
      </c>
      <c r="E41" t="s">
        <v>48</v>
      </c>
    </row>
    <row r="42" spans="1:5" x14ac:dyDescent="0.25">
      <c r="A42" t="str">
        <f t="shared" si="0"/>
        <v>TC_045_2_CSMS Firmware Management</v>
      </c>
      <c r="B42" t="s">
        <v>167</v>
      </c>
      <c r="C42" t="s">
        <v>122</v>
      </c>
      <c r="D42" t="s">
        <v>226</v>
      </c>
      <c r="E42" t="s">
        <v>211</v>
      </c>
    </row>
    <row r="43" spans="1:5" x14ac:dyDescent="0.25">
      <c r="A43" t="str">
        <f t="shared" si="0"/>
        <v>TC_046_CSMS Reservation</v>
      </c>
      <c r="B43" t="s">
        <v>168</v>
      </c>
      <c r="C43" t="s">
        <v>20</v>
      </c>
      <c r="D43" t="s">
        <v>289</v>
      </c>
      <c r="E43" t="s">
        <v>48</v>
      </c>
    </row>
    <row r="44" spans="1:5" x14ac:dyDescent="0.25">
      <c r="A44" t="str">
        <f t="shared" si="0"/>
        <v>TC_047_CSMS Reservation</v>
      </c>
      <c r="B44" t="s">
        <v>169</v>
      </c>
      <c r="C44" t="s">
        <v>20</v>
      </c>
      <c r="D44" t="s">
        <v>227</v>
      </c>
      <c r="E44" t="s">
        <v>48</v>
      </c>
    </row>
    <row r="45" spans="1:5" x14ac:dyDescent="0.25">
      <c r="A45" t="str">
        <f t="shared" si="0"/>
        <v>TC_048_2_CSMS Reservation</v>
      </c>
      <c r="B45" t="s">
        <v>170</v>
      </c>
      <c r="C45" t="s">
        <v>20</v>
      </c>
      <c r="D45" t="s">
        <v>228</v>
      </c>
      <c r="E45" t="s">
        <v>211</v>
      </c>
    </row>
    <row r="46" spans="1:5" x14ac:dyDescent="0.25">
      <c r="A46" t="str">
        <f t="shared" si="0"/>
        <v>TC_048_3_CSMS Reservation</v>
      </c>
      <c r="B46" t="s">
        <v>171</v>
      </c>
      <c r="C46" t="s">
        <v>20</v>
      </c>
      <c r="D46" t="s">
        <v>229</v>
      </c>
      <c r="E46" t="s">
        <v>211</v>
      </c>
    </row>
    <row r="47" spans="1:5" x14ac:dyDescent="0.25">
      <c r="A47" t="str">
        <f t="shared" si="0"/>
        <v>TC_048_4_CSMS Reservation</v>
      </c>
      <c r="B47" t="s">
        <v>172</v>
      </c>
      <c r="C47" t="s">
        <v>20</v>
      </c>
      <c r="D47" t="s">
        <v>290</v>
      </c>
      <c r="E47" t="s">
        <v>48</v>
      </c>
    </row>
    <row r="48" spans="1:5" x14ac:dyDescent="0.25">
      <c r="A48" t="str">
        <f t="shared" si="0"/>
        <v>TC_049_CSMS Reservation</v>
      </c>
      <c r="B48" t="s">
        <v>173</v>
      </c>
      <c r="C48" t="s">
        <v>20</v>
      </c>
      <c r="D48" t="s">
        <v>230</v>
      </c>
      <c r="E48" t="s">
        <v>48</v>
      </c>
    </row>
    <row r="49" spans="1:6" x14ac:dyDescent="0.25">
      <c r="A49" t="str">
        <f t="shared" si="0"/>
        <v>TC_051_CSMS Reservation</v>
      </c>
      <c r="B49" t="s">
        <v>174</v>
      </c>
      <c r="C49" t="s">
        <v>20</v>
      </c>
      <c r="D49" t="s">
        <v>231</v>
      </c>
      <c r="E49" t="s">
        <v>48</v>
      </c>
    </row>
    <row r="50" spans="1:6" x14ac:dyDescent="0.25">
      <c r="A50" t="str">
        <f t="shared" si="0"/>
        <v>TC_052_CSMS Reservation</v>
      </c>
      <c r="B50" t="s">
        <v>252</v>
      </c>
      <c r="C50" t="s">
        <v>20</v>
      </c>
      <c r="D50" t="s">
        <v>254</v>
      </c>
      <c r="E50" t="s">
        <v>211</v>
      </c>
    </row>
    <row r="51" spans="1:6" x14ac:dyDescent="0.25">
      <c r="A51" t="str">
        <f t="shared" si="0"/>
        <v>TC_053_CSMS Reservation</v>
      </c>
      <c r="B51" t="s">
        <v>253</v>
      </c>
      <c r="C51" t="s">
        <v>20</v>
      </c>
      <c r="D51" t="s">
        <v>255</v>
      </c>
      <c r="E51" t="s">
        <v>211</v>
      </c>
    </row>
    <row r="52" spans="1:6" x14ac:dyDescent="0.25">
      <c r="A52" t="str">
        <f t="shared" si="0"/>
        <v>TC_054_CSMS Remote Trigger</v>
      </c>
      <c r="B52" t="s">
        <v>175</v>
      </c>
      <c r="C52" t="s">
        <v>123</v>
      </c>
      <c r="D52" t="s">
        <v>232</v>
      </c>
      <c r="E52" t="s">
        <v>48</v>
      </c>
    </row>
    <row r="53" spans="1:6" x14ac:dyDescent="0.25">
      <c r="A53" t="str">
        <f t="shared" si="0"/>
        <v>TC_055_CSMS Remote Trigger</v>
      </c>
      <c r="B53" t="s">
        <v>176</v>
      </c>
      <c r="C53" t="s">
        <v>123</v>
      </c>
      <c r="D53" t="s">
        <v>233</v>
      </c>
      <c r="E53" t="s">
        <v>211</v>
      </c>
    </row>
    <row r="54" spans="1:6" x14ac:dyDescent="0.25">
      <c r="A54" t="str">
        <f t="shared" si="0"/>
        <v>TC_056_CSMS Smart Charging</v>
      </c>
      <c r="B54" t="s">
        <v>177</v>
      </c>
      <c r="C54" t="s">
        <v>18</v>
      </c>
      <c r="D54" t="s">
        <v>234</v>
      </c>
      <c r="E54" t="s">
        <v>48</v>
      </c>
    </row>
    <row r="55" spans="1:6" x14ac:dyDescent="0.25">
      <c r="A55" t="str">
        <f t="shared" si="0"/>
        <v>TC_057_CSMS Smart Charging</v>
      </c>
      <c r="B55" t="s">
        <v>178</v>
      </c>
      <c r="C55" t="s">
        <v>18</v>
      </c>
      <c r="D55" t="s">
        <v>235</v>
      </c>
      <c r="E55" t="s">
        <v>48</v>
      </c>
    </row>
    <row r="56" spans="1:6" x14ac:dyDescent="0.25">
      <c r="A56" t="str">
        <f t="shared" si="0"/>
        <v>TC_066_CSMS Smart Charging</v>
      </c>
      <c r="B56" t="s">
        <v>179</v>
      </c>
      <c r="C56" t="s">
        <v>18</v>
      </c>
      <c r="D56" t="s">
        <v>236</v>
      </c>
      <c r="E56" t="s">
        <v>48</v>
      </c>
    </row>
    <row r="57" spans="1:6" x14ac:dyDescent="0.25">
      <c r="A57" t="str">
        <f t="shared" si="0"/>
        <v>TC_067_CSMS Smart Charging</v>
      </c>
      <c r="B57" t="s">
        <v>180</v>
      </c>
      <c r="C57" t="s">
        <v>18</v>
      </c>
      <c r="D57" t="s">
        <v>237</v>
      </c>
      <c r="E57" t="s">
        <v>48</v>
      </c>
    </row>
    <row r="58" spans="1:6" x14ac:dyDescent="0.25">
      <c r="A58" t="str">
        <f t="shared" si="0"/>
        <v>TC_059_CSMS Smart Charging</v>
      </c>
      <c r="B58" t="s">
        <v>181</v>
      </c>
      <c r="C58" t="s">
        <v>18</v>
      </c>
      <c r="D58" t="s">
        <v>238</v>
      </c>
      <c r="E58" t="s">
        <v>48</v>
      </c>
    </row>
    <row r="59" spans="1:6" x14ac:dyDescent="0.25">
      <c r="A59" t="str">
        <f t="shared" si="0"/>
        <v>TC_064_CSMS Core</v>
      </c>
      <c r="B59" t="s">
        <v>182</v>
      </c>
      <c r="C59" t="s">
        <v>13</v>
      </c>
      <c r="D59" t="s">
        <v>218</v>
      </c>
      <c r="E59" t="s">
        <v>48</v>
      </c>
    </row>
    <row r="60" spans="1:6" x14ac:dyDescent="0.25">
      <c r="A60" t="str">
        <f t="shared" si="0"/>
        <v>TC_073_CSMS Security extension</v>
      </c>
      <c r="B60" t="s">
        <v>250</v>
      </c>
      <c r="C60" t="s">
        <v>266</v>
      </c>
      <c r="D60" t="s">
        <v>239</v>
      </c>
      <c r="E60" t="s">
        <v>49</v>
      </c>
      <c r="F60" t="s">
        <v>251</v>
      </c>
    </row>
    <row r="61" spans="1:6" x14ac:dyDescent="0.25">
      <c r="A61" t="str">
        <f t="shared" si="0"/>
        <v>TC_074_CSMS Security extension</v>
      </c>
      <c r="B61" t="s">
        <v>183</v>
      </c>
      <c r="C61" t="s">
        <v>266</v>
      </c>
      <c r="D61" t="s">
        <v>259</v>
      </c>
      <c r="E61" t="s">
        <v>49</v>
      </c>
      <c r="F61" t="s">
        <v>240</v>
      </c>
    </row>
    <row r="62" spans="1:6" x14ac:dyDescent="0.25">
      <c r="A62" t="str">
        <f t="shared" ref="A62" si="1">B62&amp;" "&amp;C62</f>
        <v>TC_075_1_CSMS Security extension</v>
      </c>
      <c r="B62" t="s">
        <v>260</v>
      </c>
      <c r="C62" t="s">
        <v>266</v>
      </c>
      <c r="D62" t="s">
        <v>291</v>
      </c>
      <c r="E62" t="s">
        <v>48</v>
      </c>
    </row>
    <row r="63" spans="1:6" x14ac:dyDescent="0.25">
      <c r="A63" t="str">
        <f t="shared" si="0"/>
        <v>TC_075_2_CSMS Security extension</v>
      </c>
      <c r="B63" t="s">
        <v>261</v>
      </c>
      <c r="C63" t="s">
        <v>266</v>
      </c>
      <c r="D63" t="s">
        <v>262</v>
      </c>
      <c r="E63" t="s">
        <v>48</v>
      </c>
    </row>
    <row r="64" spans="1:6" x14ac:dyDescent="0.25">
      <c r="A64" t="str">
        <f t="shared" si="0"/>
        <v>TC_076_CSMS Security extension</v>
      </c>
      <c r="B64" t="s">
        <v>184</v>
      </c>
      <c r="C64" t="s">
        <v>266</v>
      </c>
      <c r="D64" t="s">
        <v>241</v>
      </c>
      <c r="E64" t="s">
        <v>48</v>
      </c>
    </row>
    <row r="65" spans="1:6" x14ac:dyDescent="0.25">
      <c r="A65" t="str">
        <f t="shared" ref="A65:A72" si="2">B65&amp;" "&amp;C65</f>
        <v>TC_077_CSMS Security extension</v>
      </c>
      <c r="B65" t="s">
        <v>185</v>
      </c>
      <c r="C65" t="s">
        <v>266</v>
      </c>
      <c r="D65" t="s">
        <v>242</v>
      </c>
      <c r="E65" t="s">
        <v>49</v>
      </c>
      <c r="F65" t="s">
        <v>240</v>
      </c>
    </row>
    <row r="66" spans="1:6" x14ac:dyDescent="0.25">
      <c r="A66" t="str">
        <f t="shared" si="2"/>
        <v>TC_078_CSMS Security extension</v>
      </c>
      <c r="B66" t="s">
        <v>186</v>
      </c>
      <c r="C66" t="s">
        <v>266</v>
      </c>
      <c r="D66" t="s">
        <v>243</v>
      </c>
      <c r="E66" t="s">
        <v>48</v>
      </c>
    </row>
    <row r="67" spans="1:6" x14ac:dyDescent="0.25">
      <c r="A67" t="str">
        <f t="shared" si="2"/>
        <v>TC_079_CSMS Security extension</v>
      </c>
      <c r="B67" t="s">
        <v>187</v>
      </c>
      <c r="C67" t="s">
        <v>266</v>
      </c>
      <c r="D67" t="s">
        <v>244</v>
      </c>
      <c r="E67" t="s">
        <v>48</v>
      </c>
    </row>
    <row r="68" spans="1:6" x14ac:dyDescent="0.25">
      <c r="A68" t="str">
        <f t="shared" si="2"/>
        <v>TC_080_CSMS Security extension</v>
      </c>
      <c r="B68" t="s">
        <v>188</v>
      </c>
      <c r="C68" t="s">
        <v>266</v>
      </c>
      <c r="D68" t="s">
        <v>245</v>
      </c>
      <c r="E68" t="s">
        <v>48</v>
      </c>
    </row>
    <row r="69" spans="1:6" x14ac:dyDescent="0.25">
      <c r="A69" t="str">
        <f t="shared" si="2"/>
        <v>TC_081_CSMS Security extension</v>
      </c>
      <c r="B69" t="s">
        <v>189</v>
      </c>
      <c r="C69" t="s">
        <v>266</v>
      </c>
      <c r="D69" t="s">
        <v>246</v>
      </c>
      <c r="E69" t="s">
        <v>48</v>
      </c>
    </row>
    <row r="70" spans="1:6" x14ac:dyDescent="0.25">
      <c r="A70" t="str">
        <f t="shared" si="2"/>
        <v>TC_085_CSMS Security extension</v>
      </c>
      <c r="B70" t="s">
        <v>279</v>
      </c>
      <c r="C70" t="s">
        <v>266</v>
      </c>
      <c r="D70" t="s">
        <v>282</v>
      </c>
      <c r="E70" t="s">
        <v>49</v>
      </c>
      <c r="F70" t="s">
        <v>251</v>
      </c>
    </row>
    <row r="71" spans="1:6" x14ac:dyDescent="0.25">
      <c r="A71" t="str">
        <f t="shared" si="2"/>
        <v>TC_086_CSMS Security extension</v>
      </c>
      <c r="B71" t="s">
        <v>280</v>
      </c>
      <c r="C71" t="s">
        <v>266</v>
      </c>
      <c r="D71" t="s">
        <v>283</v>
      </c>
      <c r="E71" t="s">
        <v>49</v>
      </c>
      <c r="F71" t="s">
        <v>303</v>
      </c>
    </row>
    <row r="72" spans="1:6" x14ac:dyDescent="0.25">
      <c r="A72" t="str">
        <f t="shared" si="2"/>
        <v>TC_087_CSMS Security extension</v>
      </c>
      <c r="B72" t="s">
        <v>281</v>
      </c>
      <c r="C72" t="s">
        <v>266</v>
      </c>
      <c r="D72" t="s">
        <v>284</v>
      </c>
      <c r="E72" t="s">
        <v>49</v>
      </c>
      <c r="F72" t="s">
        <v>240</v>
      </c>
    </row>
  </sheetData>
  <autoFilter ref="A1:G70" xr:uid="{55EB0C1A-347A-4CF2-8EA4-BCDC897ADA20}"/>
  <sortState xmlns:xlrd2="http://schemas.microsoft.com/office/spreadsheetml/2017/richdata2" ref="A2:G256">
    <sortCondition ref="A1"/>
  </sortState>
  <pageMargins left="0.7" right="0.7" top="0.75" bottom="0.75" header="0.3" footer="0.3"/>
  <headerFooter>
    <oddFooter>&amp;C_x000D_&amp;1#&amp;"Arial"&amp;9&amp;K000000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822C4-74F5-4755-89B7-6DA151B01520}">
  <dimension ref="A1:D6"/>
  <sheetViews>
    <sheetView workbookViewId="0"/>
  </sheetViews>
  <sheetFormatPr defaultColWidth="8.875" defaultRowHeight="15.75" x14ac:dyDescent="0.25"/>
  <cols>
    <col min="1" max="1" width="49.125" bestFit="1" customWidth="1"/>
    <col min="2" max="2" width="22.625" style="30" bestFit="1" customWidth="1"/>
    <col min="3" max="3" width="22.125" bestFit="1" customWidth="1"/>
  </cols>
  <sheetData>
    <row r="1" spans="1:4" x14ac:dyDescent="0.25">
      <c r="A1" s="1" t="s">
        <v>51</v>
      </c>
      <c r="B1" s="29" t="s">
        <v>52</v>
      </c>
      <c r="C1" s="1" t="s">
        <v>53</v>
      </c>
      <c r="D1" s="1" t="s">
        <v>54</v>
      </c>
    </row>
    <row r="2" spans="1:4" x14ac:dyDescent="0.25">
      <c r="A2" t="s">
        <v>240</v>
      </c>
      <c r="B2" s="30" t="b">
        <f>VLOOKUP("Security Profile 3: TLS (1.2 or higher) with Client Side Certificates",Security_profiles,2,FALSE)="Yes"</f>
        <v>0</v>
      </c>
      <c r="C2" t="b">
        <v>0</v>
      </c>
      <c r="D2" t="b">
        <f>NOT(ISERROR(VLOOKUP(A2,'CSMS Testcases'!E:E,1,FALSE)=A2))</f>
        <v>1</v>
      </c>
    </row>
    <row r="3" spans="1:4" x14ac:dyDescent="0.25">
      <c r="A3" t="s">
        <v>251</v>
      </c>
      <c r="B3" s="30" t="b">
        <f>OR(VLOOKUP("Security Profile 1: Unsecured Transport with Basic Authentication",Security_profiles,2,FALSE)="Yes",VLOOKUP("Security Profile 2: TLS (1.2 or higher) with Basic Authentication",Security_profiles,2,FALSE)="Yes")</f>
        <v>0</v>
      </c>
      <c r="C3" t="b">
        <v>0</v>
      </c>
      <c r="D3" t="b">
        <f>NOT(ISERROR(VLOOKUP(A3,'CSMS Testcases'!E:E,1,FALSE)=A3))</f>
        <v>1</v>
      </c>
    </row>
    <row r="4" spans="1:4" x14ac:dyDescent="0.25">
      <c r="A4" t="s">
        <v>285</v>
      </c>
      <c r="B4" s="30" t="b">
        <f>VLOOKUP("Security Profile 1: Unsecured Transport with Basic Authentication",Security_profiles,2,FALSE)="Yes"</f>
        <v>0</v>
      </c>
      <c r="C4" t="b">
        <v>0</v>
      </c>
      <c r="D4" t="b">
        <f>NOT(ISERROR(VLOOKUP(A4,'CSMS Testcases'!E:E,1,FALSE)=A4))</f>
        <v>0</v>
      </c>
    </row>
    <row r="5" spans="1:4" x14ac:dyDescent="0.25">
      <c r="A5" t="s">
        <v>286</v>
      </c>
      <c r="B5" s="30" t="b">
        <f>VLOOKUP("Security Profile 2: TLS (1.2 or higher) with Basic Authentication",Security_profiles,2,FALSE)="Yes"</f>
        <v>0</v>
      </c>
      <c r="C5" t="b">
        <v>0</v>
      </c>
      <c r="D5" t="b">
        <f>NOT(ISERROR(VLOOKUP(A5,'CSMS Testcases'!E:E,1,FALSE)=A5))</f>
        <v>0</v>
      </c>
    </row>
    <row r="6" spans="1:4" x14ac:dyDescent="0.25">
      <c r="A6" t="s">
        <v>303</v>
      </c>
      <c r="B6" s="31" t="b">
        <f>OR(VLOOKUP("Security Profile 3: TLS (1.2 or higher) with Client Side Certificates",Security_profiles,2,FALSE)="Yes",VLOOKUP("Security Profile 2: TLS (1.2 or higher) with Basic Authentication",Security_profiles,2,FALSE)="Yes")</f>
        <v>0</v>
      </c>
      <c r="C6" t="b">
        <v>0</v>
      </c>
      <c r="D6" t="b">
        <f>NOT(ISERROR(VLOOKUP(A6,'CSMS Testcases'!E:E,1,FALSE)=A6))</f>
        <v>1</v>
      </c>
    </row>
  </sheetData>
  <pageMargins left="0.7" right="0.7" top="0.75" bottom="0.75" header="0.3" footer="0.3"/>
  <headerFooter>
    <oddFooter>&amp;C_x000D_&amp;1#&amp;"Arial"&amp;9&amp;K000000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8A55-A45E-470D-9960-D7AB25D57330}">
  <dimension ref="A1:D4"/>
  <sheetViews>
    <sheetView workbookViewId="0"/>
  </sheetViews>
  <sheetFormatPr defaultColWidth="8.875" defaultRowHeight="15.75" x14ac:dyDescent="0.25"/>
  <cols>
    <col min="2" max="2" width="23.625" customWidth="1"/>
    <col min="3" max="3" width="80.125" customWidth="1"/>
  </cols>
  <sheetData>
    <row r="1" spans="1:4" x14ac:dyDescent="0.25">
      <c r="A1" t="s">
        <v>296</v>
      </c>
      <c r="B1" t="s">
        <v>297</v>
      </c>
      <c r="C1" t="s">
        <v>298</v>
      </c>
      <c r="D1" t="s">
        <v>29</v>
      </c>
    </row>
    <row r="2" spans="1:4" x14ac:dyDescent="0.25">
      <c r="A2" t="s">
        <v>269</v>
      </c>
      <c r="B2" t="s">
        <v>266</v>
      </c>
      <c r="C2" t="s">
        <v>275</v>
      </c>
      <c r="D2" t="s">
        <v>272</v>
      </c>
    </row>
    <row r="3" spans="1:4" x14ac:dyDescent="0.25">
      <c r="A3" t="s">
        <v>270</v>
      </c>
      <c r="B3" t="s">
        <v>266</v>
      </c>
      <c r="C3" t="s">
        <v>274</v>
      </c>
      <c r="D3" t="s">
        <v>272</v>
      </c>
    </row>
    <row r="4" spans="1:4" x14ac:dyDescent="0.25">
      <c r="A4" t="s">
        <v>271</v>
      </c>
      <c r="B4" t="s">
        <v>266</v>
      </c>
      <c r="C4" t="s">
        <v>276</v>
      </c>
      <c r="D4" t="s">
        <v>272</v>
      </c>
    </row>
  </sheetData>
  <phoneticPr fontId="2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075D-55B8-416F-88F0-B0EA5EA85CCD}">
  <dimension ref="A1:A4"/>
  <sheetViews>
    <sheetView workbookViewId="0">
      <selection activeCell="A5" sqref="A5"/>
    </sheetView>
  </sheetViews>
  <sheetFormatPr defaultColWidth="8.875" defaultRowHeight="15.75" x14ac:dyDescent="0.25"/>
  <cols>
    <col min="1" max="1" width="39.625" bestFit="1" customWidth="1"/>
  </cols>
  <sheetData>
    <row r="1" spans="1:1" x14ac:dyDescent="0.25">
      <c r="A1" t="s">
        <v>36</v>
      </c>
    </row>
    <row r="2" spans="1:1" x14ac:dyDescent="0.25">
      <c r="A2" t="s">
        <v>38</v>
      </c>
    </row>
    <row r="3" spans="1:1" x14ac:dyDescent="0.25">
      <c r="A3" t="s">
        <v>37</v>
      </c>
    </row>
    <row r="4" spans="1:1" x14ac:dyDescent="0.25">
      <c r="A4" t="s">
        <v>247</v>
      </c>
    </row>
  </sheetData>
  <pageMargins left="0.7" right="0.7" top="0.75" bottom="0.75" header="0.3" footer="0.3"/>
  <headerFooter>
    <oddFooter>&amp;C_x000D_&amp;1#&amp;"Arial"&amp;9&amp;K000000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3401-0A36-4C2C-8DED-8B9D6FFEC5B8}">
  <dimension ref="B1:D5"/>
  <sheetViews>
    <sheetView showGridLines="0" zoomScaleNormal="100" workbookViewId="0">
      <selection activeCell="C2" sqref="C2"/>
    </sheetView>
  </sheetViews>
  <sheetFormatPr defaultColWidth="8.875" defaultRowHeight="15.75" x14ac:dyDescent="0.25"/>
  <cols>
    <col min="1" max="1" width="15.375" customWidth="1"/>
    <col min="2" max="2" width="26.125" customWidth="1"/>
    <col min="3" max="3" width="57.375" customWidth="1"/>
  </cols>
  <sheetData>
    <row r="1" spans="2:4" ht="68.25" customHeight="1" x14ac:dyDescent="0.25">
      <c r="B1" s="127" t="s">
        <v>7</v>
      </c>
      <c r="C1" s="127"/>
    </row>
    <row r="2" spans="2:4" ht="16.5" thickBot="1" x14ac:dyDescent="0.3">
      <c r="B2" s="2" t="s">
        <v>103</v>
      </c>
      <c r="C2" s="66" t="s">
        <v>8</v>
      </c>
      <c r="D2" s="83" t="str">
        <f>IF(ISBLANK(C2),"&lt;---- This field cannot be left empty!","")</f>
        <v/>
      </c>
    </row>
    <row r="3" spans="2:4" ht="16.5" thickBot="1" x14ac:dyDescent="0.3">
      <c r="B3" s="45" t="s">
        <v>65</v>
      </c>
      <c r="C3" s="65" t="s">
        <v>67</v>
      </c>
      <c r="D3" s="83" t="str">
        <f>IF(ISBLANK(C3),"&lt;---- This field cannot be left empty!","")</f>
        <v/>
      </c>
    </row>
    <row r="4" spans="2:4" ht="16.5" thickBot="1" x14ac:dyDescent="0.3">
      <c r="B4" s="51" t="s">
        <v>81</v>
      </c>
      <c r="C4" s="52" t="s">
        <v>66</v>
      </c>
      <c r="D4" s="83" t="str">
        <f>IF(ISBLANK(C4),"&lt;---- This field cannot be left empty!","")</f>
        <v/>
      </c>
    </row>
    <row r="5" spans="2:4" x14ac:dyDescent="0.25">
      <c r="B5" s="48" t="s">
        <v>83</v>
      </c>
      <c r="C5" s="49" t="s">
        <v>82</v>
      </c>
      <c r="D5" s="83" t="str">
        <f>IF(ISBLANK(C5),"&lt;---- This field cannot be left empty!","")</f>
        <v/>
      </c>
    </row>
  </sheetData>
  <sheetProtection algorithmName="SHA-512" hashValue="d7AErsf/zXjkYgzkFAuhtiBP+ffekp1ZfPOWd6GyxNqdHT+ymtsWMjcYB1QBkUdBDtmaW8Liy7c561YrESuJXA==" saltValue="VRM7skYVgvo3ChM1sbgRcg==" spinCount="100000" sheet="1" objects="1" scenarios="1"/>
  <mergeCells count="1">
    <mergeCell ref="B1:C1"/>
  </mergeCells>
  <pageMargins left="0.7" right="0.7" top="0.75" bottom="0.75" header="0.3" footer="0.3"/>
  <pageSetup paperSize="9" orientation="portrait" r:id="rId1"/>
  <headerFooter>
    <oddFooter>&amp;C_x000D_&amp;1#&amp;"Arial"&amp;9&amp;K000000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B45-01A7-4270-B404-29A3A2618C3F}">
  <dimension ref="B1:E15"/>
  <sheetViews>
    <sheetView showGridLines="0" zoomScale="85" zoomScaleNormal="85" workbookViewId="0">
      <selection activeCell="C15" sqref="C15"/>
    </sheetView>
  </sheetViews>
  <sheetFormatPr defaultColWidth="8.875" defaultRowHeight="15.75" x14ac:dyDescent="0.25"/>
  <cols>
    <col min="2" max="2" width="33.125" customWidth="1"/>
    <col min="3" max="3" width="17.625" customWidth="1"/>
    <col min="4" max="4" width="69.125" customWidth="1"/>
  </cols>
  <sheetData>
    <row r="1" spans="2:5" ht="30.75" customHeight="1" x14ac:dyDescent="0.35">
      <c r="B1" s="128" t="s">
        <v>9</v>
      </c>
      <c r="C1" s="128"/>
      <c r="D1" s="128"/>
    </row>
    <row r="2" spans="2:5" ht="38.25" customHeight="1" thickBot="1" x14ac:dyDescent="0.3"/>
    <row r="3" spans="2:5" ht="16.5" thickBot="1" x14ac:dyDescent="0.3">
      <c r="B3" s="3" t="s">
        <v>10</v>
      </c>
      <c r="C3" s="4" t="s">
        <v>11</v>
      </c>
      <c r="D3" s="5" t="s">
        <v>12</v>
      </c>
    </row>
    <row r="4" spans="2:5" ht="41.25" customHeight="1" thickBot="1" x14ac:dyDescent="0.3">
      <c r="B4" s="6" t="s">
        <v>13</v>
      </c>
      <c r="C4" s="102" t="s">
        <v>14</v>
      </c>
      <c r="D4" s="6" t="s">
        <v>15</v>
      </c>
      <c r="E4" s="83" t="str">
        <f t="shared" ref="E4:E9" si="0">IF(ISBLANK(C4),"&lt;---- This field cannot be left empty!","")</f>
        <v/>
      </c>
    </row>
    <row r="5" spans="2:5" ht="41.25" customHeight="1" thickBot="1" x14ac:dyDescent="0.3">
      <c r="B5" s="103" t="s">
        <v>122</v>
      </c>
      <c r="C5" s="104" t="s">
        <v>14</v>
      </c>
      <c r="D5" s="103" t="s">
        <v>124</v>
      </c>
      <c r="E5" s="83" t="str">
        <f t="shared" si="0"/>
        <v/>
      </c>
    </row>
    <row r="6" spans="2:5" ht="41.25" customHeight="1" thickBot="1" x14ac:dyDescent="0.3">
      <c r="B6" s="105" t="s">
        <v>16</v>
      </c>
      <c r="C6" s="100" t="s">
        <v>14</v>
      </c>
      <c r="D6" s="105" t="s">
        <v>125</v>
      </c>
      <c r="E6" s="83" t="str">
        <f t="shared" si="0"/>
        <v/>
      </c>
    </row>
    <row r="7" spans="2:5" ht="41.25" customHeight="1" thickBot="1" x14ac:dyDescent="0.3">
      <c r="B7" s="99" t="s">
        <v>18</v>
      </c>
      <c r="C7" s="101" t="s">
        <v>14</v>
      </c>
      <c r="D7" s="99" t="s">
        <v>19</v>
      </c>
      <c r="E7" s="83" t="str">
        <f t="shared" si="0"/>
        <v/>
      </c>
    </row>
    <row r="8" spans="2:5" ht="41.25" customHeight="1" thickBot="1" x14ac:dyDescent="0.3">
      <c r="B8" s="105" t="s">
        <v>123</v>
      </c>
      <c r="C8" s="100" t="s">
        <v>14</v>
      </c>
      <c r="D8" s="105" t="s">
        <v>126</v>
      </c>
      <c r="E8" s="83" t="str">
        <f t="shared" si="0"/>
        <v/>
      </c>
    </row>
    <row r="9" spans="2:5" ht="41.25" customHeight="1" thickBot="1" x14ac:dyDescent="0.3">
      <c r="B9" s="106" t="s">
        <v>20</v>
      </c>
      <c r="C9" s="107" t="s">
        <v>14</v>
      </c>
      <c r="D9" s="106" t="s">
        <v>21</v>
      </c>
      <c r="E9" s="83" t="str">
        <f t="shared" si="0"/>
        <v/>
      </c>
    </row>
    <row r="11" spans="2:5" ht="23.25" x14ac:dyDescent="0.35">
      <c r="B11" s="128" t="s">
        <v>127</v>
      </c>
      <c r="C11" s="128"/>
      <c r="D11" s="128"/>
    </row>
    <row r="12" spans="2:5" x14ac:dyDescent="0.25">
      <c r="B12" s="129" t="s">
        <v>256</v>
      </c>
      <c r="C12" s="129"/>
      <c r="D12" s="129"/>
    </row>
    <row r="13" spans="2:5" ht="16.5" thickBot="1" x14ac:dyDescent="0.3"/>
    <row r="14" spans="2:5" ht="16.5" thickBot="1" x14ac:dyDescent="0.3">
      <c r="B14" s="120" t="s">
        <v>292</v>
      </c>
      <c r="C14" s="4" t="s">
        <v>11</v>
      </c>
      <c r="D14" s="5" t="s">
        <v>12</v>
      </c>
    </row>
    <row r="15" spans="2:5" ht="40.5" customHeight="1" thickBot="1" x14ac:dyDescent="0.3">
      <c r="B15" s="121" t="s">
        <v>266</v>
      </c>
      <c r="C15" s="124" t="s">
        <v>17</v>
      </c>
      <c r="D15" s="122" t="s">
        <v>273</v>
      </c>
    </row>
  </sheetData>
  <sheetProtection algorithmName="SHA-512" hashValue="HK13MjWQUOmeYkN/P9qjMRAv/pujkoEP2L6+khhf5kjkT+GSwWYUkQsu2B3KU0VxVKncI5RmviZq70dpTYb/sw==" saltValue="tkhg2z6UuNkho4cKxyyoYw==" spinCount="100000" sheet="1" objects="1" scenarios="1"/>
  <mergeCells count="3">
    <mergeCell ref="B1:D1"/>
    <mergeCell ref="B11:D11"/>
    <mergeCell ref="B12:D12"/>
  </mergeCells>
  <dataValidations count="1">
    <dataValidation type="list" showInputMessage="1" showErrorMessage="1" sqref="C15" xr:uid="{15070E9C-A2B0-49E3-AD26-5909D4FCD2C4}">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3FFF-7391-4AA7-A010-7072A9B6CEB1}">
  <dimension ref="B1:F8"/>
  <sheetViews>
    <sheetView showGridLines="0" zoomScale="85" zoomScaleNormal="85" workbookViewId="0">
      <selection activeCell="D5" sqref="D5"/>
    </sheetView>
  </sheetViews>
  <sheetFormatPr defaultColWidth="8.875" defaultRowHeight="15.75" x14ac:dyDescent="0.25"/>
  <cols>
    <col min="2" max="2" width="10.875" customWidth="1"/>
    <col min="3" max="3" width="72.625" customWidth="1"/>
    <col min="4" max="4" width="35" customWidth="1"/>
    <col min="5" max="5" width="33.625" bestFit="1" customWidth="1"/>
  </cols>
  <sheetData>
    <row r="1" spans="2:6" ht="32.450000000000003" customHeight="1" x14ac:dyDescent="0.35">
      <c r="B1" s="130" t="s">
        <v>277</v>
      </c>
      <c r="C1" s="130"/>
      <c r="D1" s="130"/>
      <c r="E1" s="82" t="s">
        <v>278</v>
      </c>
      <c r="F1" s="82" t="str">
        <f>IF(_xlfn.CONCAT(E4:E7)="","VALID","INVALID")</f>
        <v>VALID</v>
      </c>
    </row>
    <row r="2" spans="2:6" ht="24" customHeight="1" x14ac:dyDescent="0.25">
      <c r="B2" s="123"/>
      <c r="D2" s="31"/>
    </row>
    <row r="4" spans="2:6" x14ac:dyDescent="0.25">
      <c r="B4" s="112" t="s">
        <v>267</v>
      </c>
      <c r="C4" s="113" t="s">
        <v>266</v>
      </c>
      <c r="D4" s="114" t="s">
        <v>268</v>
      </c>
      <c r="E4" s="83" t="str">
        <f>IF(AND(VLOOKUP($C$4,Certification_Extensions,2,FALSE)="Yes",ISERROR(VLOOKUP("Yes",$D$6:$D$7,1,FALSE))),"&lt;-- Please select either Security Profile 2 or 3 or both","")</f>
        <v/>
      </c>
    </row>
    <row r="5" spans="2:6" x14ac:dyDescent="0.25">
      <c r="B5" s="108" t="s">
        <v>269</v>
      </c>
      <c r="C5" s="109" t="str">
        <f>VLOOKUP(B5,'HIDDEN features'!A:D,3,FALSE)</f>
        <v>Security Profile 1: Unsecured Transport with Basic Authentication</v>
      </c>
      <c r="D5" s="110" t="s">
        <v>17</v>
      </c>
      <c r="E5" s="83" t="str">
        <f>IF(AND(VLOOKUP($C$4,Certification_Extensions,2,FALSE)&lt;&gt;"Yes",$D5&lt;&gt;"No"),"&lt;---- Please set security profile 1 to No, since the security extension is not selected.","")</f>
        <v/>
      </c>
    </row>
    <row r="6" spans="2:6" x14ac:dyDescent="0.25">
      <c r="B6" s="111" t="s">
        <v>270</v>
      </c>
      <c r="C6" s="116" t="str">
        <f>VLOOKUP(B6,'HIDDEN features'!A:D,3,FALSE)</f>
        <v>Security Profile 2: TLS (1.2 or higher) with Basic Authentication</v>
      </c>
      <c r="D6" s="34" t="s">
        <v>17</v>
      </c>
      <c r="E6" s="83" t="str">
        <f>IF(AND(VLOOKUP($C$4,Certification_Extensions,2,FALSE)&lt;&gt;"Yes",$D6&lt;&gt;"No"),"&lt;---- Please set security profile 2 to No, since the security extension is not selected.","")</f>
        <v/>
      </c>
    </row>
    <row r="7" spans="2:6" x14ac:dyDescent="0.25">
      <c r="B7" s="117" t="s">
        <v>271</v>
      </c>
      <c r="C7" s="118" t="str">
        <f>VLOOKUP(B7,'HIDDEN features'!A:D,3,FALSE)</f>
        <v>Security Profile 3: TLS (1.2 or higher) with Client Side Certificates</v>
      </c>
      <c r="D7" s="119" t="s">
        <v>17</v>
      </c>
      <c r="E7" s="83" t="str">
        <f>IF(AND(VLOOKUP($C$4,Certification_Extensions,2,FALSE)&lt;&gt;"Yes",$D7&lt;&gt;"No"),"&lt;---- Please set security profile 3 to No, since the security extension is not selected.","")</f>
        <v/>
      </c>
    </row>
    <row r="8" spans="2:6" x14ac:dyDescent="0.25">
      <c r="C8" s="115"/>
    </row>
  </sheetData>
  <sheetProtection algorithmName="SHA-512" hashValue="kJcz+6e65caYoNI9yJg8goLfdVzM9vCiYdAQtEp5wL3JUHZ58RJnm0YBIxcFG5a+bLmfVvDKVRNqkoFCn1AIjw==" saltValue="Q+6ptocb2QRtJ3Pro4I8Nw==" spinCount="100000" sheet="1" objects="1" scenarios="1"/>
  <mergeCells count="1">
    <mergeCell ref="B1:D1"/>
  </mergeCells>
  <conditionalFormatting sqref="F1">
    <cfRule type="cellIs" dxfId="7" priority="1" operator="equal">
      <formula>"INVALID"</formula>
    </cfRule>
    <cfRule type="cellIs" dxfId="6" priority="2" operator="equal">
      <formula>"VALID"</formula>
    </cfRule>
  </conditionalFormatting>
  <dataValidations count="1">
    <dataValidation type="list" allowBlank="1" showInputMessage="1" showErrorMessage="1" sqref="D5:D7" xr:uid="{68500206-48C7-4A08-8292-3FA1F419BBAE}">
      <formula1>"Yes,No"</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7EDA-7788-4664-A7BC-D61C3E60D9EA}">
  <dimension ref="B1:F6"/>
  <sheetViews>
    <sheetView showGridLines="0" zoomScaleNormal="100" workbookViewId="0">
      <selection activeCell="D4" sqref="D4"/>
    </sheetView>
  </sheetViews>
  <sheetFormatPr defaultColWidth="28.375" defaultRowHeight="15.75" x14ac:dyDescent="0.25"/>
  <cols>
    <col min="1" max="1" width="14.125" customWidth="1"/>
    <col min="2" max="2" width="5.875" bestFit="1" customWidth="1"/>
    <col min="3" max="3" width="69.875" customWidth="1"/>
    <col min="4" max="4" width="25.125" customWidth="1"/>
    <col min="5" max="5" width="35" bestFit="1" customWidth="1"/>
  </cols>
  <sheetData>
    <row r="1" spans="2:6" ht="54.75" customHeight="1" x14ac:dyDescent="0.25">
      <c r="C1" s="22" t="s">
        <v>23</v>
      </c>
      <c r="E1" s="82" t="s">
        <v>105</v>
      </c>
      <c r="F1" s="82" t="str">
        <f>IF(_xlfn.CONCAT(E3:E5)="","VALID","INVALID")</f>
        <v>VALID</v>
      </c>
    </row>
    <row r="2" spans="2:6" ht="27.75" customHeight="1" x14ac:dyDescent="0.25">
      <c r="C2" s="22"/>
    </row>
    <row r="3" spans="2:6" x14ac:dyDescent="0.25">
      <c r="B3" s="44" t="s">
        <v>64</v>
      </c>
      <c r="C3" s="27" t="s">
        <v>24</v>
      </c>
      <c r="D3" s="59" t="s">
        <v>22</v>
      </c>
    </row>
    <row r="4" spans="2:6" ht="30" x14ac:dyDescent="0.25">
      <c r="B4" s="33" t="s">
        <v>25</v>
      </c>
      <c r="C4" s="23" t="s">
        <v>26</v>
      </c>
      <c r="D4" s="34" t="s">
        <v>17</v>
      </c>
      <c r="E4" s="83" t="str">
        <f>IF(AND(NOT(ISBLANK(B4)),ISBLANK(D4)),"&lt;---- This field cannot be left empty!","")</f>
        <v/>
      </c>
    </row>
    <row r="5" spans="2:6" x14ac:dyDescent="0.25">
      <c r="B5" s="24"/>
      <c r="C5" s="25"/>
      <c r="D5" s="26"/>
    </row>
    <row r="6" spans="2:6" x14ac:dyDescent="0.25">
      <c r="C6" s="7"/>
    </row>
  </sheetData>
  <sheetProtection algorithmName="SHA-512" hashValue="hlbJzWI7QghysGd0iuaUUAjFcaFVxztEzfUilJM9i6WKrQHgYSx4b/7RxUykwiX2jwNSkHOIxt5Z7UJluVZXBg==" saltValue="a7cP0saH7P8er6S1oYP6xQ==" spinCount="100000" sheet="1" objects="1" scenarios="1"/>
  <conditionalFormatting sqref="F1">
    <cfRule type="cellIs" dxfId="5" priority="1" operator="equal">
      <formula>"INVALID"</formula>
    </cfRule>
    <cfRule type="cellIs" dxfId="4" priority="2" operator="equal">
      <formula>"VALID"</formula>
    </cfRule>
  </conditionalFormatting>
  <dataValidations count="1">
    <dataValidation type="list" allowBlank="1" showInputMessage="1" showErrorMessage="1" sqref="D4" xr:uid="{4349DFB3-71A1-4666-9A39-82EE747DEB36}">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71ED-E97D-484C-BE71-C31C6629B295}">
  <dimension ref="B2:D28"/>
  <sheetViews>
    <sheetView showGridLines="0" workbookViewId="0">
      <selection activeCell="B6" sqref="B6"/>
    </sheetView>
  </sheetViews>
  <sheetFormatPr defaultColWidth="18.125" defaultRowHeight="15.75" x14ac:dyDescent="0.25"/>
  <cols>
    <col min="1" max="1" width="14.875" customWidth="1"/>
    <col min="2" max="2" width="24.625" customWidth="1"/>
    <col min="3" max="3" width="69.125" customWidth="1"/>
    <col min="4" max="4" width="56.625" customWidth="1"/>
  </cols>
  <sheetData>
    <row r="2" spans="2:4" ht="61.5" customHeight="1" x14ac:dyDescent="0.25">
      <c r="B2" s="131" t="s">
        <v>101</v>
      </c>
      <c r="C2" s="131"/>
    </row>
    <row r="3" spans="2:4" ht="37.5" customHeight="1" x14ac:dyDescent="0.25">
      <c r="B3" s="132" t="s">
        <v>102</v>
      </c>
      <c r="C3" s="132"/>
      <c r="D3" s="132"/>
    </row>
    <row r="4" spans="2:4" x14ac:dyDescent="0.25">
      <c r="B4" s="7"/>
    </row>
    <row r="5" spans="2:4" ht="16.5" thickBot="1" x14ac:dyDescent="0.3">
      <c r="B5" s="46" t="s">
        <v>78</v>
      </c>
      <c r="C5" s="47" t="s">
        <v>79</v>
      </c>
      <c r="D5" s="60" t="s">
        <v>12</v>
      </c>
    </row>
    <row r="6" spans="2:4" ht="16.5" thickBot="1" x14ac:dyDescent="0.3">
      <c r="B6" s="86" t="s">
        <v>68</v>
      </c>
      <c r="C6" s="87" t="s">
        <v>68</v>
      </c>
      <c r="D6" s="88" t="s">
        <v>68</v>
      </c>
    </row>
    <row r="7" spans="2:4" ht="16.5" thickBot="1" x14ac:dyDescent="0.3">
      <c r="B7" s="77" t="s">
        <v>99</v>
      </c>
      <c r="C7" s="78" t="s">
        <v>100</v>
      </c>
      <c r="D7" s="79" t="s">
        <v>99</v>
      </c>
    </row>
    <row r="8" spans="2:4" ht="16.5" thickBot="1" x14ac:dyDescent="0.3">
      <c r="B8" s="86" t="s">
        <v>68</v>
      </c>
      <c r="C8" s="87" t="s">
        <v>68</v>
      </c>
      <c r="D8" s="88" t="s">
        <v>68</v>
      </c>
    </row>
    <row r="9" spans="2:4" ht="16.5" thickBot="1" x14ac:dyDescent="0.3">
      <c r="B9" s="77" t="s">
        <v>99</v>
      </c>
      <c r="C9" s="78" t="s">
        <v>100</v>
      </c>
      <c r="D9" s="79" t="s">
        <v>99</v>
      </c>
    </row>
    <row r="10" spans="2:4" ht="16.5" thickBot="1" x14ac:dyDescent="0.3">
      <c r="B10" s="86" t="s">
        <v>68</v>
      </c>
      <c r="C10" s="87" t="s">
        <v>68</v>
      </c>
      <c r="D10" s="88" t="s">
        <v>68</v>
      </c>
    </row>
    <row r="11" spans="2:4" ht="16.5" thickBot="1" x14ac:dyDescent="0.3">
      <c r="B11" s="77" t="s">
        <v>99</v>
      </c>
      <c r="C11" s="78" t="s">
        <v>100</v>
      </c>
      <c r="D11" s="79" t="s">
        <v>99</v>
      </c>
    </row>
    <row r="12" spans="2:4" ht="16.5" thickBot="1" x14ac:dyDescent="0.3">
      <c r="B12" s="86" t="s">
        <v>68</v>
      </c>
      <c r="C12" s="87" t="s">
        <v>68</v>
      </c>
      <c r="D12" s="88" t="s">
        <v>68</v>
      </c>
    </row>
    <row r="13" spans="2:4" ht="16.5" thickBot="1" x14ac:dyDescent="0.3">
      <c r="B13" s="77" t="s">
        <v>99</v>
      </c>
      <c r="C13" s="78" t="s">
        <v>100</v>
      </c>
      <c r="D13" s="79" t="s">
        <v>99</v>
      </c>
    </row>
    <row r="14" spans="2:4" ht="16.5" thickBot="1" x14ac:dyDescent="0.3">
      <c r="B14" s="86" t="s">
        <v>68</v>
      </c>
      <c r="C14" s="87" t="s">
        <v>68</v>
      </c>
      <c r="D14" s="88" t="s">
        <v>68</v>
      </c>
    </row>
    <row r="15" spans="2:4" ht="16.5" thickBot="1" x14ac:dyDescent="0.3">
      <c r="B15" s="77" t="s">
        <v>99</v>
      </c>
      <c r="C15" s="78" t="s">
        <v>100</v>
      </c>
      <c r="D15" s="79" t="s">
        <v>99</v>
      </c>
    </row>
    <row r="16" spans="2:4" ht="16.5" thickBot="1" x14ac:dyDescent="0.3">
      <c r="B16" s="86" t="s">
        <v>68</v>
      </c>
      <c r="C16" s="87" t="s">
        <v>68</v>
      </c>
      <c r="D16" s="88" t="s">
        <v>68</v>
      </c>
    </row>
    <row r="17" spans="2:4" ht="16.5" thickBot="1" x14ac:dyDescent="0.3">
      <c r="B17" s="77" t="s">
        <v>99</v>
      </c>
      <c r="C17" s="78" t="s">
        <v>100</v>
      </c>
      <c r="D17" s="79" t="s">
        <v>99</v>
      </c>
    </row>
    <row r="18" spans="2:4" ht="16.5" thickBot="1" x14ac:dyDescent="0.3">
      <c r="B18" s="86" t="s">
        <v>68</v>
      </c>
      <c r="C18" s="87" t="s">
        <v>68</v>
      </c>
      <c r="D18" s="88" t="s">
        <v>68</v>
      </c>
    </row>
    <row r="19" spans="2:4" ht="16.5" thickBot="1" x14ac:dyDescent="0.3">
      <c r="B19" s="77" t="s">
        <v>99</v>
      </c>
      <c r="C19" s="78" t="s">
        <v>100</v>
      </c>
      <c r="D19" s="79" t="s">
        <v>99</v>
      </c>
    </row>
    <row r="20" spans="2:4" ht="16.5" thickBot="1" x14ac:dyDescent="0.3">
      <c r="B20" s="86" t="s">
        <v>68</v>
      </c>
      <c r="C20" s="87" t="s">
        <v>68</v>
      </c>
      <c r="D20" s="88" t="s">
        <v>68</v>
      </c>
    </row>
    <row r="21" spans="2:4" ht="16.5" thickBot="1" x14ac:dyDescent="0.3">
      <c r="B21" s="77" t="s">
        <v>99</v>
      </c>
      <c r="C21" s="78" t="s">
        <v>100</v>
      </c>
      <c r="D21" s="79" t="s">
        <v>99</v>
      </c>
    </row>
    <row r="22" spans="2:4" ht="16.5" thickBot="1" x14ac:dyDescent="0.3">
      <c r="B22" s="86" t="s">
        <v>68</v>
      </c>
      <c r="C22" s="87" t="s">
        <v>68</v>
      </c>
      <c r="D22" s="88" t="s">
        <v>68</v>
      </c>
    </row>
    <row r="23" spans="2:4" ht="16.5" thickBot="1" x14ac:dyDescent="0.3">
      <c r="B23" s="77" t="s">
        <v>99</v>
      </c>
      <c r="C23" s="78" t="s">
        <v>100</v>
      </c>
      <c r="D23" s="79" t="s">
        <v>99</v>
      </c>
    </row>
    <row r="24" spans="2:4" ht="16.5" thickBot="1" x14ac:dyDescent="0.3">
      <c r="B24" s="86" t="s">
        <v>68</v>
      </c>
      <c r="C24" s="87" t="s">
        <v>68</v>
      </c>
      <c r="D24" s="88" t="s">
        <v>68</v>
      </c>
    </row>
    <row r="25" spans="2:4" ht="16.5" thickBot="1" x14ac:dyDescent="0.3">
      <c r="B25" s="77" t="s">
        <v>99</v>
      </c>
      <c r="C25" s="78" t="s">
        <v>100</v>
      </c>
      <c r="D25" s="79" t="s">
        <v>99</v>
      </c>
    </row>
    <row r="26" spans="2:4" ht="16.5" thickBot="1" x14ac:dyDescent="0.3">
      <c r="B26" s="86" t="s">
        <v>68</v>
      </c>
      <c r="C26" s="87" t="s">
        <v>68</v>
      </c>
      <c r="D26" s="88" t="s">
        <v>68</v>
      </c>
    </row>
    <row r="27" spans="2:4" ht="16.5" thickBot="1" x14ac:dyDescent="0.3">
      <c r="B27" s="77" t="s">
        <v>99</v>
      </c>
      <c r="C27" s="78" t="s">
        <v>100</v>
      </c>
      <c r="D27" s="79" t="s">
        <v>99</v>
      </c>
    </row>
    <row r="28" spans="2:4" ht="16.5" thickBot="1" x14ac:dyDescent="0.3">
      <c r="B28" s="86" t="s">
        <v>68</v>
      </c>
      <c r="C28" s="87" t="s">
        <v>68</v>
      </c>
      <c r="D28" s="88" t="s">
        <v>68</v>
      </c>
    </row>
  </sheetData>
  <sheetProtection algorithmName="SHA-512" hashValue="d0MOQpDF0MJGrygHNa+SDFJmEaXw+sOJYxm60qUTZ1UXNaJM8jVL+MaaLqX6N/pD9SB8xKwNMZgIAVeL4mRepQ==" saltValue="chd7osf/lgRXwaJIFApGtw==" spinCount="100000" sheet="1" formatCells="0" formatColumns="0" formatRows="0"/>
  <mergeCells count="2">
    <mergeCell ref="B2:C2"/>
    <mergeCell ref="B3:D3"/>
  </mergeCells>
  <pageMargins left="0.7" right="0.7" top="0.75" bottom="0.75" header="0.3" footer="0.3"/>
  <pageSetup paperSize="9" orientation="portrait" r:id="rId1"/>
  <headerFooter>
    <oddFooter>&amp;C_x000D_&amp;1#&amp;"Arial"&amp;9&amp;K000000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A1AE5-C9B9-B54B-99BD-493B455C2C30}">
  <dimension ref="A1:B1"/>
  <sheetViews>
    <sheetView workbookViewId="0"/>
  </sheetViews>
  <sheetFormatPr defaultColWidth="11" defaultRowHeight="15.75" x14ac:dyDescent="0.25"/>
  <cols>
    <col min="1" max="1" width="2.625" bestFit="1" customWidth="1"/>
    <col min="2" max="2" width="5.875" bestFit="1" customWidth="1"/>
  </cols>
  <sheetData>
    <row r="1" spans="1:2" x14ac:dyDescent="0.25">
      <c r="A1" t="s">
        <v>64</v>
      </c>
      <c r="B1" t="s">
        <v>114</v>
      </c>
    </row>
  </sheetData>
  <pageMargins left="0.7" right="0.7" top="0.75" bottom="0.75" header="0.3" footer="0.3"/>
  <headerFooter>
    <oddFooter>&amp;C_x000D_&amp;1#&amp;"Arial"&amp;9&amp;K000000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4E6A8-2E7A-4621-BC74-D2184E3DF70F}">
  <dimension ref="B1:I14"/>
  <sheetViews>
    <sheetView showGridLines="0" zoomScaleNormal="100" workbookViewId="0">
      <selection activeCell="C4" sqref="C4"/>
    </sheetView>
  </sheetViews>
  <sheetFormatPr defaultColWidth="18.125" defaultRowHeight="15.75" x14ac:dyDescent="0.25"/>
  <cols>
    <col min="1" max="1" width="15.375" customWidth="1"/>
    <col min="2" max="2" width="38.375" customWidth="1"/>
    <col min="3" max="4" width="19.125" customWidth="1"/>
    <col min="5" max="5" width="18.875" customWidth="1"/>
    <col min="6" max="6" width="22.5" customWidth="1"/>
    <col min="8" max="8" width="35" bestFit="1" customWidth="1"/>
  </cols>
  <sheetData>
    <row r="1" spans="2:9" ht="66" customHeight="1" x14ac:dyDescent="0.25">
      <c r="B1" s="133" t="s">
        <v>39</v>
      </c>
      <c r="C1" s="133"/>
      <c r="D1" s="133"/>
      <c r="H1" s="82" t="s">
        <v>112</v>
      </c>
      <c r="I1" s="82" t="str">
        <f>IF(AND(ISERROR(FIND("&lt;",_xlfn.CONCAT(C4:C5))),_xlfn.CONCAT(H3:H7)=""),"VALID","INVALID")</f>
        <v>INVALID</v>
      </c>
    </row>
    <row r="2" spans="2:9" x14ac:dyDescent="0.25">
      <c r="B2" s="53" t="s">
        <v>70</v>
      </c>
      <c r="C2" s="54"/>
    </row>
    <row r="3" spans="2:9" ht="16.5" thickBot="1" x14ac:dyDescent="0.3">
      <c r="B3" s="55" t="s">
        <v>40</v>
      </c>
      <c r="C3" s="92" t="s">
        <v>71</v>
      </c>
      <c r="D3" s="10" t="s">
        <v>41</v>
      </c>
      <c r="E3" s="134" t="s">
        <v>42</v>
      </c>
      <c r="F3" s="134"/>
      <c r="G3" s="134"/>
    </row>
    <row r="4" spans="2:9" ht="60.95" customHeight="1" thickBot="1" x14ac:dyDescent="0.3">
      <c r="B4" s="56" t="s">
        <v>43</v>
      </c>
      <c r="C4" s="94" t="s">
        <v>97</v>
      </c>
      <c r="D4" s="57" t="s">
        <v>44</v>
      </c>
      <c r="E4" s="135" t="s">
        <v>249</v>
      </c>
      <c r="F4" s="136"/>
      <c r="G4" s="137"/>
      <c r="H4" s="83" t="str">
        <f>IF(ISBLANK(C4),"&lt;---- This field cannot be left empty!","")</f>
        <v/>
      </c>
    </row>
    <row r="5" spans="2:9" ht="30.75" customHeight="1" thickBot="1" x14ac:dyDescent="0.3">
      <c r="B5" s="11" t="s">
        <v>45</v>
      </c>
      <c r="C5" s="95" t="s">
        <v>97</v>
      </c>
      <c r="D5" s="8" t="s">
        <v>44</v>
      </c>
      <c r="E5" s="138" t="s">
        <v>46</v>
      </c>
      <c r="F5" s="139"/>
      <c r="G5" s="140"/>
      <c r="H5" s="83" t="str">
        <f>IF(ISBLANK(C5),"&lt;---- This field cannot be left empty!","")</f>
        <v/>
      </c>
    </row>
    <row r="6" spans="2:9" x14ac:dyDescent="0.25">
      <c r="B6" s="7"/>
      <c r="C6" s="35"/>
    </row>
    <row r="7" spans="2:9" ht="21.75" customHeight="1" x14ac:dyDescent="0.25">
      <c r="B7" s="142" t="s">
        <v>104</v>
      </c>
      <c r="C7" s="142"/>
      <c r="D7" s="142"/>
      <c r="E7" s="142"/>
      <c r="F7" s="142"/>
    </row>
    <row r="8" spans="2:9" ht="16.5" thickBot="1" x14ac:dyDescent="0.3">
      <c r="B8" s="9" t="s">
        <v>40</v>
      </c>
      <c r="C8" s="91" t="s">
        <v>72</v>
      </c>
      <c r="D8" s="91" t="s">
        <v>71</v>
      </c>
      <c r="E8" s="91" t="s">
        <v>113</v>
      </c>
      <c r="F8" s="10" t="s">
        <v>41</v>
      </c>
    </row>
    <row r="9" spans="2:9" ht="34.5" customHeight="1" thickBot="1" x14ac:dyDescent="0.3">
      <c r="B9" s="56" t="s">
        <v>43</v>
      </c>
      <c r="C9" s="89" t="str">
        <f>IFERROR(VLOOKUP("perf_Overall_min",'HIDDEN Testrun Results'!$A:$B,2,FALSE),"&lt;min.  measurement&gt;")</f>
        <v>&lt;min.  measurement&gt;</v>
      </c>
      <c r="D9" s="89" t="str">
        <f>IFERROR(VLOOKUP("perf_Overall_max",'HIDDEN Testrun Results'!$A:$B,2,FALSE),"&lt;max.  measurement&gt;")</f>
        <v>&lt;max.  measurement&gt;</v>
      </c>
      <c r="E9" s="89" t="str">
        <f>IFERROR(VLOOKUP("perf_Overall_avg",'HIDDEN Testrun Results'!$A:$B,2,FALSE),"&lt;avg.  measurement&gt;")</f>
        <v>&lt;avg.  measurement&gt;</v>
      </c>
      <c r="F9" s="84" t="s">
        <v>44</v>
      </c>
    </row>
    <row r="10" spans="2:9" ht="33" customHeight="1" thickBot="1" x14ac:dyDescent="0.3">
      <c r="B10" s="11" t="s">
        <v>45</v>
      </c>
      <c r="C10" s="90" t="str">
        <f>IFERROR(VLOOKUP("perf_Authorize_min",'HIDDEN Testrun Results'!$A:$B,2,FALSE),"&lt;min.  measurement&gt;")</f>
        <v>&lt;min.  measurement&gt;</v>
      </c>
      <c r="D10" s="90" t="str">
        <f>IFERROR(VLOOKUP("perf_Authorize_max",'HIDDEN Testrun Results'!$A:$B,2,FALSE),"&lt;max.  measurement&gt;")</f>
        <v>&lt;max.  measurement&gt;</v>
      </c>
      <c r="E10" s="90" t="str">
        <f>IFERROR(VLOOKUP("perf_Authorize_avg",'HIDDEN Testrun Results'!$A:$B,2,FALSE),"&lt;avg.  measurement&gt;")</f>
        <v>&lt;avg.  measurement&gt;</v>
      </c>
      <c r="F10" s="85" t="s">
        <v>44</v>
      </c>
    </row>
    <row r="11" spans="2:9" x14ac:dyDescent="0.25">
      <c r="B11" s="7"/>
      <c r="C11" s="35"/>
    </row>
    <row r="12" spans="2:9" ht="30" x14ac:dyDescent="0.25">
      <c r="B12" s="58" t="s">
        <v>73</v>
      </c>
      <c r="C12" s="76" t="s">
        <v>96</v>
      </c>
    </row>
    <row r="13" spans="2:9" x14ac:dyDescent="0.25">
      <c r="B13" s="7"/>
      <c r="C13" s="35"/>
    </row>
    <row r="14" spans="2:9" ht="90" customHeight="1" x14ac:dyDescent="0.25">
      <c r="B14" s="141" t="s">
        <v>74</v>
      </c>
      <c r="C14" s="141"/>
    </row>
  </sheetData>
  <sheetProtection algorithmName="SHA-512" hashValue="5yk88CXeLqYdlDfcPgDNOn07D5DgEMH1TBQT/AMF6Mp1roxXvYaoL9S5tTbSL4nwcBOLAoRTvN9uHSEpzaNOEA==" saltValue="ucllHvrE8ya7fGoLKUA4Mg==" spinCount="100000" sheet="1" objects="1" scenarios="1"/>
  <mergeCells count="6">
    <mergeCell ref="B1:D1"/>
    <mergeCell ref="E3:G3"/>
    <mergeCell ref="E4:G4"/>
    <mergeCell ref="E5:G5"/>
    <mergeCell ref="B14:C14"/>
    <mergeCell ref="B7:F7"/>
  </mergeCells>
  <conditionalFormatting sqref="I1">
    <cfRule type="cellIs" dxfId="3" priority="1" operator="equal">
      <formula>"INVALID"</formula>
    </cfRule>
    <cfRule type="cellIs" dxfId="2" priority="2" operator="equal">
      <formula>"VALID"</formula>
    </cfRule>
  </conditionalFormatting>
  <dataValidations count="2">
    <dataValidation type="list" allowBlank="1" showInputMessage="1" showErrorMessage="1" sqref="C12" xr:uid="{7CE196C6-BC2A-2941-B416-0644DA08E005}">
      <formula1>"WiFi,Ethernet,Mobile Network"</formula1>
    </dataValidation>
    <dataValidation type="decimal" operator="greaterThan" showInputMessage="1" showErrorMessage="1" sqref="C4:C5" xr:uid="{CB80E3C8-4A56-4943-9353-4C48B1A9626E}">
      <formula1>0</formula1>
    </dataValidation>
  </dataValidations>
  <pageMargins left="0.7" right="0.7" top="0.75" bottom="0.75" header="0.3" footer="0.3"/>
  <pageSetup orientation="portrait" r:id="rId1"/>
  <headerFooter>
    <oddFooter>&amp;C_x000D_&amp;1#&amp;"Arial"&amp;9&amp;K000000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BD5A-22C3-6847-B8C8-F11F5C65CC1A}">
  <sheetPr>
    <outlinePr summaryBelow="0" summaryRight="0"/>
  </sheetPr>
  <dimension ref="A1:M249"/>
  <sheetViews>
    <sheetView zoomScaleNormal="100" workbookViewId="0"/>
  </sheetViews>
  <sheetFormatPr defaultColWidth="11.125" defaultRowHeight="15.75" outlineLevelCol="1" x14ac:dyDescent="0.25"/>
  <cols>
    <col min="1" max="1" width="19" customWidth="1"/>
    <col min="2" max="2" width="26.625" bestFit="1" customWidth="1"/>
    <col min="3" max="3" width="84.625" customWidth="1"/>
    <col min="4" max="4" width="44.5" customWidth="1"/>
    <col min="5" max="5" width="50.625" bestFit="1" customWidth="1"/>
    <col min="6" max="6" width="15.625" bestFit="1" customWidth="1"/>
    <col min="7" max="7" width="10.125" style="31" customWidth="1"/>
    <col min="8" max="8" width="45.375" style="31" customWidth="1" collapsed="1"/>
    <col min="9" max="11" width="45.375" style="31" hidden="1" customWidth="1" outlineLevel="1"/>
    <col min="12" max="12" width="17.25" customWidth="1"/>
    <col min="13" max="13" width="51.125" customWidth="1"/>
  </cols>
  <sheetData>
    <row r="1" spans="1:13" x14ac:dyDescent="0.25">
      <c r="A1" s="32" t="s">
        <v>27</v>
      </c>
      <c r="B1" s="32" t="s">
        <v>10</v>
      </c>
      <c r="C1" s="32" t="s">
        <v>28</v>
      </c>
      <c r="D1" s="32" t="s">
        <v>29</v>
      </c>
      <c r="E1" s="32" t="s">
        <v>30</v>
      </c>
      <c r="F1" s="32" t="s">
        <v>31</v>
      </c>
      <c r="G1" s="28" t="s">
        <v>32</v>
      </c>
      <c r="H1" s="28" t="s">
        <v>33</v>
      </c>
      <c r="I1" s="28" t="s">
        <v>34</v>
      </c>
      <c r="J1" s="28" t="s">
        <v>248</v>
      </c>
      <c r="K1" s="28" t="s">
        <v>35</v>
      </c>
      <c r="L1" s="28" t="s">
        <v>301</v>
      </c>
      <c r="M1" s="126" t="s">
        <v>302</v>
      </c>
    </row>
    <row r="2" spans="1:13" x14ac:dyDescent="0.25">
      <c r="A2" t="str">
        <f>'HIDDEN import'!B2</f>
        <v>TC_001_CSMS</v>
      </c>
      <c r="B2" t="str">
        <f>'HIDDEN import'!C2</f>
        <v>Core</v>
      </c>
      <c r="C2" t="str">
        <f>'HIDDEN import'!D2</f>
        <v>Cold Boot Charge Point</v>
      </c>
      <c r="D2" t="str">
        <f>IF(VLOOKUP(A2&amp;" "&amp;B2,'HIDDEN import'!A:G,5,FALSE)="M",MD!$A$1,IF(VLOOKUP(A2&amp;" "&amp;B2,'HIDDEN import'!A:G,5,FALSE)="O",MD!$A$4,(IF(AND(VLOOKUP(A2,'HIDDEN import'!B:E,4,FALSE)="C",OR(NOT(ISERROR(VLOOKUP(E2,'HIDDEN calc sheet'!A:C,1,FALSE)=E2)))),MD!$A$3,MD!$A$2))))</f>
        <v>Mandatory test for a mandatory feature</v>
      </c>
      <c r="E2" t="str">
        <f>IF('HIDDEN import'!F2=0,"",'HIDDEN import'!F2)</f>
        <v/>
      </c>
      <c r="F2" t="str">
        <f>IF('HIDDEN import'!G2=0,"",'HIDDEN import'!G2)</f>
        <v/>
      </c>
      <c r="G2" s="31" t="str">
        <f>IFERROR(VLOOKUP($A2,'HIDDEN Testrun Results'!$A:$B,2,FALSE),"")</f>
        <v/>
      </c>
      <c r="H2" s="31" t="b">
        <f>IF(J2,"Up to vendor",IF(NOT(ISLOGICAL(I2)),I2,AND(I2,K2)))</f>
        <v>1</v>
      </c>
      <c r="I2" s="31" t="b">
        <f>IF(VLOOKUP(A2&amp;" "&amp;B2,'HIDDEN import'!A:G,5,FALSE)="M",TRUE,IFERROR(VLOOKUP(E2,#REF!,3,FALSE)="Yes",IFERROR(VLOOKUP(E2,'HIDDEN calc sheet'!A:B,2,FALSE),VLOOKUP(E2,'Additional questions'!B:D,3,FALSE)="Yes")))</f>
        <v>1</v>
      </c>
      <c r="J2" s="31" t="b">
        <f>IF(D2="Optional test case",TRUE,FALSE)</f>
        <v>0</v>
      </c>
      <c r="K2" t="b">
        <f>OR(IFERROR(VLOOKUP(B2,'Profile selection'!B:C,2,FALSE)="Yes",FALSE),AND(B2="Security",OR(VLOOKUP("Security Profile 2",'Profile selection'!B:C,2)="Yes",VLOOKUP("Security Profile 3",'Profile selection'!B:C,2)="Yes")))</f>
        <v>1</v>
      </c>
      <c r="L2" s="35"/>
      <c r="M2" s="35"/>
    </row>
    <row r="3" spans="1:13" x14ac:dyDescent="0.25">
      <c r="A3" t="str">
        <f>'HIDDEN import'!B3</f>
        <v>TC_003_CSMS</v>
      </c>
      <c r="B3" t="str">
        <f>'HIDDEN import'!C3</f>
        <v>Core</v>
      </c>
      <c r="C3" t="str">
        <f>'HIDDEN import'!D3</f>
        <v>Regular Charging Session - Plugin First</v>
      </c>
      <c r="D3" t="str">
        <f>IF(VLOOKUP(A3&amp;" "&amp;B3,'HIDDEN import'!A:G,5,FALSE)="M",MD!$A$1,IF(VLOOKUP(A3&amp;" "&amp;B3,'HIDDEN import'!A:G,5,FALSE)="O",MD!$A$4,(IF(AND(VLOOKUP(A3,'HIDDEN import'!B:E,4,FALSE)="C",OR(NOT(ISERROR(VLOOKUP(E3,'HIDDEN calc sheet'!A:C,1,FALSE)=E3)))),MD!$A$3,MD!$A$2))))</f>
        <v>Mandatory test for a mandatory feature</v>
      </c>
      <c r="E3" t="str">
        <f>IF('HIDDEN import'!F3=0,"",'HIDDEN import'!F3)</f>
        <v/>
      </c>
      <c r="F3" t="str">
        <f>IF('HIDDEN import'!G3=0,"",'HIDDEN import'!G3)</f>
        <v/>
      </c>
      <c r="G3" s="31" t="str">
        <f>IFERROR(VLOOKUP($A3,'HIDDEN Testrun Results'!$A:$B,2,FALSE),"")</f>
        <v/>
      </c>
      <c r="H3" s="31" t="b">
        <f t="shared" ref="H3:H58" si="0">IF(J3,"Up to vendor",IF(NOT(ISLOGICAL(I3)),I3,AND(I3,K3)))</f>
        <v>1</v>
      </c>
      <c r="I3" s="31" t="b">
        <f>IF(VLOOKUP(A3&amp;" "&amp;B3,'HIDDEN import'!A:G,5,FALSE)="M",TRUE,IFERROR(VLOOKUP(E3,#REF!,3,FALSE)="Yes",IFERROR(VLOOKUP(E3,'HIDDEN calc sheet'!A:B,2,FALSE),VLOOKUP(E3,'Additional questions'!B:D,3,FALSE)="Yes")))</f>
        <v>1</v>
      </c>
      <c r="J3" s="31" t="b">
        <f t="shared" ref="J3:J58" si="1">IF(D3="Optional test case",TRUE,FALSE)</f>
        <v>0</v>
      </c>
      <c r="K3" t="b">
        <f>OR(IFERROR(VLOOKUP(B3,'Profile selection'!B:C,2,FALSE)="Yes",FALSE),AND(B3="Security",OR(VLOOKUP("Security Profile 2",'Profile selection'!B:C,2)="Yes",VLOOKUP("Security Profile 3",'Profile selection'!B:C,2)="Yes")))</f>
        <v>1</v>
      </c>
      <c r="L3" s="35"/>
      <c r="M3" s="35"/>
    </row>
    <row r="4" spans="1:13" x14ac:dyDescent="0.25">
      <c r="A4" t="str">
        <f>'HIDDEN import'!B4</f>
        <v>TC_004_1_CSMS</v>
      </c>
      <c r="B4" t="str">
        <f>'HIDDEN import'!C4</f>
        <v>Core</v>
      </c>
      <c r="C4" t="str">
        <f>'HIDDEN import'!D4</f>
        <v>Regular Charging Session – Identification First</v>
      </c>
      <c r="D4" t="str">
        <f>IF(VLOOKUP(A4&amp;" "&amp;B4,'HIDDEN import'!A:G,5,FALSE)="M",MD!$A$1,IF(VLOOKUP(A4&amp;" "&amp;B4,'HIDDEN import'!A:G,5,FALSE)="O",MD!$A$4,(IF(AND(VLOOKUP(A4,'HIDDEN import'!B:E,4,FALSE)="C",OR(NOT(ISERROR(VLOOKUP(E4,'HIDDEN calc sheet'!A:C,1,FALSE)=E4)))),MD!$A$3,MD!$A$2))))</f>
        <v>Mandatory test for a mandatory feature</v>
      </c>
      <c r="E4" t="str">
        <f>IF('HIDDEN import'!F4=0,"",'HIDDEN import'!F4)</f>
        <v/>
      </c>
      <c r="F4" t="str">
        <f>IF('HIDDEN import'!G4=0,"",'HIDDEN import'!G4)</f>
        <v/>
      </c>
      <c r="G4" s="31" t="str">
        <f>IFERROR(VLOOKUP($A4,'HIDDEN Testrun Results'!$A:$B,2,FALSE),"")</f>
        <v/>
      </c>
      <c r="H4" s="31" t="b">
        <f t="shared" si="0"/>
        <v>1</v>
      </c>
      <c r="I4" s="31" t="b">
        <f>IF(VLOOKUP(A4&amp;" "&amp;B4,'HIDDEN import'!A:G,5,FALSE)="M",TRUE,IFERROR(VLOOKUP(E4,#REF!,3,FALSE)="Yes",IFERROR(VLOOKUP(E4,'HIDDEN calc sheet'!A:B,2,FALSE),VLOOKUP(E4,'Additional questions'!B:D,3,FALSE)="Yes")))</f>
        <v>1</v>
      </c>
      <c r="J4" s="31" t="b">
        <f t="shared" si="1"/>
        <v>0</v>
      </c>
      <c r="K4" t="b">
        <f>OR(IFERROR(VLOOKUP(B4,'Profile selection'!B:C,2,FALSE)="Yes",FALSE),AND(B4="Security",OR(VLOOKUP("Security Profile 2",'Profile selection'!B:C,2)="Yes",VLOOKUP("Security Profile 3",'Profile selection'!B:C,2)="Yes")))</f>
        <v>1</v>
      </c>
      <c r="L4" s="35"/>
      <c r="M4" s="35"/>
    </row>
    <row r="5" spans="1:13" x14ac:dyDescent="0.25">
      <c r="A5" t="str">
        <f>'HIDDEN import'!B5</f>
        <v>TC_004_2_CSMS</v>
      </c>
      <c r="B5" t="str">
        <f>'HIDDEN import'!C5</f>
        <v>Core</v>
      </c>
      <c r="C5" t="str">
        <f>'HIDDEN import'!D5</f>
        <v>Regular Charging Session – Identification First - ConnectionTimeOut</v>
      </c>
      <c r="D5" t="str">
        <f>IF(VLOOKUP(A5&amp;" "&amp;B5,'HIDDEN import'!A:G,5,FALSE)="M",MD!$A$1,IF(VLOOKUP(A5&amp;" "&amp;B5,'HIDDEN import'!A:G,5,FALSE)="O",MD!$A$4,(IF(AND(VLOOKUP(A5,'HIDDEN import'!B:E,4,FALSE)="C",OR(NOT(ISERROR(VLOOKUP(E5,'HIDDEN calc sheet'!A:C,1,FALSE)=E5)))),MD!$A$3,MD!$A$2))))</f>
        <v>Mandatory test for a mandatory feature</v>
      </c>
      <c r="E5" t="str">
        <f>IF('HIDDEN import'!F5=0,"",'HIDDEN import'!F5)</f>
        <v/>
      </c>
      <c r="F5" t="str">
        <f>IF('HIDDEN import'!G5=0,"",'HIDDEN import'!G5)</f>
        <v/>
      </c>
      <c r="G5" s="31" t="str">
        <f>IFERROR(VLOOKUP($A5,'HIDDEN Testrun Results'!$A:$B,2,FALSE),"")</f>
        <v/>
      </c>
      <c r="H5" s="31" t="b">
        <f t="shared" si="0"/>
        <v>1</v>
      </c>
      <c r="I5" s="31" t="b">
        <f>IF(VLOOKUP(A5&amp;" "&amp;B5,'HIDDEN import'!A:G,5,FALSE)="M",TRUE,IFERROR(VLOOKUP(E5,#REF!,3,FALSE)="Yes",IFERROR(VLOOKUP(E5,'HIDDEN calc sheet'!A:B,2,FALSE),VLOOKUP(E5,'Additional questions'!B:D,3,FALSE)="Yes")))</f>
        <v>1</v>
      </c>
      <c r="J5" s="31" t="b">
        <f t="shared" si="1"/>
        <v>0</v>
      </c>
      <c r="K5" t="b">
        <f>OR(IFERROR(VLOOKUP(B5,'Profile selection'!B:C,2,FALSE)="Yes",FALSE),AND(B5="Security",OR(VLOOKUP("Security Profile 2",'Profile selection'!B:C,2)="Yes",VLOOKUP("Security Profile 3",'Profile selection'!B:C,2)="Yes")))</f>
        <v>1</v>
      </c>
      <c r="L5" s="35"/>
      <c r="M5" s="35"/>
    </row>
    <row r="6" spans="1:13" x14ac:dyDescent="0.25">
      <c r="A6" t="str">
        <f>'HIDDEN import'!B6</f>
        <v>TC_005_1_CSMS</v>
      </c>
      <c r="B6" t="str">
        <f>'HIDDEN import'!C6</f>
        <v>Core</v>
      </c>
      <c r="C6" t="str">
        <f>'HIDDEN import'!D6</f>
        <v>EV Side Disconnected - StopTransactionOnEVSideDisconnect = true - UnlockConnectorOnEVSideDisconnect = true</v>
      </c>
      <c r="D6" t="str">
        <f>IF(VLOOKUP(A6&amp;" "&amp;B6,'HIDDEN import'!A:G,5,FALSE)="M",MD!$A$1,IF(VLOOKUP(A6&amp;" "&amp;B6,'HIDDEN import'!A:G,5,FALSE)="O",MD!$A$4,(IF(AND(VLOOKUP(A6,'HIDDEN import'!B:E,4,FALSE)="C",OR(NOT(ISERROR(VLOOKUP(E6,'HIDDEN calc sheet'!A:C,1,FALSE)=E6)))),MD!$A$3,MD!$A$2))))</f>
        <v>Mandatory test for a mandatory feature</v>
      </c>
      <c r="E6" t="str">
        <f>IF('HIDDEN import'!F6=0,"",'HIDDEN import'!F6)</f>
        <v/>
      </c>
      <c r="F6" t="str">
        <f>IF('HIDDEN import'!G6=0,"",'HIDDEN import'!G6)</f>
        <v/>
      </c>
      <c r="G6" s="31" t="str">
        <f>IFERROR(VLOOKUP($A6,'HIDDEN Testrun Results'!$A:$B,2,FALSE),"")</f>
        <v/>
      </c>
      <c r="H6" s="31" t="b">
        <f t="shared" si="0"/>
        <v>1</v>
      </c>
      <c r="I6" s="31" t="b">
        <f>IF(VLOOKUP(A6&amp;" "&amp;B6,'HIDDEN import'!A:G,5,FALSE)="M",TRUE,IFERROR(VLOOKUP(E6,#REF!,3,FALSE)="Yes",IFERROR(VLOOKUP(E6,'HIDDEN calc sheet'!A:B,2,FALSE),VLOOKUP(E6,'Additional questions'!B:D,3,FALSE)="Yes")))</f>
        <v>1</v>
      </c>
      <c r="J6" s="31" t="b">
        <f t="shared" si="1"/>
        <v>0</v>
      </c>
      <c r="K6" t="b">
        <f>OR(IFERROR(VLOOKUP(B6,'Profile selection'!B:C,2,FALSE)="Yes",FALSE),AND(B6="Security",OR(VLOOKUP("Security Profile 2",'Profile selection'!B:C,2)="Yes",VLOOKUP("Security Profile 3",'Profile selection'!B:C,2)="Yes")))</f>
        <v>1</v>
      </c>
      <c r="L6" s="35"/>
      <c r="M6" s="35"/>
    </row>
    <row r="7" spans="1:13" x14ac:dyDescent="0.25">
      <c r="A7" t="str">
        <f>'HIDDEN import'!B7</f>
        <v>TC_007_CSMS</v>
      </c>
      <c r="B7" t="str">
        <f>'HIDDEN import'!C7</f>
        <v>Core</v>
      </c>
      <c r="C7" t="str">
        <f>'HIDDEN import'!D7</f>
        <v>Regular Start Charging Session – Cached Id</v>
      </c>
      <c r="D7" t="str">
        <f>IF(VLOOKUP(A7&amp;" "&amp;B7,'HIDDEN import'!A:G,5,FALSE)="M",MD!$A$1,IF(VLOOKUP(A7&amp;" "&amp;B7,'HIDDEN import'!A:G,5,FALSE)="O",MD!$A$4,(IF(AND(VLOOKUP(A7,'HIDDEN import'!B:E,4,FALSE)="C",OR(NOT(ISERROR(VLOOKUP(E7,'HIDDEN calc sheet'!A:C,1,FALSE)=E7)))),MD!$A$3,MD!$A$2))))</f>
        <v>Mandatory test for a mandatory feature</v>
      </c>
      <c r="E7" t="str">
        <f>IF('HIDDEN import'!F7=0,"",'HIDDEN import'!F7)</f>
        <v/>
      </c>
      <c r="F7" t="str">
        <f>IF('HIDDEN import'!G7=0,"",'HIDDEN import'!G7)</f>
        <v/>
      </c>
      <c r="G7" s="31" t="str">
        <f>IFERROR(VLOOKUP($A7,'HIDDEN Testrun Results'!$A:$B,2,FALSE),"")</f>
        <v/>
      </c>
      <c r="H7" s="31" t="b">
        <f t="shared" si="0"/>
        <v>1</v>
      </c>
      <c r="I7" s="31" t="b">
        <f>IF(VLOOKUP(A7&amp;" "&amp;B7,'HIDDEN import'!A:G,5,FALSE)="M",TRUE,IFERROR(VLOOKUP(E7,#REF!,3,FALSE)="Yes",IFERROR(VLOOKUP(E7,'HIDDEN calc sheet'!A:B,2,FALSE),VLOOKUP(E7,'Additional questions'!B:D,3,FALSE)="Yes")))</f>
        <v>1</v>
      </c>
      <c r="J7" s="31" t="b">
        <f t="shared" si="1"/>
        <v>0</v>
      </c>
      <c r="K7" t="b">
        <f>OR(IFERROR(VLOOKUP(B7,'Profile selection'!B:C,2,FALSE)="Yes",FALSE),AND(B7="Security",OR(VLOOKUP("Security Profile 2",'Profile selection'!B:C,2)="Yes",VLOOKUP("Security Profile 3",'Profile selection'!B:C,2)="Yes")))</f>
        <v>1</v>
      </c>
      <c r="L7" s="35"/>
      <c r="M7" s="35"/>
    </row>
    <row r="8" spans="1:13" x14ac:dyDescent="0.25">
      <c r="A8" t="str">
        <f>'HIDDEN import'!B8</f>
        <v>TC_061_CSMS</v>
      </c>
      <c r="B8" t="str">
        <f>'HIDDEN import'!C8</f>
        <v>Core</v>
      </c>
      <c r="C8" t="str">
        <f>'HIDDEN import'!D8</f>
        <v>Clear Authorization Data in Authorization Cache</v>
      </c>
      <c r="D8" t="str">
        <f>IF(VLOOKUP(A8&amp;" "&amp;B8,'HIDDEN import'!A:G,5,FALSE)="M",MD!$A$1,IF(VLOOKUP(A8&amp;" "&amp;B8,'HIDDEN import'!A:G,5,FALSE)="O",MD!$A$4,(IF(AND(VLOOKUP(A8,'HIDDEN import'!B:E,4,FALSE)="C",OR(NOT(ISERROR(VLOOKUP(E8,'HIDDEN calc sheet'!A:C,1,FALSE)=E8)))),MD!$A$3,MD!$A$2))))</f>
        <v>Mandatory test for a mandatory feature</v>
      </c>
      <c r="E8" t="str">
        <f>IF('HIDDEN import'!F8=0,"",'HIDDEN import'!F8)</f>
        <v/>
      </c>
      <c r="F8" t="str">
        <f>IF('HIDDEN import'!G8=0,"",'HIDDEN import'!G8)</f>
        <v/>
      </c>
      <c r="G8" s="31" t="str">
        <f>IFERROR(VLOOKUP($A8,'HIDDEN Testrun Results'!$A:$B,2,FALSE),"")</f>
        <v/>
      </c>
      <c r="H8" s="31" t="b">
        <f t="shared" si="0"/>
        <v>1</v>
      </c>
      <c r="I8" s="31" t="b">
        <f>IF(VLOOKUP(A8&amp;" "&amp;B8,'HIDDEN import'!A:G,5,FALSE)="M",TRUE,IFERROR(VLOOKUP(E8,#REF!,3,FALSE)="Yes",IFERROR(VLOOKUP(E8,'HIDDEN calc sheet'!A:B,2,FALSE),VLOOKUP(E8,'Additional questions'!B:D,3,FALSE)="Yes")))</f>
        <v>1</v>
      </c>
      <c r="J8" s="31" t="b">
        <f t="shared" si="1"/>
        <v>0</v>
      </c>
      <c r="K8" t="b">
        <f>OR(IFERROR(VLOOKUP(B8,'Profile selection'!B:C,2,FALSE)="Yes",FALSE),AND(B8="Security",OR(VLOOKUP("Security Profile 2",'Profile selection'!B:C,2)="Yes",VLOOKUP("Security Profile 3",'Profile selection'!B:C,2)="Yes")))</f>
        <v>1</v>
      </c>
      <c r="L8" s="35"/>
      <c r="M8" s="35"/>
    </row>
    <row r="9" spans="1:13" x14ac:dyDescent="0.25">
      <c r="A9" t="str">
        <f>'HIDDEN import'!B9</f>
        <v>TC_010_CSMS</v>
      </c>
      <c r="B9" t="str">
        <f>'HIDDEN import'!C9</f>
        <v>Core</v>
      </c>
      <c r="C9" t="str">
        <f>'HIDDEN import'!D9</f>
        <v>Remote Start Charging Session – Cable Plugged in First</v>
      </c>
      <c r="D9" t="str">
        <f>IF(VLOOKUP(A9&amp;" "&amp;B9,'HIDDEN import'!A:G,5,FALSE)="M",MD!$A$1,IF(VLOOKUP(A9&amp;" "&amp;B9,'HIDDEN import'!A:G,5,FALSE)="O",MD!$A$4,(IF(AND(VLOOKUP(A9,'HIDDEN import'!B:E,4,FALSE)="C",OR(NOT(ISERROR(VLOOKUP(E9,'HIDDEN calc sheet'!A:C,1,FALSE)=E9)))),MD!$A$3,MD!$A$2))))</f>
        <v>Mandatory test for a mandatory feature</v>
      </c>
      <c r="E9" t="str">
        <f>IF('HIDDEN import'!F9=0,"",'HIDDEN import'!F9)</f>
        <v/>
      </c>
      <c r="F9" t="str">
        <f>IF('HIDDEN import'!G9=0,"",'HIDDEN import'!G9)</f>
        <v/>
      </c>
      <c r="G9" s="31" t="str">
        <f>IFERROR(VLOOKUP($A9,'HIDDEN Testrun Results'!$A:$B,2,FALSE),"")</f>
        <v/>
      </c>
      <c r="H9" s="31" t="b">
        <f t="shared" si="0"/>
        <v>1</v>
      </c>
      <c r="I9" s="31" t="b">
        <f>IF(VLOOKUP(A9&amp;" "&amp;B9,'HIDDEN import'!A:G,5,FALSE)="M",TRUE,IFERROR(VLOOKUP(E9,#REF!,3,FALSE)="Yes",IFERROR(VLOOKUP(E9,'HIDDEN calc sheet'!A:B,2,FALSE),VLOOKUP(E9,'Additional questions'!B:D,3,FALSE)="Yes")))</f>
        <v>1</v>
      </c>
      <c r="J9" s="31" t="b">
        <f t="shared" si="1"/>
        <v>0</v>
      </c>
      <c r="K9" t="b">
        <f>OR(IFERROR(VLOOKUP(B9,'Profile selection'!B:C,2,FALSE)="Yes",FALSE),AND(B9="Security",OR(VLOOKUP("Security Profile 2",'Profile selection'!B:C,2)="Yes",VLOOKUP("Security Profile 3",'Profile selection'!B:C,2)="Yes")))</f>
        <v>1</v>
      </c>
      <c r="L9" s="35"/>
      <c r="M9" s="35"/>
    </row>
    <row r="10" spans="1:13" x14ac:dyDescent="0.25">
      <c r="A10" t="str">
        <f>'HIDDEN import'!B10</f>
        <v>TC_011_1_CSMS</v>
      </c>
      <c r="B10" t="str">
        <f>'HIDDEN import'!C10</f>
        <v>Core</v>
      </c>
      <c r="C10" t="str">
        <f>'HIDDEN import'!D10</f>
        <v>Remote Start Charging Session – Remote Start First</v>
      </c>
      <c r="D10" t="str">
        <f>IF(VLOOKUP(A10&amp;" "&amp;B10,'HIDDEN import'!A:G,5,FALSE)="M",MD!$A$1,IF(VLOOKUP(A10&amp;" "&amp;B10,'HIDDEN import'!A:G,5,FALSE)="O",MD!$A$4,(IF(AND(VLOOKUP(A10,'HIDDEN import'!B:E,4,FALSE)="C",OR(NOT(ISERROR(VLOOKUP(E10,'HIDDEN calc sheet'!A:C,1,FALSE)=E10)))),MD!$A$3,MD!$A$2))))</f>
        <v>Mandatory test for a mandatory feature</v>
      </c>
      <c r="E10" t="str">
        <f>IF('HIDDEN import'!F10=0,"",'HIDDEN import'!F10)</f>
        <v/>
      </c>
      <c r="F10" t="str">
        <f>IF('HIDDEN import'!G10=0,"",'HIDDEN import'!G10)</f>
        <v/>
      </c>
      <c r="G10" s="31" t="str">
        <f>IFERROR(VLOOKUP($A10,'HIDDEN Testrun Results'!$A:$B,2,FALSE),"")</f>
        <v/>
      </c>
      <c r="H10" s="31" t="b">
        <f t="shared" si="0"/>
        <v>1</v>
      </c>
      <c r="I10" s="31" t="b">
        <f>IF(VLOOKUP(A10&amp;" "&amp;B10,'HIDDEN import'!A:G,5,FALSE)="M",TRUE,IFERROR(VLOOKUP(E10,#REF!,3,FALSE)="Yes",IFERROR(VLOOKUP(E10,'HIDDEN calc sheet'!A:B,2,FALSE),VLOOKUP(E10,'Additional questions'!B:D,3,FALSE)="Yes")))</f>
        <v>1</v>
      </c>
      <c r="J10" s="31" t="b">
        <f t="shared" si="1"/>
        <v>0</v>
      </c>
      <c r="K10" t="b">
        <f>OR(IFERROR(VLOOKUP(B10,'Profile selection'!B:C,2,FALSE)="Yes",FALSE),AND(B10="Security",OR(VLOOKUP("Security Profile 2",'Profile selection'!B:C,2)="Yes",VLOOKUP("Security Profile 3",'Profile selection'!B:C,2)="Yes")))</f>
        <v>1</v>
      </c>
      <c r="L10" s="35"/>
      <c r="M10" s="35"/>
    </row>
    <row r="11" spans="1:13" x14ac:dyDescent="0.25">
      <c r="A11" t="str">
        <f>'HIDDEN import'!B11</f>
        <v>TC_011_2_CSMS</v>
      </c>
      <c r="B11" t="str">
        <f>'HIDDEN import'!C11</f>
        <v>Core</v>
      </c>
      <c r="C11" t="str">
        <f>'HIDDEN import'!D11</f>
        <v>Remote Start Charging Session – Time Out</v>
      </c>
      <c r="D11" t="str">
        <f>IF(VLOOKUP(A11&amp;" "&amp;B11,'HIDDEN import'!A:G,5,FALSE)="M",MD!$A$1,IF(VLOOKUP(A11&amp;" "&amp;B11,'HIDDEN import'!A:G,5,FALSE)="O",MD!$A$4,(IF(AND(VLOOKUP(A11,'HIDDEN import'!B:E,4,FALSE)="C",OR(NOT(ISERROR(VLOOKUP(E11,'HIDDEN calc sheet'!A:C,1,FALSE)=E11)))),MD!$A$3,MD!$A$2))))</f>
        <v>Mandatory test for a mandatory feature</v>
      </c>
      <c r="E11" t="str">
        <f>IF('HIDDEN import'!F11=0,"",'HIDDEN import'!F11)</f>
        <v/>
      </c>
      <c r="F11" t="str">
        <f>IF('HIDDEN import'!G11=0,"",'HIDDEN import'!G11)</f>
        <v/>
      </c>
      <c r="G11" s="31" t="str">
        <f>IFERROR(VLOOKUP($A11,'HIDDEN Testrun Results'!$A:$B,2,FALSE),"")</f>
        <v/>
      </c>
      <c r="H11" s="31" t="b">
        <f t="shared" si="0"/>
        <v>1</v>
      </c>
      <c r="I11" s="31" t="b">
        <f>IF(VLOOKUP(A11&amp;" "&amp;B11,'HIDDEN import'!A:G,5,FALSE)="M",TRUE,IFERROR(VLOOKUP(E11,#REF!,3,FALSE)="Yes",IFERROR(VLOOKUP(E11,'HIDDEN calc sheet'!A:B,2,FALSE),VLOOKUP(E11,'Additional questions'!B:D,3,FALSE)="Yes")))</f>
        <v>1</v>
      </c>
      <c r="J11" s="31" t="b">
        <f t="shared" si="1"/>
        <v>0</v>
      </c>
      <c r="K11" t="b">
        <f>OR(IFERROR(VLOOKUP(B11,'Profile selection'!B:C,2,FALSE)="Yes",FALSE),AND(B11="Security",OR(VLOOKUP("Security Profile 2",'Profile selection'!B:C,2)="Yes",VLOOKUP("Security Profile 3",'Profile selection'!B:C,2)="Yes")))</f>
        <v>1</v>
      </c>
      <c r="L11" s="35"/>
      <c r="M11" s="35"/>
    </row>
    <row r="12" spans="1:13" x14ac:dyDescent="0.25">
      <c r="A12" t="str">
        <f>'HIDDEN import'!B12</f>
        <v>TC_012_CSMS</v>
      </c>
      <c r="B12" t="str">
        <f>'HIDDEN import'!C12</f>
        <v>Core</v>
      </c>
      <c r="C12" t="str">
        <f>'HIDDEN import'!D12</f>
        <v>Remote Stop Charging Session</v>
      </c>
      <c r="D12" t="str">
        <f>IF(VLOOKUP(A12&amp;" "&amp;B12,'HIDDEN import'!A:G,5,FALSE)="M",MD!$A$1,IF(VLOOKUP(A12&amp;" "&amp;B12,'HIDDEN import'!A:G,5,FALSE)="O",MD!$A$4,(IF(AND(VLOOKUP(A12,'HIDDEN import'!B:E,4,FALSE)="C",OR(NOT(ISERROR(VLOOKUP(E12,'HIDDEN calc sheet'!A:C,1,FALSE)=E12)))),MD!$A$3,MD!$A$2))))</f>
        <v>Mandatory test for a mandatory feature</v>
      </c>
      <c r="E12" t="str">
        <f>IF('HIDDEN import'!F12=0,"",'HIDDEN import'!F12)</f>
        <v/>
      </c>
      <c r="F12" t="str">
        <f>IF('HIDDEN import'!G12=0,"",'HIDDEN import'!G12)</f>
        <v/>
      </c>
      <c r="G12" s="31" t="str">
        <f>IFERROR(VLOOKUP($A12,'HIDDEN Testrun Results'!$A:$B,2,FALSE),"")</f>
        <v/>
      </c>
      <c r="H12" s="31" t="b">
        <f t="shared" si="0"/>
        <v>1</v>
      </c>
      <c r="I12" s="31" t="b">
        <f>IF(VLOOKUP(A12&amp;" "&amp;B12,'HIDDEN import'!A:G,5,FALSE)="M",TRUE,IFERROR(VLOOKUP(E12,#REF!,3,FALSE)="Yes",IFERROR(VLOOKUP(E12,'HIDDEN calc sheet'!A:B,2,FALSE),VLOOKUP(E12,'Additional questions'!B:D,3,FALSE)="Yes")))</f>
        <v>1</v>
      </c>
      <c r="J12" s="31" t="b">
        <f t="shared" si="1"/>
        <v>0</v>
      </c>
      <c r="K12" t="b">
        <f>OR(IFERROR(VLOOKUP(B12,'Profile selection'!B:C,2,FALSE)="Yes",FALSE),AND(B12="Security",OR(VLOOKUP("Security Profile 2",'Profile selection'!B:C,2)="Yes",VLOOKUP("Security Profile 3",'Profile selection'!B:C,2)="Yes")))</f>
        <v>1</v>
      </c>
      <c r="L12" s="35"/>
      <c r="M12" s="35"/>
    </row>
    <row r="13" spans="1:13" x14ac:dyDescent="0.25">
      <c r="A13" t="str">
        <f>'HIDDEN import'!B13</f>
        <v>TC_013_CSMS</v>
      </c>
      <c r="B13" t="str">
        <f>'HIDDEN import'!C13</f>
        <v>Core</v>
      </c>
      <c r="C13" t="str">
        <f>'HIDDEN import'!D13</f>
        <v>Hard Reset Without transaction</v>
      </c>
      <c r="D13" t="str">
        <f>IF(VLOOKUP(A13&amp;" "&amp;B13,'HIDDEN import'!A:G,5,FALSE)="M",MD!$A$1,IF(VLOOKUP(A13&amp;" "&amp;B13,'HIDDEN import'!A:G,5,FALSE)="O",MD!$A$4,(IF(AND(VLOOKUP(A13,'HIDDEN import'!B:E,4,FALSE)="C",OR(NOT(ISERROR(VLOOKUP(E13,'HIDDEN calc sheet'!A:C,1,FALSE)=E13)))),MD!$A$3,MD!$A$2))))</f>
        <v>Mandatory test for a mandatory feature</v>
      </c>
      <c r="E13" t="str">
        <f>IF('HIDDEN import'!F13=0,"",'HIDDEN import'!F13)</f>
        <v/>
      </c>
      <c r="F13" t="str">
        <f>IF('HIDDEN import'!G13=0,"",'HIDDEN import'!G13)</f>
        <v/>
      </c>
      <c r="G13" s="31" t="str">
        <f>IFERROR(VLOOKUP($A13,'HIDDEN Testrun Results'!$A:$B,2,FALSE),"")</f>
        <v/>
      </c>
      <c r="H13" s="31" t="b">
        <f t="shared" si="0"/>
        <v>1</v>
      </c>
      <c r="I13" s="31" t="b">
        <f>IF(VLOOKUP(A13&amp;" "&amp;B13,'HIDDEN import'!A:G,5,FALSE)="M",TRUE,IFERROR(VLOOKUP(E13,#REF!,3,FALSE)="Yes",IFERROR(VLOOKUP(E13,'HIDDEN calc sheet'!A:B,2,FALSE),VLOOKUP(E13,'Additional questions'!B:D,3,FALSE)="Yes")))</f>
        <v>1</v>
      </c>
      <c r="J13" s="31" t="b">
        <f t="shared" si="1"/>
        <v>0</v>
      </c>
      <c r="K13" t="b">
        <f>OR(IFERROR(VLOOKUP(B13,'Profile selection'!B:C,2,FALSE)="Yes",FALSE),AND(B13="Security",OR(VLOOKUP("Security Profile 2",'Profile selection'!B:C,2)="Yes",VLOOKUP("Security Profile 3",'Profile selection'!B:C,2)="Yes")))</f>
        <v>1</v>
      </c>
      <c r="L13" s="35"/>
      <c r="M13" s="35"/>
    </row>
    <row r="14" spans="1:13" x14ac:dyDescent="0.25">
      <c r="A14" t="str">
        <f>'HIDDEN import'!B14</f>
        <v>TC_014_CSMS</v>
      </c>
      <c r="B14" t="str">
        <f>'HIDDEN import'!C14</f>
        <v>Core</v>
      </c>
      <c r="C14" t="str">
        <f>'HIDDEN import'!D14</f>
        <v>Soft Reset Without Transaction</v>
      </c>
      <c r="D14" t="str">
        <f>IF(VLOOKUP(A14&amp;" "&amp;B14,'HIDDEN import'!A:G,5,FALSE)="M",MD!$A$1,IF(VLOOKUP(A14&amp;" "&amp;B14,'HIDDEN import'!A:G,5,FALSE)="O",MD!$A$4,(IF(AND(VLOOKUP(A14,'HIDDEN import'!B:E,4,FALSE)="C",OR(NOT(ISERROR(VLOOKUP(E14,'HIDDEN calc sheet'!A:C,1,FALSE)=E14)))),MD!$A$3,MD!$A$2))))</f>
        <v>Mandatory test for a mandatory feature</v>
      </c>
      <c r="E14" t="str">
        <f>IF('HIDDEN import'!F14=0,"",'HIDDEN import'!F14)</f>
        <v/>
      </c>
      <c r="F14" t="str">
        <f>IF('HIDDEN import'!G14=0,"",'HIDDEN import'!G14)</f>
        <v/>
      </c>
      <c r="G14" s="31" t="str">
        <f>IFERROR(VLOOKUP($A14,'HIDDEN Testrun Results'!$A:$B,2,FALSE),"")</f>
        <v/>
      </c>
      <c r="H14" s="31" t="b">
        <f t="shared" si="0"/>
        <v>1</v>
      </c>
      <c r="I14" s="31" t="b">
        <f>IF(VLOOKUP(A14&amp;" "&amp;B14,'HIDDEN import'!A:G,5,FALSE)="M",TRUE,IFERROR(VLOOKUP(E14,#REF!,3,FALSE)="Yes",IFERROR(VLOOKUP(E14,'HIDDEN calc sheet'!A:B,2,FALSE),VLOOKUP(E14,'Additional questions'!B:D,3,FALSE)="Yes")))</f>
        <v>1</v>
      </c>
      <c r="J14" s="31" t="b">
        <f t="shared" si="1"/>
        <v>0</v>
      </c>
      <c r="K14" t="b">
        <f>OR(IFERROR(VLOOKUP(B14,'Profile selection'!B:C,2,FALSE)="Yes",FALSE),AND(B14="Security",OR(VLOOKUP("Security Profile 2",'Profile selection'!B:C,2)="Yes",VLOOKUP("Security Profile 3",'Profile selection'!B:C,2)="Yes")))</f>
        <v>1</v>
      </c>
      <c r="L14" s="35"/>
      <c r="M14" s="35"/>
    </row>
    <row r="15" spans="1:13" x14ac:dyDescent="0.25">
      <c r="A15" t="str">
        <f>'HIDDEN import'!B15</f>
        <v>TC_017_1_CSMS</v>
      </c>
      <c r="B15" t="str">
        <f>'HIDDEN import'!C15</f>
        <v>Core</v>
      </c>
      <c r="C15" t="str">
        <f>'HIDDEN import'!D15</f>
        <v>Unlock connector - no charging session running (Not fixed cable)</v>
      </c>
      <c r="D15" t="str">
        <f>IF(VLOOKUP(A15&amp;" "&amp;B15,'HIDDEN import'!A:G,5,FALSE)="M",MD!$A$1,IF(VLOOKUP(A15&amp;" "&amp;B15,'HIDDEN import'!A:G,5,FALSE)="O",MD!$A$4,(IF(AND(VLOOKUP(A15,'HIDDEN import'!B:E,4,FALSE)="C",OR(NOT(ISERROR(VLOOKUP(E15,'HIDDEN calc sheet'!A:C,1,FALSE)=E15)))),MD!$A$3,MD!$A$2))))</f>
        <v>Mandatory test for a mandatory feature</v>
      </c>
      <c r="E15" t="str">
        <f>IF('HIDDEN import'!F15=0,"",'HIDDEN import'!F15)</f>
        <v/>
      </c>
      <c r="F15" t="str">
        <f>IF('HIDDEN import'!G15=0,"",'HIDDEN import'!G15)</f>
        <v/>
      </c>
      <c r="G15" s="31" t="str">
        <f>IFERROR(VLOOKUP($A15,'HIDDEN Testrun Results'!$A:$B,2,FALSE),"")</f>
        <v/>
      </c>
      <c r="H15" s="31" t="b">
        <f t="shared" si="0"/>
        <v>1</v>
      </c>
      <c r="I15" s="31" t="b">
        <f>IF(VLOOKUP(A15&amp;" "&amp;B15,'HIDDEN import'!A:G,5,FALSE)="M",TRUE,IFERROR(VLOOKUP(E15,#REF!,3,FALSE)="Yes",IFERROR(VLOOKUP(E15,'HIDDEN calc sheet'!A:B,2,FALSE),VLOOKUP(E15,'Additional questions'!B:D,3,FALSE)="Yes")))</f>
        <v>1</v>
      </c>
      <c r="J15" s="31" t="b">
        <f t="shared" si="1"/>
        <v>0</v>
      </c>
      <c r="K15" t="b">
        <f>OR(IFERROR(VLOOKUP(B15,'Profile selection'!B:C,2,FALSE)="Yes",FALSE),AND(B15="Security",OR(VLOOKUP("Security Profile 2",'Profile selection'!B:C,2)="Yes",VLOOKUP("Security Profile 3",'Profile selection'!B:C,2)="Yes")))</f>
        <v>1</v>
      </c>
      <c r="L15" s="35"/>
      <c r="M15" s="35"/>
    </row>
    <row r="16" spans="1:13" x14ac:dyDescent="0.25">
      <c r="A16" t="str">
        <f>'HIDDEN import'!B16</f>
        <v>TC_017_2_CSMS</v>
      </c>
      <c r="B16" t="str">
        <f>'HIDDEN import'!C16</f>
        <v>Core</v>
      </c>
      <c r="C16" t="str">
        <f>'HIDDEN import'!D16</f>
        <v>Unlock connector - no charging session running (Fixed cable)</v>
      </c>
      <c r="D16" t="str">
        <f>IF(VLOOKUP(A16&amp;" "&amp;B16,'HIDDEN import'!A:G,5,FALSE)="M",MD!$A$1,IF(VLOOKUP(A16&amp;" "&amp;B16,'HIDDEN import'!A:G,5,FALSE)="O",MD!$A$4,(IF(AND(VLOOKUP(A16,'HIDDEN import'!B:E,4,FALSE)="C",OR(NOT(ISERROR(VLOOKUP(E16,'HIDDEN calc sheet'!A:C,1,FALSE)=E16)))),MD!$A$3,MD!$A$2))))</f>
        <v>Mandatory test for a mandatory feature</v>
      </c>
      <c r="E16" t="str">
        <f>IF('HIDDEN import'!F16=0,"",'HIDDEN import'!F16)</f>
        <v/>
      </c>
      <c r="F16" t="str">
        <f>IF('HIDDEN import'!G16=0,"",'HIDDEN import'!G16)</f>
        <v/>
      </c>
      <c r="G16" s="31" t="str">
        <f>IFERROR(VLOOKUP($A16,'HIDDEN Testrun Results'!$A:$B,2,FALSE),"")</f>
        <v/>
      </c>
      <c r="H16" s="31" t="b">
        <f t="shared" si="0"/>
        <v>1</v>
      </c>
      <c r="I16" s="31" t="b">
        <f>IF(VLOOKUP(A16&amp;" "&amp;B16,'HIDDEN import'!A:G,5,FALSE)="M",TRUE,IFERROR(VLOOKUP(E16,#REF!,3,FALSE)="Yes",IFERROR(VLOOKUP(E16,'HIDDEN calc sheet'!A:B,2,FALSE),VLOOKUP(E16,'Additional questions'!B:D,3,FALSE)="Yes")))</f>
        <v>1</v>
      </c>
      <c r="J16" s="31" t="b">
        <f t="shared" si="1"/>
        <v>0</v>
      </c>
      <c r="K16" t="b">
        <f>OR(IFERROR(VLOOKUP(B16,'Profile selection'!B:C,2,FALSE)="Yes",FALSE),AND(B16="Security",OR(VLOOKUP("Security Profile 2",'Profile selection'!B:C,2)="Yes",VLOOKUP("Security Profile 3",'Profile selection'!B:C,2)="Yes")))</f>
        <v>1</v>
      </c>
      <c r="L16" s="35"/>
      <c r="M16" s="35"/>
    </row>
    <row r="17" spans="1:13" x14ac:dyDescent="0.25">
      <c r="A17" t="str">
        <f>'HIDDEN import'!B17</f>
        <v>TC_019_1_CSMS</v>
      </c>
      <c r="B17" t="str">
        <f>'HIDDEN import'!C17</f>
        <v>Core</v>
      </c>
      <c r="C17" t="str">
        <f>'HIDDEN import'!D17</f>
        <v>Retrieve all configuration keys</v>
      </c>
      <c r="D17" t="str">
        <f>IF(VLOOKUP(A17&amp;" "&amp;B17,'HIDDEN import'!A:G,5,FALSE)="M",MD!$A$1,IF(VLOOKUP(A17&amp;" "&amp;B17,'HIDDEN import'!A:G,5,FALSE)="O",MD!$A$4,(IF(AND(VLOOKUP(A17,'HIDDEN import'!B:E,4,FALSE)="C",OR(NOT(ISERROR(VLOOKUP(E17,'HIDDEN calc sheet'!A:C,1,FALSE)=E17)))),MD!$A$3,MD!$A$2))))</f>
        <v>Mandatory test for a mandatory feature</v>
      </c>
      <c r="E17" t="str">
        <f>IF('HIDDEN import'!F17=0,"",'HIDDEN import'!F17)</f>
        <v/>
      </c>
      <c r="F17" t="str">
        <f>IF('HIDDEN import'!G17=0,"",'HIDDEN import'!G17)</f>
        <v/>
      </c>
      <c r="G17" s="31" t="str">
        <f>IFERROR(VLOOKUP($A17,'HIDDEN Testrun Results'!$A:$B,2,FALSE),"")</f>
        <v/>
      </c>
      <c r="H17" s="31" t="b">
        <f t="shared" si="0"/>
        <v>1</v>
      </c>
      <c r="I17" s="31" t="b">
        <f>IF(VLOOKUP(A17&amp;" "&amp;B17,'HIDDEN import'!A:G,5,FALSE)="M",TRUE,IFERROR(VLOOKUP(E17,#REF!,3,FALSE)="Yes",IFERROR(VLOOKUP(E17,'HIDDEN calc sheet'!A:B,2,FALSE),VLOOKUP(E17,'Additional questions'!B:D,3,FALSE)="Yes")))</f>
        <v>1</v>
      </c>
      <c r="J17" s="31" t="b">
        <f t="shared" si="1"/>
        <v>0</v>
      </c>
      <c r="K17" t="b">
        <f>OR(IFERROR(VLOOKUP(B17,'Profile selection'!B:C,2,FALSE)="Yes",FALSE),AND(B17="Security",OR(VLOOKUP("Security Profile 2",'Profile selection'!B:C,2)="Yes",VLOOKUP("Security Profile 3",'Profile selection'!B:C,2)="Yes")))</f>
        <v>1</v>
      </c>
      <c r="L17" s="35"/>
      <c r="M17" s="35"/>
    </row>
    <row r="18" spans="1:13" x14ac:dyDescent="0.25">
      <c r="A18" t="str">
        <f>'HIDDEN import'!B18</f>
        <v>TC_019_2_CSMS</v>
      </c>
      <c r="B18" t="str">
        <f>'HIDDEN import'!C18</f>
        <v>Core</v>
      </c>
      <c r="C18" t="str">
        <f>'HIDDEN import'!D18</f>
        <v>Retrieve specific configuration key</v>
      </c>
      <c r="D18" t="str">
        <f>IF(VLOOKUP(A18&amp;" "&amp;B18,'HIDDEN import'!A:G,5,FALSE)="M",MD!$A$1,IF(VLOOKUP(A18&amp;" "&amp;B18,'HIDDEN import'!A:G,5,FALSE)="O",MD!$A$4,(IF(AND(VLOOKUP(A18,'HIDDEN import'!B:E,4,FALSE)="C",OR(NOT(ISERROR(VLOOKUP(E18,'HIDDEN calc sheet'!A:C,1,FALSE)=E18)))),MD!$A$3,MD!$A$2))))</f>
        <v>Mandatory test for a mandatory feature</v>
      </c>
      <c r="E18" t="str">
        <f>IF('HIDDEN import'!F18=0,"",'HIDDEN import'!F18)</f>
        <v/>
      </c>
      <c r="F18" t="str">
        <f>IF('HIDDEN import'!G18=0,"",'HIDDEN import'!G18)</f>
        <v/>
      </c>
      <c r="G18" s="31" t="str">
        <f>IFERROR(VLOOKUP($A18,'HIDDEN Testrun Results'!$A:$B,2,FALSE),"")</f>
        <v/>
      </c>
      <c r="H18" s="31" t="b">
        <f t="shared" si="0"/>
        <v>1</v>
      </c>
      <c r="I18" s="31" t="b">
        <f>IF(VLOOKUP(A18&amp;" "&amp;B18,'HIDDEN import'!A:G,5,FALSE)="M",TRUE,IFERROR(VLOOKUP(E18,#REF!,3,FALSE)="Yes",IFERROR(VLOOKUP(E18,'HIDDEN calc sheet'!A:B,2,FALSE),VLOOKUP(E18,'Additional questions'!B:D,3,FALSE)="Yes")))</f>
        <v>1</v>
      </c>
      <c r="J18" s="31" t="b">
        <f t="shared" si="1"/>
        <v>0</v>
      </c>
      <c r="K18" t="b">
        <f>OR(IFERROR(VLOOKUP(B18,'Profile selection'!B:C,2,FALSE)="Yes",FALSE),AND(B18="Security",OR(VLOOKUP("Security Profile 2",'Profile selection'!B:C,2)="Yes",VLOOKUP("Security Profile 3",'Profile selection'!B:C,2)="Yes")))</f>
        <v>1</v>
      </c>
      <c r="L18" s="35"/>
      <c r="M18" s="35"/>
    </row>
    <row r="19" spans="1:13" x14ac:dyDescent="0.25">
      <c r="A19" t="str">
        <f>'HIDDEN import'!B19</f>
        <v>TC_021_CSMS</v>
      </c>
      <c r="B19" t="str">
        <f>'HIDDEN import'!C19</f>
        <v>Core</v>
      </c>
      <c r="C19" t="str">
        <f>'HIDDEN import'!D19</f>
        <v>Change/set Configuration</v>
      </c>
      <c r="D19" t="str">
        <f>IF(VLOOKUP(A19&amp;" "&amp;B19,'HIDDEN import'!A:G,5,FALSE)="M",MD!$A$1,IF(VLOOKUP(A19&amp;" "&amp;B19,'HIDDEN import'!A:G,5,FALSE)="O",MD!$A$4,(IF(AND(VLOOKUP(A19,'HIDDEN import'!B:E,4,FALSE)="C",OR(NOT(ISERROR(VLOOKUP(E19,'HIDDEN calc sheet'!A:C,1,FALSE)=E19)))),MD!$A$3,MD!$A$2))))</f>
        <v>Mandatory test for a mandatory feature</v>
      </c>
      <c r="E19" t="str">
        <f>IF('HIDDEN import'!F19=0,"",'HIDDEN import'!F19)</f>
        <v/>
      </c>
      <c r="F19" t="str">
        <f>IF('HIDDEN import'!G19=0,"",'HIDDEN import'!G19)</f>
        <v/>
      </c>
      <c r="G19" s="31" t="str">
        <f>IFERROR(VLOOKUP($A19,'HIDDEN Testrun Results'!$A:$B,2,FALSE),"")</f>
        <v/>
      </c>
      <c r="H19" s="31" t="b">
        <f t="shared" si="0"/>
        <v>1</v>
      </c>
      <c r="I19" s="31" t="b">
        <f>IF(VLOOKUP(A19&amp;" "&amp;B19,'HIDDEN import'!A:G,5,FALSE)="M",TRUE,IFERROR(VLOOKUP(E19,#REF!,3,FALSE)="Yes",IFERROR(VLOOKUP(E19,'HIDDEN calc sheet'!A:B,2,FALSE),VLOOKUP(E19,'Additional questions'!B:D,3,FALSE)="Yes")))</f>
        <v>1</v>
      </c>
      <c r="J19" s="31" t="b">
        <f t="shared" si="1"/>
        <v>0</v>
      </c>
      <c r="K19" t="b">
        <f>OR(IFERROR(VLOOKUP(B19,'Profile selection'!B:C,2,FALSE)="Yes",FALSE),AND(B19="Security",OR(VLOOKUP("Security Profile 2",'Profile selection'!B:C,2)="Yes",VLOOKUP("Security Profile 3",'Profile selection'!B:C,2)="Yes")))</f>
        <v>1</v>
      </c>
      <c r="L19" s="35"/>
      <c r="M19" s="35"/>
    </row>
    <row r="20" spans="1:13" x14ac:dyDescent="0.25">
      <c r="A20" t="str">
        <f>'HIDDEN import'!B20</f>
        <v>TC_023_1_CSMS</v>
      </c>
      <c r="B20" t="str">
        <f>'HIDDEN import'!C20</f>
        <v>Core</v>
      </c>
      <c r="C20" t="str">
        <f>'HIDDEN import'!D20</f>
        <v>Start Charging Session – Authorize invalid</v>
      </c>
      <c r="D20" t="str">
        <f>IF(VLOOKUP(A20&amp;" "&amp;B20,'HIDDEN import'!A:G,5,FALSE)="M",MD!$A$1,IF(VLOOKUP(A20&amp;" "&amp;B20,'HIDDEN import'!A:G,5,FALSE)="O",MD!$A$4,(IF(AND(VLOOKUP(A20,'HIDDEN import'!B:E,4,FALSE)="C",OR(NOT(ISERROR(VLOOKUP(E20,'HIDDEN calc sheet'!A:C,1,FALSE)=E20)))),MD!$A$3,MD!$A$2))))</f>
        <v>Mandatory test for a mandatory feature</v>
      </c>
      <c r="E20" t="str">
        <f>IF('HIDDEN import'!F20=0,"",'HIDDEN import'!F20)</f>
        <v/>
      </c>
      <c r="F20" t="str">
        <f>IF('HIDDEN import'!G20=0,"",'HIDDEN import'!G20)</f>
        <v/>
      </c>
      <c r="G20" s="31" t="str">
        <f>IFERROR(VLOOKUP($A20,'HIDDEN Testrun Results'!$A:$B,2,FALSE),"")</f>
        <v/>
      </c>
      <c r="H20" s="31" t="b">
        <f t="shared" si="0"/>
        <v>1</v>
      </c>
      <c r="I20" s="31" t="b">
        <f>IF(VLOOKUP(A20&amp;" "&amp;B20,'HIDDEN import'!A:G,5,FALSE)="M",TRUE,IFERROR(VLOOKUP(E20,#REF!,3,FALSE)="Yes",IFERROR(VLOOKUP(E20,'HIDDEN calc sheet'!A:B,2,FALSE),VLOOKUP(E20,'Additional questions'!B:D,3,FALSE)="Yes")))</f>
        <v>1</v>
      </c>
      <c r="J20" s="31" t="b">
        <f t="shared" si="1"/>
        <v>0</v>
      </c>
      <c r="K20" t="b">
        <f>OR(IFERROR(VLOOKUP(B20,'Profile selection'!B:C,2,FALSE)="Yes",FALSE),AND(B20="Security",OR(VLOOKUP("Security Profile 2",'Profile selection'!B:C,2)="Yes",VLOOKUP("Security Profile 3",'Profile selection'!B:C,2)="Yes")))</f>
        <v>1</v>
      </c>
      <c r="L20" s="35"/>
      <c r="M20" s="35"/>
    </row>
    <row r="21" spans="1:13" x14ac:dyDescent="0.25">
      <c r="A21" t="str">
        <f>'HIDDEN import'!B21</f>
        <v>TC_023_2_CSMS</v>
      </c>
      <c r="B21" t="str">
        <f>'HIDDEN import'!C21</f>
        <v>Core</v>
      </c>
      <c r="C21" t="str">
        <f>'HIDDEN import'!D21</f>
        <v>Start Charging Session – Authorize expired</v>
      </c>
      <c r="D21" t="str">
        <f>IF(VLOOKUP(A21&amp;" "&amp;B21,'HIDDEN import'!A:G,5,FALSE)="M",MD!$A$1,IF(VLOOKUP(A21&amp;" "&amp;B21,'HIDDEN import'!A:G,5,FALSE)="O",MD!$A$4,(IF(AND(VLOOKUP(A21,'HIDDEN import'!B:E,4,FALSE)="C",OR(NOT(ISERROR(VLOOKUP(E21,'HIDDEN calc sheet'!A:C,1,FALSE)=E21)))),MD!$A$3,MD!$A$2))))</f>
        <v>Mandatory test for a mandatory feature</v>
      </c>
      <c r="E21" t="str">
        <f>IF('HIDDEN import'!F21=0,"",'HIDDEN import'!F21)</f>
        <v/>
      </c>
      <c r="F21" t="str">
        <f>IF('HIDDEN import'!G21=0,"",'HIDDEN import'!G21)</f>
        <v/>
      </c>
      <c r="G21" s="31" t="str">
        <f>IFERROR(VLOOKUP($A21,'HIDDEN Testrun Results'!$A:$B,2,FALSE),"")</f>
        <v/>
      </c>
      <c r="H21" s="31" t="b">
        <f t="shared" si="0"/>
        <v>1</v>
      </c>
      <c r="I21" s="31" t="b">
        <f>IF(VLOOKUP(A21&amp;" "&amp;B21,'HIDDEN import'!A:G,5,FALSE)="M",TRUE,IFERROR(VLOOKUP(E21,#REF!,3,FALSE)="Yes",IFERROR(VLOOKUP(E21,'HIDDEN calc sheet'!A:B,2,FALSE),VLOOKUP(E21,'Additional questions'!B:D,3,FALSE)="Yes")))</f>
        <v>1</v>
      </c>
      <c r="J21" s="31" t="b">
        <f t="shared" si="1"/>
        <v>0</v>
      </c>
      <c r="K21" t="b">
        <f>OR(IFERROR(VLOOKUP(B21,'Profile selection'!B:C,2,FALSE)="Yes",FALSE),AND(B21="Security",OR(VLOOKUP("Security Profile 2",'Profile selection'!B:C,2)="Yes",VLOOKUP("Security Profile 3",'Profile selection'!B:C,2)="Yes")))</f>
        <v>1</v>
      </c>
      <c r="L21" s="35"/>
      <c r="M21" s="35"/>
    </row>
    <row r="22" spans="1:13" x14ac:dyDescent="0.25">
      <c r="A22" t="str">
        <f>'HIDDEN import'!B22</f>
        <v>TC_023_3_CSMS</v>
      </c>
      <c r="B22" t="str">
        <f>'HIDDEN import'!C22</f>
        <v>Core</v>
      </c>
      <c r="C22" t="str">
        <f>'HIDDEN import'!D22</f>
        <v>Start Charging Session – Authorize blocked</v>
      </c>
      <c r="D22" t="str">
        <f>IF(VLOOKUP(A22&amp;" "&amp;B22,'HIDDEN import'!A:G,5,FALSE)="M",MD!$A$1,IF(VLOOKUP(A22&amp;" "&amp;B22,'HIDDEN import'!A:G,5,FALSE)="O",MD!$A$4,(IF(AND(VLOOKUP(A22,'HIDDEN import'!B:E,4,FALSE)="C",OR(NOT(ISERROR(VLOOKUP(E22,'HIDDEN calc sheet'!A:C,1,FALSE)=E22)))),MD!$A$3,MD!$A$2))))</f>
        <v>Mandatory test for a mandatory feature</v>
      </c>
      <c r="E22" t="str">
        <f>IF('HIDDEN import'!F22=0,"",'HIDDEN import'!F22)</f>
        <v/>
      </c>
      <c r="F22" t="str">
        <f>IF('HIDDEN import'!G22=0,"",'HIDDEN import'!G22)</f>
        <v/>
      </c>
      <c r="G22" s="31" t="str">
        <f>IFERROR(VLOOKUP($A22,'HIDDEN Testrun Results'!$A:$B,2,FALSE),"")</f>
        <v/>
      </c>
      <c r="H22" s="31" t="b">
        <f t="shared" si="0"/>
        <v>1</v>
      </c>
      <c r="I22" s="31" t="b">
        <f>IF(VLOOKUP(A22&amp;" "&amp;B22,'HIDDEN import'!A:G,5,FALSE)="M",TRUE,IFERROR(VLOOKUP(E22,#REF!,3,FALSE)="Yes",IFERROR(VLOOKUP(E22,'HIDDEN calc sheet'!A:B,2,FALSE),VLOOKUP(E22,'Additional questions'!B:D,3,FALSE)="Yes")))</f>
        <v>1</v>
      </c>
      <c r="J22" s="31" t="b">
        <f t="shared" si="1"/>
        <v>0</v>
      </c>
      <c r="K22" t="b">
        <f>OR(IFERROR(VLOOKUP(B22,'Profile selection'!B:C,2,FALSE)="Yes",FALSE),AND(B22="Security",OR(VLOOKUP("Security Profile 2",'Profile selection'!B:C,2)="Yes",VLOOKUP("Security Profile 3",'Profile selection'!B:C,2)="Yes")))</f>
        <v>1</v>
      </c>
      <c r="L22" s="35"/>
      <c r="M22" s="35"/>
    </row>
    <row r="23" spans="1:13" x14ac:dyDescent="0.25">
      <c r="A23" t="str">
        <f>'HIDDEN import'!B23</f>
        <v>TC_024_CSMS</v>
      </c>
      <c r="B23" t="str">
        <f>'HIDDEN import'!C23</f>
        <v>Core</v>
      </c>
      <c r="C23" t="str">
        <f>'HIDDEN import'!D23</f>
        <v>Start Charging Session Lock Failure</v>
      </c>
      <c r="D23" t="str">
        <f>IF(VLOOKUP(A23&amp;" "&amp;B23,'HIDDEN import'!A:G,5,FALSE)="M",MD!$A$1,IF(VLOOKUP(A23&amp;" "&amp;B23,'HIDDEN import'!A:G,5,FALSE)="O",MD!$A$4,(IF(AND(VLOOKUP(A23,'HIDDEN import'!B:E,4,FALSE)="C",OR(NOT(ISERROR(VLOOKUP(E23,'HIDDEN calc sheet'!A:C,1,FALSE)=E23)))),MD!$A$3,MD!$A$2))))</f>
        <v>Mandatory test for a mandatory feature</v>
      </c>
      <c r="E23" t="str">
        <f>IF('HIDDEN import'!F23=0,"",'HIDDEN import'!F23)</f>
        <v/>
      </c>
      <c r="F23" t="str">
        <f>IF('HIDDEN import'!G23=0,"",'HIDDEN import'!G23)</f>
        <v/>
      </c>
      <c r="G23" s="31" t="str">
        <f>IFERROR(VLOOKUP($A23,'HIDDEN Testrun Results'!$A:$B,2,FALSE),"")</f>
        <v/>
      </c>
      <c r="H23" s="31" t="b">
        <f t="shared" si="0"/>
        <v>1</v>
      </c>
      <c r="I23" s="31" t="b">
        <f>IF(VLOOKUP(A23&amp;" "&amp;B23,'HIDDEN import'!A:G,5,FALSE)="M",TRUE,IFERROR(VLOOKUP(E23,#REF!,3,FALSE)="Yes",IFERROR(VLOOKUP(E23,'HIDDEN calc sheet'!A:B,2,FALSE),VLOOKUP(E23,'Additional questions'!B:D,3,FALSE)="Yes")))</f>
        <v>1</v>
      </c>
      <c r="J23" s="31" t="b">
        <f t="shared" si="1"/>
        <v>0</v>
      </c>
      <c r="K23" t="b">
        <f>OR(IFERROR(VLOOKUP(B23,'Profile selection'!B:C,2,FALSE)="Yes",FALSE),AND(B23="Security",OR(VLOOKUP("Security Profile 2",'Profile selection'!B:C,2)="Yes",VLOOKUP("Security Profile 3",'Profile selection'!B:C,2)="Yes")))</f>
        <v>1</v>
      </c>
      <c r="L23" s="35"/>
      <c r="M23" s="35"/>
    </row>
    <row r="24" spans="1:13" x14ac:dyDescent="0.25">
      <c r="A24" t="str">
        <f>'HIDDEN import'!B24</f>
        <v>TC_026_CSMS</v>
      </c>
      <c r="B24" t="str">
        <f>'HIDDEN import'!C24</f>
        <v>Core</v>
      </c>
      <c r="C24" t="str">
        <f>'HIDDEN import'!D24</f>
        <v>Remote Start Charging Session – Rejected</v>
      </c>
      <c r="D24" t="str">
        <f>IF(VLOOKUP(A24&amp;" "&amp;B24,'HIDDEN import'!A:G,5,FALSE)="M",MD!$A$1,IF(VLOOKUP(A24&amp;" "&amp;B24,'HIDDEN import'!A:G,5,FALSE)="O",MD!$A$4,(IF(AND(VLOOKUP(A24,'HIDDEN import'!B:E,4,FALSE)="C",OR(NOT(ISERROR(VLOOKUP(E24,'HIDDEN calc sheet'!A:C,1,FALSE)=E24)))),MD!$A$3,MD!$A$2))))</f>
        <v>Mandatory test for a mandatory feature</v>
      </c>
      <c r="E24" t="str">
        <f>IF('HIDDEN import'!F24=0,"",'HIDDEN import'!F24)</f>
        <v/>
      </c>
      <c r="F24" t="str">
        <f>IF('HIDDEN import'!G24=0,"",'HIDDEN import'!G24)</f>
        <v/>
      </c>
      <c r="G24" s="31" t="str">
        <f>IFERROR(VLOOKUP($A24,'HIDDEN Testrun Results'!$A:$B,2,FALSE),"")</f>
        <v/>
      </c>
      <c r="H24" s="31" t="b">
        <f t="shared" si="0"/>
        <v>1</v>
      </c>
      <c r="I24" s="31" t="b">
        <f>IF(VLOOKUP(A24&amp;" "&amp;B24,'HIDDEN import'!A:G,5,FALSE)="M",TRUE,IFERROR(VLOOKUP(E24,#REF!,3,FALSE)="Yes",IFERROR(VLOOKUP(E24,'HIDDEN calc sheet'!A:B,2,FALSE),VLOOKUP(E24,'Additional questions'!B:D,3,FALSE)="Yes")))</f>
        <v>1</v>
      </c>
      <c r="J24" s="31" t="b">
        <f t="shared" si="1"/>
        <v>0</v>
      </c>
      <c r="K24" t="b">
        <f>OR(IFERROR(VLOOKUP(B24,'Profile selection'!B:C,2,FALSE)="Yes",FALSE),AND(B24="Security",OR(VLOOKUP("Security Profile 2",'Profile selection'!B:C,2)="Yes",VLOOKUP("Security Profile 3",'Profile selection'!B:C,2)="Yes")))</f>
        <v>1</v>
      </c>
      <c r="L24" s="35"/>
      <c r="M24" s="35"/>
    </row>
    <row r="25" spans="1:13" x14ac:dyDescent="0.25">
      <c r="A25" t="str">
        <f>'HIDDEN import'!B25</f>
        <v>TC_028_CSMS</v>
      </c>
      <c r="B25" t="str">
        <f>'HIDDEN import'!C25</f>
        <v>Core</v>
      </c>
      <c r="C25" t="str">
        <f>'HIDDEN import'!D25</f>
        <v>Remote Stop Transaction – Rejected</v>
      </c>
      <c r="D25" t="str">
        <f>IF(VLOOKUP(A25&amp;" "&amp;B25,'HIDDEN import'!A:G,5,FALSE)="M",MD!$A$1,IF(VLOOKUP(A25&amp;" "&amp;B25,'HIDDEN import'!A:G,5,FALSE)="O",MD!$A$4,(IF(AND(VLOOKUP(A25,'HIDDEN import'!B:E,4,FALSE)="C",OR(NOT(ISERROR(VLOOKUP(E25,'HIDDEN calc sheet'!A:C,1,FALSE)=E25)))),MD!$A$3,MD!$A$2))))</f>
        <v>Optional test case</v>
      </c>
      <c r="E25" t="str">
        <f>IF('HIDDEN import'!F25=0,"",'HIDDEN import'!F25)</f>
        <v/>
      </c>
      <c r="F25" t="str">
        <f>IF('HIDDEN import'!G25=0,"",'HIDDEN import'!G25)</f>
        <v/>
      </c>
      <c r="G25" s="31" t="str">
        <f>IFERROR(VLOOKUP($A25,'HIDDEN Testrun Results'!$A:$B,2,FALSE),"")</f>
        <v/>
      </c>
      <c r="H25" s="31" t="str">
        <f t="shared" si="0"/>
        <v>Up to vendor</v>
      </c>
      <c r="I25" s="31" t="e">
        <f>IF(VLOOKUP(A25&amp;" "&amp;B25,'HIDDEN import'!A:G,5,FALSE)="M",TRUE,IFERROR(VLOOKUP(E25,#REF!,3,FALSE)="Yes",IFERROR(VLOOKUP(E25,'HIDDEN calc sheet'!A:B,2,FALSE),VLOOKUP(E25,'Additional questions'!B:D,3,FALSE)="Yes")))</f>
        <v>#N/A</v>
      </c>
      <c r="J25" s="31" t="b">
        <f t="shared" si="1"/>
        <v>1</v>
      </c>
      <c r="K25" t="b">
        <f>OR(IFERROR(VLOOKUP(B25,'Profile selection'!B:C,2,FALSE)="Yes",FALSE),AND(B25="Security",OR(VLOOKUP("Security Profile 2",'Profile selection'!B:C,2)="Yes",VLOOKUP("Security Profile 3",'Profile selection'!B:C,2)="Yes")))</f>
        <v>1</v>
      </c>
      <c r="L25" s="35"/>
      <c r="M25" s="35"/>
    </row>
    <row r="26" spans="1:13" x14ac:dyDescent="0.25">
      <c r="A26" t="str">
        <f>'HIDDEN import'!B26</f>
        <v>TC_030_CSMS</v>
      </c>
      <c r="B26" t="str">
        <f>'HIDDEN import'!C26</f>
        <v>Core</v>
      </c>
      <c r="C26" t="str">
        <f>'HIDDEN import'!D26</f>
        <v>Unlock Connector – Unlock Failure</v>
      </c>
      <c r="D26" t="str">
        <f>IF(VLOOKUP(A26&amp;" "&amp;B26,'HIDDEN import'!A:G,5,FALSE)="M",MD!$A$1,IF(VLOOKUP(A26&amp;" "&amp;B26,'HIDDEN import'!A:G,5,FALSE)="O",MD!$A$4,(IF(AND(VLOOKUP(A26,'HIDDEN import'!B:E,4,FALSE)="C",OR(NOT(ISERROR(VLOOKUP(E26,'HIDDEN calc sheet'!A:C,1,FALSE)=E26)))),MD!$A$3,MD!$A$2))))</f>
        <v>Mandatory test for a mandatory feature</v>
      </c>
      <c r="E26" t="str">
        <f>IF('HIDDEN import'!F26=0,"",'HIDDEN import'!F26)</f>
        <v/>
      </c>
      <c r="F26" t="str">
        <f>IF('HIDDEN import'!G26=0,"",'HIDDEN import'!G26)</f>
        <v/>
      </c>
      <c r="G26" s="31" t="str">
        <f>IFERROR(VLOOKUP($A26,'HIDDEN Testrun Results'!$A:$B,2,FALSE),"")</f>
        <v/>
      </c>
      <c r="H26" s="31" t="b">
        <f t="shared" si="0"/>
        <v>1</v>
      </c>
      <c r="I26" s="31" t="b">
        <f>IF(VLOOKUP(A26&amp;" "&amp;B26,'HIDDEN import'!A:G,5,FALSE)="M",TRUE,IFERROR(VLOOKUP(E26,#REF!,3,FALSE)="Yes",IFERROR(VLOOKUP(E26,'HIDDEN calc sheet'!A:B,2,FALSE),VLOOKUP(E26,'Additional questions'!B:D,3,FALSE)="Yes")))</f>
        <v>1</v>
      </c>
      <c r="J26" s="31" t="b">
        <f t="shared" si="1"/>
        <v>0</v>
      </c>
      <c r="K26" t="b">
        <f>OR(IFERROR(VLOOKUP(B26,'Profile selection'!B:C,2,FALSE)="Yes",FALSE),AND(B26="Security",OR(VLOOKUP("Security Profile 2",'Profile selection'!B:C,2)="Yes",VLOOKUP("Security Profile 3",'Profile selection'!B:C,2)="Yes")))</f>
        <v>1</v>
      </c>
      <c r="L26" s="35"/>
      <c r="M26" s="35"/>
    </row>
    <row r="27" spans="1:13" x14ac:dyDescent="0.25">
      <c r="A27" t="str">
        <f>'HIDDEN import'!B27</f>
        <v>TC_031_CSMS</v>
      </c>
      <c r="B27" t="str">
        <f>'HIDDEN import'!C27</f>
        <v>Core</v>
      </c>
      <c r="C27" t="str">
        <f>'HIDDEN import'!D27</f>
        <v>Unlock Connector – Unknown Connector</v>
      </c>
      <c r="D27" t="str">
        <f>IF(VLOOKUP(A27&amp;" "&amp;B27,'HIDDEN import'!A:G,5,FALSE)="M",MD!$A$1,IF(VLOOKUP(A27&amp;" "&amp;B27,'HIDDEN import'!A:G,5,FALSE)="O",MD!$A$4,(IF(AND(VLOOKUP(A27,'HIDDEN import'!B:E,4,FALSE)="C",OR(NOT(ISERROR(VLOOKUP(E27,'HIDDEN calc sheet'!A:C,1,FALSE)=E27)))),MD!$A$3,MD!$A$2))))</f>
        <v>Optional test case</v>
      </c>
      <c r="E27" t="str">
        <f>IF('HIDDEN import'!F27=0,"",'HIDDEN import'!F27)</f>
        <v/>
      </c>
      <c r="F27" t="str">
        <f>IF('HIDDEN import'!G27=0,"",'HIDDEN import'!G27)</f>
        <v/>
      </c>
      <c r="G27" s="31" t="str">
        <f>IFERROR(VLOOKUP($A27,'HIDDEN Testrun Results'!$A:$B,2,FALSE),"")</f>
        <v/>
      </c>
      <c r="H27" s="31" t="str">
        <f t="shared" si="0"/>
        <v>Up to vendor</v>
      </c>
      <c r="I27" s="31" t="e">
        <f>IF(VLOOKUP(A27&amp;" "&amp;B27,'HIDDEN import'!A:G,5,FALSE)="M",TRUE,IFERROR(VLOOKUP(E27,#REF!,3,FALSE)="Yes",IFERROR(VLOOKUP(E27,'HIDDEN calc sheet'!A:B,2,FALSE),VLOOKUP(E27,'Additional questions'!B:D,3,FALSE)="Yes")))</f>
        <v>#N/A</v>
      </c>
      <c r="J27" s="31" t="b">
        <f t="shared" si="1"/>
        <v>1</v>
      </c>
      <c r="K27" t="b">
        <f>OR(IFERROR(VLOOKUP(B27,'Profile selection'!B:C,2,FALSE)="Yes",FALSE),AND(B27="Security",OR(VLOOKUP("Security Profile 2",'Profile selection'!B:C,2)="Yes",VLOOKUP("Security Profile 3",'Profile selection'!B:C,2)="Yes")))</f>
        <v>1</v>
      </c>
      <c r="L27" s="35"/>
      <c r="M27" s="35"/>
    </row>
    <row r="28" spans="1:13" x14ac:dyDescent="0.25">
      <c r="A28" t="str">
        <f>'HIDDEN import'!B28</f>
        <v>TC_032_1_CSMS</v>
      </c>
      <c r="B28" t="str">
        <f>'HIDDEN import'!C28</f>
        <v>Core</v>
      </c>
      <c r="C28" t="str">
        <f>'HIDDEN import'!D28</f>
        <v>Power failure boot charging point - configured to stop transaction(s) before going down</v>
      </c>
      <c r="D28" t="str">
        <f>IF(VLOOKUP(A28&amp;" "&amp;B28,'HIDDEN import'!A:G,5,FALSE)="M",MD!$A$1,IF(VLOOKUP(A28&amp;" "&amp;B28,'HIDDEN import'!A:G,5,FALSE)="O",MD!$A$4,(IF(AND(VLOOKUP(A28,'HIDDEN import'!B:E,4,FALSE)="C",OR(NOT(ISERROR(VLOOKUP(E28,'HIDDEN calc sheet'!A:C,1,FALSE)=E28)))),MD!$A$3,MD!$A$2))))</f>
        <v>Mandatory test for a mandatory feature</v>
      </c>
      <c r="E28" t="str">
        <f>IF('HIDDEN import'!F28=0,"",'HIDDEN import'!F28)</f>
        <v/>
      </c>
      <c r="F28" t="str">
        <f>IF('HIDDEN import'!G28=0,"",'HIDDEN import'!G28)</f>
        <v/>
      </c>
      <c r="G28" s="31" t="str">
        <f>IFERROR(VLOOKUP($A28,'HIDDEN Testrun Results'!$A:$B,2,FALSE),"")</f>
        <v/>
      </c>
      <c r="H28" s="31" t="b">
        <f t="shared" si="0"/>
        <v>1</v>
      </c>
      <c r="I28" s="31" t="b">
        <f>IF(VLOOKUP(A28&amp;" "&amp;B28,'HIDDEN import'!A:G,5,FALSE)="M",TRUE,IFERROR(VLOOKUP(E28,#REF!,3,FALSE)="Yes",IFERROR(VLOOKUP(E28,'HIDDEN calc sheet'!A:B,2,FALSE),VLOOKUP(E28,'Additional questions'!B:D,3,FALSE)="Yes")))</f>
        <v>1</v>
      </c>
      <c r="J28" s="31" t="b">
        <f t="shared" si="1"/>
        <v>0</v>
      </c>
      <c r="K28" t="b">
        <f>OR(IFERROR(VLOOKUP(B28,'Profile selection'!B:C,2,FALSE)="Yes",FALSE),AND(B28="Security",OR(VLOOKUP("Security Profile 2",'Profile selection'!B:C,2)="Yes",VLOOKUP("Security Profile 3",'Profile selection'!B:C,2)="Yes")))</f>
        <v>1</v>
      </c>
      <c r="L28" s="35"/>
      <c r="M28" s="35"/>
    </row>
    <row r="29" spans="1:13" x14ac:dyDescent="0.25">
      <c r="A29" t="str">
        <f>'HIDDEN import'!B29</f>
        <v>TC_037_1_CSMS</v>
      </c>
      <c r="B29" t="str">
        <f>'HIDDEN import'!C29</f>
        <v>Core</v>
      </c>
      <c r="C29" t="str">
        <f>'HIDDEN import'!D29</f>
        <v>Offline Start Transaction - Valid IdTag</v>
      </c>
      <c r="D29" t="str">
        <f>IF(VLOOKUP(A29&amp;" "&amp;B29,'HIDDEN import'!A:G,5,FALSE)="M",MD!$A$1,IF(VLOOKUP(A29&amp;" "&amp;B29,'HIDDEN import'!A:G,5,FALSE)="O",MD!$A$4,(IF(AND(VLOOKUP(A29,'HIDDEN import'!B:E,4,FALSE)="C",OR(NOT(ISERROR(VLOOKUP(E29,'HIDDEN calc sheet'!A:C,1,FALSE)=E29)))),MD!$A$3,MD!$A$2))))</f>
        <v>Mandatory test for a mandatory feature</v>
      </c>
      <c r="E29" t="str">
        <f>IF('HIDDEN import'!F29=0,"",'HIDDEN import'!F29)</f>
        <v/>
      </c>
      <c r="F29" t="str">
        <f>IF('HIDDEN import'!G29=0,"",'HIDDEN import'!G29)</f>
        <v/>
      </c>
      <c r="G29" s="31" t="str">
        <f>IFERROR(VLOOKUP($A29,'HIDDEN Testrun Results'!$A:$B,2,FALSE),"")</f>
        <v/>
      </c>
      <c r="H29" s="31" t="b">
        <f t="shared" si="0"/>
        <v>1</v>
      </c>
      <c r="I29" s="31" t="b">
        <f>IF(VLOOKUP(A29&amp;" "&amp;B29,'HIDDEN import'!A:G,5,FALSE)="M",TRUE,IFERROR(VLOOKUP(E29,#REF!,3,FALSE)="Yes",IFERROR(VLOOKUP(E29,'HIDDEN calc sheet'!A:B,2,FALSE),VLOOKUP(E29,'Additional questions'!B:D,3,FALSE)="Yes")))</f>
        <v>1</v>
      </c>
      <c r="J29" s="31" t="b">
        <f t="shared" si="1"/>
        <v>0</v>
      </c>
      <c r="K29" t="b">
        <f>OR(IFERROR(VLOOKUP(B29,'Profile selection'!B:C,2,FALSE)="Yes",FALSE),AND(B29="Security",OR(VLOOKUP("Security Profile 2",'Profile selection'!B:C,2)="Yes",VLOOKUP("Security Profile 3",'Profile selection'!B:C,2)="Yes")))</f>
        <v>1</v>
      </c>
      <c r="L29" s="35"/>
      <c r="M29" s="35"/>
    </row>
    <row r="30" spans="1:13" x14ac:dyDescent="0.25">
      <c r="A30" t="str">
        <f>'HIDDEN import'!B30</f>
        <v>TC_037_3_CSMS</v>
      </c>
      <c r="B30" t="str">
        <f>'HIDDEN import'!C30</f>
        <v>Core</v>
      </c>
      <c r="C30" t="str">
        <f>'HIDDEN import'!D30</f>
        <v>Offline Start Transaction - Invalid IdTag - StopTransactionOnInvalidId = true</v>
      </c>
      <c r="D30" t="str">
        <f>IF(VLOOKUP(A30&amp;" "&amp;B30,'HIDDEN import'!A:G,5,FALSE)="M",MD!$A$1,IF(VLOOKUP(A30&amp;" "&amp;B30,'HIDDEN import'!A:G,5,FALSE)="O",MD!$A$4,(IF(AND(VLOOKUP(A30,'HIDDEN import'!B:E,4,FALSE)="C",OR(NOT(ISERROR(VLOOKUP(E30,'HIDDEN calc sheet'!A:C,1,FALSE)=E30)))),MD!$A$3,MD!$A$2))))</f>
        <v>Mandatory test for a mandatory feature</v>
      </c>
      <c r="E30" t="str">
        <f>IF('HIDDEN import'!F30=0,"",'HIDDEN import'!F30)</f>
        <v/>
      </c>
      <c r="F30" t="str">
        <f>IF('HIDDEN import'!G30=0,"",'HIDDEN import'!G30)</f>
        <v/>
      </c>
      <c r="G30" s="31" t="str">
        <f>IFERROR(VLOOKUP($A30,'HIDDEN Testrun Results'!$A:$B,2,FALSE),"")</f>
        <v/>
      </c>
      <c r="H30" s="31" t="b">
        <f t="shared" si="0"/>
        <v>1</v>
      </c>
      <c r="I30" s="31" t="b">
        <f>IF(VLOOKUP(A30&amp;" "&amp;B30,'HIDDEN import'!A:G,5,FALSE)="M",TRUE,IFERROR(VLOOKUP(E30,#REF!,3,FALSE)="Yes",IFERROR(VLOOKUP(E30,'HIDDEN calc sheet'!A:B,2,FALSE),VLOOKUP(E30,'Additional questions'!B:D,3,FALSE)="Yes")))</f>
        <v>1</v>
      </c>
      <c r="J30" s="31" t="b">
        <f t="shared" si="1"/>
        <v>0</v>
      </c>
      <c r="K30" t="b">
        <f>OR(IFERROR(VLOOKUP(B30,'Profile selection'!B:C,2,FALSE)="Yes",FALSE),AND(B30="Security",OR(VLOOKUP("Security Profile 2",'Profile selection'!B:C,2)="Yes",VLOOKUP("Security Profile 3",'Profile selection'!B:C,2)="Yes")))</f>
        <v>1</v>
      </c>
      <c r="L30" s="35"/>
      <c r="M30" s="35"/>
    </row>
    <row r="31" spans="1:13" x14ac:dyDescent="0.25">
      <c r="A31" t="str">
        <f>'HIDDEN import'!B31</f>
        <v>TC_039_CSMS</v>
      </c>
      <c r="B31" t="str">
        <f>'HIDDEN import'!C31</f>
        <v>Core</v>
      </c>
      <c r="C31" t="str">
        <f>'HIDDEN import'!D31</f>
        <v>Offline Transaction</v>
      </c>
      <c r="D31" t="str">
        <f>IF(VLOOKUP(A31&amp;" "&amp;B31,'HIDDEN import'!A:G,5,FALSE)="M",MD!$A$1,IF(VLOOKUP(A31&amp;" "&amp;B31,'HIDDEN import'!A:G,5,FALSE)="O",MD!$A$4,(IF(AND(VLOOKUP(A31,'HIDDEN import'!B:E,4,FALSE)="C",OR(NOT(ISERROR(VLOOKUP(E31,'HIDDEN calc sheet'!A:C,1,FALSE)=E31)))),MD!$A$3,MD!$A$2))))</f>
        <v>Mandatory test for a mandatory feature</v>
      </c>
      <c r="E31" t="str">
        <f>IF('HIDDEN import'!F31=0,"",'HIDDEN import'!F31)</f>
        <v/>
      </c>
      <c r="F31" t="str">
        <f>IF('HIDDEN import'!G31=0,"",'HIDDEN import'!G31)</f>
        <v/>
      </c>
      <c r="G31" s="31" t="str">
        <f>IFERROR(VLOOKUP($A31,'HIDDEN Testrun Results'!$A:$B,2,FALSE),"")</f>
        <v/>
      </c>
      <c r="H31" s="31" t="b">
        <f t="shared" si="0"/>
        <v>1</v>
      </c>
      <c r="I31" s="31" t="b">
        <f>IF(VLOOKUP(A31&amp;" "&amp;B31,'HIDDEN import'!A:G,5,FALSE)="M",TRUE,IFERROR(VLOOKUP(E31,#REF!,3,FALSE)="Yes",IFERROR(VLOOKUP(E31,'HIDDEN calc sheet'!A:B,2,FALSE),VLOOKUP(E31,'Additional questions'!B:D,3,FALSE)="Yes")))</f>
        <v>1</v>
      </c>
      <c r="J31" s="31" t="b">
        <f t="shared" si="1"/>
        <v>0</v>
      </c>
      <c r="K31" t="b">
        <f>OR(IFERROR(VLOOKUP(B31,'Profile selection'!B:C,2,FALSE)="Yes",FALSE),AND(B31="Security",OR(VLOOKUP("Security Profile 2",'Profile selection'!B:C,2)="Yes",VLOOKUP("Security Profile 3",'Profile selection'!B:C,2)="Yes")))</f>
        <v>1</v>
      </c>
      <c r="L31" s="35"/>
      <c r="M31" s="35"/>
    </row>
    <row r="32" spans="1:13" x14ac:dyDescent="0.25">
      <c r="A32" t="str">
        <f>'HIDDEN import'!B32</f>
        <v>TC_040_1_CSMS</v>
      </c>
      <c r="B32" t="str">
        <f>'HIDDEN import'!C32</f>
        <v>Core</v>
      </c>
      <c r="C32" t="str">
        <f>'HIDDEN import'!D32</f>
        <v>Configuration keys</v>
      </c>
      <c r="D32" t="str">
        <f>IF(VLOOKUP(A32&amp;" "&amp;B32,'HIDDEN import'!A:G,5,FALSE)="M",MD!$A$1,IF(VLOOKUP(A32&amp;" "&amp;B32,'HIDDEN import'!A:G,5,FALSE)="O",MD!$A$4,(IF(AND(VLOOKUP(A32,'HIDDEN import'!B:E,4,FALSE)="C",OR(NOT(ISERROR(VLOOKUP(E32,'HIDDEN calc sheet'!A:C,1,FALSE)=E32)))),MD!$A$3,MD!$A$2))))</f>
        <v>Optional test case</v>
      </c>
      <c r="E32" t="str">
        <f>IF('HIDDEN import'!F32=0,"",'HIDDEN import'!F32)</f>
        <v/>
      </c>
      <c r="F32" t="str">
        <f>IF('HIDDEN import'!G32=0,"",'HIDDEN import'!G32)</f>
        <v/>
      </c>
      <c r="G32" s="31" t="str">
        <f>IFERROR(VLOOKUP($A32,'HIDDEN Testrun Results'!$A:$B,2,FALSE),"")</f>
        <v/>
      </c>
      <c r="H32" s="31" t="str">
        <f t="shared" si="0"/>
        <v>Up to vendor</v>
      </c>
      <c r="I32" s="31" t="e">
        <f>IF(VLOOKUP(A32&amp;" "&amp;B32,'HIDDEN import'!A:G,5,FALSE)="M",TRUE,IFERROR(VLOOKUP(E32,#REF!,3,FALSE)="Yes",IFERROR(VLOOKUP(E32,'HIDDEN calc sheet'!A:B,2,FALSE),VLOOKUP(E32,'Additional questions'!B:D,3,FALSE)="Yes")))</f>
        <v>#N/A</v>
      </c>
      <c r="J32" s="31" t="b">
        <f t="shared" si="1"/>
        <v>1</v>
      </c>
      <c r="K32" t="b">
        <f>OR(IFERROR(VLOOKUP(B32,'Profile selection'!B:C,2,FALSE)="Yes",FALSE),AND(B32="Security",OR(VLOOKUP("Security Profile 2",'Profile selection'!B:C,2)="Yes",VLOOKUP("Security Profile 3",'Profile selection'!B:C,2)="Yes")))</f>
        <v>1</v>
      </c>
      <c r="L32" s="35"/>
      <c r="M32" s="35"/>
    </row>
    <row r="33" spans="1:13" x14ac:dyDescent="0.25">
      <c r="A33" t="str">
        <f>'HIDDEN import'!B33</f>
        <v>TC_040_2_CSMS</v>
      </c>
      <c r="B33" t="str">
        <f>'HIDDEN import'!C33</f>
        <v>Core</v>
      </c>
      <c r="C33" t="str">
        <f>'HIDDEN import'!D33</f>
        <v>Configuration Keys</v>
      </c>
      <c r="D33" t="str">
        <f>IF(VLOOKUP(A33&amp;" "&amp;B33,'HIDDEN import'!A:G,5,FALSE)="M",MD!$A$1,IF(VLOOKUP(A33&amp;" "&amp;B33,'HIDDEN import'!A:G,5,FALSE)="O",MD!$A$4,(IF(AND(VLOOKUP(A33,'HIDDEN import'!B:E,4,FALSE)="C",OR(NOT(ISERROR(VLOOKUP(E33,'HIDDEN calc sheet'!A:C,1,FALSE)=E33)))),MD!$A$3,MD!$A$2))))</f>
        <v>Optional test case</v>
      </c>
      <c r="E33" t="str">
        <f>IF('HIDDEN import'!F33=0,"",'HIDDEN import'!F33)</f>
        <v/>
      </c>
      <c r="F33" t="str">
        <f>IF('HIDDEN import'!G33=0,"",'HIDDEN import'!G33)</f>
        <v/>
      </c>
      <c r="G33" s="31" t="str">
        <f>IFERROR(VLOOKUP($A33,'HIDDEN Testrun Results'!$A:$B,2,FALSE),"")</f>
        <v/>
      </c>
      <c r="H33" s="31" t="str">
        <f t="shared" si="0"/>
        <v>Up to vendor</v>
      </c>
      <c r="I33" s="31" t="e">
        <f>IF(VLOOKUP(A33&amp;" "&amp;B33,'HIDDEN import'!A:G,5,FALSE)="M",TRUE,IFERROR(VLOOKUP(E33,#REF!,3,FALSE)="Yes",IFERROR(VLOOKUP(E33,'HIDDEN calc sheet'!A:B,2,FALSE),VLOOKUP(E33,'Additional questions'!B:D,3,FALSE)="Yes")))</f>
        <v>#N/A</v>
      </c>
      <c r="J33" s="31" t="b">
        <f t="shared" si="1"/>
        <v>1</v>
      </c>
      <c r="K33" t="b">
        <f>OR(IFERROR(VLOOKUP(B33,'Profile selection'!B:C,2,FALSE)="Yes",FALSE),AND(B33="Security",OR(VLOOKUP("Security Profile 2",'Profile selection'!B:C,2)="Yes",VLOOKUP("Security Profile 3",'Profile selection'!B:C,2)="Yes")))</f>
        <v>1</v>
      </c>
      <c r="L33" s="35"/>
      <c r="M33" s="35"/>
    </row>
    <row r="34" spans="1:13" x14ac:dyDescent="0.25">
      <c r="A34" t="str">
        <f>'HIDDEN import'!B34</f>
        <v>TC_042_2_CSMS</v>
      </c>
      <c r="B34" t="str">
        <f>'HIDDEN import'!C34</f>
        <v>Local Authorization List Management</v>
      </c>
      <c r="C34" t="str">
        <f>'HIDDEN import'!D34</f>
        <v>Get Local List Version (empty)</v>
      </c>
      <c r="D34" t="str">
        <f>IF(VLOOKUP(A34&amp;" "&amp;B34,'HIDDEN import'!A:G,5,FALSE)="M",MD!$A$1,IF(VLOOKUP(A34&amp;" "&amp;B34,'HIDDEN import'!A:G,5,FALSE)="O",MD!$A$4,(IF(AND(VLOOKUP(A34,'HIDDEN import'!B:E,4,FALSE)="C",OR(NOT(ISERROR(VLOOKUP(E34,'HIDDEN calc sheet'!A:C,1,FALSE)=E34)))),MD!$A$3,MD!$A$2))))</f>
        <v>Mandatory test for a mandatory feature</v>
      </c>
      <c r="E34" t="str">
        <f>IF('HIDDEN import'!F34=0,"",'HIDDEN import'!F34)</f>
        <v/>
      </c>
      <c r="F34" t="str">
        <f>IF('HIDDEN import'!G34=0,"",'HIDDEN import'!G34)</f>
        <v/>
      </c>
      <c r="G34" s="31" t="str">
        <f>IFERROR(VLOOKUP($A34,'HIDDEN Testrun Results'!$A:$B,2,FALSE),"")</f>
        <v/>
      </c>
      <c r="H34" s="31" t="b">
        <f t="shared" si="0"/>
        <v>1</v>
      </c>
      <c r="I34" s="31" t="b">
        <f>IF(VLOOKUP(A34&amp;" "&amp;B34,'HIDDEN import'!A:G,5,FALSE)="M",TRUE,IFERROR(VLOOKUP(E34,#REF!,3,FALSE)="Yes",IFERROR(VLOOKUP(E34,'HIDDEN calc sheet'!A:B,2,FALSE),VLOOKUP(E34,'Additional questions'!B:D,3,FALSE)="Yes")))</f>
        <v>1</v>
      </c>
      <c r="J34" s="31" t="b">
        <f t="shared" si="1"/>
        <v>0</v>
      </c>
      <c r="K34" t="b">
        <f>OR(IFERROR(VLOOKUP(B34,'Profile selection'!B:C,2,FALSE)="Yes",FALSE),AND(B34="Security",OR(VLOOKUP("Security Profile 2",'Profile selection'!B:C,2)="Yes",VLOOKUP("Security Profile 3",'Profile selection'!B:C,2)="Yes")))</f>
        <v>1</v>
      </c>
      <c r="L34" s="35"/>
      <c r="M34" s="35"/>
    </row>
    <row r="35" spans="1:13" x14ac:dyDescent="0.25">
      <c r="A35" t="str">
        <f>'HIDDEN import'!B35</f>
        <v>TC_043_3_CSMS</v>
      </c>
      <c r="B35" t="str">
        <f>'HIDDEN import'!C35</f>
        <v>Local Authorization List Management</v>
      </c>
      <c r="C35" t="str">
        <f>'HIDDEN import'!D35</f>
        <v>Send Local Authorization List - Failed</v>
      </c>
      <c r="D35" t="str">
        <f>IF(VLOOKUP(A35&amp;" "&amp;B35,'HIDDEN import'!A:G,5,FALSE)="M",MD!$A$1,IF(VLOOKUP(A35&amp;" "&amp;B35,'HIDDEN import'!A:G,5,FALSE)="O",MD!$A$4,(IF(AND(VLOOKUP(A35,'HIDDEN import'!B:E,4,FALSE)="C",OR(NOT(ISERROR(VLOOKUP(E35,'HIDDEN calc sheet'!A:C,1,FALSE)=E35)))),MD!$A$3,MD!$A$2))))</f>
        <v>Mandatory test for a mandatory feature</v>
      </c>
      <c r="E35" t="str">
        <f>IF('HIDDEN import'!F35=0,"",'HIDDEN import'!F35)</f>
        <v/>
      </c>
      <c r="F35" t="str">
        <f>IF('HIDDEN import'!G35=0,"",'HIDDEN import'!G35)</f>
        <v/>
      </c>
      <c r="G35" s="31" t="str">
        <f>IFERROR(VLOOKUP($A35,'HIDDEN Testrun Results'!$A:$B,2,FALSE),"")</f>
        <v/>
      </c>
      <c r="H35" s="31" t="b">
        <f t="shared" si="0"/>
        <v>1</v>
      </c>
      <c r="I35" s="31" t="b">
        <f>IF(VLOOKUP(A35&amp;" "&amp;B35,'HIDDEN import'!A:G,5,FALSE)="M",TRUE,IFERROR(VLOOKUP(E35,#REF!,3,FALSE)="Yes",IFERROR(VLOOKUP(E35,'HIDDEN calc sheet'!A:B,2,FALSE),VLOOKUP(E35,'Additional questions'!B:D,3,FALSE)="Yes")))</f>
        <v>1</v>
      </c>
      <c r="J35" s="31" t="b">
        <f t="shared" si="1"/>
        <v>0</v>
      </c>
      <c r="K35" t="b">
        <f>OR(IFERROR(VLOOKUP(B35,'Profile selection'!B:C,2,FALSE)="Yes",FALSE),AND(B35="Security",OR(VLOOKUP("Security Profile 2",'Profile selection'!B:C,2)="Yes",VLOOKUP("Security Profile 3",'Profile selection'!B:C,2)="Yes")))</f>
        <v>1</v>
      </c>
      <c r="L35" s="35"/>
      <c r="M35" s="35"/>
    </row>
    <row r="36" spans="1:13" x14ac:dyDescent="0.25">
      <c r="A36" t="str">
        <f>'HIDDEN import'!B36</f>
        <v>TC_043_4_CSMS</v>
      </c>
      <c r="B36" t="str">
        <f>'HIDDEN import'!C36</f>
        <v>Local Authorization List Management</v>
      </c>
      <c r="C36" t="str">
        <f>'HIDDEN import'!D36</f>
        <v>Send Local Authorization List - Full</v>
      </c>
      <c r="D36" t="str">
        <f>IF(VLOOKUP(A36&amp;" "&amp;B36,'HIDDEN import'!A:G,5,FALSE)="M",MD!$A$1,IF(VLOOKUP(A36&amp;" "&amp;B36,'HIDDEN import'!A:G,5,FALSE)="O",MD!$A$4,(IF(AND(VLOOKUP(A36,'HIDDEN import'!B:E,4,FALSE)="C",OR(NOT(ISERROR(VLOOKUP(E36,'HIDDEN calc sheet'!A:C,1,FALSE)=E36)))),MD!$A$3,MD!$A$2))))</f>
        <v>Mandatory test for a mandatory feature</v>
      </c>
      <c r="E36" t="str">
        <f>IF('HIDDEN import'!F36=0,"",'HIDDEN import'!F36)</f>
        <v/>
      </c>
      <c r="F36" t="str">
        <f>IF('HIDDEN import'!G36=0,"",'HIDDEN import'!G36)</f>
        <v/>
      </c>
      <c r="G36" s="31" t="str">
        <f>IFERROR(VLOOKUP($A36,'HIDDEN Testrun Results'!$A:$B,2,FALSE),"")</f>
        <v/>
      </c>
      <c r="H36" s="31" t="b">
        <f t="shared" si="0"/>
        <v>1</v>
      </c>
      <c r="I36" s="31" t="b">
        <f>IF(VLOOKUP(A36&amp;" "&amp;B36,'HIDDEN import'!A:G,5,FALSE)="M",TRUE,IFERROR(VLOOKUP(E36,#REF!,3,FALSE)="Yes",IFERROR(VLOOKUP(E36,'HIDDEN calc sheet'!A:B,2,FALSE),VLOOKUP(E36,'Additional questions'!B:D,3,FALSE)="Yes")))</f>
        <v>1</v>
      </c>
      <c r="J36" s="31" t="b">
        <f t="shared" si="1"/>
        <v>0</v>
      </c>
      <c r="K36" t="b">
        <f>OR(IFERROR(VLOOKUP(B36,'Profile selection'!B:C,2,FALSE)="Yes",FALSE),AND(B36="Security",OR(VLOOKUP("Security Profile 2",'Profile selection'!B:C,2)="Yes",VLOOKUP("Security Profile 3",'Profile selection'!B:C,2)="Yes")))</f>
        <v>1</v>
      </c>
      <c r="L36" s="35"/>
      <c r="M36" s="35"/>
    </row>
    <row r="37" spans="1:13" x14ac:dyDescent="0.25">
      <c r="A37" t="str">
        <f>'HIDDEN import'!B37</f>
        <v>TC_043_5_CSMS</v>
      </c>
      <c r="B37" t="str">
        <f>'HIDDEN import'!C37</f>
        <v>Local Authorization List Management</v>
      </c>
      <c r="C37" t="str">
        <f>'HIDDEN import'!D37</f>
        <v>Send Local Authorization List - Differential</v>
      </c>
      <c r="D37" t="str">
        <f>IF(VLOOKUP(A37&amp;" "&amp;B37,'HIDDEN import'!A:G,5,FALSE)="M",MD!$A$1,IF(VLOOKUP(A37&amp;" "&amp;B37,'HIDDEN import'!A:G,5,FALSE)="O",MD!$A$4,(IF(AND(VLOOKUP(A37,'HIDDEN import'!B:E,4,FALSE)="C",OR(NOT(ISERROR(VLOOKUP(E37,'HIDDEN calc sheet'!A:C,1,FALSE)=E37)))),MD!$A$3,MD!$A$2))))</f>
        <v>Mandatory test for a mandatory feature</v>
      </c>
      <c r="E37" t="str">
        <f>IF('HIDDEN import'!F37=0,"",'HIDDEN import'!F37)</f>
        <v/>
      </c>
      <c r="F37" t="str">
        <f>IF('HIDDEN import'!G37=0,"",'HIDDEN import'!G37)</f>
        <v/>
      </c>
      <c r="G37" s="31" t="str">
        <f>IFERROR(VLOOKUP($A37,'HIDDEN Testrun Results'!$A:$B,2,FALSE),"")</f>
        <v/>
      </c>
      <c r="H37" s="31" t="b">
        <f t="shared" si="0"/>
        <v>1</v>
      </c>
      <c r="I37" s="31" t="b">
        <f>IF(VLOOKUP(A37&amp;" "&amp;B37,'HIDDEN import'!A:G,5,FALSE)="M",TRUE,IFERROR(VLOOKUP(E37,#REF!,3,FALSE)="Yes",IFERROR(VLOOKUP(E37,'HIDDEN calc sheet'!A:B,2,FALSE),VLOOKUP(E37,'Additional questions'!B:D,3,FALSE)="Yes")))</f>
        <v>1</v>
      </c>
      <c r="J37" s="31" t="b">
        <f t="shared" si="1"/>
        <v>0</v>
      </c>
      <c r="K37" t="b">
        <f>OR(IFERROR(VLOOKUP(B37,'Profile selection'!B:C,2,FALSE)="Yes",FALSE),AND(B37="Security",OR(VLOOKUP("Security Profile 2",'Profile selection'!B:C,2)="Yes",VLOOKUP("Security Profile 3",'Profile selection'!B:C,2)="Yes")))</f>
        <v>1</v>
      </c>
      <c r="L37" s="35"/>
      <c r="M37" s="35"/>
    </row>
    <row r="38" spans="1:13" x14ac:dyDescent="0.25">
      <c r="A38" t="str">
        <f>'HIDDEN import'!B38</f>
        <v>TC_044_1_CSMS</v>
      </c>
      <c r="B38" t="str">
        <f>'HIDDEN import'!C38</f>
        <v>Firmware Management</v>
      </c>
      <c r="C38" t="str">
        <f>'HIDDEN import'!D38</f>
        <v>Firmware Update - Download and Install</v>
      </c>
      <c r="D38" t="str">
        <f>IF(VLOOKUP(A38&amp;" "&amp;B38,'HIDDEN import'!A:G,5,FALSE)="M",MD!$A$1,IF(VLOOKUP(A38&amp;" "&amp;B38,'HIDDEN import'!A:G,5,FALSE)="O",MD!$A$4,(IF(AND(VLOOKUP(A38,'HIDDEN import'!B:E,4,FALSE)="C",OR(NOT(ISERROR(VLOOKUP(E38,'HIDDEN calc sheet'!A:C,1,FALSE)=E38)))),MD!$A$3,MD!$A$2))))</f>
        <v>Mandatory test for a mandatory feature</v>
      </c>
      <c r="E38" t="str">
        <f>IF('HIDDEN import'!F38=0,"",'HIDDEN import'!F38)</f>
        <v/>
      </c>
      <c r="F38" t="str">
        <f>IF('HIDDEN import'!G38=0,"",'HIDDEN import'!G38)</f>
        <v/>
      </c>
      <c r="G38" s="31" t="str">
        <f>IFERROR(VLOOKUP($A38,'HIDDEN Testrun Results'!$A:$B,2,FALSE),"")</f>
        <v/>
      </c>
      <c r="H38" s="31" t="b">
        <f t="shared" si="0"/>
        <v>1</v>
      </c>
      <c r="I38" s="31" t="b">
        <f>IF(VLOOKUP(A38&amp;" "&amp;B38,'HIDDEN import'!A:G,5,FALSE)="M",TRUE,IFERROR(VLOOKUP(E38,#REF!,3,FALSE)="Yes",IFERROR(VLOOKUP(E38,'HIDDEN calc sheet'!A:B,2,FALSE),VLOOKUP(E38,'Additional questions'!B:D,3,FALSE)="Yes")))</f>
        <v>1</v>
      </c>
      <c r="J38" s="31" t="b">
        <f t="shared" si="1"/>
        <v>0</v>
      </c>
      <c r="K38" t="b">
        <f>OR(IFERROR(VLOOKUP(B38,'Profile selection'!B:C,2,FALSE)="Yes",FALSE),AND(B38="Security",OR(VLOOKUP("Security Profile 2",'Profile selection'!B:C,2)="Yes",VLOOKUP("Security Profile 3",'Profile selection'!B:C,2)="Yes")))</f>
        <v>1</v>
      </c>
      <c r="L38" s="35"/>
      <c r="M38" s="35"/>
    </row>
    <row r="39" spans="1:13" x14ac:dyDescent="0.25">
      <c r="A39" t="str">
        <f>'HIDDEN import'!B39</f>
        <v>TC_044_2_CSMS</v>
      </c>
      <c r="B39" t="str">
        <f>'HIDDEN import'!C39</f>
        <v>Firmware Management</v>
      </c>
      <c r="C39" t="str">
        <f>'HIDDEN import'!D39</f>
        <v>Firmware Update - Download Failed</v>
      </c>
      <c r="D39" t="str">
        <f>IF(VLOOKUP(A39&amp;" "&amp;B39,'HIDDEN import'!A:G,5,FALSE)="M",MD!$A$1,IF(VLOOKUP(A39&amp;" "&amp;B39,'HIDDEN import'!A:G,5,FALSE)="O",MD!$A$4,(IF(AND(VLOOKUP(A39,'HIDDEN import'!B:E,4,FALSE)="C",OR(NOT(ISERROR(VLOOKUP(E39,'HIDDEN calc sheet'!A:C,1,FALSE)=E39)))),MD!$A$3,MD!$A$2))))</f>
        <v>Mandatory test for a mandatory feature</v>
      </c>
      <c r="E39" t="str">
        <f>IF('HIDDEN import'!F39=0,"",'HIDDEN import'!F39)</f>
        <v/>
      </c>
      <c r="F39" t="str">
        <f>IF('HIDDEN import'!G39=0,"",'HIDDEN import'!G39)</f>
        <v/>
      </c>
      <c r="G39" s="31" t="str">
        <f>IFERROR(VLOOKUP($A39,'HIDDEN Testrun Results'!$A:$B,2,FALSE),"")</f>
        <v/>
      </c>
      <c r="H39" s="31" t="b">
        <f t="shared" si="0"/>
        <v>1</v>
      </c>
      <c r="I39" s="31" t="b">
        <f>IF(VLOOKUP(A39&amp;" "&amp;B39,'HIDDEN import'!A:G,5,FALSE)="M",TRUE,IFERROR(VLOOKUP(E39,#REF!,3,FALSE)="Yes",IFERROR(VLOOKUP(E39,'HIDDEN calc sheet'!A:B,2,FALSE),VLOOKUP(E39,'Additional questions'!B:D,3,FALSE)="Yes")))</f>
        <v>1</v>
      </c>
      <c r="J39" s="31" t="b">
        <f t="shared" si="1"/>
        <v>0</v>
      </c>
      <c r="K39" t="b">
        <f>OR(IFERROR(VLOOKUP(B39,'Profile selection'!B:C,2,FALSE)="Yes",FALSE),AND(B39="Security",OR(VLOOKUP("Security Profile 2",'Profile selection'!B:C,2)="Yes",VLOOKUP("Security Profile 3",'Profile selection'!B:C,2)="Yes")))</f>
        <v>1</v>
      </c>
      <c r="L39" s="35"/>
      <c r="M39" s="35"/>
    </row>
    <row r="40" spans="1:13" x14ac:dyDescent="0.25">
      <c r="A40" t="str">
        <f>'HIDDEN import'!B40</f>
        <v>TC_044_3_CSMS</v>
      </c>
      <c r="B40" t="str">
        <f>'HIDDEN import'!C40</f>
        <v>Firmware Management</v>
      </c>
      <c r="C40" t="str">
        <f>'HIDDEN import'!D40</f>
        <v>Firmware Update - Installation Failed</v>
      </c>
      <c r="D40" t="str">
        <f>IF(VLOOKUP(A40&amp;" "&amp;B40,'HIDDEN import'!A:G,5,FALSE)="M",MD!$A$1,IF(VLOOKUP(A40&amp;" "&amp;B40,'HIDDEN import'!A:G,5,FALSE)="O",MD!$A$4,(IF(AND(VLOOKUP(A40,'HIDDEN import'!B:E,4,FALSE)="C",OR(NOT(ISERROR(VLOOKUP(E40,'HIDDEN calc sheet'!A:C,1,FALSE)=E40)))),MD!$A$3,MD!$A$2))))</f>
        <v>Mandatory test for a mandatory feature</v>
      </c>
      <c r="E40" t="str">
        <f>IF('HIDDEN import'!F40=0,"",'HIDDEN import'!F40)</f>
        <v/>
      </c>
      <c r="F40" t="str">
        <f>IF('HIDDEN import'!G40=0,"",'HIDDEN import'!G40)</f>
        <v/>
      </c>
      <c r="G40" s="31" t="str">
        <f>IFERROR(VLOOKUP($A40,'HIDDEN Testrun Results'!$A:$B,2,FALSE),"")</f>
        <v/>
      </c>
      <c r="H40" s="31" t="b">
        <f t="shared" si="0"/>
        <v>1</v>
      </c>
      <c r="I40" s="31" t="b">
        <f>IF(VLOOKUP(A40&amp;" "&amp;B40,'HIDDEN import'!A:G,5,FALSE)="M",TRUE,IFERROR(VLOOKUP(E40,#REF!,3,FALSE)="Yes",IFERROR(VLOOKUP(E40,'HIDDEN calc sheet'!A:B,2,FALSE),VLOOKUP(E40,'Additional questions'!B:D,3,FALSE)="Yes")))</f>
        <v>1</v>
      </c>
      <c r="J40" s="31" t="b">
        <f t="shared" si="1"/>
        <v>0</v>
      </c>
      <c r="K40" t="b">
        <f>OR(IFERROR(VLOOKUP(B40,'Profile selection'!B:C,2,FALSE)="Yes",FALSE),AND(B40="Security",OR(VLOOKUP("Security Profile 2",'Profile selection'!B:C,2)="Yes",VLOOKUP("Security Profile 3",'Profile selection'!B:C,2)="Yes")))</f>
        <v>1</v>
      </c>
      <c r="L40" s="35"/>
      <c r="M40" s="35"/>
    </row>
    <row r="41" spans="1:13" x14ac:dyDescent="0.25">
      <c r="A41" t="str">
        <f>'HIDDEN import'!B41</f>
        <v>TC_045_1_CSMS</v>
      </c>
      <c r="B41" t="str">
        <f>'HIDDEN import'!C41</f>
        <v>Firmware Management</v>
      </c>
      <c r="C41" t="str">
        <f>'HIDDEN import'!D41</f>
        <v>Get Diagnostics</v>
      </c>
      <c r="D41" t="str">
        <f>IF(VLOOKUP(A41&amp;" "&amp;B41,'HIDDEN import'!A:G,5,FALSE)="M",MD!$A$1,IF(VLOOKUP(A41&amp;" "&amp;B41,'HIDDEN import'!A:G,5,FALSE)="O",MD!$A$4,(IF(AND(VLOOKUP(A41,'HIDDEN import'!B:E,4,FALSE)="C",OR(NOT(ISERROR(VLOOKUP(E41,'HIDDEN calc sheet'!A:C,1,FALSE)=E41)))),MD!$A$3,MD!$A$2))))</f>
        <v>Mandatory test for a mandatory feature</v>
      </c>
      <c r="E41" t="str">
        <f>IF('HIDDEN import'!F41=0,"",'HIDDEN import'!F41)</f>
        <v/>
      </c>
      <c r="F41" t="str">
        <f>IF('HIDDEN import'!G41=0,"",'HIDDEN import'!G41)</f>
        <v/>
      </c>
      <c r="G41" s="31" t="str">
        <f>IFERROR(VLOOKUP($A41,'HIDDEN Testrun Results'!$A:$B,2,FALSE),"")</f>
        <v/>
      </c>
      <c r="H41" s="31" t="b">
        <f t="shared" si="0"/>
        <v>1</v>
      </c>
      <c r="I41" s="31" t="b">
        <f>IF(VLOOKUP(A41&amp;" "&amp;B41,'HIDDEN import'!A:G,5,FALSE)="M",TRUE,IFERROR(VLOOKUP(E41,#REF!,3,FALSE)="Yes",IFERROR(VLOOKUP(E41,'HIDDEN calc sheet'!A:B,2,FALSE),VLOOKUP(E41,'Additional questions'!B:D,3,FALSE)="Yes")))</f>
        <v>1</v>
      </c>
      <c r="J41" s="31" t="b">
        <f t="shared" si="1"/>
        <v>0</v>
      </c>
      <c r="K41" t="b">
        <f>OR(IFERROR(VLOOKUP(B41,'Profile selection'!B:C,2,FALSE)="Yes",FALSE),AND(B41="Security",OR(VLOOKUP("Security Profile 2",'Profile selection'!B:C,2)="Yes",VLOOKUP("Security Profile 3",'Profile selection'!B:C,2)="Yes")))</f>
        <v>1</v>
      </c>
      <c r="L41" s="35"/>
      <c r="M41" s="35"/>
    </row>
    <row r="42" spans="1:13" x14ac:dyDescent="0.25">
      <c r="A42" t="str">
        <f>'HIDDEN import'!B42</f>
        <v>TC_045_2_CSMS</v>
      </c>
      <c r="B42" t="str">
        <f>'HIDDEN import'!C42</f>
        <v>Firmware Management</v>
      </c>
      <c r="C42" t="str">
        <f>'HIDDEN import'!D42</f>
        <v>Get Diagnostics - Upload Failed</v>
      </c>
      <c r="D42" t="str">
        <f>IF(VLOOKUP(A42&amp;" "&amp;B42,'HIDDEN import'!A:G,5,FALSE)="M",MD!$A$1,IF(VLOOKUP(A42&amp;" "&amp;B42,'HIDDEN import'!A:G,5,FALSE)="O",MD!$A$4,(IF(AND(VLOOKUP(A42,'HIDDEN import'!B:E,4,FALSE)="C",OR(NOT(ISERROR(VLOOKUP(E42,'HIDDEN calc sheet'!A:C,1,FALSE)=E42)))),MD!$A$3,MD!$A$2))))</f>
        <v>Optional test case</v>
      </c>
      <c r="E42" t="str">
        <f>IF('HIDDEN import'!F42=0,"",'HIDDEN import'!F42)</f>
        <v/>
      </c>
      <c r="F42" t="str">
        <f>IF('HIDDEN import'!G42=0,"",'HIDDEN import'!G42)</f>
        <v/>
      </c>
      <c r="G42" s="31" t="str">
        <f>IFERROR(VLOOKUP($A42,'HIDDEN Testrun Results'!$A:$B,2,FALSE),"")</f>
        <v/>
      </c>
      <c r="H42" s="31" t="str">
        <f t="shared" si="0"/>
        <v>Up to vendor</v>
      </c>
      <c r="I42" s="31" t="e">
        <f>IF(VLOOKUP(A42&amp;" "&amp;B42,'HIDDEN import'!A:G,5,FALSE)="M",TRUE,IFERROR(VLOOKUP(E42,#REF!,3,FALSE)="Yes",IFERROR(VLOOKUP(E42,'HIDDEN calc sheet'!A:B,2,FALSE),VLOOKUP(E42,'Additional questions'!B:D,3,FALSE)="Yes")))</f>
        <v>#N/A</v>
      </c>
      <c r="J42" s="31" t="b">
        <f t="shared" si="1"/>
        <v>1</v>
      </c>
      <c r="K42" t="b">
        <f>OR(IFERROR(VLOOKUP(B42,'Profile selection'!B:C,2,FALSE)="Yes",FALSE),AND(B42="Security",OR(VLOOKUP("Security Profile 2",'Profile selection'!B:C,2)="Yes",VLOOKUP("Security Profile 3",'Profile selection'!B:C,2)="Yes")))</f>
        <v>1</v>
      </c>
      <c r="L42" s="35"/>
      <c r="M42" s="35"/>
    </row>
    <row r="43" spans="1:13" x14ac:dyDescent="0.25">
      <c r="A43" t="str">
        <f>'HIDDEN import'!B43</f>
        <v>TC_046_CSMS</v>
      </c>
      <c r="B43" t="str">
        <f>'HIDDEN import'!C43</f>
        <v>Reservation</v>
      </c>
      <c r="C43" t="str">
        <f>'HIDDEN import'!D43</f>
        <v>Reservation of a Connector - Transaction</v>
      </c>
      <c r="D43" t="str">
        <f>IF(VLOOKUP(A43&amp;" "&amp;B43,'HIDDEN import'!A:G,5,FALSE)="M",MD!$A$1,IF(VLOOKUP(A43&amp;" "&amp;B43,'HIDDEN import'!A:G,5,FALSE)="O",MD!$A$4,(IF(AND(VLOOKUP(A43,'HIDDEN import'!B:E,4,FALSE)="C",OR(NOT(ISERROR(VLOOKUP(E43,'HIDDEN calc sheet'!A:C,1,FALSE)=E43)))),MD!$A$3,MD!$A$2))))</f>
        <v>Mandatory test for a mandatory feature</v>
      </c>
      <c r="E43" t="str">
        <f>IF('HIDDEN import'!F43=0,"",'HIDDEN import'!F43)</f>
        <v/>
      </c>
      <c r="F43" t="str">
        <f>IF('HIDDEN import'!G43=0,"",'HIDDEN import'!G43)</f>
        <v/>
      </c>
      <c r="G43" s="31" t="str">
        <f>IFERROR(VLOOKUP($A43,'HIDDEN Testrun Results'!$A:$B,2,FALSE),"")</f>
        <v/>
      </c>
      <c r="H43" s="31" t="b">
        <f t="shared" si="0"/>
        <v>1</v>
      </c>
      <c r="I43" s="31" t="b">
        <f>IF(VLOOKUP(A43&amp;" "&amp;B43,'HIDDEN import'!A:G,5,FALSE)="M",TRUE,IFERROR(VLOOKUP(E43,#REF!,3,FALSE)="Yes",IFERROR(VLOOKUP(E43,'HIDDEN calc sheet'!A:B,2,FALSE),VLOOKUP(E43,'Additional questions'!B:D,3,FALSE)="Yes")))</f>
        <v>1</v>
      </c>
      <c r="J43" s="31" t="b">
        <f t="shared" si="1"/>
        <v>0</v>
      </c>
      <c r="K43" t="b">
        <f>OR(IFERROR(VLOOKUP(B43,'Profile selection'!B:C,2,FALSE)="Yes",FALSE),AND(B43="Security",OR(VLOOKUP("Security Profile 2",'Profile selection'!B:C,2)="Yes",VLOOKUP("Security Profile 3",'Profile selection'!B:C,2)="Yes")))</f>
        <v>1</v>
      </c>
      <c r="L43" s="35"/>
      <c r="M43" s="35"/>
    </row>
    <row r="44" spans="1:13" x14ac:dyDescent="0.25">
      <c r="A44" t="str">
        <f>'HIDDEN import'!B44</f>
        <v>TC_047_CSMS</v>
      </c>
      <c r="B44" t="str">
        <f>'HIDDEN import'!C44</f>
        <v>Reservation</v>
      </c>
      <c r="C44" t="str">
        <f>'HIDDEN import'!D44</f>
        <v>Reservation of a Connector - Expire</v>
      </c>
      <c r="D44" t="str">
        <f>IF(VLOOKUP(A44&amp;" "&amp;B44,'HIDDEN import'!A:G,5,FALSE)="M",MD!$A$1,IF(VLOOKUP(A44&amp;" "&amp;B44,'HIDDEN import'!A:G,5,FALSE)="O",MD!$A$4,(IF(AND(VLOOKUP(A44,'HIDDEN import'!B:E,4,FALSE)="C",OR(NOT(ISERROR(VLOOKUP(E44,'HIDDEN calc sheet'!A:C,1,FALSE)=E44)))),MD!$A$3,MD!$A$2))))</f>
        <v>Mandatory test for a mandatory feature</v>
      </c>
      <c r="E44" t="str">
        <f>IF('HIDDEN import'!F44=0,"",'HIDDEN import'!F44)</f>
        <v/>
      </c>
      <c r="F44" t="str">
        <f>IF('HIDDEN import'!G44=0,"",'HIDDEN import'!G44)</f>
        <v/>
      </c>
      <c r="G44" s="31" t="str">
        <f>IFERROR(VLOOKUP($A44,'HIDDEN Testrun Results'!$A:$B,2,FALSE),"")</f>
        <v/>
      </c>
      <c r="H44" s="31" t="b">
        <f t="shared" si="0"/>
        <v>1</v>
      </c>
      <c r="I44" s="31" t="b">
        <f>IF(VLOOKUP(A44&amp;" "&amp;B44,'HIDDEN import'!A:G,5,FALSE)="M",TRUE,IFERROR(VLOOKUP(E44,#REF!,3,FALSE)="Yes",IFERROR(VLOOKUP(E44,'HIDDEN calc sheet'!A:B,2,FALSE),VLOOKUP(E44,'Additional questions'!B:D,3,FALSE)="Yes")))</f>
        <v>1</v>
      </c>
      <c r="J44" s="31" t="b">
        <f t="shared" si="1"/>
        <v>0</v>
      </c>
      <c r="K44" t="b">
        <f>OR(IFERROR(VLOOKUP(B44,'Profile selection'!B:C,2,FALSE)="Yes",FALSE),AND(B44="Security",OR(VLOOKUP("Security Profile 2",'Profile selection'!B:C,2)="Yes",VLOOKUP("Security Profile 3",'Profile selection'!B:C,2)="Yes")))</f>
        <v>1</v>
      </c>
      <c r="L44" s="35"/>
      <c r="M44" s="35"/>
    </row>
    <row r="45" spans="1:13" x14ac:dyDescent="0.25">
      <c r="A45" t="str">
        <f>'HIDDEN import'!B45</f>
        <v>TC_048_2_CSMS</v>
      </c>
      <c r="B45" t="str">
        <f>'HIDDEN import'!C45</f>
        <v>Reservation</v>
      </c>
      <c r="C45" t="str">
        <f>'HIDDEN import'!D45</f>
        <v>Reservation of a Connector - Occupied</v>
      </c>
      <c r="D45" t="str">
        <f>IF(VLOOKUP(A45&amp;" "&amp;B45,'HIDDEN import'!A:G,5,FALSE)="M",MD!$A$1,IF(VLOOKUP(A45&amp;" "&amp;B45,'HIDDEN import'!A:G,5,FALSE)="O",MD!$A$4,(IF(AND(VLOOKUP(A45,'HIDDEN import'!B:E,4,FALSE)="C",OR(NOT(ISERROR(VLOOKUP(E45,'HIDDEN calc sheet'!A:C,1,FALSE)=E45)))),MD!$A$3,MD!$A$2))))</f>
        <v>Optional test case</v>
      </c>
      <c r="E45" t="str">
        <f>IF('HIDDEN import'!F45=0,"",'HIDDEN import'!F45)</f>
        <v/>
      </c>
      <c r="F45" t="str">
        <f>IF('HIDDEN import'!G45=0,"",'HIDDEN import'!G45)</f>
        <v/>
      </c>
      <c r="G45" s="31" t="str">
        <f>IFERROR(VLOOKUP($A45,'HIDDEN Testrun Results'!$A:$B,2,FALSE),"")</f>
        <v/>
      </c>
      <c r="H45" s="31" t="str">
        <f t="shared" si="0"/>
        <v>Up to vendor</v>
      </c>
      <c r="I45" s="31" t="e">
        <f>IF(VLOOKUP(A45&amp;" "&amp;B45,'HIDDEN import'!A:G,5,FALSE)="M",TRUE,IFERROR(VLOOKUP(E45,#REF!,3,FALSE)="Yes",IFERROR(VLOOKUP(E45,'HIDDEN calc sheet'!A:B,2,FALSE),VLOOKUP(E45,'Additional questions'!B:D,3,FALSE)="Yes")))</f>
        <v>#N/A</v>
      </c>
      <c r="J45" s="31" t="b">
        <f t="shared" si="1"/>
        <v>1</v>
      </c>
      <c r="K45" t="b">
        <f>OR(IFERROR(VLOOKUP(B45,'Profile selection'!B:C,2,FALSE)="Yes",FALSE),AND(B45="Security",OR(VLOOKUP("Security Profile 2",'Profile selection'!B:C,2)="Yes",VLOOKUP("Security Profile 3",'Profile selection'!B:C,2)="Yes")))</f>
        <v>1</v>
      </c>
      <c r="L45" s="35"/>
      <c r="M45" s="35"/>
    </row>
    <row r="46" spans="1:13" x14ac:dyDescent="0.25">
      <c r="A46" t="str">
        <f>'HIDDEN import'!B46</f>
        <v>TC_048_3_CSMS</v>
      </c>
      <c r="B46" t="str">
        <f>'HIDDEN import'!C46</f>
        <v>Reservation</v>
      </c>
      <c r="C46" t="str">
        <f>'HIDDEN import'!D46</f>
        <v>Reservation of a Connector - Unavailable</v>
      </c>
      <c r="D46" t="str">
        <f>IF(VLOOKUP(A46&amp;" "&amp;B46,'HIDDEN import'!A:G,5,FALSE)="M",MD!$A$1,IF(VLOOKUP(A46&amp;" "&amp;B46,'HIDDEN import'!A:G,5,FALSE)="O",MD!$A$4,(IF(AND(VLOOKUP(A46,'HIDDEN import'!B:E,4,FALSE)="C",OR(NOT(ISERROR(VLOOKUP(E46,'HIDDEN calc sheet'!A:C,1,FALSE)=E46)))),MD!$A$3,MD!$A$2))))</f>
        <v>Optional test case</v>
      </c>
      <c r="E46" t="str">
        <f>IF('HIDDEN import'!F46=0,"",'HIDDEN import'!F46)</f>
        <v/>
      </c>
      <c r="F46" t="str">
        <f>IF('HIDDEN import'!G46=0,"",'HIDDEN import'!G46)</f>
        <v/>
      </c>
      <c r="G46" s="31" t="str">
        <f>IFERROR(VLOOKUP($A46,'HIDDEN Testrun Results'!$A:$B,2,FALSE),"")</f>
        <v/>
      </c>
      <c r="H46" s="31" t="str">
        <f t="shared" si="0"/>
        <v>Up to vendor</v>
      </c>
      <c r="I46" s="31" t="e">
        <f>IF(VLOOKUP(A46&amp;" "&amp;B46,'HIDDEN import'!A:G,5,FALSE)="M",TRUE,IFERROR(VLOOKUP(E46,#REF!,3,FALSE)="Yes",IFERROR(VLOOKUP(E46,'HIDDEN calc sheet'!A:B,2,FALSE),VLOOKUP(E46,'Additional questions'!B:D,3,FALSE)="Yes")))</f>
        <v>#N/A</v>
      </c>
      <c r="J46" s="31" t="b">
        <f t="shared" si="1"/>
        <v>1</v>
      </c>
      <c r="K46" t="b">
        <f>OR(IFERROR(VLOOKUP(B46,'Profile selection'!B:C,2,FALSE)="Yes",FALSE),AND(B46="Security",OR(VLOOKUP("Security Profile 2",'Profile selection'!B:C,2)="Yes",VLOOKUP("Security Profile 3",'Profile selection'!B:C,2)="Yes")))</f>
        <v>1</v>
      </c>
      <c r="L46" s="35"/>
      <c r="M46" s="35"/>
    </row>
    <row r="47" spans="1:13" x14ac:dyDescent="0.25">
      <c r="A47" t="str">
        <f>'HIDDEN import'!B47</f>
        <v>TC_048_4_CSMS</v>
      </c>
      <c r="B47" t="str">
        <f>'HIDDEN import'!C47</f>
        <v>Reservation</v>
      </c>
      <c r="C47" t="str">
        <f>'HIDDEN import'!D47</f>
        <v>Reservation of a Connector - Rejected</v>
      </c>
      <c r="D47" t="str">
        <f>IF(VLOOKUP(A47&amp;" "&amp;B47,'HIDDEN import'!A:G,5,FALSE)="M",MD!$A$1,IF(VLOOKUP(A47&amp;" "&amp;B47,'HIDDEN import'!A:G,5,FALSE)="O",MD!$A$4,(IF(AND(VLOOKUP(A47,'HIDDEN import'!B:E,4,FALSE)="C",OR(NOT(ISERROR(VLOOKUP(E47,'HIDDEN calc sheet'!A:C,1,FALSE)=E47)))),MD!$A$3,MD!$A$2))))</f>
        <v>Mandatory test for a mandatory feature</v>
      </c>
      <c r="E47" t="str">
        <f>IF('HIDDEN import'!F47=0,"",'HIDDEN import'!F47)</f>
        <v/>
      </c>
      <c r="F47" t="str">
        <f>IF('HIDDEN import'!G47=0,"",'HIDDEN import'!G47)</f>
        <v/>
      </c>
      <c r="G47" s="31" t="str">
        <f>IFERROR(VLOOKUP($A47,'HIDDEN Testrun Results'!$A:$B,2,FALSE),"")</f>
        <v/>
      </c>
      <c r="H47" s="31" t="b">
        <f t="shared" si="0"/>
        <v>1</v>
      </c>
      <c r="I47" s="31" t="b">
        <f>IF(VLOOKUP(A47&amp;" "&amp;B47,'HIDDEN import'!A:G,5,FALSE)="M",TRUE,IFERROR(VLOOKUP(E47,#REF!,3,FALSE)="Yes",IFERROR(VLOOKUP(E47,'HIDDEN calc sheet'!A:B,2,FALSE),VLOOKUP(E47,'Additional questions'!B:D,3,FALSE)="Yes")))</f>
        <v>1</v>
      </c>
      <c r="J47" s="31" t="b">
        <f t="shared" si="1"/>
        <v>0</v>
      </c>
      <c r="K47" t="b">
        <f>OR(IFERROR(VLOOKUP(B47,'Profile selection'!B:C,2,FALSE)="Yes",FALSE),AND(B47="Security",OR(VLOOKUP("Security Profile 2",'Profile selection'!B:C,2)="Yes",VLOOKUP("Security Profile 3",'Profile selection'!B:C,2)="Yes")))</f>
        <v>1</v>
      </c>
      <c r="L47" s="35"/>
      <c r="M47" s="35"/>
    </row>
    <row r="48" spans="1:13" x14ac:dyDescent="0.25">
      <c r="A48" t="str">
        <f>'HIDDEN import'!B48</f>
        <v>TC_049_CSMS</v>
      </c>
      <c r="B48" t="str">
        <f>'HIDDEN import'!C48</f>
        <v>Reservation</v>
      </c>
      <c r="C48" t="str">
        <f>'HIDDEN import'!D48</f>
        <v>Reservation of a Charge Point - Transaction</v>
      </c>
      <c r="D48" t="str">
        <f>IF(VLOOKUP(A48&amp;" "&amp;B48,'HIDDEN import'!A:G,5,FALSE)="M",MD!$A$1,IF(VLOOKUP(A48&amp;" "&amp;B48,'HIDDEN import'!A:G,5,FALSE)="O",MD!$A$4,(IF(AND(VLOOKUP(A48,'HIDDEN import'!B:E,4,FALSE)="C",OR(NOT(ISERROR(VLOOKUP(E48,'HIDDEN calc sheet'!A:C,1,FALSE)=E48)))),MD!$A$3,MD!$A$2))))</f>
        <v>Mandatory test for a mandatory feature</v>
      </c>
      <c r="E48" t="str">
        <f>IF('HIDDEN import'!F48=0,"",'HIDDEN import'!F48)</f>
        <v/>
      </c>
      <c r="F48" t="str">
        <f>IF('HIDDEN import'!G48=0,"",'HIDDEN import'!G48)</f>
        <v/>
      </c>
      <c r="G48" s="31" t="str">
        <f>IFERROR(VLOOKUP($A48,'HIDDEN Testrun Results'!$A:$B,2,FALSE),"")</f>
        <v/>
      </c>
      <c r="H48" s="31" t="b">
        <f t="shared" si="0"/>
        <v>1</v>
      </c>
      <c r="I48" s="31" t="b">
        <f>IF(VLOOKUP(A48&amp;" "&amp;B48,'HIDDEN import'!A:G,5,FALSE)="M",TRUE,IFERROR(VLOOKUP(E48,#REF!,3,FALSE)="Yes",IFERROR(VLOOKUP(E48,'HIDDEN calc sheet'!A:B,2,FALSE),VLOOKUP(E48,'Additional questions'!B:D,3,FALSE)="Yes")))</f>
        <v>1</v>
      </c>
      <c r="J48" s="31" t="b">
        <f t="shared" si="1"/>
        <v>0</v>
      </c>
      <c r="K48" t="b">
        <f>OR(IFERROR(VLOOKUP(B48,'Profile selection'!B:C,2,FALSE)="Yes",FALSE),AND(B48="Security",OR(VLOOKUP("Security Profile 2",'Profile selection'!B:C,2)="Yes",VLOOKUP("Security Profile 3",'Profile selection'!B:C,2)="Yes")))</f>
        <v>1</v>
      </c>
      <c r="L48" s="35"/>
      <c r="M48" s="35"/>
    </row>
    <row r="49" spans="1:13" x14ac:dyDescent="0.25">
      <c r="A49" t="str">
        <f>'HIDDEN import'!B49</f>
        <v>TC_051_CSMS</v>
      </c>
      <c r="B49" t="str">
        <f>'HIDDEN import'!C49</f>
        <v>Reservation</v>
      </c>
      <c r="C49" t="str">
        <f>'HIDDEN import'!D49</f>
        <v>Cancel Reservation</v>
      </c>
      <c r="D49" t="str">
        <f>IF(VLOOKUP(A49&amp;" "&amp;B49,'HIDDEN import'!A:G,5,FALSE)="M",MD!$A$1,IF(VLOOKUP(A49&amp;" "&amp;B49,'HIDDEN import'!A:G,5,FALSE)="O",MD!$A$4,(IF(AND(VLOOKUP(A49,'HIDDEN import'!B:E,4,FALSE)="C",OR(NOT(ISERROR(VLOOKUP(E49,'HIDDEN calc sheet'!A:C,1,FALSE)=E49)))),MD!$A$3,MD!$A$2))))</f>
        <v>Mandatory test for a mandatory feature</v>
      </c>
      <c r="E49" t="str">
        <f>IF('HIDDEN import'!F49=0,"",'HIDDEN import'!F49)</f>
        <v/>
      </c>
      <c r="F49" t="str">
        <f>IF('HIDDEN import'!G49=0,"",'HIDDEN import'!G49)</f>
        <v/>
      </c>
      <c r="G49" s="31" t="str">
        <f>IFERROR(VLOOKUP($A49,'HIDDEN Testrun Results'!$A:$B,2,FALSE),"")</f>
        <v/>
      </c>
      <c r="H49" s="31" t="b">
        <f t="shared" si="0"/>
        <v>1</v>
      </c>
      <c r="I49" s="31" t="b">
        <f>IF(VLOOKUP(A49&amp;" "&amp;B49,'HIDDEN import'!A:G,5,FALSE)="M",TRUE,IFERROR(VLOOKUP(E49,#REF!,3,FALSE)="Yes",IFERROR(VLOOKUP(E49,'HIDDEN calc sheet'!A:B,2,FALSE),VLOOKUP(E49,'Additional questions'!B:D,3,FALSE)="Yes")))</f>
        <v>1</v>
      </c>
      <c r="J49" s="31" t="b">
        <f t="shared" si="1"/>
        <v>0</v>
      </c>
      <c r="K49" t="b">
        <f>OR(IFERROR(VLOOKUP(B49,'Profile selection'!B:C,2,FALSE)="Yes",FALSE),AND(B49="Security",OR(VLOOKUP("Security Profile 2",'Profile selection'!B:C,2)="Yes",VLOOKUP("Security Profile 3",'Profile selection'!B:C,2)="Yes")))</f>
        <v>1</v>
      </c>
      <c r="L49" s="35"/>
      <c r="M49" s="35"/>
    </row>
    <row r="50" spans="1:13" x14ac:dyDescent="0.25">
      <c r="A50" t="str">
        <f>'HIDDEN import'!B50</f>
        <v>TC_052_CSMS</v>
      </c>
      <c r="B50" t="str">
        <f>'HIDDEN import'!C50</f>
        <v>Reservation</v>
      </c>
      <c r="C50" t="str">
        <f>'HIDDEN import'!D50</f>
        <v>Cancel Reservation - Rejected</v>
      </c>
      <c r="D50" t="str">
        <f>IF(VLOOKUP(A50&amp;" "&amp;B50,'HIDDEN import'!A:G,5,FALSE)="M",MD!$A$1,IF(VLOOKUP(A50&amp;" "&amp;B50,'HIDDEN import'!A:G,5,FALSE)="O",MD!$A$4,(IF(AND(VLOOKUP(A50,'HIDDEN import'!B:E,4,FALSE)="C",OR(NOT(ISERROR(VLOOKUP(E50,'HIDDEN calc sheet'!A:C,1,FALSE)=E50)))),MD!$A$3,MD!$A$2))))</f>
        <v>Optional test case</v>
      </c>
      <c r="E50" t="str">
        <f>IF('HIDDEN import'!F50=0,"",'HIDDEN import'!F50)</f>
        <v/>
      </c>
      <c r="F50" t="str">
        <f>IF('HIDDEN import'!G50=0,"",'HIDDEN import'!G50)</f>
        <v/>
      </c>
      <c r="G50" s="31" t="str">
        <f>IFERROR(VLOOKUP($A50,'HIDDEN Testrun Results'!$A:$B,2,FALSE),"")</f>
        <v/>
      </c>
      <c r="H50" s="31" t="str">
        <f t="shared" si="0"/>
        <v>Up to vendor</v>
      </c>
      <c r="I50" s="31" t="e">
        <f>IF(VLOOKUP(A50&amp;" "&amp;B50,'HIDDEN import'!A:G,5,FALSE)="M",TRUE,IFERROR(VLOOKUP(E50,#REF!,3,FALSE)="Yes",IFERROR(VLOOKUP(E50,'HIDDEN calc sheet'!A:B,2,FALSE),VLOOKUP(E50,'Additional questions'!B:D,3,FALSE)="Yes")))</f>
        <v>#N/A</v>
      </c>
      <c r="J50" s="31" t="b">
        <f t="shared" si="1"/>
        <v>1</v>
      </c>
      <c r="K50" t="b">
        <f>OR(IFERROR(VLOOKUP(B50,'Profile selection'!B:C,2,FALSE)="Yes",FALSE),AND(B50="Security",OR(VLOOKUP("Security Profile 2",'Profile selection'!B:C,2)="Yes",VLOOKUP("Security Profile 3",'Profile selection'!B:C,2)="Yes")))</f>
        <v>1</v>
      </c>
      <c r="L50" s="35"/>
      <c r="M50" s="35"/>
    </row>
    <row r="51" spans="1:13" x14ac:dyDescent="0.25">
      <c r="A51" t="str">
        <f>'HIDDEN import'!B51</f>
        <v>TC_053_CSMS</v>
      </c>
      <c r="B51" t="str">
        <f>'HIDDEN import'!C51</f>
        <v>Reservation</v>
      </c>
      <c r="C51" t="str">
        <f>'HIDDEN import'!D51</f>
        <v>Use a reserved Connector with parentIdTag</v>
      </c>
      <c r="D51" t="str">
        <f>IF(VLOOKUP(A51&amp;" "&amp;B51,'HIDDEN import'!A:G,5,FALSE)="M",MD!$A$1,IF(VLOOKUP(A51&amp;" "&amp;B51,'HIDDEN import'!A:G,5,FALSE)="O",MD!$A$4,(IF(AND(VLOOKUP(A51,'HIDDEN import'!B:E,4,FALSE)="C",OR(NOT(ISERROR(VLOOKUP(E51,'HIDDEN calc sheet'!A:C,1,FALSE)=E51)))),MD!$A$3,MD!$A$2))))</f>
        <v>Optional test case</v>
      </c>
      <c r="E51" t="str">
        <f>IF('HIDDEN import'!F51=0,"",'HIDDEN import'!F51)</f>
        <v/>
      </c>
      <c r="F51" t="str">
        <f>IF('HIDDEN import'!G51=0,"",'HIDDEN import'!G51)</f>
        <v/>
      </c>
      <c r="G51" s="31" t="str">
        <f>IFERROR(VLOOKUP($A51,'HIDDEN Testrun Results'!$A:$B,2,FALSE),"")</f>
        <v/>
      </c>
      <c r="H51" s="31" t="str">
        <f t="shared" si="0"/>
        <v>Up to vendor</v>
      </c>
      <c r="I51" s="31" t="e">
        <f>IF(VLOOKUP(A51&amp;" "&amp;B51,'HIDDEN import'!A:G,5,FALSE)="M",TRUE,IFERROR(VLOOKUP(E51,#REF!,3,FALSE)="Yes",IFERROR(VLOOKUP(E51,'HIDDEN calc sheet'!A:B,2,FALSE),VLOOKUP(E51,'Additional questions'!B:D,3,FALSE)="Yes")))</f>
        <v>#N/A</v>
      </c>
      <c r="J51" s="31" t="b">
        <f t="shared" si="1"/>
        <v>1</v>
      </c>
      <c r="K51" t="b">
        <f>OR(IFERROR(VLOOKUP(B51,'Profile selection'!B:C,2,FALSE)="Yes",FALSE),AND(B51="Security",OR(VLOOKUP("Security Profile 2",'Profile selection'!B:C,2)="Yes",VLOOKUP("Security Profile 3",'Profile selection'!B:C,2)="Yes")))</f>
        <v>1</v>
      </c>
      <c r="L51" s="35"/>
      <c r="M51" s="35"/>
    </row>
    <row r="52" spans="1:13" x14ac:dyDescent="0.25">
      <c r="A52" t="str">
        <f>'HIDDEN import'!B52</f>
        <v>TC_054_CSMS</v>
      </c>
      <c r="B52" t="str">
        <f>'HIDDEN import'!C52</f>
        <v>Remote Trigger</v>
      </c>
      <c r="C52" t="str">
        <f>'HIDDEN import'!D52</f>
        <v>Trigger Message</v>
      </c>
      <c r="D52" t="str">
        <f>IF(VLOOKUP(A52&amp;" "&amp;B52,'HIDDEN import'!A:G,5,FALSE)="M",MD!$A$1,IF(VLOOKUP(A52&amp;" "&amp;B52,'HIDDEN import'!A:G,5,FALSE)="O",MD!$A$4,(IF(AND(VLOOKUP(A52,'HIDDEN import'!B:E,4,FALSE)="C",OR(NOT(ISERROR(VLOOKUP(E52,'HIDDEN calc sheet'!A:C,1,FALSE)=E52)))),MD!$A$3,MD!$A$2))))</f>
        <v>Mandatory test for a mandatory feature</v>
      </c>
      <c r="E52" t="str">
        <f>IF('HIDDEN import'!F52=0,"",'HIDDEN import'!F52)</f>
        <v/>
      </c>
      <c r="F52" t="str">
        <f>IF('HIDDEN import'!G52=0,"",'HIDDEN import'!G52)</f>
        <v/>
      </c>
      <c r="G52" s="31" t="str">
        <f>IFERROR(VLOOKUP($A52,'HIDDEN Testrun Results'!$A:$B,2,FALSE),"")</f>
        <v/>
      </c>
      <c r="H52" s="31" t="b">
        <f t="shared" si="0"/>
        <v>1</v>
      </c>
      <c r="I52" s="31" t="b">
        <f>IF(VLOOKUP(A52&amp;" "&amp;B52,'HIDDEN import'!A:G,5,FALSE)="M",TRUE,IFERROR(VLOOKUP(E52,#REF!,3,FALSE)="Yes",IFERROR(VLOOKUP(E52,'HIDDEN calc sheet'!A:B,2,FALSE),VLOOKUP(E52,'Additional questions'!B:D,3,FALSE)="Yes")))</f>
        <v>1</v>
      </c>
      <c r="J52" s="31" t="b">
        <f t="shared" si="1"/>
        <v>0</v>
      </c>
      <c r="K52" t="b">
        <f>OR(IFERROR(VLOOKUP(B52,'Profile selection'!B:C,2,FALSE)="Yes",FALSE),AND(B52="Security",OR(VLOOKUP("Security Profile 2",'Profile selection'!B:C,2)="Yes",VLOOKUP("Security Profile 3",'Profile selection'!B:C,2)="Yes")))</f>
        <v>1</v>
      </c>
      <c r="L52" s="35"/>
      <c r="M52" s="35"/>
    </row>
    <row r="53" spans="1:13" x14ac:dyDescent="0.25">
      <c r="A53" t="str">
        <f>'HIDDEN import'!B53</f>
        <v>TC_055_CSMS</v>
      </c>
      <c r="B53" t="str">
        <f>'HIDDEN import'!C53</f>
        <v>Remote Trigger</v>
      </c>
      <c r="C53" t="str">
        <f>'HIDDEN import'!D53</f>
        <v>Trigger Message - Rejected</v>
      </c>
      <c r="D53" t="str">
        <f>IF(VLOOKUP(A53&amp;" "&amp;B53,'HIDDEN import'!A:G,5,FALSE)="M",MD!$A$1,IF(VLOOKUP(A53&amp;" "&amp;B53,'HIDDEN import'!A:G,5,FALSE)="O",MD!$A$4,(IF(AND(VLOOKUP(A53,'HIDDEN import'!B:E,4,FALSE)="C",OR(NOT(ISERROR(VLOOKUP(E53,'HIDDEN calc sheet'!A:C,1,FALSE)=E53)))),MD!$A$3,MD!$A$2))))</f>
        <v>Optional test case</v>
      </c>
      <c r="E53" t="str">
        <f>IF('HIDDEN import'!F53=0,"",'HIDDEN import'!F53)</f>
        <v/>
      </c>
      <c r="F53" t="str">
        <f>IF('HIDDEN import'!G53=0,"",'HIDDEN import'!G53)</f>
        <v/>
      </c>
      <c r="G53" s="31" t="str">
        <f>IFERROR(VLOOKUP($A53,'HIDDEN Testrun Results'!$A:$B,2,FALSE),"")</f>
        <v/>
      </c>
      <c r="H53" s="31" t="str">
        <f t="shared" si="0"/>
        <v>Up to vendor</v>
      </c>
      <c r="I53" s="31" t="e">
        <f>IF(VLOOKUP(A53&amp;" "&amp;B53,'HIDDEN import'!A:G,5,FALSE)="M",TRUE,IFERROR(VLOOKUP(E53,#REF!,3,FALSE)="Yes",IFERROR(VLOOKUP(E53,'HIDDEN calc sheet'!A:B,2,FALSE),VLOOKUP(E53,'Additional questions'!B:D,3,FALSE)="Yes")))</f>
        <v>#N/A</v>
      </c>
      <c r="J53" s="31" t="b">
        <f t="shared" si="1"/>
        <v>1</v>
      </c>
      <c r="K53" t="b">
        <f>OR(IFERROR(VLOOKUP(B53,'Profile selection'!B:C,2,FALSE)="Yes",FALSE),AND(B53="Security",OR(VLOOKUP("Security Profile 2",'Profile selection'!B:C,2)="Yes",VLOOKUP("Security Profile 3",'Profile selection'!B:C,2)="Yes")))</f>
        <v>1</v>
      </c>
      <c r="L53" s="35"/>
      <c r="M53" s="35"/>
    </row>
    <row r="54" spans="1:13" x14ac:dyDescent="0.25">
      <c r="A54" t="str">
        <f>'HIDDEN import'!B54</f>
        <v>TC_056_CSMS</v>
      </c>
      <c r="B54" t="str">
        <f>'HIDDEN import'!C54</f>
        <v>Smart Charging</v>
      </c>
      <c r="C54" t="str">
        <f>'HIDDEN import'!D54</f>
        <v>Central Smart Charging - TxDefaultProfile</v>
      </c>
      <c r="D54" t="str">
        <f>IF(VLOOKUP(A54&amp;" "&amp;B54,'HIDDEN import'!A:G,5,FALSE)="M",MD!$A$1,IF(VLOOKUP(A54&amp;" "&amp;B54,'HIDDEN import'!A:G,5,FALSE)="O",MD!$A$4,(IF(AND(VLOOKUP(A54,'HIDDEN import'!B:E,4,FALSE)="C",OR(NOT(ISERROR(VLOOKUP(E54,'HIDDEN calc sheet'!A:C,1,FALSE)=E54)))),MD!$A$3,MD!$A$2))))</f>
        <v>Mandatory test for a mandatory feature</v>
      </c>
      <c r="E54" t="str">
        <f>IF('HIDDEN import'!F54=0,"",'HIDDEN import'!F54)</f>
        <v/>
      </c>
      <c r="F54" t="str">
        <f>IF('HIDDEN import'!G54=0,"",'HIDDEN import'!G54)</f>
        <v/>
      </c>
      <c r="G54" s="31" t="str">
        <f>IFERROR(VLOOKUP($A54,'HIDDEN Testrun Results'!$A:$B,2,FALSE),"")</f>
        <v/>
      </c>
      <c r="H54" s="31" t="b">
        <f t="shared" si="0"/>
        <v>1</v>
      </c>
      <c r="I54" s="31" t="b">
        <f>IF(VLOOKUP(A54&amp;" "&amp;B54,'HIDDEN import'!A:G,5,FALSE)="M",TRUE,IFERROR(VLOOKUP(E54,#REF!,3,FALSE)="Yes",IFERROR(VLOOKUP(E54,'HIDDEN calc sheet'!A:B,2,FALSE),VLOOKUP(E54,'Additional questions'!B:D,3,FALSE)="Yes")))</f>
        <v>1</v>
      </c>
      <c r="J54" s="31" t="b">
        <f t="shared" si="1"/>
        <v>0</v>
      </c>
      <c r="K54" t="b">
        <f>OR(IFERROR(VLOOKUP(B54,'Profile selection'!B:C,2,FALSE)="Yes",FALSE),AND(B54="Security",OR(VLOOKUP("Security Profile 2",'Profile selection'!B:C,2)="Yes",VLOOKUP("Security Profile 3",'Profile selection'!B:C,2)="Yes")))</f>
        <v>1</v>
      </c>
      <c r="L54" s="35"/>
      <c r="M54" s="35"/>
    </row>
    <row r="55" spans="1:13" x14ac:dyDescent="0.25">
      <c r="A55" t="str">
        <f>'HIDDEN import'!B55</f>
        <v>TC_057_CSMS</v>
      </c>
      <c r="B55" t="str">
        <f>'HIDDEN import'!C55</f>
        <v>Smart Charging</v>
      </c>
      <c r="C55" t="str">
        <f>'HIDDEN import'!D55</f>
        <v>Central Smart Charging - TxProfile</v>
      </c>
      <c r="D55" t="str">
        <f>IF(VLOOKUP(A55&amp;" "&amp;B55,'HIDDEN import'!A:G,5,FALSE)="M",MD!$A$1,IF(VLOOKUP(A55&amp;" "&amp;B55,'HIDDEN import'!A:G,5,FALSE)="O",MD!$A$4,(IF(AND(VLOOKUP(A55,'HIDDEN import'!B:E,4,FALSE)="C",OR(NOT(ISERROR(VLOOKUP(E55,'HIDDEN calc sheet'!A:C,1,FALSE)=E55)))),MD!$A$3,MD!$A$2))))</f>
        <v>Mandatory test for a mandatory feature</v>
      </c>
      <c r="E55" t="str">
        <f>IF('HIDDEN import'!F55=0,"",'HIDDEN import'!F55)</f>
        <v/>
      </c>
      <c r="F55" t="str">
        <f>IF('HIDDEN import'!G55=0,"",'HIDDEN import'!G55)</f>
        <v/>
      </c>
      <c r="G55" s="31" t="str">
        <f>IFERROR(VLOOKUP($A55,'HIDDEN Testrun Results'!$A:$B,2,FALSE),"")</f>
        <v/>
      </c>
      <c r="H55" s="31" t="b">
        <f t="shared" si="0"/>
        <v>1</v>
      </c>
      <c r="I55" s="31" t="b">
        <f>IF(VLOOKUP(A55&amp;" "&amp;B55,'HIDDEN import'!A:G,5,FALSE)="M",TRUE,IFERROR(VLOOKUP(E55,#REF!,3,FALSE)="Yes",IFERROR(VLOOKUP(E55,'HIDDEN calc sheet'!A:B,2,FALSE),VLOOKUP(E55,'Additional questions'!B:D,3,FALSE)="Yes")))</f>
        <v>1</v>
      </c>
      <c r="J55" s="31" t="b">
        <f t="shared" si="1"/>
        <v>0</v>
      </c>
      <c r="K55" t="b">
        <f>OR(IFERROR(VLOOKUP(B55,'Profile selection'!B:C,2,FALSE)="Yes",FALSE),AND(B55="Security",OR(VLOOKUP("Security Profile 2",'Profile selection'!B:C,2)="Yes",VLOOKUP("Security Profile 3",'Profile selection'!B:C,2)="Yes")))</f>
        <v>1</v>
      </c>
      <c r="L55" s="35"/>
      <c r="M55" s="35"/>
    </row>
    <row r="56" spans="1:13" x14ac:dyDescent="0.25">
      <c r="A56" t="str">
        <f>'HIDDEN import'!B56</f>
        <v>TC_066_CSMS</v>
      </c>
      <c r="B56" t="str">
        <f>'HIDDEN import'!C56</f>
        <v>Smart Charging</v>
      </c>
      <c r="C56" t="str">
        <f>'HIDDEN import'!D56</f>
        <v>Get Composite Schedule</v>
      </c>
      <c r="D56" t="str">
        <f>IF(VLOOKUP(A56&amp;" "&amp;B56,'HIDDEN import'!A:G,5,FALSE)="M",MD!$A$1,IF(VLOOKUP(A56&amp;" "&amp;B56,'HIDDEN import'!A:G,5,FALSE)="O",MD!$A$4,(IF(AND(VLOOKUP(A56,'HIDDEN import'!B:E,4,FALSE)="C",OR(NOT(ISERROR(VLOOKUP(E56,'HIDDEN calc sheet'!A:C,1,FALSE)=E56)))),MD!$A$3,MD!$A$2))))</f>
        <v>Mandatory test for a mandatory feature</v>
      </c>
      <c r="E56" t="str">
        <f>IF('HIDDEN import'!F56=0,"",'HIDDEN import'!F56)</f>
        <v/>
      </c>
      <c r="F56" t="str">
        <f>IF('HIDDEN import'!G56=0,"",'HIDDEN import'!G56)</f>
        <v/>
      </c>
      <c r="G56" s="31" t="str">
        <f>IFERROR(VLOOKUP($A56,'HIDDEN Testrun Results'!$A:$B,2,FALSE),"")</f>
        <v/>
      </c>
      <c r="H56" s="31" t="b">
        <f t="shared" si="0"/>
        <v>1</v>
      </c>
      <c r="I56" s="31" t="b">
        <f>IF(VLOOKUP(A56&amp;" "&amp;B56,'HIDDEN import'!A:G,5,FALSE)="M",TRUE,IFERROR(VLOOKUP(E56,#REF!,3,FALSE)="Yes",IFERROR(VLOOKUP(E56,'HIDDEN calc sheet'!A:B,2,FALSE),VLOOKUP(E56,'Additional questions'!B:D,3,FALSE)="Yes")))</f>
        <v>1</v>
      </c>
      <c r="J56" s="31" t="b">
        <f t="shared" si="1"/>
        <v>0</v>
      </c>
      <c r="K56" t="b">
        <f>OR(IFERROR(VLOOKUP(B56,'Profile selection'!B:C,2,FALSE)="Yes",FALSE),AND(B56="Security",OR(VLOOKUP("Security Profile 2",'Profile selection'!B:C,2)="Yes",VLOOKUP("Security Profile 3",'Profile selection'!B:C,2)="Yes")))</f>
        <v>1</v>
      </c>
      <c r="L56" s="35"/>
      <c r="M56" s="35"/>
    </row>
    <row r="57" spans="1:13" x14ac:dyDescent="0.25">
      <c r="A57" t="str">
        <f>'HIDDEN import'!B57</f>
        <v>TC_067_CSMS</v>
      </c>
      <c r="B57" t="str">
        <f>'HIDDEN import'!C57</f>
        <v>Smart Charging</v>
      </c>
      <c r="C57" t="str">
        <f>'HIDDEN import'!D57</f>
        <v>Clear Charging Profile</v>
      </c>
      <c r="D57" t="str">
        <f>IF(VLOOKUP(A57&amp;" "&amp;B57,'HIDDEN import'!A:G,5,FALSE)="M",MD!$A$1,IF(VLOOKUP(A57&amp;" "&amp;B57,'HIDDEN import'!A:G,5,FALSE)="O",MD!$A$4,(IF(AND(VLOOKUP(A57,'HIDDEN import'!B:E,4,FALSE)="C",OR(NOT(ISERROR(VLOOKUP(E57,'HIDDEN calc sheet'!A:C,1,FALSE)=E57)))),MD!$A$3,MD!$A$2))))</f>
        <v>Mandatory test for a mandatory feature</v>
      </c>
      <c r="E57" t="str">
        <f>IF('HIDDEN import'!F57=0,"",'HIDDEN import'!F57)</f>
        <v/>
      </c>
      <c r="F57" t="str">
        <f>IF('HIDDEN import'!G57=0,"",'HIDDEN import'!G57)</f>
        <v/>
      </c>
      <c r="G57" s="31" t="str">
        <f>IFERROR(VLOOKUP($A57,'HIDDEN Testrun Results'!$A:$B,2,FALSE),"")</f>
        <v/>
      </c>
      <c r="H57" s="31" t="b">
        <f t="shared" si="0"/>
        <v>1</v>
      </c>
      <c r="I57" s="31" t="b">
        <f>IF(VLOOKUP(A57&amp;" "&amp;B57,'HIDDEN import'!A:G,5,FALSE)="M",TRUE,IFERROR(VLOOKUP(E57,#REF!,3,FALSE)="Yes",IFERROR(VLOOKUP(E57,'HIDDEN calc sheet'!A:B,2,FALSE),VLOOKUP(E57,'Additional questions'!B:D,3,FALSE)="Yes")))</f>
        <v>1</v>
      </c>
      <c r="J57" s="31" t="b">
        <f t="shared" si="1"/>
        <v>0</v>
      </c>
      <c r="K57" t="b">
        <f>OR(IFERROR(VLOOKUP(B57,'Profile selection'!B:C,2,FALSE)="Yes",FALSE),AND(B57="Security",OR(VLOOKUP("Security Profile 2",'Profile selection'!B:C,2)="Yes",VLOOKUP("Security Profile 3",'Profile selection'!B:C,2)="Yes")))</f>
        <v>1</v>
      </c>
      <c r="L57" s="35"/>
      <c r="M57" s="35"/>
    </row>
    <row r="58" spans="1:13" x14ac:dyDescent="0.25">
      <c r="A58" t="str">
        <f>'HIDDEN import'!B58</f>
        <v>TC_059_CSMS</v>
      </c>
      <c r="B58" t="str">
        <f>'HIDDEN import'!C58</f>
        <v>Smart Charging</v>
      </c>
      <c r="C58" t="str">
        <f>'HIDDEN import'!D58</f>
        <v>Remote Start Transaction with Charging Profile</v>
      </c>
      <c r="D58" t="str">
        <f>IF(VLOOKUP(A58&amp;" "&amp;B58,'HIDDEN import'!A:G,5,FALSE)="M",MD!$A$1,IF(VLOOKUP(A58&amp;" "&amp;B58,'HIDDEN import'!A:G,5,FALSE)="O",MD!$A$4,(IF(AND(VLOOKUP(A58,'HIDDEN import'!B:E,4,FALSE)="C",OR(NOT(ISERROR(VLOOKUP(E58,'HIDDEN calc sheet'!A:C,1,FALSE)=E58)))),MD!$A$3,MD!$A$2))))</f>
        <v>Mandatory test for a mandatory feature</v>
      </c>
      <c r="E58" t="str">
        <f>IF('HIDDEN import'!F58=0,"",'HIDDEN import'!F58)</f>
        <v/>
      </c>
      <c r="F58" t="str">
        <f>IF('HIDDEN import'!G58=0,"",'HIDDEN import'!G58)</f>
        <v/>
      </c>
      <c r="G58" s="31" t="str">
        <f>IFERROR(VLOOKUP($A58,'HIDDEN Testrun Results'!$A:$B,2,FALSE),"")</f>
        <v/>
      </c>
      <c r="H58" s="31" t="b">
        <f t="shared" si="0"/>
        <v>1</v>
      </c>
      <c r="I58" s="31" t="b">
        <f>IF(VLOOKUP(A58&amp;" "&amp;B58,'HIDDEN import'!A:G,5,FALSE)="M",TRUE,IFERROR(VLOOKUP(E58,#REF!,3,FALSE)="Yes",IFERROR(VLOOKUP(E58,'HIDDEN calc sheet'!A:B,2,FALSE),VLOOKUP(E58,'Additional questions'!B:D,3,FALSE)="Yes")))</f>
        <v>1</v>
      </c>
      <c r="J58" s="31" t="b">
        <f t="shared" si="1"/>
        <v>0</v>
      </c>
      <c r="K58" t="b">
        <f>OR(IFERROR(VLOOKUP(B58,'Profile selection'!B:C,2,FALSE)="Yes",FALSE),AND(B58="Security",OR(VLOOKUP("Security Profile 2",'Profile selection'!B:C,2)="Yes",VLOOKUP("Security Profile 3",'Profile selection'!B:C,2)="Yes")))</f>
        <v>1</v>
      </c>
      <c r="L58" s="35"/>
      <c r="M58" s="35"/>
    </row>
    <row r="59" spans="1:13" x14ac:dyDescent="0.25">
      <c r="A59" t="str">
        <f>'HIDDEN import'!B59</f>
        <v>TC_064_CSMS</v>
      </c>
      <c r="B59" t="str">
        <f>'HIDDEN import'!C59</f>
        <v>Core</v>
      </c>
      <c r="C59" t="str">
        <f>'HIDDEN import'!D59</f>
        <v>Data Transfer to a Central System</v>
      </c>
      <c r="D59" t="str">
        <f>IF(VLOOKUP(A59&amp;" "&amp;B59,'HIDDEN import'!A:G,5,FALSE)="M",MD!$A$1,IF(VLOOKUP(A59&amp;" "&amp;B59,'HIDDEN import'!A:G,5,FALSE)="O",MD!$A$4,(IF(AND(VLOOKUP(A59,'HIDDEN import'!B:E,4,FALSE)="C",OR(NOT(ISERROR(VLOOKUP(E59,'HIDDEN calc sheet'!A:C,1,FALSE)=E59)))),MD!$A$3,MD!$A$2))))</f>
        <v>Mandatory test for a mandatory feature</v>
      </c>
      <c r="E59" t="str">
        <f>IF('HIDDEN import'!F59=0,"",'HIDDEN import'!F59)</f>
        <v/>
      </c>
      <c r="F59" t="str">
        <f>IF('HIDDEN import'!G59=0,"",'HIDDEN import'!G59)</f>
        <v/>
      </c>
      <c r="G59" s="31" t="str">
        <f>IFERROR(VLOOKUP($A59,'HIDDEN Testrun Results'!$A:$B,2,FALSE),"")</f>
        <v/>
      </c>
      <c r="H59" s="31" t="b">
        <f t="shared" ref="H59:H72" si="2">IF(J59,"Up to vendor",IF(NOT(ISLOGICAL(I59)),I59,AND(I59,K59)))</f>
        <v>1</v>
      </c>
      <c r="I59" s="31" t="b">
        <f>IF(VLOOKUP(A59&amp;" "&amp;B59,'HIDDEN import'!A:G,5,FALSE)="M",TRUE,IFERROR(VLOOKUP(E59,#REF!,3,FALSE)="Yes",IFERROR(VLOOKUP(E59,'HIDDEN calc sheet'!A:B,2,FALSE),VLOOKUP(E59,'Additional questions'!B:D,3,FALSE)="Yes")))</f>
        <v>1</v>
      </c>
      <c r="J59" s="31" t="b">
        <f t="shared" ref="J59:J72" si="3">IF(D59="Optional test case",TRUE,FALSE)</f>
        <v>0</v>
      </c>
      <c r="K59" t="b">
        <f>OR(IFERROR(VLOOKUP(B59,'Profile selection'!B:C,2,FALSE)="Yes",FALSE),AND(B59="Security",OR(VLOOKUP("Security Profile 2",'Profile selection'!B:C,2)="Yes",VLOOKUP("Security Profile 3",'Profile selection'!B:C,2)="Yes")))</f>
        <v>1</v>
      </c>
      <c r="L59" s="35"/>
      <c r="M59" s="35"/>
    </row>
    <row r="60" spans="1:13" x14ac:dyDescent="0.25">
      <c r="A60" t="str">
        <f>'HIDDEN import'!B60</f>
        <v>TC_073_CSMS</v>
      </c>
      <c r="B60" t="str">
        <f>'HIDDEN import'!C60</f>
        <v>Security extension</v>
      </c>
      <c r="C60" t="str">
        <f>'HIDDEN import'!D60</f>
        <v>Update Charge Point Password for HTTP Basic Authentication</v>
      </c>
      <c r="D60" t="str">
        <f>IF(VLOOKUP(A60&amp;" "&amp;B60,'HIDDEN import'!A:G,5,FALSE)="M",MD!$A$1,IF(VLOOKUP(A60&amp;" "&amp;B60,'HIDDEN import'!A:G,5,FALSE)="O",MD!$A$4,(IF(AND(VLOOKUP(A60,'HIDDEN import'!B:E,4,FALSE)="C",OR(NOT(ISERROR(VLOOKUP(E60,'HIDDEN calc sheet'!A:C,1,FALSE)=E60)))),MD!$A$3,MD!$A$2))))</f>
        <v>Mandatory for optional feature</v>
      </c>
      <c r="E60" t="str">
        <f>IF('HIDDEN import'!F60=0,"",'HIDDEN import'!F60)</f>
        <v>Only applicable if the DUT supports security profile 1 or 2.</v>
      </c>
      <c r="F60" t="str">
        <f>IF('HIDDEN import'!G60=0,"",'HIDDEN import'!G60)</f>
        <v/>
      </c>
      <c r="G60" s="31" t="str">
        <f>IFERROR(VLOOKUP($A60,'HIDDEN Testrun Results'!$A:$B,2,FALSE),"")</f>
        <v/>
      </c>
      <c r="H60" s="31" t="b">
        <f t="shared" si="2"/>
        <v>0</v>
      </c>
      <c r="I60" s="31" t="b">
        <f>IF(VLOOKUP(A60&amp;" "&amp;B60,'HIDDEN import'!A:G,5,FALSE)="M",TRUE,IFERROR(VLOOKUP(E60,#REF!,3,FALSE)="Yes",IFERROR(VLOOKUP(E60,'HIDDEN calc sheet'!A:B,2,FALSE),VLOOKUP(E60,'Additional questions'!B:D,3,FALSE)="Yes")))</f>
        <v>0</v>
      </c>
      <c r="J60" s="31" t="b">
        <f t="shared" si="3"/>
        <v>0</v>
      </c>
      <c r="K60" t="b">
        <f>OR(IFERROR(VLOOKUP(B60,'Profile selection'!B:C,2,FALSE)="Yes",FALSE),AND(B60="Security",OR(VLOOKUP("Security Profile 2",'Profile selection'!B:C,2)="Yes",VLOOKUP("Security Profile 3",'Profile selection'!B:C,2)="Yes")))</f>
        <v>0</v>
      </c>
      <c r="L60" s="35"/>
      <c r="M60" s="35"/>
    </row>
    <row r="61" spans="1:13" x14ac:dyDescent="0.25">
      <c r="A61" t="str">
        <f>'HIDDEN import'!B61</f>
        <v>TC_074_CSMS</v>
      </c>
      <c r="B61" t="str">
        <f>'HIDDEN import'!C61</f>
        <v>Security extension</v>
      </c>
      <c r="C61" t="str">
        <f>'HIDDEN import'!D61</f>
        <v>Update Charge Point Certificate by request of Central System</v>
      </c>
      <c r="D61" t="str">
        <f>IF(VLOOKUP(A61&amp;" "&amp;B61,'HIDDEN import'!A:G,5,FALSE)="M",MD!$A$1,IF(VLOOKUP(A61&amp;" "&amp;B61,'HIDDEN import'!A:G,5,FALSE)="O",MD!$A$4,(IF(AND(VLOOKUP(A61,'HIDDEN import'!B:E,4,FALSE)="C",OR(NOT(ISERROR(VLOOKUP(E61,'HIDDEN calc sheet'!A:C,1,FALSE)=E61)))),MD!$A$3,MD!$A$2))))</f>
        <v>Mandatory for optional feature</v>
      </c>
      <c r="E61" t="str">
        <f>IF('HIDDEN import'!F61=0,"",'HIDDEN import'!F61)</f>
        <v>Only applicable if the DUT supports security profile 3.</v>
      </c>
      <c r="F61" t="str">
        <f>IF('HIDDEN import'!G61=0,"",'HIDDEN import'!G61)</f>
        <v/>
      </c>
      <c r="G61" s="31" t="str">
        <f>IFERROR(VLOOKUP($A61,'HIDDEN Testrun Results'!$A:$B,2,FALSE),"")</f>
        <v/>
      </c>
      <c r="H61" s="31" t="b">
        <f t="shared" si="2"/>
        <v>0</v>
      </c>
      <c r="I61" s="31" t="b">
        <f>IF(VLOOKUP(A61&amp;" "&amp;B61,'HIDDEN import'!A:G,5,FALSE)="M",TRUE,IFERROR(VLOOKUP(E61,#REF!,3,FALSE)="Yes",IFERROR(VLOOKUP(E61,'HIDDEN calc sheet'!A:B,2,FALSE),VLOOKUP(E61,'Additional questions'!B:D,3,FALSE)="Yes")))</f>
        <v>0</v>
      </c>
      <c r="J61" s="31" t="b">
        <f t="shared" si="3"/>
        <v>0</v>
      </c>
      <c r="K61" t="b">
        <f>OR(IFERROR(VLOOKUP(B61,'Profile selection'!B:C,2,FALSE)="Yes",FALSE),AND(B61="Security",OR(VLOOKUP("Security Profile 2",'Profile selection'!B:C,2)="Yes",VLOOKUP("Security Profile 3",'Profile selection'!B:C,2)="Yes")))</f>
        <v>0</v>
      </c>
      <c r="L61" s="35"/>
      <c r="M61" s="35"/>
    </row>
    <row r="62" spans="1:13" x14ac:dyDescent="0.25">
      <c r="A62" t="str">
        <f>'HIDDEN import'!B62</f>
        <v>TC_075_1_CSMS</v>
      </c>
      <c r="B62" t="str">
        <f>'HIDDEN import'!C62</f>
        <v>Security extension</v>
      </c>
      <c r="C62" t="str">
        <f>'HIDDEN import'!D62</f>
        <v>Install a certificate on the Charge Point - ManufacturerRootCertificate</v>
      </c>
      <c r="D62" t="str">
        <f>IF(VLOOKUP(A62&amp;" "&amp;B62,'HIDDEN import'!A:G,5,FALSE)="M",MD!$A$1,IF(VLOOKUP(A62&amp;" "&amp;B62,'HIDDEN import'!A:G,5,FALSE)="O",MD!$A$4,(IF(AND(VLOOKUP(A62,'HIDDEN import'!B:E,4,FALSE)="C",OR(NOT(ISERROR(VLOOKUP(E62,'HIDDEN calc sheet'!A:C,1,FALSE)=E62)))),MD!$A$3,MD!$A$2))))</f>
        <v>Mandatory test for a mandatory feature</v>
      </c>
      <c r="E62" t="str">
        <f>IF('HIDDEN import'!F62=0,"",'HIDDEN import'!F62)</f>
        <v/>
      </c>
      <c r="F62" t="str">
        <f>IF('HIDDEN import'!G62=0,"",'HIDDEN import'!G62)</f>
        <v/>
      </c>
      <c r="G62" s="31" t="str">
        <f>IFERROR(VLOOKUP($A62,'HIDDEN Testrun Results'!$A:$B,2,FALSE),"")</f>
        <v/>
      </c>
      <c r="H62" s="31" t="b">
        <f t="shared" si="2"/>
        <v>0</v>
      </c>
      <c r="I62" s="31" t="b">
        <f>IF(VLOOKUP(A62&amp;" "&amp;B62,'HIDDEN import'!A:G,5,FALSE)="M",TRUE,IFERROR(VLOOKUP(E62,#REF!,3,FALSE)="Yes",IFERROR(VLOOKUP(E62,'HIDDEN calc sheet'!A:B,2,FALSE),VLOOKUP(E62,'Additional questions'!B:D,3,FALSE)="Yes")))</f>
        <v>1</v>
      </c>
      <c r="J62" s="31" t="b">
        <f t="shared" si="3"/>
        <v>0</v>
      </c>
      <c r="K62" t="b">
        <f>OR(IFERROR(VLOOKUP(B62,'Profile selection'!B:C,2,FALSE)="Yes",FALSE),AND(B62="Security",OR(VLOOKUP("Security Profile 2",'Profile selection'!B:C,2)="Yes",VLOOKUP("Security Profile 3",'Profile selection'!B:C,2)="Yes")))</f>
        <v>0</v>
      </c>
      <c r="L62" s="35"/>
      <c r="M62" s="35"/>
    </row>
    <row r="63" spans="1:13" x14ac:dyDescent="0.25">
      <c r="A63" t="str">
        <f>'HIDDEN import'!B63</f>
        <v>TC_075_2_CSMS</v>
      </c>
      <c r="B63" t="str">
        <f>'HIDDEN import'!C63</f>
        <v>Security extension</v>
      </c>
      <c r="C63" t="str">
        <f>'HIDDEN import'!D63</f>
        <v>Install a certificate on the Charge Point - CentralSystemRootCertificate</v>
      </c>
      <c r="D63" t="str">
        <f>IF(VLOOKUP(A63&amp;" "&amp;B63,'HIDDEN import'!A:G,5,FALSE)="M",MD!$A$1,IF(VLOOKUP(A63&amp;" "&amp;B63,'HIDDEN import'!A:G,5,FALSE)="O",MD!$A$4,(IF(AND(VLOOKUP(A63,'HIDDEN import'!B:E,4,FALSE)="C",OR(NOT(ISERROR(VLOOKUP(E63,'HIDDEN calc sheet'!A:C,1,FALSE)=E63)))),MD!$A$3,MD!$A$2))))</f>
        <v>Mandatory test for a mandatory feature</v>
      </c>
      <c r="E63" t="str">
        <f>IF('HIDDEN import'!F63=0,"",'HIDDEN import'!F63)</f>
        <v/>
      </c>
      <c r="F63" t="str">
        <f>IF('HIDDEN import'!G63=0,"",'HIDDEN import'!G63)</f>
        <v/>
      </c>
      <c r="G63" s="31" t="str">
        <f>IFERROR(VLOOKUP($A63,'HIDDEN Testrun Results'!$A:$B,2,FALSE),"")</f>
        <v/>
      </c>
      <c r="H63" s="31" t="b">
        <f t="shared" si="2"/>
        <v>0</v>
      </c>
      <c r="I63" s="31" t="b">
        <f>IF(VLOOKUP(A63&amp;" "&amp;B63,'HIDDEN import'!A:G,5,FALSE)="M",TRUE,IFERROR(VLOOKUP(E63,#REF!,3,FALSE)="Yes",IFERROR(VLOOKUP(E63,'HIDDEN calc sheet'!A:B,2,FALSE),VLOOKUP(E63,'Additional questions'!B:D,3,FALSE)="Yes")))</f>
        <v>1</v>
      </c>
      <c r="J63" s="31" t="b">
        <f t="shared" si="3"/>
        <v>0</v>
      </c>
      <c r="K63" t="b">
        <f>OR(IFERROR(VLOOKUP(B63,'Profile selection'!B:C,2,FALSE)="Yes",FALSE),AND(B63="Security",OR(VLOOKUP("Security Profile 2",'Profile selection'!B:C,2)="Yes",VLOOKUP("Security Profile 3",'Profile selection'!B:C,2)="Yes")))</f>
        <v>0</v>
      </c>
      <c r="L63" s="35"/>
      <c r="M63" s="35"/>
    </row>
    <row r="64" spans="1:13" x14ac:dyDescent="0.25">
      <c r="A64" t="str">
        <f>'HIDDEN import'!B64</f>
        <v>TC_076_CSMS</v>
      </c>
      <c r="B64" t="str">
        <f>'HIDDEN import'!C64</f>
        <v>Security extension</v>
      </c>
      <c r="C64" t="str">
        <f>'HIDDEN import'!D64</f>
        <v>Delete a specific certificate from the Charge Point</v>
      </c>
      <c r="D64" t="str">
        <f>IF(VLOOKUP(A64&amp;" "&amp;B64,'HIDDEN import'!A:G,5,FALSE)="M",MD!$A$1,IF(VLOOKUP(A64&amp;" "&amp;B64,'HIDDEN import'!A:G,5,FALSE)="O",MD!$A$4,(IF(AND(VLOOKUP(A64,'HIDDEN import'!B:E,4,FALSE)="C",OR(NOT(ISERROR(VLOOKUP(E64,'HIDDEN calc sheet'!A:C,1,FALSE)=E64)))),MD!$A$3,MD!$A$2))))</f>
        <v>Mandatory test for a mandatory feature</v>
      </c>
      <c r="E64" t="str">
        <f>IF('HIDDEN import'!F64=0,"",'HIDDEN import'!F64)</f>
        <v/>
      </c>
      <c r="F64" t="str">
        <f>IF('HIDDEN import'!G64=0,"",'HIDDEN import'!G64)</f>
        <v/>
      </c>
      <c r="G64" s="31" t="str">
        <f>IFERROR(VLOOKUP($A64,'HIDDEN Testrun Results'!$A:$B,2,FALSE),"")</f>
        <v/>
      </c>
      <c r="H64" s="31" t="b">
        <f t="shared" si="2"/>
        <v>0</v>
      </c>
      <c r="I64" s="31" t="b">
        <f>IF(VLOOKUP(A64&amp;" "&amp;B64,'HIDDEN import'!A:G,5,FALSE)="M",TRUE,IFERROR(VLOOKUP(E64,#REF!,3,FALSE)="Yes",IFERROR(VLOOKUP(E64,'HIDDEN calc sheet'!A:B,2,FALSE),VLOOKUP(E64,'Additional questions'!B:D,3,FALSE)="Yes")))</f>
        <v>1</v>
      </c>
      <c r="J64" s="31" t="b">
        <f t="shared" si="3"/>
        <v>0</v>
      </c>
      <c r="K64" t="b">
        <f>OR(IFERROR(VLOOKUP(B64,'Profile selection'!B:C,2,FALSE)="Yes",FALSE),AND(B64="Security",OR(VLOOKUP("Security Profile 2",'Profile selection'!B:C,2)="Yes",VLOOKUP("Security Profile 3",'Profile selection'!B:C,2)="Yes")))</f>
        <v>0</v>
      </c>
      <c r="L64" s="35"/>
      <c r="M64" s="35"/>
    </row>
    <row r="65" spans="1:13" x14ac:dyDescent="0.25">
      <c r="A65" t="str">
        <f>'HIDDEN import'!B65</f>
        <v>TC_077_CSMS</v>
      </c>
      <c r="B65" t="str">
        <f>'HIDDEN import'!C65</f>
        <v>Security extension</v>
      </c>
      <c r="C65" t="str">
        <f>'HIDDEN import'!D65</f>
        <v>Invalid ChargePointCertificate Security Event</v>
      </c>
      <c r="D65" t="str">
        <f>IF(VLOOKUP(A65&amp;" "&amp;B65,'HIDDEN import'!A:G,5,FALSE)="M",MD!$A$1,IF(VLOOKUP(A65&amp;" "&amp;B65,'HIDDEN import'!A:G,5,FALSE)="O",MD!$A$4,(IF(AND(VLOOKUP(A65,'HIDDEN import'!B:E,4,FALSE)="C",OR(NOT(ISERROR(VLOOKUP(E65,'HIDDEN calc sheet'!A:C,1,FALSE)=E65)))),MD!$A$3,MD!$A$2))))</f>
        <v>Mandatory for optional feature</v>
      </c>
      <c r="E65" t="str">
        <f>IF('HIDDEN import'!F65=0,"",'HIDDEN import'!F65)</f>
        <v>Only applicable if the DUT supports security profile 3.</v>
      </c>
      <c r="F65" t="str">
        <f>IF('HIDDEN import'!G65=0,"",'HIDDEN import'!G65)</f>
        <v/>
      </c>
      <c r="G65" s="31" t="str">
        <f>IFERROR(VLOOKUP($A65,'HIDDEN Testrun Results'!$A:$B,2,FALSE),"")</f>
        <v/>
      </c>
      <c r="H65" s="31" t="b">
        <f t="shared" si="2"/>
        <v>0</v>
      </c>
      <c r="I65" s="31" t="b">
        <f>IF(VLOOKUP(A65&amp;" "&amp;B65,'HIDDEN import'!A:G,5,FALSE)="M",TRUE,IFERROR(VLOOKUP(E65,#REF!,3,FALSE)="Yes",IFERROR(VLOOKUP(E65,'HIDDEN calc sheet'!A:B,2,FALSE),VLOOKUP(E65,'Additional questions'!B:D,3,FALSE)="Yes")))</f>
        <v>0</v>
      </c>
      <c r="J65" s="31" t="b">
        <f t="shared" si="3"/>
        <v>0</v>
      </c>
      <c r="K65" t="b">
        <f>OR(IFERROR(VLOOKUP(B65,'Profile selection'!B:C,2,FALSE)="Yes",FALSE),AND(B65="Security",OR(VLOOKUP("Security Profile 2",'Profile selection'!B:C,2)="Yes",VLOOKUP("Security Profile 3",'Profile selection'!B:C,2)="Yes")))</f>
        <v>0</v>
      </c>
      <c r="L65" s="35"/>
      <c r="M65" s="35"/>
    </row>
    <row r="66" spans="1:13" x14ac:dyDescent="0.25">
      <c r="A66" t="str">
        <f>'HIDDEN import'!B66</f>
        <v>TC_078_CSMS</v>
      </c>
      <c r="B66" t="str">
        <f>'HIDDEN import'!C66</f>
        <v>Security extension</v>
      </c>
      <c r="C66" t="str">
        <f>'HIDDEN import'!D66</f>
        <v>Invalid CentralSystemCertificate Security Event</v>
      </c>
      <c r="D66" t="str">
        <f>IF(VLOOKUP(A66&amp;" "&amp;B66,'HIDDEN import'!A:G,5,FALSE)="M",MD!$A$1,IF(VLOOKUP(A66&amp;" "&amp;B66,'HIDDEN import'!A:G,5,FALSE)="O",MD!$A$4,(IF(AND(VLOOKUP(A66,'HIDDEN import'!B:E,4,FALSE)="C",OR(NOT(ISERROR(VLOOKUP(E66,'HIDDEN calc sheet'!A:C,1,FALSE)=E66)))),MD!$A$3,MD!$A$2))))</f>
        <v>Mandatory test for a mandatory feature</v>
      </c>
      <c r="E66" t="str">
        <f>IF('HIDDEN import'!F66=0,"",'HIDDEN import'!F66)</f>
        <v/>
      </c>
      <c r="F66" t="str">
        <f>IF('HIDDEN import'!G66=0,"",'HIDDEN import'!G66)</f>
        <v/>
      </c>
      <c r="G66" s="31" t="str">
        <f>IFERROR(VLOOKUP($A66,'HIDDEN Testrun Results'!$A:$B,2,FALSE),"")</f>
        <v/>
      </c>
      <c r="H66" s="31" t="b">
        <f t="shared" si="2"/>
        <v>0</v>
      </c>
      <c r="I66" s="31" t="b">
        <f>IF(VLOOKUP(A66&amp;" "&amp;B66,'HIDDEN import'!A:G,5,FALSE)="M",TRUE,IFERROR(VLOOKUP(E66,#REF!,3,FALSE)="Yes",IFERROR(VLOOKUP(E66,'HIDDEN calc sheet'!A:B,2,FALSE),VLOOKUP(E66,'Additional questions'!B:D,3,FALSE)="Yes")))</f>
        <v>1</v>
      </c>
      <c r="J66" s="31" t="b">
        <f t="shared" si="3"/>
        <v>0</v>
      </c>
      <c r="K66" t="b">
        <f>OR(IFERROR(VLOOKUP(B66,'Profile selection'!B:C,2,FALSE)="Yes",FALSE),AND(B66="Security",OR(VLOOKUP("Security Profile 2",'Profile selection'!B:C,2)="Yes",VLOOKUP("Security Profile 3",'Profile selection'!B:C,2)="Yes")))</f>
        <v>0</v>
      </c>
      <c r="L66" s="35"/>
      <c r="M66" s="35"/>
    </row>
    <row r="67" spans="1:13" x14ac:dyDescent="0.25">
      <c r="A67" t="str">
        <f>'HIDDEN import'!B67</f>
        <v>TC_079_CSMS</v>
      </c>
      <c r="B67" t="str">
        <f>'HIDDEN import'!C67</f>
        <v>Security extension</v>
      </c>
      <c r="C67" t="str">
        <f>'HIDDEN import'!D67</f>
        <v>Get Security Log</v>
      </c>
      <c r="D67" t="str">
        <f>IF(VLOOKUP(A67&amp;" "&amp;B67,'HIDDEN import'!A:G,5,FALSE)="M",MD!$A$1,IF(VLOOKUP(A67&amp;" "&amp;B67,'HIDDEN import'!A:G,5,FALSE)="O",MD!$A$4,(IF(AND(VLOOKUP(A67,'HIDDEN import'!B:E,4,FALSE)="C",OR(NOT(ISERROR(VLOOKUP(E67,'HIDDEN calc sheet'!A:C,1,FALSE)=E67)))),MD!$A$3,MD!$A$2))))</f>
        <v>Mandatory test for a mandatory feature</v>
      </c>
      <c r="E67" t="str">
        <f>IF('HIDDEN import'!F67=0,"",'HIDDEN import'!F67)</f>
        <v/>
      </c>
      <c r="F67" t="str">
        <f>IF('HIDDEN import'!G67=0,"",'HIDDEN import'!G67)</f>
        <v/>
      </c>
      <c r="G67" s="31" t="str">
        <f>IFERROR(VLOOKUP($A67,'HIDDEN Testrun Results'!$A:$B,2,FALSE),"")</f>
        <v/>
      </c>
      <c r="H67" s="31" t="b">
        <f t="shared" si="2"/>
        <v>0</v>
      </c>
      <c r="I67" s="31" t="b">
        <f>IF(VLOOKUP(A67&amp;" "&amp;B67,'HIDDEN import'!A:G,5,FALSE)="M",TRUE,IFERROR(VLOOKUP(E67,#REF!,3,FALSE)="Yes",IFERROR(VLOOKUP(E67,'HIDDEN calc sheet'!A:B,2,FALSE),VLOOKUP(E67,'Additional questions'!B:D,3,FALSE)="Yes")))</f>
        <v>1</v>
      </c>
      <c r="J67" s="31" t="b">
        <f t="shared" si="3"/>
        <v>0</v>
      </c>
      <c r="K67" t="b">
        <f>OR(IFERROR(VLOOKUP(B67,'Profile selection'!B:C,2,FALSE)="Yes",FALSE),AND(B67="Security",OR(VLOOKUP("Security Profile 2",'Profile selection'!B:C,2)="Yes",VLOOKUP("Security Profile 3",'Profile selection'!B:C,2)="Yes")))</f>
        <v>0</v>
      </c>
      <c r="L67" s="35"/>
      <c r="M67" s="35"/>
    </row>
    <row r="68" spans="1:13" x14ac:dyDescent="0.25">
      <c r="A68" t="str">
        <f>'HIDDEN import'!B68</f>
        <v>TC_080_CSMS</v>
      </c>
      <c r="B68" t="str">
        <f>'HIDDEN import'!C68</f>
        <v>Security extension</v>
      </c>
      <c r="C68" t="str">
        <f>'HIDDEN import'!D68</f>
        <v>Secure Firmware Update</v>
      </c>
      <c r="D68" t="str">
        <f>IF(VLOOKUP(A68&amp;" "&amp;B68,'HIDDEN import'!A:G,5,FALSE)="M",MD!$A$1,IF(VLOOKUP(A68&amp;" "&amp;B68,'HIDDEN import'!A:G,5,FALSE)="O",MD!$A$4,(IF(AND(VLOOKUP(A68,'HIDDEN import'!B:E,4,FALSE)="C",OR(NOT(ISERROR(VLOOKUP(E68,'HIDDEN calc sheet'!A:C,1,FALSE)=E68)))),MD!$A$3,MD!$A$2))))</f>
        <v>Mandatory test for a mandatory feature</v>
      </c>
      <c r="E68" t="str">
        <f>IF('HIDDEN import'!F68=0,"",'HIDDEN import'!F68)</f>
        <v/>
      </c>
      <c r="F68" t="str">
        <f>IF('HIDDEN import'!G68=0,"",'HIDDEN import'!G68)</f>
        <v/>
      </c>
      <c r="G68" s="31" t="str">
        <f>IFERROR(VLOOKUP($A68,'HIDDEN Testrun Results'!$A:$B,2,FALSE),"")</f>
        <v/>
      </c>
      <c r="H68" s="31" t="b">
        <f t="shared" si="2"/>
        <v>0</v>
      </c>
      <c r="I68" s="31" t="b">
        <f>IF(VLOOKUP(A68&amp;" "&amp;B68,'HIDDEN import'!A:G,5,FALSE)="M",TRUE,IFERROR(VLOOKUP(E68,#REF!,3,FALSE)="Yes",IFERROR(VLOOKUP(E68,'HIDDEN calc sheet'!A:B,2,FALSE),VLOOKUP(E68,'Additional questions'!B:D,3,FALSE)="Yes")))</f>
        <v>1</v>
      </c>
      <c r="J68" s="31" t="b">
        <f t="shared" si="3"/>
        <v>0</v>
      </c>
      <c r="K68" t="b">
        <f>OR(IFERROR(VLOOKUP(B68,'Profile selection'!B:C,2,FALSE)="Yes",FALSE),AND(B68="Security",OR(VLOOKUP("Security Profile 2",'Profile selection'!B:C,2)="Yes",VLOOKUP("Security Profile 3",'Profile selection'!B:C,2)="Yes")))</f>
        <v>0</v>
      </c>
      <c r="L68" s="35"/>
      <c r="M68" s="35"/>
    </row>
    <row r="69" spans="1:13" x14ac:dyDescent="0.25">
      <c r="A69" t="str">
        <f>'HIDDEN import'!B69</f>
        <v>TC_081_CSMS</v>
      </c>
      <c r="B69" t="str">
        <f>'HIDDEN import'!C69</f>
        <v>Security extension</v>
      </c>
      <c r="C69" t="str">
        <f>'HIDDEN import'!D69</f>
        <v>Secure Firmware Update - Invalid Signature</v>
      </c>
      <c r="D69" t="str">
        <f>IF(VLOOKUP(A69&amp;" "&amp;B69,'HIDDEN import'!A:G,5,FALSE)="M",MD!$A$1,IF(VLOOKUP(A69&amp;" "&amp;B69,'HIDDEN import'!A:G,5,FALSE)="O",MD!$A$4,(IF(AND(VLOOKUP(A69,'HIDDEN import'!B:E,4,FALSE)="C",OR(NOT(ISERROR(VLOOKUP(E69,'HIDDEN calc sheet'!A:C,1,FALSE)=E69)))),MD!$A$3,MD!$A$2))))</f>
        <v>Mandatory test for a mandatory feature</v>
      </c>
      <c r="E69" t="str">
        <f>IF('HIDDEN import'!F69=0,"",'HIDDEN import'!F69)</f>
        <v/>
      </c>
      <c r="F69" t="str">
        <f>IF('HIDDEN import'!G69=0,"",'HIDDEN import'!G69)</f>
        <v/>
      </c>
      <c r="G69" s="31" t="str">
        <f>IFERROR(VLOOKUP($A69,'HIDDEN Testrun Results'!$A:$B,2,FALSE),"")</f>
        <v/>
      </c>
      <c r="H69" s="31" t="b">
        <f t="shared" si="2"/>
        <v>0</v>
      </c>
      <c r="I69" s="31" t="b">
        <f>IF(VLOOKUP(A69&amp;" "&amp;B69,'HIDDEN import'!A:G,5,FALSE)="M",TRUE,IFERROR(VLOOKUP(E69,#REF!,3,FALSE)="Yes",IFERROR(VLOOKUP(E69,'HIDDEN calc sheet'!A:B,2,FALSE),VLOOKUP(E69,'Additional questions'!B:D,3,FALSE)="Yes")))</f>
        <v>1</v>
      </c>
      <c r="J69" s="31" t="b">
        <f t="shared" si="3"/>
        <v>0</v>
      </c>
      <c r="K69" t="b">
        <f>OR(IFERROR(VLOOKUP(B69,'Profile selection'!B:C,2,FALSE)="Yes",FALSE),AND(B69="Security",OR(VLOOKUP("Security Profile 2",'Profile selection'!B:C,2)="Yes",VLOOKUP("Security Profile 3",'Profile selection'!B:C,2)="Yes")))</f>
        <v>0</v>
      </c>
      <c r="L69" s="35"/>
      <c r="M69" s="35"/>
    </row>
    <row r="70" spans="1:13" x14ac:dyDescent="0.25">
      <c r="A70" t="str">
        <f>'HIDDEN import'!B70</f>
        <v>TC_085_CSMS</v>
      </c>
      <c r="B70" t="str">
        <f>'HIDDEN import'!C70</f>
        <v>Security extension</v>
      </c>
      <c r="C70" t="str">
        <f>'HIDDEN import'!D70</f>
        <v>Basic Authentication - Valid username/password combination</v>
      </c>
      <c r="D70" t="str">
        <f>IF(VLOOKUP(A70&amp;" "&amp;B70,'HIDDEN import'!A:G,5,FALSE)="M",MD!$A$1,IF(VLOOKUP(A70&amp;" "&amp;B70,'HIDDEN import'!A:G,5,FALSE)="O",MD!$A$4,(IF(AND(VLOOKUP(A70,'HIDDEN import'!B:E,4,FALSE)="C",OR(NOT(ISERROR(VLOOKUP(E70,'HIDDEN calc sheet'!A:C,1,FALSE)=E70)))),MD!$A$3,MD!$A$2))))</f>
        <v>Mandatory for optional feature</v>
      </c>
      <c r="E70" t="str">
        <f>IF('HIDDEN import'!F70=0,"",'HIDDEN import'!F70)</f>
        <v>Only applicable if the DUT supports security profile 1 or 2.</v>
      </c>
      <c r="F70" t="str">
        <f>IF('HIDDEN import'!G70=0,"",'HIDDEN import'!G70)</f>
        <v/>
      </c>
      <c r="G70" s="31" t="str">
        <f>IFERROR(VLOOKUP($A70,'HIDDEN Testrun Results'!$A:$B,2,FALSE),"")</f>
        <v/>
      </c>
      <c r="H70" s="31" t="b">
        <f t="shared" si="2"/>
        <v>0</v>
      </c>
      <c r="I70" s="31" t="b">
        <f>IF(VLOOKUP(A70&amp;" "&amp;B70,'HIDDEN import'!A:G,5,FALSE)="M",TRUE,IFERROR(VLOOKUP(E70,#REF!,3,FALSE)="Yes",IFERROR(VLOOKUP(E70,'HIDDEN calc sheet'!A:B,2,FALSE),VLOOKUP(E70,'Additional questions'!B:D,3,FALSE)="Yes")))</f>
        <v>0</v>
      </c>
      <c r="J70" s="31" t="b">
        <f t="shared" si="3"/>
        <v>0</v>
      </c>
      <c r="K70" t="b">
        <f>OR(IFERROR(VLOOKUP(B70,'Profile selection'!B:C,2,FALSE)="Yes",FALSE),AND(B70="Security",OR(VLOOKUP("Security Profile 2",'Profile selection'!B:C,2)="Yes",VLOOKUP("Security Profile 3",'Profile selection'!B:C,2)="Yes")))</f>
        <v>0</v>
      </c>
      <c r="L70" s="35"/>
      <c r="M70" s="35"/>
    </row>
    <row r="71" spans="1:13" x14ac:dyDescent="0.25">
      <c r="A71" t="str">
        <f>'HIDDEN import'!B71</f>
        <v>TC_086_CSMS</v>
      </c>
      <c r="B71" t="str">
        <f>'HIDDEN import'!C71</f>
        <v>Security extension</v>
      </c>
      <c r="C71" t="str">
        <f>'HIDDEN import'!D71</f>
        <v>TLS - server-side certificate - Valid certificate</v>
      </c>
      <c r="D71" t="str">
        <f>IF(VLOOKUP(A71&amp;" "&amp;B71,'HIDDEN import'!A:G,5,FALSE)="M",MD!$A$1,IF(VLOOKUP(A71&amp;" "&amp;B71,'HIDDEN import'!A:G,5,FALSE)="O",MD!$A$4,(IF(AND(VLOOKUP(A71,'HIDDEN import'!B:E,4,FALSE)="C",OR(NOT(ISERROR(VLOOKUP(E71,'HIDDEN calc sheet'!A:C,1,FALSE)=E71)))),MD!$A$3,MD!$A$2))))</f>
        <v>Mandatory for optional feature</v>
      </c>
      <c r="E71" t="str">
        <f>IF('HIDDEN import'!F71=0,"",'HIDDEN import'!F71)</f>
        <v>Only applicable if the DUT supports security profile 2 or 3.</v>
      </c>
      <c r="F71" t="str">
        <f>IF('HIDDEN import'!G71=0,"",'HIDDEN import'!G71)</f>
        <v/>
      </c>
      <c r="G71" s="31" t="str">
        <f>IFERROR(VLOOKUP($A71,'HIDDEN Testrun Results'!$A:$B,2,FALSE),"")</f>
        <v/>
      </c>
      <c r="H71" s="31" t="b">
        <f t="shared" si="2"/>
        <v>0</v>
      </c>
      <c r="I71" s="31" t="b">
        <f>IF(VLOOKUP(A71&amp;" "&amp;B71,'HIDDEN import'!A:G,5,FALSE)="M",TRUE,IFERROR(VLOOKUP(E71,#REF!,3,FALSE)="Yes",IFERROR(VLOOKUP(E71,'HIDDEN calc sheet'!A:B,2,FALSE),VLOOKUP(E71,'Additional questions'!B:D,3,FALSE)="Yes")))</f>
        <v>0</v>
      </c>
      <c r="J71" s="31" t="b">
        <f t="shared" si="3"/>
        <v>0</v>
      </c>
      <c r="K71" t="b">
        <f>OR(IFERROR(VLOOKUP(B71,'Profile selection'!B:C,2,FALSE)="Yes",FALSE),AND(B71="Security",OR(VLOOKUP("Security Profile 2",'Profile selection'!B:C,2)="Yes",VLOOKUP("Security Profile 3",'Profile selection'!B:C,2)="Yes")))</f>
        <v>0</v>
      </c>
      <c r="L71" s="35"/>
      <c r="M71" s="35"/>
    </row>
    <row r="72" spans="1:13" x14ac:dyDescent="0.25">
      <c r="A72" t="str">
        <f>'HIDDEN import'!B72</f>
        <v>TC_087_CSMS</v>
      </c>
      <c r="B72" t="str">
        <f>'HIDDEN import'!C72</f>
        <v>Security extension</v>
      </c>
      <c r="C72" t="str">
        <f>'HIDDEN import'!D72</f>
        <v>TLS - Client-side certificate - valid certificate</v>
      </c>
      <c r="D72" t="str">
        <f>IF(VLOOKUP(A72&amp;" "&amp;B72,'HIDDEN import'!A:G,5,FALSE)="M",MD!$A$1,IF(VLOOKUP(A72&amp;" "&amp;B72,'HIDDEN import'!A:G,5,FALSE)="O",MD!$A$4,(IF(AND(VLOOKUP(A72,'HIDDEN import'!B:E,4,FALSE)="C",OR(NOT(ISERROR(VLOOKUP(E72,'HIDDEN calc sheet'!A:C,1,FALSE)=E72)))),MD!$A$3,MD!$A$2))))</f>
        <v>Mandatory for optional feature</v>
      </c>
      <c r="E72" t="str">
        <f>IF('HIDDEN import'!F72=0,"",'HIDDEN import'!F72)</f>
        <v>Only applicable if the DUT supports security profile 3.</v>
      </c>
      <c r="F72" t="str">
        <f>IF('HIDDEN import'!G72=0,"",'HIDDEN import'!G72)</f>
        <v/>
      </c>
      <c r="G72" s="31" t="str">
        <f>IFERROR(VLOOKUP($A72,'HIDDEN Testrun Results'!$A:$B,2,FALSE),"")</f>
        <v/>
      </c>
      <c r="H72" s="31" t="b">
        <f t="shared" si="2"/>
        <v>0</v>
      </c>
      <c r="I72" s="31" t="b">
        <f>IF(VLOOKUP(A72&amp;" "&amp;B72,'HIDDEN import'!A:G,5,FALSE)="M",TRUE,IFERROR(VLOOKUP(E72,#REF!,3,FALSE)="Yes",IFERROR(VLOOKUP(E72,'HIDDEN calc sheet'!A:B,2,FALSE),VLOOKUP(E72,'Additional questions'!B:D,3,FALSE)="Yes")))</f>
        <v>0</v>
      </c>
      <c r="J72" s="31" t="b">
        <f t="shared" si="3"/>
        <v>0</v>
      </c>
      <c r="K72" t="b">
        <f>OR(IFERROR(VLOOKUP(B72,'Profile selection'!B:C,2,FALSE)="Yes",FALSE),AND(B72="Security",OR(VLOOKUP("Security Profile 2",'Profile selection'!B:C,2)="Yes",VLOOKUP("Security Profile 3",'Profile selection'!B:C,2)="Yes")))</f>
        <v>0</v>
      </c>
      <c r="L72" s="35"/>
      <c r="M72" s="35"/>
    </row>
    <row r="73" spans="1:13" x14ac:dyDescent="0.25">
      <c r="K73"/>
    </row>
    <row r="74" spans="1:13" x14ac:dyDescent="0.25">
      <c r="K74"/>
    </row>
    <row r="75" spans="1:13" x14ac:dyDescent="0.25">
      <c r="K75"/>
    </row>
    <row r="76" spans="1:13" x14ac:dyDescent="0.25">
      <c r="K76"/>
    </row>
    <row r="77" spans="1:13" x14ac:dyDescent="0.25">
      <c r="K77"/>
    </row>
    <row r="78" spans="1:13" x14ac:dyDescent="0.25">
      <c r="K78"/>
    </row>
    <row r="79" spans="1:13" x14ac:dyDescent="0.25">
      <c r="K79"/>
    </row>
    <row r="80" spans="1:13" x14ac:dyDescent="0.25">
      <c r="K80"/>
    </row>
    <row r="81" spans="11:11" x14ac:dyDescent="0.25">
      <c r="K81"/>
    </row>
    <row r="82" spans="11:11" x14ac:dyDescent="0.25">
      <c r="K82"/>
    </row>
    <row r="83" spans="11:11" x14ac:dyDescent="0.25">
      <c r="K83"/>
    </row>
    <row r="84" spans="11:11" x14ac:dyDescent="0.25">
      <c r="K84"/>
    </row>
    <row r="85" spans="11:11" x14ac:dyDescent="0.25">
      <c r="K85"/>
    </row>
    <row r="86" spans="11:11" x14ac:dyDescent="0.25">
      <c r="K86"/>
    </row>
    <row r="87" spans="11:11" x14ac:dyDescent="0.25">
      <c r="K87"/>
    </row>
    <row r="88" spans="11:11" x14ac:dyDescent="0.25">
      <c r="K88"/>
    </row>
    <row r="89" spans="11:11" x14ac:dyDescent="0.25">
      <c r="K89"/>
    </row>
    <row r="90" spans="11:11" x14ac:dyDescent="0.25">
      <c r="K90"/>
    </row>
    <row r="91" spans="11:11" x14ac:dyDescent="0.25">
      <c r="K91"/>
    </row>
    <row r="92" spans="11:11" x14ac:dyDescent="0.25">
      <c r="K92"/>
    </row>
    <row r="93" spans="11:11" x14ac:dyDescent="0.25">
      <c r="K93"/>
    </row>
    <row r="94" spans="11:11" x14ac:dyDescent="0.25">
      <c r="K94"/>
    </row>
    <row r="95" spans="11:11" x14ac:dyDescent="0.25">
      <c r="K95"/>
    </row>
    <row r="96" spans="11:11" x14ac:dyDescent="0.25">
      <c r="K96"/>
    </row>
    <row r="97" spans="11:11" x14ac:dyDescent="0.25">
      <c r="K97"/>
    </row>
    <row r="98" spans="11:11" x14ac:dyDescent="0.25">
      <c r="K98"/>
    </row>
    <row r="99" spans="11:11" x14ac:dyDescent="0.25">
      <c r="K99"/>
    </row>
    <row r="100" spans="11:11" x14ac:dyDescent="0.25">
      <c r="K100"/>
    </row>
    <row r="101" spans="11:11" x14ac:dyDescent="0.25">
      <c r="K101"/>
    </row>
    <row r="102" spans="11:11" x14ac:dyDescent="0.25">
      <c r="K102"/>
    </row>
    <row r="103" spans="11:11" x14ac:dyDescent="0.25">
      <c r="K103"/>
    </row>
    <row r="104" spans="11:11" x14ac:dyDescent="0.25">
      <c r="K104"/>
    </row>
    <row r="105" spans="11:11" x14ac:dyDescent="0.25">
      <c r="K105"/>
    </row>
    <row r="106" spans="11:11" x14ac:dyDescent="0.25">
      <c r="K106"/>
    </row>
    <row r="107" spans="11:11" x14ac:dyDescent="0.25">
      <c r="K107"/>
    </row>
    <row r="108" spans="11:11" x14ac:dyDescent="0.25">
      <c r="K108"/>
    </row>
    <row r="109" spans="11:11" x14ac:dyDescent="0.25">
      <c r="K109"/>
    </row>
    <row r="110" spans="11:11" x14ac:dyDescent="0.25">
      <c r="K110"/>
    </row>
    <row r="111" spans="11:11" x14ac:dyDescent="0.25">
      <c r="K111"/>
    </row>
    <row r="112" spans="11:11" x14ac:dyDescent="0.25">
      <c r="K112"/>
    </row>
    <row r="113" spans="11:11" x14ac:dyDescent="0.25">
      <c r="K113"/>
    </row>
    <row r="114" spans="11:11" x14ac:dyDescent="0.25">
      <c r="K114"/>
    </row>
    <row r="115" spans="11:11" x14ac:dyDescent="0.25">
      <c r="K115"/>
    </row>
    <row r="116" spans="11:11" x14ac:dyDescent="0.25">
      <c r="K116"/>
    </row>
    <row r="117" spans="11:11" x14ac:dyDescent="0.25">
      <c r="K117"/>
    </row>
    <row r="118" spans="11:11" x14ac:dyDescent="0.25">
      <c r="K118"/>
    </row>
    <row r="119" spans="11:11" x14ac:dyDescent="0.25">
      <c r="K119"/>
    </row>
    <row r="120" spans="11:11" x14ac:dyDescent="0.25">
      <c r="K120"/>
    </row>
    <row r="121" spans="11:11" x14ac:dyDescent="0.25">
      <c r="K121"/>
    </row>
    <row r="122" spans="11:11" x14ac:dyDescent="0.25">
      <c r="K122"/>
    </row>
    <row r="123" spans="11:11" x14ac:dyDescent="0.25">
      <c r="K123"/>
    </row>
    <row r="124" spans="11:11" x14ac:dyDescent="0.25">
      <c r="K124"/>
    </row>
    <row r="125" spans="11:11" x14ac:dyDescent="0.25">
      <c r="K125"/>
    </row>
    <row r="126" spans="11:11" x14ac:dyDescent="0.25">
      <c r="K126"/>
    </row>
    <row r="127" spans="11:11" x14ac:dyDescent="0.25">
      <c r="K127"/>
    </row>
    <row r="128" spans="11:11" x14ac:dyDescent="0.25">
      <c r="K128"/>
    </row>
    <row r="129" spans="11:11" x14ac:dyDescent="0.25">
      <c r="K129"/>
    </row>
    <row r="130" spans="11:11" x14ac:dyDescent="0.25">
      <c r="K130"/>
    </row>
    <row r="131" spans="11:11" x14ac:dyDescent="0.25">
      <c r="K131"/>
    </row>
    <row r="132" spans="11:11" x14ac:dyDescent="0.25">
      <c r="K132"/>
    </row>
    <row r="133" spans="11:11" x14ac:dyDescent="0.25">
      <c r="K133"/>
    </row>
    <row r="134" spans="11:11" x14ac:dyDescent="0.25">
      <c r="K134"/>
    </row>
    <row r="135" spans="11:11" x14ac:dyDescent="0.25">
      <c r="K135"/>
    </row>
    <row r="136" spans="11:11" x14ac:dyDescent="0.25">
      <c r="K136"/>
    </row>
    <row r="137" spans="11:11" x14ac:dyDescent="0.25">
      <c r="K137"/>
    </row>
    <row r="138" spans="11:11" x14ac:dyDescent="0.25">
      <c r="K138"/>
    </row>
    <row r="139" spans="11:11" x14ac:dyDescent="0.25">
      <c r="K139"/>
    </row>
    <row r="140" spans="11:11" x14ac:dyDescent="0.25">
      <c r="K140"/>
    </row>
    <row r="141" spans="11:11" x14ac:dyDescent="0.25">
      <c r="K141"/>
    </row>
    <row r="142" spans="11:11" x14ac:dyDescent="0.25">
      <c r="K142"/>
    </row>
    <row r="143" spans="11:11" x14ac:dyDescent="0.25">
      <c r="K143"/>
    </row>
    <row r="144" spans="11:11" x14ac:dyDescent="0.25">
      <c r="K144"/>
    </row>
    <row r="145" spans="11:11" x14ac:dyDescent="0.25">
      <c r="K145"/>
    </row>
    <row r="146" spans="11:11" x14ac:dyDescent="0.25">
      <c r="K146"/>
    </row>
    <row r="147" spans="11:11" x14ac:dyDescent="0.25">
      <c r="K147"/>
    </row>
    <row r="148" spans="11:11" x14ac:dyDescent="0.25">
      <c r="K148"/>
    </row>
    <row r="149" spans="11:11" x14ac:dyDescent="0.25">
      <c r="K149"/>
    </row>
    <row r="150" spans="11:11" x14ac:dyDescent="0.25">
      <c r="K150"/>
    </row>
    <row r="151" spans="11:11" x14ac:dyDescent="0.25">
      <c r="K151"/>
    </row>
    <row r="152" spans="11:11" x14ac:dyDescent="0.25">
      <c r="K152"/>
    </row>
    <row r="153" spans="11:11" x14ac:dyDescent="0.25">
      <c r="K153"/>
    </row>
    <row r="154" spans="11:11" x14ac:dyDescent="0.25">
      <c r="K154"/>
    </row>
    <row r="155" spans="11:11" x14ac:dyDescent="0.25">
      <c r="K155"/>
    </row>
    <row r="156" spans="11:11" x14ac:dyDescent="0.25">
      <c r="K156"/>
    </row>
    <row r="157" spans="11:11" x14ac:dyDescent="0.25">
      <c r="K157"/>
    </row>
    <row r="158" spans="11:11" x14ac:dyDescent="0.25">
      <c r="K158"/>
    </row>
    <row r="159" spans="11:11" x14ac:dyDescent="0.25">
      <c r="K159"/>
    </row>
    <row r="160" spans="11:11" x14ac:dyDescent="0.25">
      <c r="K160"/>
    </row>
    <row r="161" spans="11:11" x14ac:dyDescent="0.25">
      <c r="K161"/>
    </row>
    <row r="162" spans="11:11" x14ac:dyDescent="0.25">
      <c r="K162"/>
    </row>
    <row r="163" spans="11:11" x14ac:dyDescent="0.25">
      <c r="K163"/>
    </row>
    <row r="164" spans="11:11" x14ac:dyDescent="0.25">
      <c r="K164"/>
    </row>
    <row r="165" spans="11:11" x14ac:dyDescent="0.25">
      <c r="K165"/>
    </row>
    <row r="166" spans="11:11" x14ac:dyDescent="0.25">
      <c r="K166"/>
    </row>
    <row r="167" spans="11:11" x14ac:dyDescent="0.25">
      <c r="K167"/>
    </row>
    <row r="168" spans="11:11" x14ac:dyDescent="0.25">
      <c r="K168"/>
    </row>
    <row r="169" spans="11:11" x14ac:dyDescent="0.25">
      <c r="K169"/>
    </row>
    <row r="170" spans="11:11" x14ac:dyDescent="0.25">
      <c r="K170"/>
    </row>
    <row r="171" spans="11:11" x14ac:dyDescent="0.25">
      <c r="K171"/>
    </row>
    <row r="172" spans="11:11" x14ac:dyDescent="0.25">
      <c r="K172"/>
    </row>
    <row r="173" spans="11:11" x14ac:dyDescent="0.25">
      <c r="K173"/>
    </row>
    <row r="174" spans="11:11" x14ac:dyDescent="0.25">
      <c r="K174"/>
    </row>
    <row r="175" spans="11:11" x14ac:dyDescent="0.25">
      <c r="K175"/>
    </row>
    <row r="176" spans="11:11" x14ac:dyDescent="0.25">
      <c r="K176"/>
    </row>
    <row r="177" spans="11:11" x14ac:dyDescent="0.25">
      <c r="K177"/>
    </row>
    <row r="178" spans="11:11" x14ac:dyDescent="0.25">
      <c r="K178"/>
    </row>
    <row r="179" spans="11:11" x14ac:dyDescent="0.25">
      <c r="K179"/>
    </row>
    <row r="180" spans="11:11" x14ac:dyDescent="0.25">
      <c r="K180"/>
    </row>
    <row r="181" spans="11:11" x14ac:dyDescent="0.25">
      <c r="K181"/>
    </row>
    <row r="182" spans="11:11" x14ac:dyDescent="0.25">
      <c r="K182"/>
    </row>
    <row r="183" spans="11:11" x14ac:dyDescent="0.25">
      <c r="K183"/>
    </row>
    <row r="184" spans="11:11" x14ac:dyDescent="0.25">
      <c r="K184"/>
    </row>
    <row r="185" spans="11:11" x14ac:dyDescent="0.25">
      <c r="K185"/>
    </row>
    <row r="186" spans="11:11" x14ac:dyDescent="0.25">
      <c r="K186"/>
    </row>
    <row r="187" spans="11:11" x14ac:dyDescent="0.25">
      <c r="K187"/>
    </row>
    <row r="188" spans="11:11" x14ac:dyDescent="0.25">
      <c r="K188"/>
    </row>
    <row r="189" spans="11:11" x14ac:dyDescent="0.25">
      <c r="K189"/>
    </row>
    <row r="190" spans="11:11" x14ac:dyDescent="0.25">
      <c r="K190"/>
    </row>
    <row r="191" spans="11:11" x14ac:dyDescent="0.25">
      <c r="K191"/>
    </row>
    <row r="192" spans="11:11" x14ac:dyDescent="0.25">
      <c r="K192"/>
    </row>
    <row r="193" spans="11:11" x14ac:dyDescent="0.25">
      <c r="K193"/>
    </row>
    <row r="194" spans="11:11" x14ac:dyDescent="0.25">
      <c r="K194"/>
    </row>
    <row r="195" spans="11:11" x14ac:dyDescent="0.25">
      <c r="K195"/>
    </row>
    <row r="196" spans="11:11" x14ac:dyDescent="0.25">
      <c r="K196"/>
    </row>
    <row r="197" spans="11:11" x14ac:dyDescent="0.25">
      <c r="K197"/>
    </row>
    <row r="198" spans="11:11" x14ac:dyDescent="0.25">
      <c r="K198"/>
    </row>
    <row r="199" spans="11:11" x14ac:dyDescent="0.25">
      <c r="K199"/>
    </row>
    <row r="200" spans="11:11" x14ac:dyDescent="0.25">
      <c r="K200"/>
    </row>
    <row r="201" spans="11:11" x14ac:dyDescent="0.25">
      <c r="K201"/>
    </row>
    <row r="202" spans="11:11" x14ac:dyDescent="0.25">
      <c r="K202"/>
    </row>
    <row r="203" spans="11:11" x14ac:dyDescent="0.25">
      <c r="K203"/>
    </row>
    <row r="204" spans="11:11" x14ac:dyDescent="0.25">
      <c r="K204"/>
    </row>
    <row r="205" spans="11:11" x14ac:dyDescent="0.25">
      <c r="K205"/>
    </row>
    <row r="206" spans="11:11" x14ac:dyDescent="0.25">
      <c r="K206"/>
    </row>
    <row r="207" spans="11:11" x14ac:dyDescent="0.25">
      <c r="K207"/>
    </row>
    <row r="208" spans="11:11" x14ac:dyDescent="0.25">
      <c r="K208"/>
    </row>
    <row r="209" spans="11:11" x14ac:dyDescent="0.25">
      <c r="K209"/>
    </row>
    <row r="210" spans="11:11" x14ac:dyDescent="0.25">
      <c r="K210"/>
    </row>
    <row r="211" spans="11:11" x14ac:dyDescent="0.25">
      <c r="K211"/>
    </row>
    <row r="212" spans="11:11" x14ac:dyDescent="0.25">
      <c r="K212"/>
    </row>
    <row r="213" spans="11:11" x14ac:dyDescent="0.25">
      <c r="K213"/>
    </row>
    <row r="214" spans="11:11" x14ac:dyDescent="0.25">
      <c r="K214"/>
    </row>
    <row r="215" spans="11:11" x14ac:dyDescent="0.25">
      <c r="K215"/>
    </row>
    <row r="216" spans="11:11" x14ac:dyDescent="0.25">
      <c r="K216"/>
    </row>
    <row r="217" spans="11:11" x14ac:dyDescent="0.25">
      <c r="K217"/>
    </row>
    <row r="218" spans="11:11" x14ac:dyDescent="0.25">
      <c r="K218"/>
    </row>
    <row r="219" spans="11:11" x14ac:dyDescent="0.25">
      <c r="K219"/>
    </row>
    <row r="220" spans="11:11" x14ac:dyDescent="0.25">
      <c r="K220"/>
    </row>
    <row r="221" spans="11:11" x14ac:dyDescent="0.25">
      <c r="K221"/>
    </row>
    <row r="222" spans="11:11" x14ac:dyDescent="0.25">
      <c r="K222"/>
    </row>
    <row r="223" spans="11:11" x14ac:dyDescent="0.25">
      <c r="K223"/>
    </row>
    <row r="224" spans="11:11" x14ac:dyDescent="0.25">
      <c r="K224"/>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sheetData>
  <sheetProtection algorithmName="SHA-512" hashValue="ofEjL6rxXKAcrcq3MDLMmBYH17GAZzr+oDmDwgsAY+Fm+prDn6F9xx4WU/597VA9Pb24XOqe6vWKYWlgPhmUAg==" saltValue="qpxkdU9uVYWkDvLDpnOy4g==" spinCount="100000" sheet="1" formatColumns="0" autoFilter="0"/>
  <autoFilter ref="A1:K250" xr:uid="{A2FAF7F4-22BB-4C7A-8725-B2823D94C6A6}"/>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c0df782-0713-43be-b8d1-e2ff849827a7" xsi:nil="true"/>
    <lcf76f155ced4ddcb4097134ff3c332f xmlns="4d8613b4-e81d-4525-b3bf-245aa758d49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1D62FE54BF1D49A4E2FF9B597CC145" ma:contentTypeVersion="16" ma:contentTypeDescription="Een nieuw document maken." ma:contentTypeScope="" ma:versionID="1f8b24117face3f15985504c530e0944">
  <xsd:schema xmlns:xsd="http://www.w3.org/2001/XMLSchema" xmlns:xs="http://www.w3.org/2001/XMLSchema" xmlns:p="http://schemas.microsoft.com/office/2006/metadata/properties" xmlns:ns2="4d8613b4-e81d-4525-b3bf-245aa758d498" xmlns:ns3="4c0df782-0713-43be-b8d1-e2ff849827a7" targetNamespace="http://schemas.microsoft.com/office/2006/metadata/properties" ma:root="true" ma:fieldsID="9dd2f6231fa2505e99cb1c0f558a04e0" ns2:_="" ns3:_="">
    <xsd:import namespace="4d8613b4-e81d-4525-b3bf-245aa758d498"/>
    <xsd:import namespace="4c0df782-0713-43be-b8d1-e2ff849827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613b4-e81d-4525-b3bf-245aa758d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8de567b-8e6c-4af0-ad3d-8df73b5d25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df782-0713-43be-b8d1-e2ff849827a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cec4785-7953-43cd-b88d-f7a19bc64697}" ma:internalName="TaxCatchAll" ma:showField="CatchAllData" ma:web="4c0df782-0713-43be-b8d1-e2ff84982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486B9E-AE68-4201-847E-B912AB74C59F}">
  <ds:schemaRefs>
    <ds:schemaRef ds:uri="http://schemas.microsoft.com/sharepoint/v3/contenttype/forms"/>
  </ds:schemaRefs>
</ds:datastoreItem>
</file>

<file path=customXml/itemProps2.xml><?xml version="1.0" encoding="utf-8"?>
<ds:datastoreItem xmlns:ds="http://schemas.openxmlformats.org/officeDocument/2006/customXml" ds:itemID="{7203D641-1115-4A27-B4E3-8AA5499130A4}">
  <ds:schemaRef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4c0df782-0713-43be-b8d1-e2ff849827a7"/>
    <ds:schemaRef ds:uri="4d8613b4-e81d-4525-b3bf-245aa758d498"/>
    <ds:schemaRef ds:uri="http://purl.org/dc/dcmitype/"/>
  </ds:schemaRefs>
</ds:datastoreItem>
</file>

<file path=customXml/itemProps3.xml><?xml version="1.0" encoding="utf-8"?>
<ds:datastoreItem xmlns:ds="http://schemas.openxmlformats.org/officeDocument/2006/customXml" ds:itemID="{581F9986-49DF-4969-B781-07933AD63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613b4-e81d-4525-b3bf-245aa758d498"/>
    <ds:schemaRef ds:uri="4c0df782-0713-43be-b8d1-e2ff84982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af293e6-3850-4258-b2c7-0aa0e3bfa7d9}" enabled="1" method="Privileged" siteId="{b9fec68c-c92d-461e-9a97-3d03a0f18b82}"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Explanation</vt:lpstr>
      <vt:lpstr>General information</vt:lpstr>
      <vt:lpstr>Profile selection</vt:lpstr>
      <vt:lpstr>Optional features</vt:lpstr>
      <vt:lpstr>Additional questions</vt:lpstr>
      <vt:lpstr>Other&amp;Vendor Specific Settings</vt:lpstr>
      <vt:lpstr>HIDDEN Testrun Results</vt:lpstr>
      <vt:lpstr>Performance Measurement</vt:lpstr>
      <vt:lpstr>CSMS Testcases</vt:lpstr>
      <vt:lpstr>Statement of Approval</vt:lpstr>
      <vt:lpstr>HIDDEN import</vt:lpstr>
      <vt:lpstr>HIDDEN calc sheet</vt:lpstr>
      <vt:lpstr>HIDDEN features</vt:lpstr>
      <vt:lpstr>MD</vt:lpstr>
      <vt:lpstr>Additional_questions</vt:lpstr>
      <vt:lpstr>CE_Security</vt:lpstr>
      <vt:lpstr>Certification_Extensions</vt:lpstr>
      <vt:lpstr>Communication_technology</vt:lpstr>
      <vt:lpstr>Device_info</vt:lpstr>
      <vt:lpstr>Measured_performance</vt:lpstr>
      <vt:lpstr>OCPP_16_Certification</vt:lpstr>
      <vt:lpstr>Performance_measurement</vt:lpstr>
      <vt:lpstr>Performed_On</vt:lpstr>
      <vt:lpstr>Profile_Selection</vt:lpstr>
      <vt:lpstr>Security_profiles</vt:lpstr>
      <vt:lpstr>Test_laboratory</vt:lpstr>
      <vt:lpstr>Test_laboratory_signature</vt:lpstr>
      <vt:lpstr>Test_laboratory_signature_image</vt:lpstr>
      <vt:lpstr>Test_Report_Reference</vt:lpstr>
      <vt:lpstr>'HIDDEN Testrun Results'!testresults</vt:lpstr>
      <vt:lpstr>Vendor</vt:lpstr>
      <vt:lpstr>Vendor_signature</vt:lpstr>
      <vt:lpstr>Vendor_signature_image</vt:lpstr>
      <vt:lpstr>Vendor_Specific_Settings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OCPP 2.0.1. PICS CSMS</dc:title>
  <dc:subject>OCPP 2.0.1 Protocol Implementation Confirmance Statement for Charging Station Management Systems</dc:subject>
  <dc:creator>Open Charge Alliance</dc:creator>
  <cp:keywords/>
  <dc:description/>
  <cp:lastModifiedBy>Klapwijk, Paul</cp:lastModifiedBy>
  <cp:revision/>
  <dcterms:created xsi:type="dcterms:W3CDTF">2023-01-12T22:55:44Z</dcterms:created>
  <dcterms:modified xsi:type="dcterms:W3CDTF">2024-09-18T14:02:30Z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0x010100381D62FE54BF1D49A4E2FF9B597CC145</vt:lpwstr>
  </property>
  <property fmtid="{D5CDD505-2E9C-101B-9397-08002B2CF9AE}" pid="3" name="MediaServiceImageTags">
    <vt:lpwstr/>
  </property>
</Properties>
</file>