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queryTables/queryTable1.xml" ContentType="application/vnd.openxmlformats-officedocument.spreadsheetml.queryTable+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wsl$\Ubuntu\home\paul\local_git\OCTT-certification\PICS\"/>
    </mc:Choice>
  </mc:AlternateContent>
  <xr:revisionPtr revIDLastSave="0" documentId="13_ncr:1_{6A73D7FE-1529-4C60-AC56-9ED49B46F086}" xr6:coauthVersionLast="47" xr6:coauthVersionMax="47" xr10:uidLastSave="{00000000-0000-0000-0000-000000000000}"/>
  <workbookProtection workbookAlgorithmName="SHA-512" workbookHashValue="77q0EjSKrgaj8V/JFHGk4EXFmEs2//DyrHg0cgBEcxp0JezAIWrARq0V3ZhyjDUB0zrj6gFRPPRR1C7oMLtm7Q==" workbookSaltValue="albgGibBwmgNv1Sz9PfN6w==" workbookSpinCount="100000" lockStructure="1"/>
  <bookViews>
    <workbookView xWindow="-26115" yWindow="1410" windowWidth="21600" windowHeight="11385" tabRatio="908" xr2:uid="{0AD6A54D-9BEE-E14E-B9B4-E461770D2F5F}"/>
  </bookViews>
  <sheets>
    <sheet name="Explanation" sheetId="9" r:id="rId1"/>
    <sheet name="Hardware Feature set" sheetId="2" r:id="rId2"/>
    <sheet name="Profile selection" sheetId="8" r:id="rId3"/>
    <sheet name="Optional features" sheetId="3" r:id="rId4"/>
    <sheet name="Additional questions" sheetId="5" r:id="rId5"/>
    <sheet name="Other relevant settings" sheetId="6" r:id="rId6"/>
    <sheet name="Vendor Specific Settings" sheetId="16" r:id="rId7"/>
    <sheet name="HIDDEN Testrun Results" sheetId="17" state="hidden" r:id="rId8"/>
    <sheet name="Performance Measurement" sheetId="7" r:id="rId9"/>
    <sheet name="Charging Station Testcases" sheetId="1" r:id="rId10"/>
    <sheet name="Statement of Approval" sheetId="14" r:id="rId11"/>
    <sheet name="HIDDEN calc sheet" sheetId="11" state="hidden" r:id="rId12"/>
    <sheet name="HIDDEN features" sheetId="13" state="hidden" r:id="rId13"/>
    <sheet name="HIDDEN import" sheetId="12" state="hidden" r:id="rId14"/>
    <sheet name="MD" sheetId="10" state="hidden" r:id="rId15"/>
  </sheets>
  <definedNames>
    <definedName name="_xlnm._FilterDatabase" localSheetId="9" hidden="1">'Charging Station Testcases'!$A$1:$J$445</definedName>
    <definedName name="_xlnm._FilterDatabase" localSheetId="11" hidden="1">'HIDDEN calc sheet'!$A$1:$F$89</definedName>
    <definedName name="_xlnm._FilterDatabase" localSheetId="13" hidden="1">'HIDDEN import'!$B$1:$G$446</definedName>
    <definedName name="Additional_questions">'Additional questions'!$B$2:$D$18</definedName>
    <definedName name="Authorization_options_for_local_start">'Optional features'!$B$48:$D$55</definedName>
    <definedName name="Authorization_options_for_remote_start">'Optional features'!$B$56:$D$60</definedName>
    <definedName name="Cipher_Suites">'Optional features'!$B$74:$D$74</definedName>
    <definedName name="Communication_technology">'Performance Measurement'!$B$16:$C$16</definedName>
    <definedName name="CP_Advanced_Device_Management">'Optional features'!$B$107:$D$108</definedName>
    <definedName name="CP_Advanced_Security">'Optional features'!$B$99:$D$101</definedName>
    <definedName name="CP_Advanced_User_Interface">'Optional features'!$B$119:$D$128</definedName>
    <definedName name="CP_CORE">'Optional features'!$B$3:$D$46</definedName>
    <definedName name="CP_CORE_2">'Optional features'!$B$76:$D$92</definedName>
    <definedName name="CP_ISO15118_Support">'Optional features'!$B$110:$D$113</definedName>
    <definedName name="CP_Local_Authorization_List_Management">'Optional features'!$B$115:$D$117</definedName>
    <definedName name="CP_Reservation">'Optional features'!$B$103:$D$105</definedName>
    <definedName name="CP_Smart_Charging">'Optional features'!$B$94:$D$97</definedName>
    <definedName name="Device_info">'Hardware Feature set'!$C$3:$D$7</definedName>
    <definedName name="DUT_photo">'Statement of Approval'!$B$24:$F$67</definedName>
    <definedName name="EVSE_list">'Hardware Feature set'!$F$4:$K$42</definedName>
    <definedName name="Hardware_feature_set">'Hardware Feature set'!$B$10:$D$32</definedName>
    <definedName name="Measured_performance">'Performance Measurement'!$B$10:$F$14</definedName>
    <definedName name="Metervalues">'Optional features'!$B$62:$E$68</definedName>
    <definedName name="OCPP_201_Certification">Explanation!$C$6:$D$10</definedName>
    <definedName name="Other_relevant_settings">'Other relevant settings'!$B$3:$D$45</definedName>
    <definedName name="Performance_measurement">'Performance Measurement'!$B$3:$E$7</definedName>
    <definedName name="Performed_On">'Statement of Approval'!$B$13:$C$13</definedName>
    <definedName name="Profile_Selection">'Profile selection'!$B$3:$D$11</definedName>
    <definedName name="Test_laboratory">'Statement of Approval'!$B$16:$C$21</definedName>
    <definedName name="Test_laboratory_signature">'Statement of Approval'!$E$12:$F$13</definedName>
    <definedName name="Test_laboratory_signature_image">'Statement of Approval'!$A$11:$H$22</definedName>
    <definedName name="Test_Location">'Statement of Approval'!$B$14:$C$14</definedName>
    <definedName name="Test_Report_Reference">'Statement of Approval'!$B$15:$C$15</definedName>
    <definedName name="testresults" localSheetId="7">'HIDDEN Testrun Results'!$A$1:$B$1</definedName>
    <definedName name="Vendor">'Statement of Approval'!$B$5:$C$9</definedName>
    <definedName name="Vendor_signature">'Statement of Approval'!$E$4:$F$5</definedName>
    <definedName name="Vendor_signature_image">'Statement of Approval'!$A$3:$H$10</definedName>
    <definedName name="Vendor_Specific_Settings">'Vendor Specific Settings'!$B$5:$D$28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106" i="11" l="1"/>
  <c r="D106" i="11"/>
  <c r="B105" i="11"/>
  <c r="D105" i="11"/>
  <c r="E34" i="3"/>
  <c r="D68" i="3"/>
  <c r="D67" i="3"/>
  <c r="D66" i="3"/>
  <c r="D65" i="3"/>
  <c r="C68" i="3"/>
  <c r="C67" i="3"/>
  <c r="C66" i="3"/>
  <c r="C65" i="3"/>
  <c r="C64" i="3"/>
  <c r="D64" i="3" s="1"/>
  <c r="G17" i="14"/>
  <c r="B85" i="11"/>
  <c r="B84" i="11"/>
  <c r="B34" i="11"/>
  <c r="B35" i="11"/>
  <c r="C112" i="3"/>
  <c r="C113" i="3"/>
  <c r="B104" i="11"/>
  <c r="B101" i="11"/>
  <c r="B100" i="11"/>
  <c r="B99" i="11"/>
  <c r="B98" i="11"/>
  <c r="B93" i="11"/>
  <c r="D15" i="2"/>
  <c r="D14" i="2"/>
  <c r="L5" i="2"/>
  <c r="G9" i="14"/>
  <c r="G8" i="14"/>
  <c r="G7" i="14"/>
  <c r="G6" i="14"/>
  <c r="G5" i="14"/>
  <c r="G21" i="14"/>
  <c r="G20" i="14"/>
  <c r="G19" i="14"/>
  <c r="G18" i="14"/>
  <c r="G16" i="14"/>
  <c r="G15" i="14"/>
  <c r="G14" i="14"/>
  <c r="G13" i="14"/>
  <c r="G4" i="14"/>
  <c r="G12" i="14"/>
  <c r="D74" i="3"/>
  <c r="E74" i="3" s="1"/>
  <c r="C74" i="3"/>
  <c r="I1" i="14" l="1"/>
  <c r="L6" i="2"/>
  <c r="L7" i="2"/>
  <c r="L8" i="2"/>
  <c r="L9" i="2"/>
  <c r="L10" i="2"/>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E12" i="7"/>
  <c r="D12" i="7"/>
  <c r="C12" i="7"/>
  <c r="E14" i="7" l="1"/>
  <c r="D14" i="7"/>
  <c r="C14" i="7"/>
  <c r="E13" i="7"/>
  <c r="D13" i="7"/>
  <c r="C13" i="7"/>
  <c r="E11" i="7"/>
  <c r="D11" i="7"/>
  <c r="C11" i="7"/>
  <c r="H7" i="7"/>
  <c r="H6" i="7"/>
  <c r="H5" i="7"/>
  <c r="H4" i="7"/>
  <c r="E80" i="3"/>
  <c r="F1" i="5"/>
  <c r="E7" i="5"/>
  <c r="E8" i="5"/>
  <c r="E9" i="5"/>
  <c r="E10" i="5"/>
  <c r="E11" i="5"/>
  <c r="E12" i="5"/>
  <c r="E13" i="5"/>
  <c r="E4" i="5"/>
  <c r="E5" i="5"/>
  <c r="E6" i="5"/>
  <c r="E3" i="5"/>
  <c r="E95" i="3"/>
  <c r="E128" i="3"/>
  <c r="E127" i="3"/>
  <c r="E126" i="3"/>
  <c r="E125" i="3"/>
  <c r="E123" i="3"/>
  <c r="E122" i="3"/>
  <c r="E121" i="3"/>
  <c r="E117" i="3"/>
  <c r="E116" i="3"/>
  <c r="E113" i="3"/>
  <c r="E111" i="3"/>
  <c r="E108" i="3"/>
  <c r="E105" i="3"/>
  <c r="E104" i="3"/>
  <c r="E101" i="3"/>
  <c r="E100" i="3"/>
  <c r="E97" i="3"/>
  <c r="E96" i="3"/>
  <c r="F60" i="3"/>
  <c r="F59" i="3"/>
  <c r="F58" i="3"/>
  <c r="F57" i="3"/>
  <c r="F54" i="3"/>
  <c r="F53" i="3"/>
  <c r="F52" i="3"/>
  <c r="F51" i="3"/>
  <c r="F50" i="3"/>
  <c r="F49" i="3"/>
  <c r="E92" i="3"/>
  <c r="E91" i="3"/>
  <c r="E90" i="3"/>
  <c r="E89" i="3"/>
  <c r="E88" i="3"/>
  <c r="E87" i="3"/>
  <c r="E86" i="3"/>
  <c r="E85" i="3"/>
  <c r="E84" i="3"/>
  <c r="E83" i="3"/>
  <c r="E81" i="3"/>
  <c r="D80" i="3"/>
  <c r="E82" i="3"/>
  <c r="E79" i="3"/>
  <c r="E78" i="3"/>
  <c r="E77" i="3"/>
  <c r="E46" i="3"/>
  <c r="E45" i="3"/>
  <c r="E44" i="3"/>
  <c r="E43" i="3"/>
  <c r="E42" i="3"/>
  <c r="E41" i="3"/>
  <c r="E40" i="3"/>
  <c r="E38" i="3"/>
  <c r="E37" i="3"/>
  <c r="E33" i="3"/>
  <c r="E36" i="3"/>
  <c r="E35" i="3"/>
  <c r="E32" i="3"/>
  <c r="E31" i="3"/>
  <c r="E30" i="3"/>
  <c r="E29" i="3"/>
  <c r="E28" i="3"/>
  <c r="E27" i="3"/>
  <c r="E19" i="3"/>
  <c r="E12" i="3"/>
  <c r="E14" i="3"/>
  <c r="E11" i="3"/>
  <c r="E10" i="3"/>
  <c r="E9" i="3"/>
  <c r="E7" i="3"/>
  <c r="E6" i="3"/>
  <c r="E5" i="3"/>
  <c r="E11" i="8"/>
  <c r="E10" i="8"/>
  <c r="E9" i="8"/>
  <c r="E8" i="8"/>
  <c r="E7" i="8"/>
  <c r="E6" i="8"/>
  <c r="E5" i="8"/>
  <c r="E4" i="8"/>
  <c r="E20" i="2"/>
  <c r="E21" i="2"/>
  <c r="E7" i="2"/>
  <c r="E6" i="2"/>
  <c r="E5" i="2"/>
  <c r="E4" i="2"/>
  <c r="E3" i="2"/>
  <c r="E124" i="3"/>
  <c r="E120" i="3"/>
  <c r="F1" i="6"/>
  <c r="N1" i="2" l="1"/>
  <c r="I1" i="7"/>
  <c r="F56" i="3"/>
  <c r="D16" i="2"/>
  <c r="D18" i="2"/>
  <c r="D17" i="2"/>
  <c r="D19" i="2"/>
  <c r="D12" i="2"/>
  <c r="D13" i="2"/>
  <c r="B97" i="11" l="1"/>
  <c r="B96" i="11"/>
  <c r="B95" i="11"/>
  <c r="B94" i="11"/>
  <c r="E98" i="1" l="1"/>
  <c r="A3" i="12"/>
  <c r="A4" i="12"/>
  <c r="A5" i="12"/>
  <c r="A6" i="12"/>
  <c r="A7" i="12"/>
  <c r="A8" i="12"/>
  <c r="A9" i="12"/>
  <c r="A10" i="12"/>
  <c r="A11" i="12"/>
  <c r="A12" i="12"/>
  <c r="A13" i="12"/>
  <c r="A14" i="12"/>
  <c r="A15" i="12"/>
  <c r="A16" i="12"/>
  <c r="A17" i="12"/>
  <c r="A18" i="12"/>
  <c r="A19" i="12"/>
  <c r="A20" i="12"/>
  <c r="A21" i="12"/>
  <c r="A22" i="12"/>
  <c r="A23" i="12"/>
  <c r="A24" i="12"/>
  <c r="A25" i="12"/>
  <c r="A26" i="12"/>
  <c r="A27" i="12"/>
  <c r="A28" i="12"/>
  <c r="A29" i="12"/>
  <c r="A30" i="12"/>
  <c r="A31" i="12"/>
  <c r="A32" i="12"/>
  <c r="A33" i="12"/>
  <c r="A34" i="12"/>
  <c r="A35" i="12"/>
  <c r="A36" i="12"/>
  <c r="A37" i="12"/>
  <c r="A38" i="12"/>
  <c r="A39" i="12"/>
  <c r="A40" i="12"/>
  <c r="A41" i="12"/>
  <c r="A42" i="12"/>
  <c r="A43" i="12"/>
  <c r="A44" i="12"/>
  <c r="A45" i="12"/>
  <c r="A46" i="12"/>
  <c r="A47" i="12"/>
  <c r="A48" i="12"/>
  <c r="A49" i="12"/>
  <c r="A50" i="12"/>
  <c r="A51" i="12"/>
  <c r="A52" i="12"/>
  <c r="A53" i="12"/>
  <c r="A54" i="12"/>
  <c r="A55" i="12"/>
  <c r="A56" i="12"/>
  <c r="A57" i="12"/>
  <c r="A58" i="12"/>
  <c r="A59" i="12"/>
  <c r="A60" i="12"/>
  <c r="A61" i="12"/>
  <c r="A62" i="12"/>
  <c r="A63" i="12"/>
  <c r="A64" i="12"/>
  <c r="A65" i="12"/>
  <c r="A66" i="12"/>
  <c r="A67" i="12"/>
  <c r="A68" i="12"/>
  <c r="A69" i="12"/>
  <c r="A70" i="12"/>
  <c r="A71" i="12"/>
  <c r="A72" i="12"/>
  <c r="A73" i="12"/>
  <c r="A74" i="12"/>
  <c r="A75" i="12"/>
  <c r="A76" i="12"/>
  <c r="A77" i="12"/>
  <c r="A78" i="12"/>
  <c r="A79" i="12"/>
  <c r="A80" i="12"/>
  <c r="A81" i="12"/>
  <c r="A82" i="12"/>
  <c r="A83" i="12"/>
  <c r="A84" i="12"/>
  <c r="A85" i="12"/>
  <c r="A86" i="12"/>
  <c r="A87" i="12"/>
  <c r="A88" i="12"/>
  <c r="A89" i="12"/>
  <c r="A90" i="12"/>
  <c r="A91" i="12"/>
  <c r="A92" i="12"/>
  <c r="A93" i="12"/>
  <c r="A94" i="12"/>
  <c r="A95" i="12"/>
  <c r="A96" i="12"/>
  <c r="A97" i="12"/>
  <c r="A98" i="12"/>
  <c r="A99" i="12"/>
  <c r="A100" i="12"/>
  <c r="A101" i="12"/>
  <c r="A102" i="12"/>
  <c r="A103" i="12"/>
  <c r="A104" i="12"/>
  <c r="A105" i="12"/>
  <c r="A106" i="12"/>
  <c r="A107" i="12"/>
  <c r="A108" i="12"/>
  <c r="A109" i="12"/>
  <c r="A110" i="12"/>
  <c r="A111" i="12"/>
  <c r="A112" i="12"/>
  <c r="A113" i="12"/>
  <c r="A114" i="12"/>
  <c r="A115" i="12"/>
  <c r="A116" i="12"/>
  <c r="A117" i="12"/>
  <c r="A118" i="12"/>
  <c r="A119" i="12"/>
  <c r="A120" i="12"/>
  <c r="A121" i="12"/>
  <c r="A122" i="12"/>
  <c r="A123" i="12"/>
  <c r="A124" i="12"/>
  <c r="A125" i="12"/>
  <c r="A126" i="12"/>
  <c r="A127" i="12"/>
  <c r="A128" i="12"/>
  <c r="A129" i="12"/>
  <c r="A130" i="12"/>
  <c r="A131" i="12"/>
  <c r="A132" i="12"/>
  <c r="A133" i="12"/>
  <c r="A134" i="12"/>
  <c r="A135" i="12"/>
  <c r="A136" i="12"/>
  <c r="A137" i="12"/>
  <c r="A138" i="12"/>
  <c r="A139" i="12"/>
  <c r="A140" i="12"/>
  <c r="A141" i="12"/>
  <c r="A142" i="12"/>
  <c r="A143" i="12"/>
  <c r="A144" i="12"/>
  <c r="A145" i="12"/>
  <c r="A146" i="12"/>
  <c r="A147" i="12"/>
  <c r="A148" i="12"/>
  <c r="A149" i="12"/>
  <c r="A150" i="12"/>
  <c r="A151" i="12"/>
  <c r="A152" i="12"/>
  <c r="A153" i="12"/>
  <c r="A154" i="12"/>
  <c r="A155" i="12"/>
  <c r="A156" i="12"/>
  <c r="A157" i="12"/>
  <c r="A158" i="12"/>
  <c r="A159" i="12"/>
  <c r="A160" i="12"/>
  <c r="A161" i="12"/>
  <c r="A162" i="12"/>
  <c r="A163" i="12"/>
  <c r="A164" i="12"/>
  <c r="A165" i="12"/>
  <c r="A166" i="12"/>
  <c r="A167" i="12"/>
  <c r="A168" i="12"/>
  <c r="A169" i="12"/>
  <c r="A170" i="12"/>
  <c r="A171" i="12"/>
  <c r="A172" i="12"/>
  <c r="A173" i="12"/>
  <c r="A174" i="12"/>
  <c r="A175" i="12"/>
  <c r="A176" i="12"/>
  <c r="A177" i="12"/>
  <c r="A178" i="12"/>
  <c r="A179" i="12"/>
  <c r="A180" i="12"/>
  <c r="A181" i="12"/>
  <c r="A182" i="12"/>
  <c r="A183" i="12"/>
  <c r="A184" i="12"/>
  <c r="A185" i="12"/>
  <c r="A186" i="12"/>
  <c r="A187" i="12"/>
  <c r="A188" i="12"/>
  <c r="A189" i="12"/>
  <c r="A190" i="12"/>
  <c r="A191" i="12"/>
  <c r="A192" i="12"/>
  <c r="A193" i="12"/>
  <c r="A194" i="12"/>
  <c r="A195" i="12"/>
  <c r="A196" i="12"/>
  <c r="A197" i="12"/>
  <c r="A198" i="12"/>
  <c r="A199" i="12"/>
  <c r="A200" i="12"/>
  <c r="A201" i="12"/>
  <c r="A202" i="12"/>
  <c r="A203" i="12"/>
  <c r="A204" i="12"/>
  <c r="A205" i="12"/>
  <c r="A206" i="12"/>
  <c r="A207" i="12"/>
  <c r="A208" i="12"/>
  <c r="A209" i="12"/>
  <c r="A210" i="12"/>
  <c r="A211" i="12"/>
  <c r="A212" i="12"/>
  <c r="A213" i="12"/>
  <c r="A214" i="12"/>
  <c r="A215" i="12"/>
  <c r="A216" i="12"/>
  <c r="A217" i="12"/>
  <c r="A218" i="12"/>
  <c r="A219" i="12"/>
  <c r="A220" i="12"/>
  <c r="A221" i="12"/>
  <c r="A222" i="12"/>
  <c r="A223" i="12"/>
  <c r="A224" i="12"/>
  <c r="A225" i="12"/>
  <c r="A226" i="12"/>
  <c r="A227" i="12"/>
  <c r="A228" i="12"/>
  <c r="A229" i="12"/>
  <c r="A230" i="12"/>
  <c r="A231" i="12"/>
  <c r="A232" i="12"/>
  <c r="A233" i="12"/>
  <c r="A234" i="12"/>
  <c r="A235" i="12"/>
  <c r="A236" i="12"/>
  <c r="A237" i="12"/>
  <c r="A238" i="12"/>
  <c r="A239" i="12"/>
  <c r="A240" i="12"/>
  <c r="A241" i="12"/>
  <c r="A242" i="12"/>
  <c r="A243" i="12"/>
  <c r="A244" i="12"/>
  <c r="A245" i="12"/>
  <c r="A246" i="12"/>
  <c r="A247" i="12"/>
  <c r="A248" i="12"/>
  <c r="A249" i="12"/>
  <c r="A250" i="12"/>
  <c r="A251" i="12"/>
  <c r="A252" i="12"/>
  <c r="A253" i="12"/>
  <c r="A254" i="12"/>
  <c r="A255" i="12"/>
  <c r="A256" i="12"/>
  <c r="A257" i="12"/>
  <c r="A258" i="12"/>
  <c r="A259" i="12"/>
  <c r="A260" i="12"/>
  <c r="A261" i="12"/>
  <c r="A262" i="12"/>
  <c r="A263" i="12"/>
  <c r="A264" i="12"/>
  <c r="A265" i="12"/>
  <c r="A266" i="12"/>
  <c r="A267" i="12"/>
  <c r="A268" i="12"/>
  <c r="A269" i="12"/>
  <c r="A270" i="12"/>
  <c r="A271" i="12"/>
  <c r="A272" i="12"/>
  <c r="A273" i="12"/>
  <c r="A274" i="12"/>
  <c r="A275" i="12"/>
  <c r="A276" i="12"/>
  <c r="A277" i="12"/>
  <c r="A278" i="12"/>
  <c r="A279" i="12"/>
  <c r="A280" i="12"/>
  <c r="A281" i="12"/>
  <c r="A282" i="12"/>
  <c r="A283" i="12"/>
  <c r="A284" i="12"/>
  <c r="A285" i="12"/>
  <c r="A286" i="12"/>
  <c r="A287" i="12"/>
  <c r="A288" i="12"/>
  <c r="A289" i="12"/>
  <c r="A290" i="12"/>
  <c r="A291" i="12"/>
  <c r="A292" i="12"/>
  <c r="A293" i="12"/>
  <c r="A294" i="12"/>
  <c r="A295" i="12"/>
  <c r="A296" i="12"/>
  <c r="A297" i="12"/>
  <c r="A298" i="12"/>
  <c r="A299" i="12"/>
  <c r="A300" i="12"/>
  <c r="A301" i="12"/>
  <c r="A302" i="12"/>
  <c r="A303" i="12"/>
  <c r="A304" i="12"/>
  <c r="A305" i="12"/>
  <c r="A306" i="12"/>
  <c r="A307" i="12"/>
  <c r="A308" i="12"/>
  <c r="A309" i="12"/>
  <c r="A310" i="12"/>
  <c r="A311" i="12"/>
  <c r="A312" i="12"/>
  <c r="A313" i="12"/>
  <c r="A314" i="12"/>
  <c r="A315" i="12"/>
  <c r="A316" i="12"/>
  <c r="A317" i="12"/>
  <c r="A318" i="12"/>
  <c r="A319" i="12"/>
  <c r="A320" i="12"/>
  <c r="A321" i="12"/>
  <c r="A322" i="12"/>
  <c r="A323" i="12"/>
  <c r="A324" i="12"/>
  <c r="A325" i="12"/>
  <c r="A326" i="12"/>
  <c r="A327" i="12"/>
  <c r="A328" i="12"/>
  <c r="A329" i="12"/>
  <c r="A330" i="12"/>
  <c r="A331" i="12"/>
  <c r="A332" i="12"/>
  <c r="A333" i="12"/>
  <c r="A334" i="12"/>
  <c r="A335" i="12"/>
  <c r="A336" i="12"/>
  <c r="A337" i="12"/>
  <c r="A338" i="12"/>
  <c r="A339" i="12"/>
  <c r="A340" i="12"/>
  <c r="A341" i="12"/>
  <c r="A342" i="12"/>
  <c r="A343" i="12"/>
  <c r="A344" i="12"/>
  <c r="A345" i="12"/>
  <c r="A346" i="12"/>
  <c r="A347" i="12"/>
  <c r="A348" i="12"/>
  <c r="A349" i="12"/>
  <c r="A350" i="12"/>
  <c r="A351" i="12"/>
  <c r="A352" i="12"/>
  <c r="A353" i="12"/>
  <c r="A354" i="12"/>
  <c r="A355" i="12"/>
  <c r="A356" i="12"/>
  <c r="A357" i="12"/>
  <c r="A358" i="12"/>
  <c r="A359" i="12"/>
  <c r="A360" i="12"/>
  <c r="A361" i="12"/>
  <c r="A362" i="12"/>
  <c r="A363" i="12"/>
  <c r="A364" i="12"/>
  <c r="A365" i="12"/>
  <c r="A366" i="12"/>
  <c r="A367" i="12"/>
  <c r="A368" i="12"/>
  <c r="A369" i="12"/>
  <c r="A370" i="12"/>
  <c r="A371" i="12"/>
  <c r="A372" i="12"/>
  <c r="A373" i="12"/>
  <c r="A374" i="12"/>
  <c r="A375" i="12"/>
  <c r="A376" i="12"/>
  <c r="A377" i="12"/>
  <c r="A378" i="12"/>
  <c r="A379" i="12"/>
  <c r="A380" i="12"/>
  <c r="A381" i="12"/>
  <c r="A382" i="12"/>
  <c r="A383" i="12"/>
  <c r="A384" i="12"/>
  <c r="A385" i="12"/>
  <c r="A386" i="12"/>
  <c r="A387" i="12"/>
  <c r="A388" i="12"/>
  <c r="A389" i="12"/>
  <c r="A390" i="12"/>
  <c r="A391" i="12"/>
  <c r="A392" i="12"/>
  <c r="A393" i="12"/>
  <c r="A394" i="12"/>
  <c r="A395" i="12"/>
  <c r="A396" i="12"/>
  <c r="A397" i="12"/>
  <c r="A398" i="12"/>
  <c r="A399" i="12"/>
  <c r="A400" i="12"/>
  <c r="A401" i="12"/>
  <c r="A402" i="12"/>
  <c r="A403" i="12"/>
  <c r="A404" i="12"/>
  <c r="A405" i="12"/>
  <c r="A406" i="12"/>
  <c r="A407" i="12"/>
  <c r="A408" i="12"/>
  <c r="A409" i="12"/>
  <c r="A410" i="12"/>
  <c r="A411" i="12"/>
  <c r="A412" i="12"/>
  <c r="A413" i="12"/>
  <c r="A414" i="12"/>
  <c r="A415" i="12"/>
  <c r="A416" i="12"/>
  <c r="A417" i="12"/>
  <c r="A418" i="12"/>
  <c r="A419" i="12"/>
  <c r="A420" i="12"/>
  <c r="A421" i="12"/>
  <c r="A422" i="12"/>
  <c r="A423" i="12"/>
  <c r="A424" i="12"/>
  <c r="A425" i="12"/>
  <c r="A426" i="12"/>
  <c r="A427" i="12"/>
  <c r="A428" i="12"/>
  <c r="A429" i="12"/>
  <c r="A430" i="12"/>
  <c r="A431" i="12"/>
  <c r="A432" i="12"/>
  <c r="A433" i="12"/>
  <c r="A434" i="12"/>
  <c r="A435" i="12"/>
  <c r="A436" i="12"/>
  <c r="A437" i="12"/>
  <c r="A438" i="12"/>
  <c r="A439" i="12"/>
  <c r="A440" i="12"/>
  <c r="A441" i="12"/>
  <c r="A442" i="12"/>
  <c r="A443" i="12"/>
  <c r="A444" i="12"/>
  <c r="A445" i="12"/>
  <c r="A2" i="12"/>
  <c r="A2" i="1"/>
  <c r="A3" i="1"/>
  <c r="G3" i="1" s="1"/>
  <c r="A4" i="1"/>
  <c r="G4" i="1" s="1"/>
  <c r="A5" i="1"/>
  <c r="G5" i="1" s="1"/>
  <c r="A6" i="1"/>
  <c r="G6" i="1" s="1"/>
  <c r="A7" i="1"/>
  <c r="G7" i="1" s="1"/>
  <c r="A8" i="1"/>
  <c r="G8" i="1" s="1"/>
  <c r="A9" i="1"/>
  <c r="G9" i="1" s="1"/>
  <c r="A10" i="1"/>
  <c r="G10" i="1" s="1"/>
  <c r="A11" i="1"/>
  <c r="G11" i="1" s="1"/>
  <c r="A12" i="1"/>
  <c r="G12" i="1" s="1"/>
  <c r="A13" i="1"/>
  <c r="G13" i="1" s="1"/>
  <c r="A14" i="1"/>
  <c r="G14" i="1" s="1"/>
  <c r="A15" i="1"/>
  <c r="G15" i="1" s="1"/>
  <c r="A16" i="1"/>
  <c r="G16" i="1" s="1"/>
  <c r="A17" i="1"/>
  <c r="G17" i="1" s="1"/>
  <c r="A18" i="1"/>
  <c r="G18" i="1" s="1"/>
  <c r="A19" i="1"/>
  <c r="G19" i="1" s="1"/>
  <c r="A20" i="1"/>
  <c r="G20" i="1" s="1"/>
  <c r="A21" i="1"/>
  <c r="G21" i="1" s="1"/>
  <c r="A22" i="1"/>
  <c r="G22" i="1" s="1"/>
  <c r="A23" i="1"/>
  <c r="G23" i="1" s="1"/>
  <c r="A24" i="1"/>
  <c r="G24" i="1" s="1"/>
  <c r="A25" i="1"/>
  <c r="G25" i="1" s="1"/>
  <c r="A26" i="1"/>
  <c r="G26" i="1" s="1"/>
  <c r="A27" i="1"/>
  <c r="G27" i="1" s="1"/>
  <c r="A28" i="1"/>
  <c r="G28" i="1" s="1"/>
  <c r="A29" i="1"/>
  <c r="G29" i="1" s="1"/>
  <c r="A30" i="1"/>
  <c r="G30" i="1" s="1"/>
  <c r="A31" i="1"/>
  <c r="G31" i="1" s="1"/>
  <c r="A32" i="1"/>
  <c r="G32" i="1" s="1"/>
  <c r="A33" i="1"/>
  <c r="G33" i="1" s="1"/>
  <c r="A34" i="1"/>
  <c r="G34" i="1" s="1"/>
  <c r="A35" i="1"/>
  <c r="G35" i="1" s="1"/>
  <c r="A36" i="1"/>
  <c r="G36" i="1" s="1"/>
  <c r="A37" i="1"/>
  <c r="G37" i="1" s="1"/>
  <c r="A38" i="1"/>
  <c r="G38" i="1" s="1"/>
  <c r="A39" i="1"/>
  <c r="G39" i="1" s="1"/>
  <c r="A40" i="1"/>
  <c r="G40" i="1" s="1"/>
  <c r="A41" i="1"/>
  <c r="G41" i="1" s="1"/>
  <c r="A42" i="1"/>
  <c r="G42" i="1" s="1"/>
  <c r="A43" i="1"/>
  <c r="G43" i="1" s="1"/>
  <c r="A44" i="1"/>
  <c r="G44" i="1" s="1"/>
  <c r="A45" i="1"/>
  <c r="G45" i="1" s="1"/>
  <c r="A46" i="1"/>
  <c r="G46" i="1" s="1"/>
  <c r="A47" i="1"/>
  <c r="G47" i="1" s="1"/>
  <c r="A48" i="1"/>
  <c r="G48" i="1" s="1"/>
  <c r="A49" i="1"/>
  <c r="G49" i="1" s="1"/>
  <c r="A50" i="1"/>
  <c r="G50" i="1" s="1"/>
  <c r="A51" i="1"/>
  <c r="G51" i="1" s="1"/>
  <c r="A52" i="1"/>
  <c r="G52" i="1" s="1"/>
  <c r="A53" i="1"/>
  <c r="G53" i="1" s="1"/>
  <c r="A54" i="1"/>
  <c r="G54" i="1" s="1"/>
  <c r="A55" i="1"/>
  <c r="G55" i="1" s="1"/>
  <c r="A56" i="1"/>
  <c r="G56" i="1" s="1"/>
  <c r="A57" i="1"/>
  <c r="G57" i="1" s="1"/>
  <c r="A58" i="1"/>
  <c r="G58" i="1" s="1"/>
  <c r="A59" i="1"/>
  <c r="G59" i="1" s="1"/>
  <c r="A60" i="1"/>
  <c r="G60" i="1" s="1"/>
  <c r="A61" i="1"/>
  <c r="G61" i="1" s="1"/>
  <c r="A62" i="1"/>
  <c r="G62" i="1" s="1"/>
  <c r="A63" i="1"/>
  <c r="G63" i="1" s="1"/>
  <c r="A64" i="1"/>
  <c r="G64" i="1" s="1"/>
  <c r="A65" i="1"/>
  <c r="G65" i="1" s="1"/>
  <c r="A66" i="1"/>
  <c r="G66" i="1" s="1"/>
  <c r="A67" i="1"/>
  <c r="G67" i="1" s="1"/>
  <c r="A68" i="1"/>
  <c r="G68" i="1" s="1"/>
  <c r="A69" i="1"/>
  <c r="G69" i="1" s="1"/>
  <c r="A70" i="1"/>
  <c r="G70" i="1" s="1"/>
  <c r="A71" i="1"/>
  <c r="G71" i="1" s="1"/>
  <c r="A72" i="1"/>
  <c r="G72" i="1" s="1"/>
  <c r="A73" i="1"/>
  <c r="G73" i="1" s="1"/>
  <c r="A74" i="1"/>
  <c r="G74" i="1" s="1"/>
  <c r="A75" i="1"/>
  <c r="G75" i="1" s="1"/>
  <c r="A76" i="1"/>
  <c r="G76" i="1" s="1"/>
  <c r="A77" i="1"/>
  <c r="G77" i="1" s="1"/>
  <c r="A78" i="1"/>
  <c r="G78" i="1" s="1"/>
  <c r="A79" i="1"/>
  <c r="G79" i="1" s="1"/>
  <c r="A80" i="1"/>
  <c r="G80" i="1" s="1"/>
  <c r="A81" i="1"/>
  <c r="G81" i="1" s="1"/>
  <c r="A82" i="1"/>
  <c r="G82" i="1" s="1"/>
  <c r="A83" i="1"/>
  <c r="G83" i="1" s="1"/>
  <c r="A84" i="1"/>
  <c r="G84" i="1" s="1"/>
  <c r="A85" i="1"/>
  <c r="G85" i="1" s="1"/>
  <c r="A86" i="1"/>
  <c r="G86" i="1" s="1"/>
  <c r="A87" i="1"/>
  <c r="G87" i="1" s="1"/>
  <c r="A88" i="1"/>
  <c r="G88" i="1" s="1"/>
  <c r="A89" i="1"/>
  <c r="G89" i="1" s="1"/>
  <c r="A90" i="1"/>
  <c r="G90" i="1" s="1"/>
  <c r="A91" i="1"/>
  <c r="G91" i="1" s="1"/>
  <c r="A92" i="1"/>
  <c r="G92" i="1" s="1"/>
  <c r="A93" i="1"/>
  <c r="G93" i="1" s="1"/>
  <c r="A94" i="1"/>
  <c r="G94" i="1" s="1"/>
  <c r="A95" i="1"/>
  <c r="G95" i="1" s="1"/>
  <c r="A96" i="1"/>
  <c r="G96" i="1" s="1"/>
  <c r="A97" i="1"/>
  <c r="G97" i="1" s="1"/>
  <c r="A98" i="1"/>
  <c r="A99" i="1"/>
  <c r="G99" i="1" s="1"/>
  <c r="A100" i="1"/>
  <c r="G100" i="1" s="1"/>
  <c r="A101" i="1"/>
  <c r="G101" i="1" s="1"/>
  <c r="A102" i="1"/>
  <c r="G102" i="1" s="1"/>
  <c r="A103" i="1"/>
  <c r="G103" i="1" s="1"/>
  <c r="A104" i="1"/>
  <c r="G104" i="1" s="1"/>
  <c r="A105" i="1"/>
  <c r="G105" i="1" s="1"/>
  <c r="A106" i="1"/>
  <c r="G106" i="1" s="1"/>
  <c r="A107" i="1"/>
  <c r="G107" i="1" s="1"/>
  <c r="A108" i="1"/>
  <c r="G108" i="1" s="1"/>
  <c r="A109" i="1"/>
  <c r="G109" i="1" s="1"/>
  <c r="A110" i="1"/>
  <c r="G110" i="1" s="1"/>
  <c r="A111" i="1"/>
  <c r="G111" i="1" s="1"/>
  <c r="A112" i="1"/>
  <c r="G112" i="1" s="1"/>
  <c r="A113" i="1"/>
  <c r="G113" i="1" s="1"/>
  <c r="A114" i="1"/>
  <c r="G114" i="1" s="1"/>
  <c r="A115" i="1"/>
  <c r="G115" i="1" s="1"/>
  <c r="A116" i="1"/>
  <c r="G116" i="1" s="1"/>
  <c r="A117" i="1"/>
  <c r="G117" i="1" s="1"/>
  <c r="A118" i="1"/>
  <c r="G118" i="1" s="1"/>
  <c r="A119" i="1"/>
  <c r="G119" i="1" s="1"/>
  <c r="A120" i="1"/>
  <c r="G120" i="1" s="1"/>
  <c r="A121" i="1"/>
  <c r="G121" i="1" s="1"/>
  <c r="A122" i="1"/>
  <c r="G122" i="1" s="1"/>
  <c r="A123" i="1"/>
  <c r="G123" i="1" s="1"/>
  <c r="A124" i="1"/>
  <c r="G124" i="1" s="1"/>
  <c r="A125" i="1"/>
  <c r="G125" i="1" s="1"/>
  <c r="A126" i="1"/>
  <c r="G126" i="1" s="1"/>
  <c r="A127" i="1"/>
  <c r="G127" i="1" s="1"/>
  <c r="A128" i="1"/>
  <c r="G128" i="1" s="1"/>
  <c r="A129" i="1"/>
  <c r="G129" i="1" s="1"/>
  <c r="A130" i="1"/>
  <c r="G130" i="1" s="1"/>
  <c r="A131" i="1"/>
  <c r="G131" i="1" s="1"/>
  <c r="A132" i="1"/>
  <c r="G132" i="1" s="1"/>
  <c r="A133" i="1"/>
  <c r="G133" i="1" s="1"/>
  <c r="A134" i="1"/>
  <c r="G134" i="1" s="1"/>
  <c r="A135" i="1"/>
  <c r="G135" i="1" s="1"/>
  <c r="A136" i="1"/>
  <c r="G136" i="1" s="1"/>
  <c r="A137" i="1"/>
  <c r="G137" i="1" s="1"/>
  <c r="A138" i="1"/>
  <c r="G138" i="1" s="1"/>
  <c r="A139" i="1"/>
  <c r="G139" i="1" s="1"/>
  <c r="A140" i="1"/>
  <c r="G140" i="1" s="1"/>
  <c r="A141" i="1"/>
  <c r="G141" i="1" s="1"/>
  <c r="A142" i="1"/>
  <c r="G142" i="1" s="1"/>
  <c r="A143" i="1"/>
  <c r="G143" i="1" s="1"/>
  <c r="A144" i="1"/>
  <c r="G144" i="1" s="1"/>
  <c r="A145" i="1"/>
  <c r="G145" i="1" s="1"/>
  <c r="A146" i="1"/>
  <c r="G146" i="1" s="1"/>
  <c r="A147" i="1"/>
  <c r="G147" i="1" s="1"/>
  <c r="A148" i="1"/>
  <c r="G148" i="1" s="1"/>
  <c r="A149" i="1"/>
  <c r="G149" i="1" s="1"/>
  <c r="A150" i="1"/>
  <c r="G150" i="1" s="1"/>
  <c r="A151" i="1"/>
  <c r="G151" i="1" s="1"/>
  <c r="A152" i="1"/>
  <c r="G152" i="1" s="1"/>
  <c r="A153" i="1"/>
  <c r="G153" i="1" s="1"/>
  <c r="A154" i="1"/>
  <c r="G154" i="1" s="1"/>
  <c r="A155" i="1"/>
  <c r="G155" i="1" s="1"/>
  <c r="A156" i="1"/>
  <c r="G156" i="1" s="1"/>
  <c r="A157" i="1"/>
  <c r="G157" i="1" s="1"/>
  <c r="A158" i="1"/>
  <c r="G158" i="1" s="1"/>
  <c r="A159" i="1"/>
  <c r="G159" i="1" s="1"/>
  <c r="A160" i="1"/>
  <c r="G160" i="1" s="1"/>
  <c r="A161" i="1"/>
  <c r="G161" i="1" s="1"/>
  <c r="A162" i="1"/>
  <c r="G162" i="1" s="1"/>
  <c r="A163" i="1"/>
  <c r="G163" i="1" s="1"/>
  <c r="A164" i="1"/>
  <c r="G164" i="1" s="1"/>
  <c r="A165" i="1"/>
  <c r="G165" i="1" s="1"/>
  <c r="A166" i="1"/>
  <c r="G166" i="1" s="1"/>
  <c r="A167" i="1"/>
  <c r="G167" i="1" s="1"/>
  <c r="A168" i="1"/>
  <c r="G168" i="1" s="1"/>
  <c r="A169" i="1"/>
  <c r="G169" i="1" s="1"/>
  <c r="A170" i="1"/>
  <c r="G170" i="1" s="1"/>
  <c r="A171" i="1"/>
  <c r="G171" i="1" s="1"/>
  <c r="A172" i="1"/>
  <c r="G172" i="1" s="1"/>
  <c r="A173" i="1"/>
  <c r="G173" i="1" s="1"/>
  <c r="A174" i="1"/>
  <c r="G174" i="1" s="1"/>
  <c r="A175" i="1"/>
  <c r="G175" i="1" s="1"/>
  <c r="A176" i="1"/>
  <c r="G176" i="1" s="1"/>
  <c r="A177" i="1"/>
  <c r="G177" i="1" s="1"/>
  <c r="A178" i="1"/>
  <c r="G178" i="1" s="1"/>
  <c r="A179" i="1"/>
  <c r="G179" i="1" s="1"/>
  <c r="A180" i="1"/>
  <c r="G180" i="1" s="1"/>
  <c r="A181" i="1"/>
  <c r="G181" i="1" s="1"/>
  <c r="A182" i="1"/>
  <c r="G182" i="1" s="1"/>
  <c r="A183" i="1"/>
  <c r="G183" i="1" s="1"/>
  <c r="A184" i="1"/>
  <c r="G184" i="1" s="1"/>
  <c r="A185" i="1"/>
  <c r="G185" i="1" s="1"/>
  <c r="A186" i="1"/>
  <c r="G186" i="1" s="1"/>
  <c r="A187" i="1"/>
  <c r="G187" i="1" s="1"/>
  <c r="A188" i="1"/>
  <c r="G188" i="1" s="1"/>
  <c r="A189" i="1"/>
  <c r="G189" i="1" s="1"/>
  <c r="A190" i="1"/>
  <c r="G190" i="1" s="1"/>
  <c r="A191" i="1"/>
  <c r="G191" i="1" s="1"/>
  <c r="A192" i="1"/>
  <c r="G192" i="1" s="1"/>
  <c r="A193" i="1"/>
  <c r="G193" i="1" s="1"/>
  <c r="A194" i="1"/>
  <c r="G194" i="1" s="1"/>
  <c r="A195" i="1"/>
  <c r="G195" i="1" s="1"/>
  <c r="A196" i="1"/>
  <c r="G196" i="1" s="1"/>
  <c r="A197" i="1"/>
  <c r="G197" i="1" s="1"/>
  <c r="A198" i="1"/>
  <c r="G198" i="1" s="1"/>
  <c r="A199" i="1"/>
  <c r="G199" i="1" s="1"/>
  <c r="A200" i="1"/>
  <c r="G200" i="1" s="1"/>
  <c r="A201" i="1"/>
  <c r="G201" i="1" s="1"/>
  <c r="A202" i="1"/>
  <c r="G202" i="1" s="1"/>
  <c r="A203" i="1"/>
  <c r="G203" i="1" s="1"/>
  <c r="A204" i="1"/>
  <c r="G204" i="1" s="1"/>
  <c r="A205" i="1"/>
  <c r="G205" i="1" s="1"/>
  <c r="A206" i="1"/>
  <c r="G206" i="1" s="1"/>
  <c r="A207" i="1"/>
  <c r="G207" i="1" s="1"/>
  <c r="A208" i="1"/>
  <c r="G208" i="1" s="1"/>
  <c r="A209" i="1"/>
  <c r="G209" i="1" s="1"/>
  <c r="A210" i="1"/>
  <c r="G210" i="1" s="1"/>
  <c r="A211" i="1"/>
  <c r="G211" i="1" s="1"/>
  <c r="A212" i="1"/>
  <c r="G212" i="1" s="1"/>
  <c r="A213" i="1"/>
  <c r="G213" i="1" s="1"/>
  <c r="A214" i="1"/>
  <c r="G214" i="1" s="1"/>
  <c r="A215" i="1"/>
  <c r="G215" i="1" s="1"/>
  <c r="A216" i="1"/>
  <c r="G216" i="1" s="1"/>
  <c r="A217" i="1"/>
  <c r="G217" i="1" s="1"/>
  <c r="A218" i="1"/>
  <c r="G218" i="1" s="1"/>
  <c r="A219" i="1"/>
  <c r="G219" i="1" s="1"/>
  <c r="A220" i="1"/>
  <c r="G220" i="1" s="1"/>
  <c r="A221" i="1"/>
  <c r="G221" i="1" s="1"/>
  <c r="A222" i="1"/>
  <c r="G222" i="1" s="1"/>
  <c r="A223" i="1"/>
  <c r="G223" i="1" s="1"/>
  <c r="A224" i="1"/>
  <c r="G224" i="1" s="1"/>
  <c r="A225" i="1"/>
  <c r="G225" i="1" s="1"/>
  <c r="A226" i="1"/>
  <c r="G226" i="1" s="1"/>
  <c r="A227" i="1"/>
  <c r="G227" i="1" s="1"/>
  <c r="A228" i="1"/>
  <c r="G228" i="1" s="1"/>
  <c r="A229" i="1"/>
  <c r="G229" i="1" s="1"/>
  <c r="A230" i="1"/>
  <c r="G230" i="1" s="1"/>
  <c r="A231" i="1"/>
  <c r="G231" i="1" s="1"/>
  <c r="A232" i="1"/>
  <c r="G232" i="1" s="1"/>
  <c r="A233" i="1"/>
  <c r="G233" i="1" s="1"/>
  <c r="A234" i="1"/>
  <c r="G234" i="1" s="1"/>
  <c r="A235" i="1"/>
  <c r="G235" i="1" s="1"/>
  <c r="A236" i="1"/>
  <c r="G236" i="1" s="1"/>
  <c r="A237" i="1"/>
  <c r="G237" i="1" s="1"/>
  <c r="A238" i="1"/>
  <c r="G238" i="1" s="1"/>
  <c r="A239" i="1"/>
  <c r="G239" i="1" s="1"/>
  <c r="A240" i="1"/>
  <c r="G240" i="1" s="1"/>
  <c r="A241" i="1"/>
  <c r="G241" i="1" s="1"/>
  <c r="A242" i="1"/>
  <c r="G242" i="1" s="1"/>
  <c r="A243" i="1"/>
  <c r="G243" i="1" s="1"/>
  <c r="A244" i="1"/>
  <c r="G244" i="1" s="1"/>
  <c r="A245" i="1"/>
  <c r="G245" i="1" s="1"/>
  <c r="A246" i="1"/>
  <c r="G246" i="1" s="1"/>
  <c r="A247" i="1"/>
  <c r="G247" i="1" s="1"/>
  <c r="A248" i="1"/>
  <c r="G248" i="1" s="1"/>
  <c r="A249" i="1"/>
  <c r="G249" i="1" s="1"/>
  <c r="A250" i="1"/>
  <c r="G250" i="1" s="1"/>
  <c r="A251" i="1"/>
  <c r="G251" i="1" s="1"/>
  <c r="A252" i="1"/>
  <c r="G252" i="1" s="1"/>
  <c r="A253" i="1"/>
  <c r="G253" i="1" s="1"/>
  <c r="A254" i="1"/>
  <c r="G254" i="1" s="1"/>
  <c r="A255" i="1"/>
  <c r="G255" i="1" s="1"/>
  <c r="A256" i="1"/>
  <c r="G256" i="1" s="1"/>
  <c r="A257" i="1"/>
  <c r="G257" i="1" s="1"/>
  <c r="A258" i="1"/>
  <c r="G258" i="1" s="1"/>
  <c r="A259" i="1"/>
  <c r="G259" i="1" s="1"/>
  <c r="A260" i="1"/>
  <c r="G260" i="1" s="1"/>
  <c r="A261" i="1"/>
  <c r="G261" i="1" s="1"/>
  <c r="A262" i="1"/>
  <c r="G262" i="1" s="1"/>
  <c r="A263" i="1"/>
  <c r="G263" i="1" s="1"/>
  <c r="A264" i="1"/>
  <c r="G264" i="1" s="1"/>
  <c r="A265" i="1"/>
  <c r="G265" i="1" s="1"/>
  <c r="A266" i="1"/>
  <c r="G266" i="1" s="1"/>
  <c r="A267" i="1"/>
  <c r="G267" i="1" s="1"/>
  <c r="A268" i="1"/>
  <c r="G268" i="1" s="1"/>
  <c r="A269" i="1"/>
  <c r="G269" i="1" s="1"/>
  <c r="A270" i="1"/>
  <c r="G270" i="1" s="1"/>
  <c r="A271" i="1"/>
  <c r="G271" i="1" s="1"/>
  <c r="A272" i="1"/>
  <c r="G272" i="1" s="1"/>
  <c r="A273" i="1"/>
  <c r="G273" i="1" s="1"/>
  <c r="A274" i="1"/>
  <c r="G274" i="1" s="1"/>
  <c r="A275" i="1"/>
  <c r="G275" i="1" s="1"/>
  <c r="A276" i="1"/>
  <c r="G276" i="1" s="1"/>
  <c r="A277" i="1"/>
  <c r="G277" i="1" s="1"/>
  <c r="A278" i="1"/>
  <c r="G278" i="1" s="1"/>
  <c r="A279" i="1"/>
  <c r="G279" i="1" s="1"/>
  <c r="A280" i="1"/>
  <c r="G280" i="1" s="1"/>
  <c r="A281" i="1"/>
  <c r="G281" i="1" s="1"/>
  <c r="A282" i="1"/>
  <c r="G282" i="1" s="1"/>
  <c r="A283" i="1"/>
  <c r="G283" i="1" s="1"/>
  <c r="A284" i="1"/>
  <c r="G284" i="1" s="1"/>
  <c r="A285" i="1"/>
  <c r="G285" i="1" s="1"/>
  <c r="A286" i="1"/>
  <c r="G286" i="1" s="1"/>
  <c r="A287" i="1"/>
  <c r="G287" i="1" s="1"/>
  <c r="A288" i="1"/>
  <c r="G288" i="1" s="1"/>
  <c r="A289" i="1"/>
  <c r="G289" i="1" s="1"/>
  <c r="A290" i="1"/>
  <c r="G290" i="1" s="1"/>
  <c r="A291" i="1"/>
  <c r="G291" i="1" s="1"/>
  <c r="A292" i="1"/>
  <c r="G292" i="1" s="1"/>
  <c r="A293" i="1"/>
  <c r="G293" i="1" s="1"/>
  <c r="A294" i="1"/>
  <c r="G294" i="1" s="1"/>
  <c r="A295" i="1"/>
  <c r="G295" i="1" s="1"/>
  <c r="A296" i="1"/>
  <c r="G296" i="1" s="1"/>
  <c r="A297" i="1"/>
  <c r="G297" i="1" s="1"/>
  <c r="A298" i="1"/>
  <c r="G298" i="1" s="1"/>
  <c r="A299" i="1"/>
  <c r="G299" i="1" s="1"/>
  <c r="A300" i="1"/>
  <c r="G300" i="1" s="1"/>
  <c r="A301" i="1"/>
  <c r="G301" i="1" s="1"/>
  <c r="A302" i="1"/>
  <c r="G302" i="1" s="1"/>
  <c r="A303" i="1"/>
  <c r="G303" i="1" s="1"/>
  <c r="A304" i="1"/>
  <c r="G304" i="1" s="1"/>
  <c r="A305" i="1"/>
  <c r="G305" i="1" s="1"/>
  <c r="A306" i="1"/>
  <c r="G306" i="1" s="1"/>
  <c r="A307" i="1"/>
  <c r="G307" i="1" s="1"/>
  <c r="A308" i="1"/>
  <c r="G308" i="1" s="1"/>
  <c r="A309" i="1"/>
  <c r="G309" i="1" s="1"/>
  <c r="A310" i="1"/>
  <c r="G310" i="1" s="1"/>
  <c r="A311" i="1"/>
  <c r="G311" i="1" s="1"/>
  <c r="A312" i="1"/>
  <c r="G312" i="1" s="1"/>
  <c r="A313" i="1"/>
  <c r="G313" i="1" s="1"/>
  <c r="A314" i="1"/>
  <c r="G314" i="1" s="1"/>
  <c r="A315" i="1"/>
  <c r="G315" i="1" s="1"/>
  <c r="A316" i="1"/>
  <c r="G316" i="1" s="1"/>
  <c r="A317" i="1"/>
  <c r="G317" i="1" s="1"/>
  <c r="A318" i="1"/>
  <c r="G318" i="1" s="1"/>
  <c r="A319" i="1"/>
  <c r="G319" i="1" s="1"/>
  <c r="A320" i="1"/>
  <c r="G320" i="1" s="1"/>
  <c r="A321" i="1"/>
  <c r="G321" i="1" s="1"/>
  <c r="A322" i="1"/>
  <c r="G322" i="1" s="1"/>
  <c r="A323" i="1"/>
  <c r="G323" i="1" s="1"/>
  <c r="A324" i="1"/>
  <c r="G324" i="1" s="1"/>
  <c r="A325" i="1"/>
  <c r="G325" i="1" s="1"/>
  <c r="A326" i="1"/>
  <c r="G326" i="1" s="1"/>
  <c r="A327" i="1"/>
  <c r="G327" i="1" s="1"/>
  <c r="A328" i="1"/>
  <c r="G328" i="1" s="1"/>
  <c r="A329" i="1"/>
  <c r="G329" i="1" s="1"/>
  <c r="A330" i="1"/>
  <c r="G330" i="1" s="1"/>
  <c r="A331" i="1"/>
  <c r="G331" i="1" s="1"/>
  <c r="A332" i="1"/>
  <c r="G332" i="1" s="1"/>
  <c r="A333" i="1"/>
  <c r="G333" i="1" s="1"/>
  <c r="A334" i="1"/>
  <c r="G334" i="1" s="1"/>
  <c r="A335" i="1"/>
  <c r="G335" i="1" s="1"/>
  <c r="A336" i="1"/>
  <c r="G336" i="1" s="1"/>
  <c r="A337" i="1"/>
  <c r="G337" i="1" s="1"/>
  <c r="A338" i="1"/>
  <c r="G338" i="1" s="1"/>
  <c r="A339" i="1"/>
  <c r="G339" i="1" s="1"/>
  <c r="A340" i="1"/>
  <c r="G340" i="1" s="1"/>
  <c r="A341" i="1"/>
  <c r="G341" i="1" s="1"/>
  <c r="A342" i="1"/>
  <c r="G342" i="1" s="1"/>
  <c r="A343" i="1"/>
  <c r="G343" i="1" s="1"/>
  <c r="A344" i="1"/>
  <c r="G344" i="1" s="1"/>
  <c r="A345" i="1"/>
  <c r="G345" i="1" s="1"/>
  <c r="A346" i="1"/>
  <c r="G346" i="1" s="1"/>
  <c r="A347" i="1"/>
  <c r="G347" i="1" s="1"/>
  <c r="A348" i="1"/>
  <c r="G348" i="1" s="1"/>
  <c r="A349" i="1"/>
  <c r="G349" i="1" s="1"/>
  <c r="A350" i="1"/>
  <c r="G350" i="1" s="1"/>
  <c r="A351" i="1"/>
  <c r="G351" i="1" s="1"/>
  <c r="A352" i="1"/>
  <c r="G352" i="1" s="1"/>
  <c r="A353" i="1"/>
  <c r="G353" i="1" s="1"/>
  <c r="A354" i="1"/>
  <c r="G354" i="1" s="1"/>
  <c r="A355" i="1"/>
  <c r="G355" i="1" s="1"/>
  <c r="A356" i="1"/>
  <c r="G356" i="1" s="1"/>
  <c r="A357" i="1"/>
  <c r="G357" i="1" s="1"/>
  <c r="A358" i="1"/>
  <c r="G358" i="1" s="1"/>
  <c r="A359" i="1"/>
  <c r="G359" i="1" s="1"/>
  <c r="A360" i="1"/>
  <c r="G360" i="1" s="1"/>
  <c r="A361" i="1"/>
  <c r="G361" i="1" s="1"/>
  <c r="A362" i="1"/>
  <c r="G362" i="1" s="1"/>
  <c r="A363" i="1"/>
  <c r="G363" i="1" s="1"/>
  <c r="A364" i="1"/>
  <c r="G364" i="1" s="1"/>
  <c r="A365" i="1"/>
  <c r="G365" i="1" s="1"/>
  <c r="A366" i="1"/>
  <c r="G366" i="1" s="1"/>
  <c r="A367" i="1"/>
  <c r="G367" i="1" s="1"/>
  <c r="A368" i="1"/>
  <c r="G368" i="1" s="1"/>
  <c r="A369" i="1"/>
  <c r="G369" i="1" s="1"/>
  <c r="A370" i="1"/>
  <c r="G370" i="1" s="1"/>
  <c r="A371" i="1"/>
  <c r="G371" i="1" s="1"/>
  <c r="A372" i="1"/>
  <c r="G372" i="1" s="1"/>
  <c r="A373" i="1"/>
  <c r="G373" i="1" s="1"/>
  <c r="A374" i="1"/>
  <c r="G374" i="1" s="1"/>
  <c r="A375" i="1"/>
  <c r="G375" i="1" s="1"/>
  <c r="A376" i="1"/>
  <c r="G376" i="1" s="1"/>
  <c r="A377" i="1"/>
  <c r="G377" i="1" s="1"/>
  <c r="A378" i="1"/>
  <c r="G378" i="1" s="1"/>
  <c r="A379" i="1"/>
  <c r="G379" i="1" s="1"/>
  <c r="A380" i="1"/>
  <c r="G380" i="1" s="1"/>
  <c r="A381" i="1"/>
  <c r="G381" i="1" s="1"/>
  <c r="A382" i="1"/>
  <c r="G382" i="1" s="1"/>
  <c r="A383" i="1"/>
  <c r="G383" i="1" s="1"/>
  <c r="A384" i="1"/>
  <c r="G384" i="1" s="1"/>
  <c r="A385" i="1"/>
  <c r="G385" i="1" s="1"/>
  <c r="A386" i="1"/>
  <c r="G386" i="1" s="1"/>
  <c r="A387" i="1"/>
  <c r="G387" i="1" s="1"/>
  <c r="A388" i="1"/>
  <c r="G388" i="1" s="1"/>
  <c r="A389" i="1"/>
  <c r="G389" i="1" s="1"/>
  <c r="A390" i="1"/>
  <c r="G390" i="1" s="1"/>
  <c r="A391" i="1"/>
  <c r="G391" i="1" s="1"/>
  <c r="A392" i="1"/>
  <c r="G392" i="1" s="1"/>
  <c r="A393" i="1"/>
  <c r="G393" i="1" s="1"/>
  <c r="A394" i="1"/>
  <c r="G394" i="1" s="1"/>
  <c r="A395" i="1"/>
  <c r="G395" i="1" s="1"/>
  <c r="A396" i="1"/>
  <c r="G396" i="1" s="1"/>
  <c r="A397" i="1"/>
  <c r="G397" i="1" s="1"/>
  <c r="A398" i="1"/>
  <c r="G398" i="1" s="1"/>
  <c r="A399" i="1"/>
  <c r="G399" i="1" s="1"/>
  <c r="A400" i="1"/>
  <c r="G400" i="1" s="1"/>
  <c r="A401" i="1"/>
  <c r="G401" i="1" s="1"/>
  <c r="A402" i="1"/>
  <c r="G402" i="1" s="1"/>
  <c r="A403" i="1"/>
  <c r="G403" i="1" s="1"/>
  <c r="A404" i="1"/>
  <c r="G404" i="1" s="1"/>
  <c r="A405" i="1"/>
  <c r="G405" i="1" s="1"/>
  <c r="A406" i="1"/>
  <c r="G406" i="1" s="1"/>
  <c r="A407" i="1"/>
  <c r="G407" i="1" s="1"/>
  <c r="A408" i="1"/>
  <c r="G408" i="1" s="1"/>
  <c r="A409" i="1"/>
  <c r="G409" i="1" s="1"/>
  <c r="A410" i="1"/>
  <c r="G410" i="1" s="1"/>
  <c r="A411" i="1"/>
  <c r="G411" i="1" s="1"/>
  <c r="A412" i="1"/>
  <c r="G412" i="1" s="1"/>
  <c r="A413" i="1"/>
  <c r="G413" i="1" s="1"/>
  <c r="A414" i="1"/>
  <c r="G414" i="1" s="1"/>
  <c r="A415" i="1"/>
  <c r="G415" i="1" s="1"/>
  <c r="A416" i="1"/>
  <c r="G416" i="1" s="1"/>
  <c r="A417" i="1"/>
  <c r="G417" i="1" s="1"/>
  <c r="A418" i="1"/>
  <c r="G418" i="1" s="1"/>
  <c r="A419" i="1"/>
  <c r="G419" i="1" s="1"/>
  <c r="A420" i="1"/>
  <c r="G420" i="1" s="1"/>
  <c r="A421" i="1"/>
  <c r="G421" i="1" s="1"/>
  <c r="A422" i="1"/>
  <c r="G422" i="1" s="1"/>
  <c r="A423" i="1"/>
  <c r="G423" i="1" s="1"/>
  <c r="A424" i="1"/>
  <c r="G424" i="1" s="1"/>
  <c r="A425" i="1"/>
  <c r="G425" i="1" s="1"/>
  <c r="A426" i="1"/>
  <c r="G426" i="1" s="1"/>
  <c r="A427" i="1"/>
  <c r="G427" i="1" s="1"/>
  <c r="A428" i="1"/>
  <c r="G428" i="1" s="1"/>
  <c r="A429" i="1"/>
  <c r="G429" i="1" s="1"/>
  <c r="A430" i="1"/>
  <c r="G430" i="1" s="1"/>
  <c r="A431" i="1"/>
  <c r="G431" i="1" s="1"/>
  <c r="A432" i="1"/>
  <c r="G432" i="1" s="1"/>
  <c r="A433" i="1"/>
  <c r="G433" i="1" s="1"/>
  <c r="A434" i="1"/>
  <c r="G434" i="1" s="1"/>
  <c r="A435" i="1"/>
  <c r="G435" i="1" s="1"/>
  <c r="A436" i="1"/>
  <c r="G436" i="1" s="1"/>
  <c r="A437" i="1"/>
  <c r="G437" i="1" s="1"/>
  <c r="A438" i="1"/>
  <c r="G438" i="1" s="1"/>
  <c r="A439" i="1"/>
  <c r="G439" i="1" s="1"/>
  <c r="A440" i="1"/>
  <c r="G440" i="1" s="1"/>
  <c r="A441" i="1"/>
  <c r="G441" i="1" s="1"/>
  <c r="A442" i="1"/>
  <c r="G442" i="1" s="1"/>
  <c r="A443" i="1"/>
  <c r="G443" i="1" s="1"/>
  <c r="A444" i="1"/>
  <c r="G444" i="1" s="1"/>
  <c r="A445" i="1"/>
  <c r="G445" i="1" s="1"/>
  <c r="B2" i="1"/>
  <c r="B3" i="1"/>
  <c r="B4" i="1"/>
  <c r="B5"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B431" i="1"/>
  <c r="B432" i="1"/>
  <c r="B433" i="1"/>
  <c r="B434" i="1"/>
  <c r="B435" i="1"/>
  <c r="B436" i="1"/>
  <c r="B437" i="1"/>
  <c r="B438" i="1"/>
  <c r="B439" i="1"/>
  <c r="B440" i="1"/>
  <c r="B441" i="1"/>
  <c r="B442" i="1"/>
  <c r="B443" i="1"/>
  <c r="B444" i="1"/>
  <c r="B445" i="1"/>
  <c r="I98" i="1" l="1"/>
  <c r="G98" i="1"/>
  <c r="D2" i="1"/>
  <c r="G2" i="1"/>
  <c r="D4" i="3"/>
  <c r="D124" i="3"/>
  <c r="D120" i="3"/>
  <c r="D95" i="3"/>
  <c r="D39" i="3"/>
  <c r="D26" i="3"/>
  <c r="D20" i="3"/>
  <c r="D13" i="3"/>
  <c r="D8" i="3"/>
  <c r="B103" i="11" l="1"/>
  <c r="B102" i="11"/>
  <c r="C83" i="3"/>
  <c r="F65" i="3" l="1"/>
  <c r="F67" i="3"/>
  <c r="F64" i="3"/>
  <c r="F66" i="3"/>
  <c r="F68" i="3"/>
  <c r="C63" i="3"/>
  <c r="B92" i="11" l="1"/>
  <c r="B91" i="11"/>
  <c r="B86" i="11" l="1"/>
  <c r="B90" i="11" l="1"/>
  <c r="B68" i="11"/>
  <c r="B83" i="11"/>
  <c r="B75" i="11"/>
  <c r="B81" i="11"/>
  <c r="B78" i="11"/>
  <c r="B77" i="11" l="1"/>
  <c r="B87" i="11"/>
  <c r="B82" i="11"/>
  <c r="B74" i="11"/>
  <c r="B88" i="11"/>
  <c r="B89" i="11"/>
  <c r="B71" i="11"/>
  <c r="B80" i="11" l="1"/>
  <c r="B79" i="11" l="1"/>
  <c r="C178" i="1" l="1"/>
  <c r="E178" i="1"/>
  <c r="F178" i="1"/>
  <c r="C179" i="1"/>
  <c r="E179" i="1"/>
  <c r="F179" i="1"/>
  <c r="C180" i="1"/>
  <c r="E180" i="1"/>
  <c r="F180" i="1"/>
  <c r="C181" i="1"/>
  <c r="E181" i="1"/>
  <c r="F181" i="1"/>
  <c r="C182" i="1"/>
  <c r="E182" i="1"/>
  <c r="F182" i="1"/>
  <c r="C183" i="1"/>
  <c r="E183" i="1"/>
  <c r="F183" i="1"/>
  <c r="C184" i="1"/>
  <c r="E184" i="1"/>
  <c r="F184" i="1"/>
  <c r="C185" i="1"/>
  <c r="E185" i="1"/>
  <c r="F185" i="1"/>
  <c r="C186" i="1"/>
  <c r="E186" i="1"/>
  <c r="F186" i="1"/>
  <c r="C187" i="1"/>
  <c r="E187" i="1"/>
  <c r="F187" i="1"/>
  <c r="C188" i="1"/>
  <c r="E188" i="1"/>
  <c r="F188" i="1"/>
  <c r="C189" i="1"/>
  <c r="E189" i="1"/>
  <c r="F189" i="1"/>
  <c r="C190" i="1"/>
  <c r="E190" i="1"/>
  <c r="F190" i="1"/>
  <c r="C191" i="1"/>
  <c r="E191" i="1"/>
  <c r="F191" i="1"/>
  <c r="C192" i="1"/>
  <c r="E192" i="1"/>
  <c r="F192" i="1"/>
  <c r="C193" i="1"/>
  <c r="E193" i="1"/>
  <c r="F193" i="1"/>
  <c r="C194" i="1"/>
  <c r="E194" i="1"/>
  <c r="F194" i="1"/>
  <c r="C195" i="1"/>
  <c r="E195" i="1"/>
  <c r="F195" i="1"/>
  <c r="C196" i="1"/>
  <c r="E196" i="1"/>
  <c r="F196" i="1"/>
  <c r="C197" i="1"/>
  <c r="E197" i="1"/>
  <c r="F197" i="1"/>
  <c r="C198" i="1"/>
  <c r="E198" i="1"/>
  <c r="F198" i="1"/>
  <c r="C199" i="1"/>
  <c r="E199" i="1"/>
  <c r="F199" i="1"/>
  <c r="C200" i="1"/>
  <c r="E200" i="1"/>
  <c r="F200" i="1"/>
  <c r="C201" i="1"/>
  <c r="E201" i="1"/>
  <c r="F201" i="1"/>
  <c r="C202" i="1"/>
  <c r="E202" i="1"/>
  <c r="F202" i="1"/>
  <c r="C203" i="1"/>
  <c r="E203" i="1"/>
  <c r="F203" i="1"/>
  <c r="C204" i="1"/>
  <c r="E204" i="1"/>
  <c r="F204" i="1"/>
  <c r="C205" i="1"/>
  <c r="E205" i="1"/>
  <c r="F205" i="1"/>
  <c r="C206" i="1"/>
  <c r="E206" i="1"/>
  <c r="F206" i="1"/>
  <c r="C207" i="1"/>
  <c r="E207" i="1"/>
  <c r="F207" i="1"/>
  <c r="C208" i="1"/>
  <c r="E208" i="1"/>
  <c r="F208" i="1"/>
  <c r="C209" i="1"/>
  <c r="E209" i="1"/>
  <c r="F209" i="1"/>
  <c r="C210" i="1"/>
  <c r="E210" i="1"/>
  <c r="F210" i="1"/>
  <c r="C211" i="1"/>
  <c r="E211" i="1"/>
  <c r="F211" i="1"/>
  <c r="C212" i="1"/>
  <c r="E212" i="1"/>
  <c r="F212" i="1"/>
  <c r="C213" i="1"/>
  <c r="E213" i="1"/>
  <c r="F213" i="1"/>
  <c r="C214" i="1"/>
  <c r="E214" i="1"/>
  <c r="F214" i="1"/>
  <c r="C215" i="1"/>
  <c r="E215" i="1"/>
  <c r="F215" i="1"/>
  <c r="C216" i="1"/>
  <c r="E216" i="1"/>
  <c r="F216" i="1"/>
  <c r="C217" i="1"/>
  <c r="E217" i="1"/>
  <c r="F217" i="1"/>
  <c r="C218" i="1"/>
  <c r="E218" i="1"/>
  <c r="F218" i="1"/>
  <c r="C219" i="1"/>
  <c r="E219" i="1"/>
  <c r="F219" i="1"/>
  <c r="C220" i="1"/>
  <c r="E220" i="1"/>
  <c r="F220" i="1"/>
  <c r="C221" i="1"/>
  <c r="E221" i="1"/>
  <c r="F221" i="1"/>
  <c r="C222" i="1"/>
  <c r="E222" i="1"/>
  <c r="F222" i="1"/>
  <c r="C223" i="1"/>
  <c r="E223" i="1"/>
  <c r="F223" i="1"/>
  <c r="C224" i="1"/>
  <c r="E224" i="1"/>
  <c r="F224" i="1"/>
  <c r="C225" i="1"/>
  <c r="E225" i="1"/>
  <c r="F225" i="1"/>
  <c r="C226" i="1"/>
  <c r="E226" i="1"/>
  <c r="F226" i="1"/>
  <c r="C227" i="1"/>
  <c r="E227" i="1"/>
  <c r="F227" i="1"/>
  <c r="C228" i="1"/>
  <c r="E228" i="1"/>
  <c r="F228" i="1"/>
  <c r="C229" i="1"/>
  <c r="E229" i="1"/>
  <c r="F229" i="1"/>
  <c r="C230" i="1"/>
  <c r="E230" i="1"/>
  <c r="F230" i="1"/>
  <c r="C231" i="1"/>
  <c r="E231" i="1"/>
  <c r="F231" i="1"/>
  <c r="C232" i="1"/>
  <c r="E232" i="1"/>
  <c r="F232" i="1"/>
  <c r="C233" i="1"/>
  <c r="E233" i="1"/>
  <c r="F233" i="1"/>
  <c r="C234" i="1"/>
  <c r="E234" i="1"/>
  <c r="F234" i="1"/>
  <c r="C235" i="1"/>
  <c r="E235" i="1"/>
  <c r="F235" i="1"/>
  <c r="C236" i="1"/>
  <c r="E236" i="1"/>
  <c r="F236" i="1"/>
  <c r="C237" i="1"/>
  <c r="E237" i="1"/>
  <c r="F237" i="1"/>
  <c r="C238" i="1"/>
  <c r="E238" i="1"/>
  <c r="F238" i="1"/>
  <c r="C239" i="1"/>
  <c r="E239" i="1"/>
  <c r="F239" i="1"/>
  <c r="C240" i="1"/>
  <c r="E240" i="1"/>
  <c r="F240" i="1"/>
  <c r="C241" i="1"/>
  <c r="E241" i="1"/>
  <c r="F241" i="1"/>
  <c r="C242" i="1"/>
  <c r="E242" i="1"/>
  <c r="F242" i="1"/>
  <c r="C243" i="1"/>
  <c r="E243" i="1"/>
  <c r="F243" i="1"/>
  <c r="C244" i="1"/>
  <c r="E244" i="1"/>
  <c r="F244" i="1"/>
  <c r="C245" i="1"/>
  <c r="E245" i="1"/>
  <c r="F245" i="1"/>
  <c r="C246" i="1"/>
  <c r="E246" i="1"/>
  <c r="F246" i="1"/>
  <c r="C247" i="1"/>
  <c r="E247" i="1"/>
  <c r="F247" i="1"/>
  <c r="C248" i="1"/>
  <c r="E248" i="1"/>
  <c r="F248" i="1"/>
  <c r="C249" i="1"/>
  <c r="E249" i="1"/>
  <c r="F249" i="1"/>
  <c r="C250" i="1"/>
  <c r="E250" i="1"/>
  <c r="F250" i="1"/>
  <c r="C251" i="1"/>
  <c r="E251" i="1"/>
  <c r="F251" i="1"/>
  <c r="C252" i="1"/>
  <c r="E252" i="1"/>
  <c r="F252" i="1"/>
  <c r="C253" i="1"/>
  <c r="E253" i="1"/>
  <c r="F253" i="1"/>
  <c r="C254" i="1"/>
  <c r="E254" i="1"/>
  <c r="F254" i="1"/>
  <c r="C255" i="1"/>
  <c r="E255" i="1"/>
  <c r="F255" i="1"/>
  <c r="C256" i="1"/>
  <c r="E256" i="1"/>
  <c r="F256" i="1"/>
  <c r="C257" i="1"/>
  <c r="E257" i="1"/>
  <c r="F257" i="1"/>
  <c r="C258" i="1"/>
  <c r="E258" i="1"/>
  <c r="F258" i="1"/>
  <c r="C259" i="1"/>
  <c r="E259" i="1"/>
  <c r="F259" i="1"/>
  <c r="C260" i="1"/>
  <c r="E260" i="1"/>
  <c r="F260" i="1"/>
  <c r="C261" i="1"/>
  <c r="E261" i="1"/>
  <c r="F261" i="1"/>
  <c r="C262" i="1"/>
  <c r="E262" i="1"/>
  <c r="F262" i="1"/>
  <c r="C263" i="1"/>
  <c r="E263" i="1"/>
  <c r="F263" i="1"/>
  <c r="C264" i="1"/>
  <c r="E264" i="1"/>
  <c r="F264" i="1"/>
  <c r="C265" i="1"/>
  <c r="E265" i="1"/>
  <c r="F265" i="1"/>
  <c r="C266" i="1"/>
  <c r="E266" i="1"/>
  <c r="F266" i="1"/>
  <c r="C267" i="1"/>
  <c r="E267" i="1"/>
  <c r="F267" i="1"/>
  <c r="C268" i="1"/>
  <c r="E268" i="1"/>
  <c r="F268" i="1"/>
  <c r="C269" i="1"/>
  <c r="E269" i="1"/>
  <c r="F269" i="1"/>
  <c r="C270" i="1"/>
  <c r="E270" i="1"/>
  <c r="F270" i="1"/>
  <c r="C271" i="1"/>
  <c r="E271" i="1"/>
  <c r="F271" i="1"/>
  <c r="C272" i="1"/>
  <c r="E272" i="1"/>
  <c r="F272" i="1"/>
  <c r="C273" i="1"/>
  <c r="E273" i="1"/>
  <c r="F273" i="1"/>
  <c r="C274" i="1"/>
  <c r="E274" i="1"/>
  <c r="F274" i="1"/>
  <c r="C275" i="1"/>
  <c r="E275" i="1"/>
  <c r="F275" i="1"/>
  <c r="C276" i="1"/>
  <c r="E276" i="1"/>
  <c r="F276" i="1"/>
  <c r="C277" i="1"/>
  <c r="E277" i="1"/>
  <c r="F277" i="1"/>
  <c r="C278" i="1"/>
  <c r="E278" i="1"/>
  <c r="F278" i="1"/>
  <c r="C279" i="1"/>
  <c r="E279" i="1"/>
  <c r="F279" i="1"/>
  <c r="C280" i="1"/>
  <c r="E280" i="1"/>
  <c r="F280" i="1"/>
  <c r="C281" i="1"/>
  <c r="E281" i="1"/>
  <c r="F281" i="1"/>
  <c r="C282" i="1"/>
  <c r="E282" i="1"/>
  <c r="F282" i="1"/>
  <c r="C283" i="1"/>
  <c r="E283" i="1"/>
  <c r="F283" i="1"/>
  <c r="C284" i="1"/>
  <c r="E284" i="1"/>
  <c r="F284" i="1"/>
  <c r="C285" i="1"/>
  <c r="E285" i="1"/>
  <c r="F285" i="1"/>
  <c r="C286" i="1"/>
  <c r="E286" i="1"/>
  <c r="F286" i="1"/>
  <c r="C287" i="1"/>
  <c r="E287" i="1"/>
  <c r="F287" i="1"/>
  <c r="C288" i="1"/>
  <c r="E288" i="1"/>
  <c r="F288" i="1"/>
  <c r="C289" i="1"/>
  <c r="E289" i="1"/>
  <c r="F289" i="1"/>
  <c r="C290" i="1"/>
  <c r="E290" i="1"/>
  <c r="F290" i="1"/>
  <c r="C291" i="1"/>
  <c r="E291" i="1"/>
  <c r="F291" i="1"/>
  <c r="C292" i="1"/>
  <c r="E292" i="1"/>
  <c r="F292" i="1"/>
  <c r="C293" i="1"/>
  <c r="E293" i="1"/>
  <c r="F293" i="1"/>
  <c r="C294" i="1"/>
  <c r="E294" i="1"/>
  <c r="F294" i="1"/>
  <c r="C295" i="1"/>
  <c r="E295" i="1"/>
  <c r="F295" i="1"/>
  <c r="C296" i="1"/>
  <c r="E296" i="1"/>
  <c r="F296" i="1"/>
  <c r="C297" i="1"/>
  <c r="E297" i="1"/>
  <c r="F297" i="1"/>
  <c r="C298" i="1"/>
  <c r="E298" i="1"/>
  <c r="F298" i="1"/>
  <c r="C299" i="1"/>
  <c r="E299" i="1"/>
  <c r="F299" i="1"/>
  <c r="C300" i="1"/>
  <c r="E300" i="1"/>
  <c r="F300" i="1"/>
  <c r="C301" i="1"/>
  <c r="E301" i="1"/>
  <c r="F301" i="1"/>
  <c r="C302" i="1"/>
  <c r="E302" i="1"/>
  <c r="F302" i="1"/>
  <c r="C303" i="1"/>
  <c r="E303" i="1"/>
  <c r="F303" i="1"/>
  <c r="C304" i="1"/>
  <c r="E304" i="1"/>
  <c r="F304" i="1"/>
  <c r="C305" i="1"/>
  <c r="E305" i="1"/>
  <c r="F305" i="1"/>
  <c r="C306" i="1"/>
  <c r="E306" i="1"/>
  <c r="F306" i="1"/>
  <c r="C307" i="1"/>
  <c r="E307" i="1"/>
  <c r="F307" i="1"/>
  <c r="C308" i="1"/>
  <c r="E308" i="1"/>
  <c r="F308" i="1"/>
  <c r="C309" i="1"/>
  <c r="E309" i="1"/>
  <c r="F309" i="1"/>
  <c r="C310" i="1"/>
  <c r="E310" i="1"/>
  <c r="F310" i="1"/>
  <c r="C311" i="1"/>
  <c r="E311" i="1"/>
  <c r="F311" i="1"/>
  <c r="C312" i="1"/>
  <c r="E312" i="1"/>
  <c r="F312" i="1"/>
  <c r="C313" i="1"/>
  <c r="E313" i="1"/>
  <c r="F313" i="1"/>
  <c r="C314" i="1"/>
  <c r="E314" i="1"/>
  <c r="F314" i="1"/>
  <c r="C315" i="1"/>
  <c r="E315" i="1"/>
  <c r="F315" i="1"/>
  <c r="C316" i="1"/>
  <c r="E316" i="1"/>
  <c r="F316" i="1"/>
  <c r="C317" i="1"/>
  <c r="E317" i="1"/>
  <c r="F317" i="1"/>
  <c r="C318" i="1"/>
  <c r="E318" i="1"/>
  <c r="F318" i="1"/>
  <c r="C319" i="1"/>
  <c r="E319" i="1"/>
  <c r="F319" i="1"/>
  <c r="C320" i="1"/>
  <c r="E320" i="1"/>
  <c r="F320" i="1"/>
  <c r="C321" i="1"/>
  <c r="E321" i="1"/>
  <c r="F321" i="1"/>
  <c r="C322" i="1"/>
  <c r="E322" i="1"/>
  <c r="F322" i="1"/>
  <c r="C323" i="1"/>
  <c r="E323" i="1"/>
  <c r="F323" i="1"/>
  <c r="C324" i="1"/>
  <c r="E324" i="1"/>
  <c r="F324" i="1"/>
  <c r="C325" i="1"/>
  <c r="E325" i="1"/>
  <c r="F325" i="1"/>
  <c r="C326" i="1"/>
  <c r="E326" i="1"/>
  <c r="F326" i="1"/>
  <c r="C327" i="1"/>
  <c r="E327" i="1"/>
  <c r="F327" i="1"/>
  <c r="C328" i="1"/>
  <c r="E328" i="1"/>
  <c r="F328" i="1"/>
  <c r="C329" i="1"/>
  <c r="E329" i="1"/>
  <c r="F329" i="1"/>
  <c r="C330" i="1"/>
  <c r="E330" i="1"/>
  <c r="F330" i="1"/>
  <c r="C331" i="1"/>
  <c r="E331" i="1"/>
  <c r="F331" i="1"/>
  <c r="C332" i="1"/>
  <c r="E332" i="1"/>
  <c r="F332" i="1"/>
  <c r="C333" i="1"/>
  <c r="E333" i="1"/>
  <c r="F333" i="1"/>
  <c r="C334" i="1"/>
  <c r="E334" i="1"/>
  <c r="F334" i="1"/>
  <c r="C335" i="1"/>
  <c r="E335" i="1"/>
  <c r="F335" i="1"/>
  <c r="C336" i="1"/>
  <c r="E336" i="1"/>
  <c r="F336" i="1"/>
  <c r="C337" i="1"/>
  <c r="E337" i="1"/>
  <c r="F337" i="1"/>
  <c r="C338" i="1"/>
  <c r="E338" i="1"/>
  <c r="F338" i="1"/>
  <c r="C339" i="1"/>
  <c r="E339" i="1"/>
  <c r="F339" i="1"/>
  <c r="C340" i="1"/>
  <c r="E340" i="1"/>
  <c r="F340" i="1"/>
  <c r="C341" i="1"/>
  <c r="E341" i="1"/>
  <c r="F341" i="1"/>
  <c r="C342" i="1"/>
  <c r="E342" i="1"/>
  <c r="F342" i="1"/>
  <c r="C343" i="1"/>
  <c r="E343" i="1"/>
  <c r="F343" i="1"/>
  <c r="C344" i="1"/>
  <c r="E344" i="1"/>
  <c r="F344" i="1"/>
  <c r="C345" i="1"/>
  <c r="E345" i="1"/>
  <c r="F345" i="1"/>
  <c r="C346" i="1"/>
  <c r="E346" i="1"/>
  <c r="F346" i="1"/>
  <c r="C347" i="1"/>
  <c r="E347" i="1"/>
  <c r="F347" i="1"/>
  <c r="C348" i="1"/>
  <c r="E348" i="1"/>
  <c r="F348" i="1"/>
  <c r="C349" i="1"/>
  <c r="E349" i="1"/>
  <c r="F349" i="1"/>
  <c r="C350" i="1"/>
  <c r="E350" i="1"/>
  <c r="F350" i="1"/>
  <c r="C351" i="1"/>
  <c r="E351" i="1"/>
  <c r="F351" i="1"/>
  <c r="C352" i="1"/>
  <c r="E352" i="1"/>
  <c r="F352" i="1"/>
  <c r="C353" i="1"/>
  <c r="E353" i="1"/>
  <c r="F353" i="1"/>
  <c r="C354" i="1"/>
  <c r="E354" i="1"/>
  <c r="F354" i="1"/>
  <c r="C355" i="1"/>
  <c r="E355" i="1"/>
  <c r="F355" i="1"/>
  <c r="C356" i="1"/>
  <c r="E356" i="1"/>
  <c r="F356" i="1"/>
  <c r="C357" i="1"/>
  <c r="E357" i="1"/>
  <c r="F357" i="1"/>
  <c r="C358" i="1"/>
  <c r="E358" i="1"/>
  <c r="F358" i="1"/>
  <c r="C359" i="1"/>
  <c r="E359" i="1"/>
  <c r="F359" i="1"/>
  <c r="C360" i="1"/>
  <c r="E360" i="1"/>
  <c r="F360" i="1"/>
  <c r="C361" i="1"/>
  <c r="E361" i="1"/>
  <c r="F361" i="1"/>
  <c r="C362" i="1"/>
  <c r="E362" i="1"/>
  <c r="F362" i="1"/>
  <c r="C363" i="1"/>
  <c r="E363" i="1"/>
  <c r="F363" i="1"/>
  <c r="C364" i="1"/>
  <c r="E364" i="1"/>
  <c r="F364" i="1"/>
  <c r="C365" i="1"/>
  <c r="E365" i="1"/>
  <c r="F365" i="1"/>
  <c r="C366" i="1"/>
  <c r="E366" i="1"/>
  <c r="F366" i="1"/>
  <c r="C367" i="1"/>
  <c r="E367" i="1"/>
  <c r="F367" i="1"/>
  <c r="C368" i="1"/>
  <c r="E368" i="1"/>
  <c r="F368" i="1"/>
  <c r="C369" i="1"/>
  <c r="E369" i="1"/>
  <c r="F369" i="1"/>
  <c r="C370" i="1"/>
  <c r="E370" i="1"/>
  <c r="F370" i="1"/>
  <c r="C371" i="1"/>
  <c r="E371" i="1"/>
  <c r="F371" i="1"/>
  <c r="C372" i="1"/>
  <c r="E372" i="1"/>
  <c r="F372" i="1"/>
  <c r="C373" i="1"/>
  <c r="E373" i="1"/>
  <c r="F373" i="1"/>
  <c r="C374" i="1"/>
  <c r="E374" i="1"/>
  <c r="F374" i="1"/>
  <c r="C375" i="1"/>
  <c r="E375" i="1"/>
  <c r="F375" i="1"/>
  <c r="C376" i="1"/>
  <c r="E376" i="1"/>
  <c r="F376" i="1"/>
  <c r="C377" i="1"/>
  <c r="E377" i="1"/>
  <c r="F377" i="1"/>
  <c r="C378" i="1"/>
  <c r="E378" i="1"/>
  <c r="F378" i="1"/>
  <c r="C379" i="1"/>
  <c r="E379" i="1"/>
  <c r="F379" i="1"/>
  <c r="C380" i="1"/>
  <c r="E380" i="1"/>
  <c r="F380" i="1"/>
  <c r="C381" i="1"/>
  <c r="E381" i="1"/>
  <c r="F381" i="1"/>
  <c r="C382" i="1"/>
  <c r="E382" i="1"/>
  <c r="F382" i="1"/>
  <c r="C383" i="1"/>
  <c r="E383" i="1"/>
  <c r="F383" i="1"/>
  <c r="C384" i="1"/>
  <c r="E384" i="1"/>
  <c r="F384" i="1"/>
  <c r="C385" i="1"/>
  <c r="E385" i="1"/>
  <c r="F385" i="1"/>
  <c r="C386" i="1"/>
  <c r="E386" i="1"/>
  <c r="F386" i="1"/>
  <c r="C387" i="1"/>
  <c r="E387" i="1"/>
  <c r="F387" i="1"/>
  <c r="C388" i="1"/>
  <c r="E388" i="1"/>
  <c r="F388" i="1"/>
  <c r="C389" i="1"/>
  <c r="E389" i="1"/>
  <c r="F389" i="1"/>
  <c r="C390" i="1"/>
  <c r="E390" i="1"/>
  <c r="F390" i="1"/>
  <c r="C391" i="1"/>
  <c r="E391" i="1"/>
  <c r="F391" i="1"/>
  <c r="C392" i="1"/>
  <c r="E392" i="1"/>
  <c r="F392" i="1"/>
  <c r="C393" i="1"/>
  <c r="E393" i="1"/>
  <c r="F393" i="1"/>
  <c r="C394" i="1"/>
  <c r="E394" i="1"/>
  <c r="F394" i="1"/>
  <c r="C395" i="1"/>
  <c r="E395" i="1"/>
  <c r="F395" i="1"/>
  <c r="C396" i="1"/>
  <c r="E396" i="1"/>
  <c r="F396" i="1"/>
  <c r="C397" i="1"/>
  <c r="E397" i="1"/>
  <c r="F397" i="1"/>
  <c r="C398" i="1"/>
  <c r="E398" i="1"/>
  <c r="F398" i="1"/>
  <c r="C399" i="1"/>
  <c r="E399" i="1"/>
  <c r="F399" i="1"/>
  <c r="C400" i="1"/>
  <c r="E400" i="1"/>
  <c r="F400" i="1"/>
  <c r="C401" i="1"/>
  <c r="E401" i="1"/>
  <c r="F401" i="1"/>
  <c r="C402" i="1"/>
  <c r="E402" i="1"/>
  <c r="F402" i="1"/>
  <c r="C403" i="1"/>
  <c r="E403" i="1"/>
  <c r="F403" i="1"/>
  <c r="C404" i="1"/>
  <c r="E404" i="1"/>
  <c r="F404" i="1"/>
  <c r="C405" i="1"/>
  <c r="E405" i="1"/>
  <c r="F405" i="1"/>
  <c r="C406" i="1"/>
  <c r="E406" i="1"/>
  <c r="F406" i="1"/>
  <c r="C407" i="1"/>
  <c r="E407" i="1"/>
  <c r="F407" i="1"/>
  <c r="C408" i="1"/>
  <c r="E408" i="1"/>
  <c r="F408" i="1"/>
  <c r="C409" i="1"/>
  <c r="E409" i="1"/>
  <c r="F409" i="1"/>
  <c r="C410" i="1"/>
  <c r="E410" i="1"/>
  <c r="F410" i="1"/>
  <c r="C411" i="1"/>
  <c r="E411" i="1"/>
  <c r="F411" i="1"/>
  <c r="C412" i="1"/>
  <c r="E412" i="1"/>
  <c r="F412" i="1"/>
  <c r="C413" i="1"/>
  <c r="E413" i="1"/>
  <c r="F413" i="1"/>
  <c r="C414" i="1"/>
  <c r="E414" i="1"/>
  <c r="F414" i="1"/>
  <c r="C415" i="1"/>
  <c r="E415" i="1"/>
  <c r="F415" i="1"/>
  <c r="C416" i="1"/>
  <c r="E416" i="1"/>
  <c r="F416" i="1"/>
  <c r="C417" i="1"/>
  <c r="E417" i="1"/>
  <c r="F417" i="1"/>
  <c r="C418" i="1"/>
  <c r="E418" i="1"/>
  <c r="F418" i="1"/>
  <c r="C419" i="1"/>
  <c r="E419" i="1"/>
  <c r="F419" i="1"/>
  <c r="C420" i="1"/>
  <c r="E420" i="1"/>
  <c r="F420" i="1"/>
  <c r="C421" i="1"/>
  <c r="E421" i="1"/>
  <c r="F421" i="1"/>
  <c r="C422" i="1"/>
  <c r="E422" i="1"/>
  <c r="F422" i="1"/>
  <c r="C423" i="1"/>
  <c r="E423" i="1"/>
  <c r="F423" i="1"/>
  <c r="C424" i="1"/>
  <c r="E424" i="1"/>
  <c r="F424" i="1"/>
  <c r="C425" i="1"/>
  <c r="E425" i="1"/>
  <c r="F425" i="1"/>
  <c r="C426" i="1"/>
  <c r="E426" i="1"/>
  <c r="F426" i="1"/>
  <c r="C427" i="1"/>
  <c r="E427" i="1"/>
  <c r="F427" i="1"/>
  <c r="C428" i="1"/>
  <c r="E428" i="1"/>
  <c r="F428" i="1"/>
  <c r="C429" i="1"/>
  <c r="E429" i="1"/>
  <c r="F429" i="1"/>
  <c r="C430" i="1"/>
  <c r="E430" i="1"/>
  <c r="F430" i="1"/>
  <c r="C431" i="1"/>
  <c r="E431" i="1"/>
  <c r="F431" i="1"/>
  <c r="C432" i="1"/>
  <c r="E432" i="1"/>
  <c r="F432" i="1"/>
  <c r="C433" i="1"/>
  <c r="E433" i="1"/>
  <c r="F433" i="1"/>
  <c r="C434" i="1"/>
  <c r="E434" i="1"/>
  <c r="F434" i="1"/>
  <c r="C435" i="1"/>
  <c r="E435" i="1"/>
  <c r="F435" i="1"/>
  <c r="C436" i="1"/>
  <c r="E436" i="1"/>
  <c r="F436" i="1"/>
  <c r="C437" i="1"/>
  <c r="E437" i="1"/>
  <c r="F437" i="1"/>
  <c r="C438" i="1"/>
  <c r="E438" i="1"/>
  <c r="F438" i="1"/>
  <c r="C439" i="1"/>
  <c r="E439" i="1"/>
  <c r="F439" i="1"/>
  <c r="C440" i="1"/>
  <c r="E440" i="1"/>
  <c r="F440" i="1"/>
  <c r="C441" i="1"/>
  <c r="E441" i="1"/>
  <c r="F441" i="1"/>
  <c r="C442" i="1"/>
  <c r="E442" i="1"/>
  <c r="F442" i="1"/>
  <c r="C443" i="1"/>
  <c r="E443" i="1"/>
  <c r="F443" i="1"/>
  <c r="C444" i="1"/>
  <c r="E444" i="1"/>
  <c r="F444" i="1"/>
  <c r="C445" i="1"/>
  <c r="E445" i="1"/>
  <c r="F445" i="1"/>
  <c r="C177" i="1"/>
  <c r="E177" i="1"/>
  <c r="F177" i="1"/>
  <c r="B76" i="11" l="1"/>
  <c r="B73" i="11" l="1"/>
  <c r="B33" i="11"/>
  <c r="B32" i="11"/>
  <c r="B25" i="11"/>
  <c r="B72" i="11"/>
  <c r="B70" i="11" l="1"/>
  <c r="B69" i="11"/>
  <c r="B67" i="11"/>
  <c r="B66" i="11"/>
  <c r="B64" i="11" l="1"/>
  <c r="B65" i="11" l="1"/>
  <c r="B63" i="11" l="1"/>
  <c r="B43" i="11"/>
  <c r="C90" i="3"/>
  <c r="C91" i="3"/>
  <c r="C92" i="3"/>
  <c r="B62" i="11"/>
  <c r="B61" i="11"/>
  <c r="E25" i="3"/>
  <c r="E21" i="3"/>
  <c r="E17" i="3"/>
  <c r="E16" i="3"/>
  <c r="E18" i="3"/>
  <c r="E15" i="3"/>
  <c r="B60" i="11"/>
  <c r="C101" i="3"/>
  <c r="B59" i="11"/>
  <c r="C117" i="3"/>
  <c r="B58" i="11"/>
  <c r="B57" i="11"/>
  <c r="B56" i="11"/>
  <c r="B55" i="11"/>
  <c r="B54" i="11"/>
  <c r="B53" i="11"/>
  <c r="B52" i="11"/>
  <c r="B50" i="11"/>
  <c r="B48" i="11"/>
  <c r="B47" i="11"/>
  <c r="B46" i="11"/>
  <c r="B45" i="11"/>
  <c r="B44" i="11"/>
  <c r="B41" i="11"/>
  <c r="B39" i="11"/>
  <c r="B38" i="11"/>
  <c r="B37" i="11"/>
  <c r="B31" i="11"/>
  <c r="B30" i="11"/>
  <c r="B29" i="11"/>
  <c r="B28" i="11"/>
  <c r="B27" i="11"/>
  <c r="B26" i="11"/>
  <c r="B23" i="11"/>
  <c r="B22" i="11"/>
  <c r="B21" i="11"/>
  <c r="B20" i="11"/>
  <c r="B19" i="11"/>
  <c r="B18" i="11"/>
  <c r="B17" i="11"/>
  <c r="B16" i="11"/>
  <c r="B15" i="11"/>
  <c r="B14" i="11"/>
  <c r="B13" i="11"/>
  <c r="B12" i="11"/>
  <c r="B11" i="11"/>
  <c r="B10" i="11"/>
  <c r="B9" i="11"/>
  <c r="B8" i="11"/>
  <c r="B7" i="11"/>
  <c r="B6" i="11"/>
  <c r="B4" i="11"/>
  <c r="B3" i="11"/>
  <c r="B2" i="11"/>
  <c r="C84" i="3"/>
  <c r="C85" i="3"/>
  <c r="C86" i="3"/>
  <c r="C87" i="3"/>
  <c r="C88" i="3"/>
  <c r="C89" i="3"/>
  <c r="E20" i="3"/>
  <c r="E13" i="3"/>
  <c r="E26" i="3"/>
  <c r="E8" i="3"/>
  <c r="B51" i="11"/>
  <c r="B40" i="11"/>
  <c r="B5" i="11"/>
  <c r="B49" i="11"/>
  <c r="B42" i="11"/>
  <c r="E139" i="1"/>
  <c r="C128" i="3"/>
  <c r="C127" i="3"/>
  <c r="C126" i="3"/>
  <c r="C125" i="3"/>
  <c r="C124" i="3"/>
  <c r="C123" i="3"/>
  <c r="C122" i="3"/>
  <c r="C121" i="3"/>
  <c r="C120" i="3"/>
  <c r="C116" i="3"/>
  <c r="C111" i="3"/>
  <c r="C108" i="3"/>
  <c r="C105" i="3"/>
  <c r="C104" i="3"/>
  <c r="C100" i="3"/>
  <c r="C97" i="3"/>
  <c r="C96" i="3"/>
  <c r="C95" i="3"/>
  <c r="C82" i="3"/>
  <c r="C81" i="3"/>
  <c r="C80" i="3"/>
  <c r="C79" i="3"/>
  <c r="C78" i="3"/>
  <c r="C77" i="3"/>
  <c r="C60" i="3"/>
  <c r="C59" i="3"/>
  <c r="C58" i="3"/>
  <c r="C57" i="3"/>
  <c r="C54" i="3"/>
  <c r="C53" i="3"/>
  <c r="C52" i="3"/>
  <c r="C51" i="3"/>
  <c r="C50" i="3"/>
  <c r="C49"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4" i="3"/>
  <c r="C35" i="3"/>
  <c r="C36" i="3"/>
  <c r="C38" i="3"/>
  <c r="C39" i="3"/>
  <c r="C40" i="3"/>
  <c r="C41" i="3"/>
  <c r="C42" i="3"/>
  <c r="C43" i="3"/>
  <c r="C44" i="3"/>
  <c r="C45" i="3"/>
  <c r="C4" i="3"/>
  <c r="E65" i="1"/>
  <c r="E3" i="3"/>
  <c r="E13" i="1"/>
  <c r="E14" i="1"/>
  <c r="E15" i="1"/>
  <c r="E16" i="1"/>
  <c r="E17" i="1"/>
  <c r="E18" i="1"/>
  <c r="E19" i="1"/>
  <c r="E20" i="1"/>
  <c r="E21" i="1"/>
  <c r="E22" i="1"/>
  <c r="E23" i="1"/>
  <c r="E24" i="1"/>
  <c r="E25" i="1"/>
  <c r="E26" i="1"/>
  <c r="E27" i="1"/>
  <c r="F2" i="1"/>
  <c r="F3" i="1"/>
  <c r="F4"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E3" i="1"/>
  <c r="E4" i="1"/>
  <c r="E5" i="1"/>
  <c r="E6" i="1"/>
  <c r="E7" i="1"/>
  <c r="E8" i="1"/>
  <c r="E9" i="1"/>
  <c r="E10" i="1"/>
  <c r="E11" i="1"/>
  <c r="E12"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2" i="1"/>
  <c r="J3" i="1"/>
  <c r="C3" i="1"/>
  <c r="J4" i="1"/>
  <c r="C4" i="1"/>
  <c r="J5" i="1"/>
  <c r="C5" i="1"/>
  <c r="J6" i="1"/>
  <c r="C6" i="1"/>
  <c r="J7" i="1"/>
  <c r="C7" i="1"/>
  <c r="J8" i="1"/>
  <c r="C8" i="1"/>
  <c r="J9" i="1"/>
  <c r="C9" i="1"/>
  <c r="J10" i="1"/>
  <c r="C10" i="1"/>
  <c r="J11" i="1"/>
  <c r="C11" i="1"/>
  <c r="J12" i="1"/>
  <c r="C12" i="1"/>
  <c r="J13" i="1"/>
  <c r="C13" i="1"/>
  <c r="J14" i="1"/>
  <c r="C14" i="1"/>
  <c r="J15" i="1"/>
  <c r="C15" i="1"/>
  <c r="J16" i="1"/>
  <c r="C16" i="1"/>
  <c r="J17" i="1"/>
  <c r="C17" i="1"/>
  <c r="J18" i="1"/>
  <c r="C18" i="1"/>
  <c r="J19" i="1"/>
  <c r="C19" i="1"/>
  <c r="J20" i="1"/>
  <c r="C20" i="1"/>
  <c r="J21" i="1"/>
  <c r="C21" i="1"/>
  <c r="J22" i="1"/>
  <c r="C22" i="1"/>
  <c r="J23" i="1"/>
  <c r="C23" i="1"/>
  <c r="J24" i="1"/>
  <c r="C24" i="1"/>
  <c r="J25" i="1"/>
  <c r="C25" i="1"/>
  <c r="J26" i="1"/>
  <c r="C26" i="1"/>
  <c r="J27" i="1"/>
  <c r="C27" i="1"/>
  <c r="C28" i="1"/>
  <c r="J29" i="1"/>
  <c r="C29" i="1"/>
  <c r="J30" i="1"/>
  <c r="C30" i="1"/>
  <c r="J31" i="1"/>
  <c r="C31" i="1"/>
  <c r="J32" i="1"/>
  <c r="C32" i="1"/>
  <c r="J33" i="1"/>
  <c r="C33" i="1"/>
  <c r="J34" i="1"/>
  <c r="C34" i="1"/>
  <c r="J35" i="1"/>
  <c r="C35" i="1"/>
  <c r="J36" i="1"/>
  <c r="C36" i="1"/>
  <c r="J37" i="1"/>
  <c r="C37" i="1"/>
  <c r="J38" i="1"/>
  <c r="C38" i="1"/>
  <c r="J39" i="1"/>
  <c r="C39" i="1"/>
  <c r="J40" i="1"/>
  <c r="C40" i="1"/>
  <c r="J41" i="1"/>
  <c r="C41" i="1"/>
  <c r="J42" i="1"/>
  <c r="C42" i="1"/>
  <c r="J43" i="1"/>
  <c r="C43" i="1"/>
  <c r="J44" i="1"/>
  <c r="C44" i="1"/>
  <c r="J45" i="1"/>
  <c r="C45" i="1"/>
  <c r="J46" i="1"/>
  <c r="C46" i="1"/>
  <c r="J47" i="1"/>
  <c r="C47" i="1"/>
  <c r="J48" i="1"/>
  <c r="C48" i="1"/>
  <c r="J49" i="1"/>
  <c r="C49" i="1"/>
  <c r="J50" i="1"/>
  <c r="C50" i="1"/>
  <c r="J51" i="1"/>
  <c r="C51" i="1"/>
  <c r="J52" i="1"/>
  <c r="C52" i="1"/>
  <c r="J53" i="1"/>
  <c r="C53" i="1"/>
  <c r="J54" i="1"/>
  <c r="C54" i="1"/>
  <c r="J55" i="1"/>
  <c r="C55" i="1"/>
  <c r="J56" i="1"/>
  <c r="C56" i="1"/>
  <c r="J57" i="1"/>
  <c r="C57" i="1"/>
  <c r="J58" i="1"/>
  <c r="C58" i="1"/>
  <c r="J59" i="1"/>
  <c r="C59" i="1"/>
  <c r="J60" i="1"/>
  <c r="C60" i="1"/>
  <c r="J61" i="1"/>
  <c r="C61" i="1"/>
  <c r="J62" i="1"/>
  <c r="C62" i="1"/>
  <c r="J63" i="1"/>
  <c r="C63" i="1"/>
  <c r="J64" i="1"/>
  <c r="C64" i="1"/>
  <c r="J65" i="1"/>
  <c r="C65" i="1"/>
  <c r="J66" i="1"/>
  <c r="C66" i="1"/>
  <c r="J67" i="1"/>
  <c r="C67" i="1"/>
  <c r="J68" i="1"/>
  <c r="C68" i="1"/>
  <c r="J69" i="1"/>
  <c r="C69" i="1"/>
  <c r="J70" i="1"/>
  <c r="C70" i="1"/>
  <c r="J71" i="1"/>
  <c r="C71" i="1"/>
  <c r="J72" i="1"/>
  <c r="C72" i="1"/>
  <c r="J73" i="1"/>
  <c r="C73" i="1"/>
  <c r="J74" i="1"/>
  <c r="C74" i="1"/>
  <c r="J75" i="1"/>
  <c r="C75" i="1"/>
  <c r="J76" i="1"/>
  <c r="C76" i="1"/>
  <c r="J77" i="1"/>
  <c r="C77" i="1"/>
  <c r="J78" i="1"/>
  <c r="C78" i="1"/>
  <c r="J79" i="1"/>
  <c r="C79" i="1"/>
  <c r="J80" i="1"/>
  <c r="C80" i="1"/>
  <c r="J81" i="1"/>
  <c r="C81" i="1"/>
  <c r="J82" i="1"/>
  <c r="C82" i="1"/>
  <c r="J83" i="1"/>
  <c r="C83" i="1"/>
  <c r="J84" i="1"/>
  <c r="C84" i="1"/>
  <c r="J85" i="1"/>
  <c r="C85" i="1"/>
  <c r="J86" i="1"/>
  <c r="C86" i="1"/>
  <c r="J87" i="1"/>
  <c r="C87" i="1"/>
  <c r="J88" i="1"/>
  <c r="C88" i="1"/>
  <c r="J89" i="1"/>
  <c r="C89" i="1"/>
  <c r="J90" i="1"/>
  <c r="C90" i="1"/>
  <c r="J91" i="1"/>
  <c r="C91" i="1"/>
  <c r="J92" i="1"/>
  <c r="C92" i="1"/>
  <c r="J93" i="1"/>
  <c r="C93" i="1"/>
  <c r="J94" i="1"/>
  <c r="C94" i="1"/>
  <c r="J95" i="1"/>
  <c r="C95" i="1"/>
  <c r="J96" i="1"/>
  <c r="C96" i="1"/>
  <c r="J97" i="1"/>
  <c r="C97" i="1"/>
  <c r="J98" i="1"/>
  <c r="H98" i="1" s="1"/>
  <c r="C98" i="1"/>
  <c r="J99" i="1"/>
  <c r="C99" i="1"/>
  <c r="J100" i="1"/>
  <c r="C100" i="1"/>
  <c r="J101" i="1"/>
  <c r="C101" i="1"/>
  <c r="J102" i="1"/>
  <c r="C102" i="1"/>
  <c r="J103" i="1"/>
  <c r="C103" i="1"/>
  <c r="J104" i="1"/>
  <c r="C104" i="1"/>
  <c r="J105" i="1"/>
  <c r="C105" i="1"/>
  <c r="J106" i="1"/>
  <c r="C106" i="1"/>
  <c r="J107" i="1"/>
  <c r="C107" i="1"/>
  <c r="J108" i="1"/>
  <c r="C108" i="1"/>
  <c r="J109" i="1"/>
  <c r="C109" i="1"/>
  <c r="J110" i="1"/>
  <c r="C110" i="1"/>
  <c r="J111" i="1"/>
  <c r="C111" i="1"/>
  <c r="J112" i="1"/>
  <c r="C112" i="1"/>
  <c r="J113" i="1"/>
  <c r="C113" i="1"/>
  <c r="J114" i="1"/>
  <c r="C114" i="1"/>
  <c r="J115" i="1"/>
  <c r="C115" i="1"/>
  <c r="J116" i="1"/>
  <c r="C116" i="1"/>
  <c r="J117" i="1"/>
  <c r="C117" i="1"/>
  <c r="J118" i="1"/>
  <c r="C118" i="1"/>
  <c r="J119" i="1"/>
  <c r="C119" i="1"/>
  <c r="J120" i="1"/>
  <c r="C120" i="1"/>
  <c r="J121" i="1"/>
  <c r="C121" i="1"/>
  <c r="J122" i="1"/>
  <c r="C122" i="1"/>
  <c r="J123" i="1"/>
  <c r="C123" i="1"/>
  <c r="J124" i="1"/>
  <c r="C124" i="1"/>
  <c r="J125" i="1"/>
  <c r="C125" i="1"/>
  <c r="J126" i="1"/>
  <c r="C126" i="1"/>
  <c r="J127" i="1"/>
  <c r="C127" i="1"/>
  <c r="J128" i="1"/>
  <c r="C128" i="1"/>
  <c r="J129" i="1"/>
  <c r="C129" i="1"/>
  <c r="J130" i="1"/>
  <c r="C130" i="1"/>
  <c r="J131" i="1"/>
  <c r="C131" i="1"/>
  <c r="J132" i="1"/>
  <c r="C132" i="1"/>
  <c r="J133" i="1"/>
  <c r="C133" i="1"/>
  <c r="J134" i="1"/>
  <c r="C134" i="1"/>
  <c r="J135" i="1"/>
  <c r="C135" i="1"/>
  <c r="J136" i="1"/>
  <c r="C136" i="1"/>
  <c r="J137" i="1"/>
  <c r="C137" i="1"/>
  <c r="J138" i="1"/>
  <c r="C138" i="1"/>
  <c r="J139" i="1"/>
  <c r="C139" i="1"/>
  <c r="J140" i="1"/>
  <c r="C140" i="1"/>
  <c r="J141" i="1"/>
  <c r="C141" i="1"/>
  <c r="J142" i="1"/>
  <c r="C142" i="1"/>
  <c r="J143" i="1"/>
  <c r="C143" i="1"/>
  <c r="J144" i="1"/>
  <c r="C144" i="1"/>
  <c r="J145" i="1"/>
  <c r="C145" i="1"/>
  <c r="J146" i="1"/>
  <c r="C146" i="1"/>
  <c r="J147" i="1"/>
  <c r="C147" i="1"/>
  <c r="J148" i="1"/>
  <c r="C148" i="1"/>
  <c r="J149" i="1"/>
  <c r="C149" i="1"/>
  <c r="J150" i="1"/>
  <c r="C150" i="1"/>
  <c r="J151" i="1"/>
  <c r="C151" i="1"/>
  <c r="J152" i="1"/>
  <c r="C152" i="1"/>
  <c r="J153" i="1"/>
  <c r="C153" i="1"/>
  <c r="J154" i="1"/>
  <c r="C154" i="1"/>
  <c r="J155" i="1"/>
  <c r="C155" i="1"/>
  <c r="C156" i="1"/>
  <c r="J157" i="1"/>
  <c r="C157" i="1"/>
  <c r="J158" i="1"/>
  <c r="C158" i="1"/>
  <c r="J159" i="1"/>
  <c r="C159" i="1"/>
  <c r="J160" i="1"/>
  <c r="C160" i="1"/>
  <c r="J161" i="1"/>
  <c r="C161" i="1"/>
  <c r="J162" i="1"/>
  <c r="C162" i="1"/>
  <c r="J163" i="1"/>
  <c r="C163" i="1"/>
  <c r="J164" i="1"/>
  <c r="C164" i="1"/>
  <c r="J165" i="1"/>
  <c r="C165" i="1"/>
  <c r="J166" i="1"/>
  <c r="C166" i="1"/>
  <c r="J167" i="1"/>
  <c r="C167" i="1"/>
  <c r="J168" i="1"/>
  <c r="C168" i="1"/>
  <c r="J169" i="1"/>
  <c r="C169" i="1"/>
  <c r="J170" i="1"/>
  <c r="C170" i="1"/>
  <c r="J171" i="1"/>
  <c r="C171" i="1"/>
  <c r="J172" i="1"/>
  <c r="C172" i="1"/>
  <c r="J173" i="1"/>
  <c r="C173" i="1"/>
  <c r="J174" i="1"/>
  <c r="C174" i="1"/>
  <c r="J175" i="1"/>
  <c r="C175" i="1"/>
  <c r="J176" i="1"/>
  <c r="C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1" i="1"/>
  <c r="J222" i="1"/>
  <c r="J223" i="1"/>
  <c r="J224" i="1"/>
  <c r="J225" i="1"/>
  <c r="J226" i="1"/>
  <c r="J227" i="1"/>
  <c r="J228" i="1"/>
  <c r="J229" i="1"/>
  <c r="J230" i="1"/>
  <c r="J231" i="1"/>
  <c r="J232" i="1"/>
  <c r="J233" i="1"/>
  <c r="J234" i="1"/>
  <c r="J235" i="1"/>
  <c r="J236" i="1"/>
  <c r="J237" i="1"/>
  <c r="H237" i="1" s="1"/>
  <c r="J238" i="1"/>
  <c r="H238" i="1" s="1"/>
  <c r="J239" i="1"/>
  <c r="H239" i="1" s="1"/>
  <c r="J240" i="1"/>
  <c r="H240" i="1" s="1"/>
  <c r="J241" i="1"/>
  <c r="J242" i="1"/>
  <c r="H242" i="1" s="1"/>
  <c r="J243" i="1"/>
  <c r="H243" i="1" s="1"/>
  <c r="J244" i="1"/>
  <c r="H244" i="1" s="1"/>
  <c r="J245" i="1"/>
  <c r="H245" i="1" s="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4" i="1"/>
  <c r="J345" i="1"/>
  <c r="J346" i="1"/>
  <c r="J349" i="1"/>
  <c r="J350" i="1"/>
  <c r="J351" i="1"/>
  <c r="J353" i="1"/>
  <c r="J354" i="1"/>
  <c r="J355" i="1"/>
  <c r="J357" i="1"/>
  <c r="J358" i="1"/>
  <c r="J359" i="1"/>
  <c r="J361" i="1"/>
  <c r="J362" i="1"/>
  <c r="J363" i="1"/>
  <c r="J364" i="1"/>
  <c r="J365" i="1"/>
  <c r="J366" i="1"/>
  <c r="J367" i="1"/>
  <c r="J369" i="1"/>
  <c r="J370" i="1"/>
  <c r="J371" i="1"/>
  <c r="J373" i="1"/>
  <c r="J374" i="1"/>
  <c r="J375" i="1"/>
  <c r="J376" i="1"/>
  <c r="J377" i="1"/>
  <c r="J378" i="1"/>
  <c r="J379" i="1"/>
  <c r="J380"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414" i="1"/>
  <c r="J415" i="1"/>
  <c r="J416" i="1"/>
  <c r="J417" i="1"/>
  <c r="J418" i="1"/>
  <c r="J419" i="1"/>
  <c r="J420" i="1"/>
  <c r="J421" i="1"/>
  <c r="J422" i="1"/>
  <c r="J423" i="1"/>
  <c r="J424" i="1"/>
  <c r="J425" i="1"/>
  <c r="J426" i="1"/>
  <c r="J427" i="1"/>
  <c r="J428" i="1"/>
  <c r="J429" i="1"/>
  <c r="J430" i="1"/>
  <c r="J431" i="1"/>
  <c r="J432" i="1"/>
  <c r="J433" i="1"/>
  <c r="J434" i="1"/>
  <c r="J435" i="1"/>
  <c r="J437" i="1"/>
  <c r="J438" i="1"/>
  <c r="J439" i="1"/>
  <c r="J440" i="1"/>
  <c r="J441" i="1"/>
  <c r="J442" i="1"/>
  <c r="J443" i="1"/>
  <c r="J444" i="1"/>
  <c r="J445" i="1"/>
  <c r="J2" i="1"/>
  <c r="C2" i="1"/>
  <c r="D104" i="11" l="1"/>
  <c r="D99" i="11"/>
  <c r="D100" i="11"/>
  <c r="D101" i="11"/>
  <c r="D102" i="11"/>
  <c r="D103" i="11"/>
  <c r="D98" i="11"/>
  <c r="F1" i="3"/>
  <c r="D97" i="11"/>
  <c r="D96" i="11"/>
  <c r="D95" i="11"/>
  <c r="D93" i="11"/>
  <c r="D94" i="11"/>
  <c r="B24" i="11"/>
  <c r="I146" i="1" s="1"/>
  <c r="H146" i="1" s="1"/>
  <c r="B36" i="11"/>
  <c r="I120" i="1" s="1"/>
  <c r="H120" i="1" s="1"/>
  <c r="D91" i="11"/>
  <c r="D92" i="11"/>
  <c r="D90" i="11"/>
  <c r="D86" i="11"/>
  <c r="D85" i="11"/>
  <c r="D84" i="11"/>
  <c r="D83" i="11"/>
  <c r="D81" i="11"/>
  <c r="D89" i="11"/>
  <c r="D88" i="11"/>
  <c r="D87" i="11"/>
  <c r="D82" i="11"/>
  <c r="D80" i="11"/>
  <c r="D79" i="11"/>
  <c r="D78" i="11"/>
  <c r="I261" i="1"/>
  <c r="H261" i="1" s="1"/>
  <c r="H234" i="1"/>
  <c r="D66" i="11"/>
  <c r="D263" i="1"/>
  <c r="D290" i="1"/>
  <c r="D247" i="1"/>
  <c r="D262" i="1"/>
  <c r="D278" i="1"/>
  <c r="D423" i="1"/>
  <c r="D438" i="1"/>
  <c r="D302" i="1"/>
  <c r="D287" i="1"/>
  <c r="D179" i="1"/>
  <c r="D194" i="1"/>
  <c r="D197" i="1"/>
  <c r="D239" i="1"/>
  <c r="D242" i="1"/>
  <c r="D245" i="1"/>
  <c r="D254" i="1"/>
  <c r="D293" i="1"/>
  <c r="D182" i="1"/>
  <c r="D439" i="1"/>
  <c r="D258" i="1"/>
  <c r="D261" i="1"/>
  <c r="D198" i="1"/>
  <c r="D246" i="1"/>
  <c r="D255" i="1"/>
  <c r="D270" i="1"/>
  <c r="D422" i="1"/>
  <c r="D421" i="1"/>
  <c r="D402" i="1"/>
  <c r="D282" i="1"/>
  <c r="D216" i="1"/>
  <c r="D195" i="1"/>
  <c r="D424" i="1"/>
  <c r="D272" i="1"/>
  <c r="D233" i="1"/>
  <c r="D236" i="1"/>
  <c r="D316" i="1"/>
  <c r="D292" i="1"/>
  <c r="D217" i="1"/>
  <c r="D202" i="1"/>
  <c r="D231" i="1"/>
  <c r="D203" i="1"/>
  <c r="D362" i="1"/>
  <c r="D340" i="1"/>
  <c r="D260" i="1"/>
  <c r="D405" i="1"/>
  <c r="D359" i="1"/>
  <c r="D390" i="1"/>
  <c r="D271" i="1"/>
  <c r="D386" i="1"/>
  <c r="D273" i="1"/>
  <c r="D201" i="1"/>
  <c r="D192" i="1"/>
  <c r="D409" i="1"/>
  <c r="D266" i="1"/>
  <c r="D227" i="1"/>
  <c r="D221" i="1"/>
  <c r="D307" i="1"/>
  <c r="D283" i="1"/>
  <c r="D193" i="1"/>
  <c r="D196" i="1"/>
  <c r="D205" i="1"/>
  <c r="D218" i="1"/>
  <c r="D440" i="1"/>
  <c r="D384" i="1"/>
  <c r="D400" i="1"/>
  <c r="D345" i="1"/>
  <c r="D385" i="1"/>
  <c r="D417" i="1"/>
  <c r="D234" i="1"/>
  <c r="D291" i="1"/>
  <c r="D351" i="1"/>
  <c r="D251" i="1"/>
  <c r="D414" i="1"/>
  <c r="D327" i="1"/>
  <c r="D374" i="1"/>
  <c r="D431" i="1"/>
  <c r="D370" i="1"/>
  <c r="D264" i="1"/>
  <c r="D186" i="1"/>
  <c r="D189" i="1"/>
  <c r="D317" i="1"/>
  <c r="D257" i="1"/>
  <c r="D224" i="1"/>
  <c r="D212" i="1"/>
  <c r="D304" i="1"/>
  <c r="D265" i="1"/>
  <c r="D187" i="1"/>
  <c r="D178" i="1"/>
  <c r="D177" i="1"/>
  <c r="D184" i="1"/>
  <c r="D372" i="1"/>
  <c r="D363" i="1"/>
  <c r="D352" i="1"/>
  <c r="D253" i="1"/>
  <c r="D408" i="1"/>
  <c r="D300" i="1"/>
  <c r="D228" i="1"/>
  <c r="D418" i="1"/>
  <c r="D398" i="1"/>
  <c r="D295" i="1"/>
  <c r="D342" i="1"/>
  <c r="D415" i="1"/>
  <c r="D354" i="1"/>
  <c r="D425" i="1"/>
  <c r="D180" i="1"/>
  <c r="D308" i="1"/>
  <c r="D248" i="1"/>
  <c r="D298" i="1"/>
  <c r="D378" i="1"/>
  <c r="D411" i="1"/>
  <c r="D394" i="1"/>
  <c r="D445" i="1"/>
  <c r="D235" i="1"/>
  <c r="D337" i="1"/>
  <c r="D434" i="1"/>
  <c r="D313" i="1"/>
  <c r="D382" i="1"/>
  <c r="D279" i="1"/>
  <c r="D326" i="1"/>
  <c r="D399" i="1"/>
  <c r="D338" i="1"/>
  <c r="D428" i="1"/>
  <c r="D299" i="1"/>
  <c r="D315" i="1"/>
  <c r="D209" i="1"/>
  <c r="D347" i="1"/>
  <c r="D289" i="1"/>
  <c r="D371" i="1"/>
  <c r="D396" i="1"/>
  <c r="D368" i="1"/>
  <c r="D429" i="1"/>
  <c r="D355" i="1"/>
  <c r="D432" i="1"/>
  <c r="D426" i="1"/>
  <c r="D336" i="1"/>
  <c r="D330" i="1"/>
  <c r="D199" i="1"/>
  <c r="D437" i="1"/>
  <c r="D350" i="1"/>
  <c r="D215" i="1"/>
  <c r="D310" i="1"/>
  <c r="D383" i="1"/>
  <c r="D322" i="1"/>
  <c r="D419" i="1"/>
  <c r="D413" i="1"/>
  <c r="D365" i="1"/>
  <c r="D281" i="1"/>
  <c r="D353" i="1"/>
  <c r="D200" i="1"/>
  <c r="D204" i="1"/>
  <c r="D280" i="1"/>
  <c r="D387" i="1"/>
  <c r="D420" i="1"/>
  <c r="D329" i="1"/>
  <c r="D339" i="1"/>
  <c r="D259" i="1"/>
  <c r="D267" i="1"/>
  <c r="D220" i="1"/>
  <c r="D284" i="1"/>
  <c r="D407" i="1"/>
  <c r="D297" i="1"/>
  <c r="D334" i="1"/>
  <c r="D183" i="1"/>
  <c r="D294" i="1"/>
  <c r="D367" i="1"/>
  <c r="D306" i="1"/>
  <c r="D416" i="1"/>
  <c r="D404" i="1"/>
  <c r="D356" i="1"/>
  <c r="D185" i="1"/>
  <c r="D412" i="1"/>
  <c r="D191" i="1"/>
  <c r="D441" i="1"/>
  <c r="D381" i="1"/>
  <c r="D379" i="1"/>
  <c r="D391" i="1"/>
  <c r="D237" i="1"/>
  <c r="D219" i="1"/>
  <c r="D318" i="1"/>
  <c r="D341" i="1"/>
  <c r="D230" i="1"/>
  <c r="D335" i="1"/>
  <c r="D277" i="1"/>
  <c r="D410" i="1"/>
  <c r="D395" i="1"/>
  <c r="D332" i="1"/>
  <c r="D333" i="1"/>
  <c r="D403" i="1"/>
  <c r="D188" i="1"/>
  <c r="D364" i="1"/>
  <c r="D444" i="1"/>
  <c r="D369" i="1"/>
  <c r="D397" i="1"/>
  <c r="D268" i="1"/>
  <c r="D331" i="1"/>
  <c r="D324" i="1"/>
  <c r="D321" i="1"/>
  <c r="D442" i="1"/>
  <c r="D358" i="1"/>
  <c r="D222" i="1"/>
  <c r="D286" i="1"/>
  <c r="D214" i="1"/>
  <c r="D319" i="1"/>
  <c r="D226" i="1"/>
  <c r="D401" i="1"/>
  <c r="D344" i="1"/>
  <c r="D323" i="1"/>
  <c r="D380" i="1"/>
  <c r="D435" i="1"/>
  <c r="D360" i="1"/>
  <c r="D388" i="1"/>
  <c r="D244" i="1"/>
  <c r="D366" i="1"/>
  <c r="D328" i="1"/>
  <c r="D288" i="1"/>
  <c r="D208" i="1"/>
  <c r="D206" i="1"/>
  <c r="D311" i="1"/>
  <c r="D357" i="1"/>
  <c r="D303" i="1"/>
  <c r="D210" i="1"/>
  <c r="D392" i="1"/>
  <c r="D320" i="1"/>
  <c r="D348" i="1"/>
  <c r="D375" i="1"/>
  <c r="D241" i="1"/>
  <c r="D433" i="1"/>
  <c r="D190" i="1"/>
  <c r="D389" i="1"/>
  <c r="D309" i="1"/>
  <c r="D274" i="1"/>
  <c r="D181" i="1"/>
  <c r="D377" i="1"/>
  <c r="D252" i="1"/>
  <c r="D314" i="1"/>
  <c r="D349" i="1"/>
  <c r="D269" i="1"/>
  <c r="D250" i="1"/>
  <c r="D249" i="1"/>
  <c r="D312" i="1"/>
  <c r="D301" i="1"/>
  <c r="D373" i="1"/>
  <c r="D343" i="1"/>
  <c r="D238" i="1"/>
  <c r="D223" i="1"/>
  <c r="D285" i="1"/>
  <c r="D243" i="1"/>
  <c r="D305" i="1"/>
  <c r="D376" i="1"/>
  <c r="D427" i="1"/>
  <c r="D325" i="1"/>
  <c r="D225" i="1"/>
  <c r="D232" i="1"/>
  <c r="D229" i="1"/>
  <c r="D213" i="1"/>
  <c r="D430" i="1"/>
  <c r="D207" i="1"/>
  <c r="D443" i="1"/>
  <c r="D276" i="1"/>
  <c r="D240" i="1"/>
  <c r="D296" i="1"/>
  <c r="D436" i="1"/>
  <c r="D361" i="1"/>
  <c r="D346" i="1"/>
  <c r="D256" i="1"/>
  <c r="D393" i="1"/>
  <c r="D406" i="1"/>
  <c r="D211" i="1"/>
  <c r="D275" i="1"/>
  <c r="H236" i="1"/>
  <c r="H241" i="1"/>
  <c r="D58" i="11"/>
  <c r="D77" i="11"/>
  <c r="D75" i="11"/>
  <c r="D73" i="11"/>
  <c r="D76" i="11"/>
  <c r="D72" i="11"/>
  <c r="D74" i="11"/>
  <c r="D71" i="11"/>
  <c r="D70" i="11"/>
  <c r="D69" i="11"/>
  <c r="D68" i="11"/>
  <c r="D67" i="11"/>
  <c r="D56" i="11"/>
  <c r="I90" i="1"/>
  <c r="H90" i="1" s="1"/>
  <c r="D109" i="1"/>
  <c r="D45" i="11"/>
  <c r="D32" i="11"/>
  <c r="D28" i="11"/>
  <c r="D47" i="11"/>
  <c r="D27" i="11"/>
  <c r="D31" i="11"/>
  <c r="D2" i="11"/>
  <c r="D13" i="11"/>
  <c r="D166" i="1"/>
  <c r="D42" i="11"/>
  <c r="D15" i="11"/>
  <c r="I382" i="1"/>
  <c r="H382" i="1" s="1"/>
  <c r="I356" i="1"/>
  <c r="I312" i="1"/>
  <c r="H312" i="1" s="1"/>
  <c r="D3" i="11"/>
  <c r="D44" i="11"/>
  <c r="D6" i="11"/>
  <c r="D4" i="11"/>
  <c r="D26" i="11"/>
  <c r="D39" i="11"/>
  <c r="D126" i="1"/>
  <c r="D23" i="11"/>
  <c r="D142" i="1"/>
  <c r="D37" i="11"/>
  <c r="D36" i="11"/>
  <c r="D59" i="11"/>
  <c r="D20" i="1"/>
  <c r="D39" i="1"/>
  <c r="D20" i="11"/>
  <c r="D55" i="1"/>
  <c r="D35" i="11"/>
  <c r="D30" i="11"/>
  <c r="D18" i="11"/>
  <c r="D52" i="11"/>
  <c r="D62" i="11"/>
  <c r="D58" i="1"/>
  <c r="D33" i="11"/>
  <c r="D55" i="11"/>
  <c r="D17" i="11"/>
  <c r="I344" i="1"/>
  <c r="H344" i="1" s="1"/>
  <c r="I328" i="1"/>
  <c r="H328" i="1" s="1"/>
  <c r="I298" i="1"/>
  <c r="H298" i="1" s="1"/>
  <c r="I282" i="1"/>
  <c r="H282" i="1" s="1"/>
  <c r="I266" i="1"/>
  <c r="H266" i="1" s="1"/>
  <c r="I252" i="1"/>
  <c r="H252" i="1" s="1"/>
  <c r="I236" i="1"/>
  <c r="I222" i="1"/>
  <c r="H222" i="1" s="1"/>
  <c r="I194" i="1"/>
  <c r="H194" i="1" s="1"/>
  <c r="I165" i="1"/>
  <c r="H165" i="1" s="1"/>
  <c r="I149" i="1"/>
  <c r="H149" i="1" s="1"/>
  <c r="I134" i="1"/>
  <c r="H134" i="1" s="1"/>
  <c r="I49" i="1"/>
  <c r="H49" i="1" s="1"/>
  <c r="I35" i="1"/>
  <c r="H35" i="1" s="1"/>
  <c r="I23" i="1"/>
  <c r="H23" i="1" s="1"/>
  <c r="I10" i="1"/>
  <c r="H10" i="1" s="1"/>
  <c r="D104" i="1"/>
  <c r="I435" i="1"/>
  <c r="H435" i="1" s="1"/>
  <c r="I420" i="1"/>
  <c r="H420" i="1" s="1"/>
  <c r="I404" i="1"/>
  <c r="I388" i="1"/>
  <c r="H388" i="1" s="1"/>
  <c r="I359" i="1"/>
  <c r="H359" i="1" s="1"/>
  <c r="I327" i="1"/>
  <c r="H327" i="1" s="1"/>
  <c r="I313" i="1"/>
  <c r="H313" i="1" s="1"/>
  <c r="I297" i="1"/>
  <c r="H297" i="1" s="1"/>
  <c r="I281" i="1"/>
  <c r="H281" i="1" s="1"/>
  <c r="I419" i="1"/>
  <c r="H419" i="1" s="1"/>
  <c r="I403" i="1"/>
  <c r="H403" i="1" s="1"/>
  <c r="I387" i="1"/>
  <c r="H387" i="1" s="1"/>
  <c r="I342" i="1"/>
  <c r="H342" i="1" s="1"/>
  <c r="I326" i="1"/>
  <c r="H326" i="1" s="1"/>
  <c r="I296" i="1"/>
  <c r="H296" i="1" s="1"/>
  <c r="I264" i="1"/>
  <c r="H264" i="1" s="1"/>
  <c r="I234" i="1"/>
  <c r="I207" i="1"/>
  <c r="H207" i="1" s="1"/>
  <c r="I192" i="1"/>
  <c r="H192" i="1" s="1"/>
  <c r="I178" i="1"/>
  <c r="H178" i="1" s="1"/>
  <c r="I163" i="1"/>
  <c r="H163" i="1" s="1"/>
  <c r="I147" i="1"/>
  <c r="H147" i="1" s="1"/>
  <c r="I109" i="1"/>
  <c r="H109" i="1" s="1"/>
  <c r="I100" i="1"/>
  <c r="H100" i="1" s="1"/>
  <c r="I88" i="1"/>
  <c r="H88" i="1" s="1"/>
  <c r="I76" i="1"/>
  <c r="H76" i="1" s="1"/>
  <c r="I61" i="1"/>
  <c r="H61" i="1" s="1"/>
  <c r="I47" i="1"/>
  <c r="H47" i="1" s="1"/>
  <c r="I21" i="1"/>
  <c r="H21" i="1" s="1"/>
  <c r="D157" i="1"/>
  <c r="D23" i="1"/>
  <c r="D140" i="1"/>
  <c r="D77" i="1"/>
  <c r="D54" i="1"/>
  <c r="D53" i="1"/>
  <c r="I341" i="1"/>
  <c r="H341" i="1" s="1"/>
  <c r="I325" i="1"/>
  <c r="H325" i="1" s="1"/>
  <c r="I311" i="1"/>
  <c r="H311" i="1" s="1"/>
  <c r="I295" i="1"/>
  <c r="H295" i="1" s="1"/>
  <c r="I263" i="1"/>
  <c r="H263" i="1" s="1"/>
  <c r="I249" i="1"/>
  <c r="H249" i="1" s="1"/>
  <c r="I177" i="1"/>
  <c r="H177" i="1" s="1"/>
  <c r="I162" i="1"/>
  <c r="H162" i="1" s="1"/>
  <c r="I131" i="1"/>
  <c r="H131" i="1" s="1"/>
  <c r="I99" i="1"/>
  <c r="H99" i="1" s="1"/>
  <c r="I87" i="1"/>
  <c r="H87" i="1" s="1"/>
  <c r="I75" i="1"/>
  <c r="H75" i="1" s="1"/>
  <c r="I60" i="1"/>
  <c r="H60" i="1" s="1"/>
  <c r="I46" i="1"/>
  <c r="H46" i="1" s="1"/>
  <c r="I34" i="1"/>
  <c r="H34" i="1" s="1"/>
  <c r="I20" i="1"/>
  <c r="H20" i="1" s="1"/>
  <c r="I8" i="1"/>
  <c r="H8" i="1" s="1"/>
  <c r="D98" i="1"/>
  <c r="D124" i="1"/>
  <c r="D38" i="1"/>
  <c r="D27" i="1"/>
  <c r="D96" i="1"/>
  <c r="I371" i="1"/>
  <c r="H371" i="1" s="1"/>
  <c r="I340" i="1"/>
  <c r="H340" i="1" s="1"/>
  <c r="I310" i="1"/>
  <c r="H310" i="1" s="1"/>
  <c r="I294" i="1"/>
  <c r="H294" i="1" s="1"/>
  <c r="I278" i="1"/>
  <c r="H278" i="1" s="1"/>
  <c r="I262" i="1"/>
  <c r="H262" i="1" s="1"/>
  <c r="I248" i="1"/>
  <c r="H248" i="1" s="1"/>
  <c r="I161" i="1"/>
  <c r="H161" i="1" s="1"/>
  <c r="I145" i="1"/>
  <c r="H145" i="1" s="1"/>
  <c r="I130" i="1"/>
  <c r="H130" i="1" s="1"/>
  <c r="I119" i="1"/>
  <c r="H119" i="1" s="1"/>
  <c r="I86" i="1"/>
  <c r="H86" i="1" s="1"/>
  <c r="I74" i="1"/>
  <c r="H74" i="1" s="1"/>
  <c r="I59" i="1"/>
  <c r="H59" i="1" s="1"/>
  <c r="I45" i="1"/>
  <c r="H45" i="1" s="1"/>
  <c r="I33" i="1"/>
  <c r="H33" i="1" s="1"/>
  <c r="I19" i="1"/>
  <c r="H19" i="1" s="1"/>
  <c r="I7" i="1"/>
  <c r="H7" i="1" s="1"/>
  <c r="D82" i="1"/>
  <c r="D7" i="1"/>
  <c r="D108" i="1"/>
  <c r="D161" i="1"/>
  <c r="D22" i="1"/>
  <c r="D11" i="1"/>
  <c r="D80" i="1"/>
  <c r="D21" i="1"/>
  <c r="I431" i="1"/>
  <c r="H431" i="1" s="1"/>
  <c r="I416" i="1"/>
  <c r="H416" i="1" s="1"/>
  <c r="I400" i="1"/>
  <c r="H400" i="1" s="1"/>
  <c r="I384" i="1"/>
  <c r="H384" i="1" s="1"/>
  <c r="I355" i="1"/>
  <c r="H355" i="1" s="1"/>
  <c r="I339" i="1"/>
  <c r="H339" i="1" s="1"/>
  <c r="I323" i="1"/>
  <c r="H323" i="1" s="1"/>
  <c r="I415" i="1"/>
  <c r="H415" i="1" s="1"/>
  <c r="I399" i="1"/>
  <c r="H399" i="1" s="1"/>
  <c r="I383" i="1"/>
  <c r="H383" i="1" s="1"/>
  <c r="I354" i="1"/>
  <c r="H354" i="1" s="1"/>
  <c r="I338" i="1"/>
  <c r="I322" i="1"/>
  <c r="H322" i="1" s="1"/>
  <c r="I292" i="1"/>
  <c r="H292" i="1" s="1"/>
  <c r="I276" i="1"/>
  <c r="H276" i="1" s="1"/>
  <c r="I260" i="1"/>
  <c r="H260" i="1" s="1"/>
  <c r="I246" i="1"/>
  <c r="H246" i="1" s="1"/>
  <c r="I232" i="1"/>
  <c r="H232" i="1" s="1"/>
  <c r="I218" i="1"/>
  <c r="H218" i="1" s="1"/>
  <c r="I204" i="1"/>
  <c r="H204" i="1" s="1"/>
  <c r="I189" i="1"/>
  <c r="H189" i="1" s="1"/>
  <c r="I174" i="1"/>
  <c r="H174" i="1" s="1"/>
  <c r="I159" i="1"/>
  <c r="H159" i="1" s="1"/>
  <c r="I143" i="1"/>
  <c r="H143" i="1" s="1"/>
  <c r="I128" i="1"/>
  <c r="H128" i="1" s="1"/>
  <c r="I117" i="1"/>
  <c r="H117" i="1" s="1"/>
  <c r="I97" i="1"/>
  <c r="H97" i="1" s="1"/>
  <c r="I84" i="1"/>
  <c r="H84" i="1" s="1"/>
  <c r="I72" i="1"/>
  <c r="H72" i="1" s="1"/>
  <c r="I57" i="1"/>
  <c r="H57" i="1" s="1"/>
  <c r="I31" i="1"/>
  <c r="H31" i="1" s="1"/>
  <c r="I17" i="1"/>
  <c r="H17" i="1" s="1"/>
  <c r="I6" i="1"/>
  <c r="H6" i="1" s="1"/>
  <c r="I337" i="1"/>
  <c r="H337" i="1" s="1"/>
  <c r="I307" i="1"/>
  <c r="H307" i="1" s="1"/>
  <c r="I291" i="1"/>
  <c r="H291" i="1" s="1"/>
  <c r="I275" i="1"/>
  <c r="H275" i="1" s="1"/>
  <c r="I259" i="1"/>
  <c r="H259" i="1" s="1"/>
  <c r="I245" i="1"/>
  <c r="I231" i="1"/>
  <c r="H231" i="1" s="1"/>
  <c r="I217" i="1"/>
  <c r="H217" i="1" s="1"/>
  <c r="I203" i="1"/>
  <c r="H203" i="1" s="1"/>
  <c r="I188" i="1"/>
  <c r="H188" i="1" s="1"/>
  <c r="I158" i="1"/>
  <c r="H158" i="1" s="1"/>
  <c r="I116" i="1"/>
  <c r="H116" i="1" s="1"/>
  <c r="I106" i="1"/>
  <c r="H106" i="1" s="1"/>
  <c r="I96" i="1"/>
  <c r="H96" i="1" s="1"/>
  <c r="I71" i="1"/>
  <c r="H71" i="1" s="1"/>
  <c r="I56" i="1"/>
  <c r="H56" i="1" s="1"/>
  <c r="I30" i="1"/>
  <c r="H30" i="1" s="1"/>
  <c r="I16" i="1"/>
  <c r="H16" i="1" s="1"/>
  <c r="I5" i="1"/>
  <c r="H5" i="1" s="1"/>
  <c r="D29" i="1"/>
  <c r="D152" i="1"/>
  <c r="D60" i="1"/>
  <c r="I444" i="1"/>
  <c r="H444" i="1" s="1"/>
  <c r="I428" i="1"/>
  <c r="H428" i="1" s="1"/>
  <c r="I367" i="1"/>
  <c r="H367" i="1" s="1"/>
  <c r="I336" i="1"/>
  <c r="H336" i="1" s="1"/>
  <c r="I321" i="1"/>
  <c r="H321" i="1" s="1"/>
  <c r="I306" i="1"/>
  <c r="H306" i="1" s="1"/>
  <c r="I290" i="1"/>
  <c r="H290" i="1" s="1"/>
  <c r="I274" i="1"/>
  <c r="H274" i="1" s="1"/>
  <c r="I258" i="1"/>
  <c r="H258" i="1" s="1"/>
  <c r="I230" i="1"/>
  <c r="H230" i="1" s="1"/>
  <c r="I216" i="1"/>
  <c r="H216" i="1" s="1"/>
  <c r="I202" i="1"/>
  <c r="H202" i="1" s="1"/>
  <c r="I187" i="1"/>
  <c r="H187" i="1" s="1"/>
  <c r="I173" i="1"/>
  <c r="H173" i="1" s="1"/>
  <c r="I157" i="1"/>
  <c r="H157" i="1" s="1"/>
  <c r="I126" i="1"/>
  <c r="H126" i="1" s="1"/>
  <c r="I115" i="1"/>
  <c r="H115" i="1" s="1"/>
  <c r="I95" i="1"/>
  <c r="H95" i="1" s="1"/>
  <c r="I55" i="1"/>
  <c r="H55" i="1" s="1"/>
  <c r="I42" i="1"/>
  <c r="H42" i="1" s="1"/>
  <c r="I443" i="1"/>
  <c r="H443" i="1" s="1"/>
  <c r="I335" i="1"/>
  <c r="H335" i="1" s="1"/>
  <c r="I305" i="1"/>
  <c r="H305" i="1" s="1"/>
  <c r="I289" i="1"/>
  <c r="H289" i="1" s="1"/>
  <c r="I273" i="1"/>
  <c r="H273" i="1" s="1"/>
  <c r="I257" i="1"/>
  <c r="H257" i="1" s="1"/>
  <c r="I243" i="1"/>
  <c r="I229" i="1"/>
  <c r="H229" i="1" s="1"/>
  <c r="I215" i="1"/>
  <c r="H215" i="1" s="1"/>
  <c r="I201" i="1"/>
  <c r="H201" i="1" s="1"/>
  <c r="I172" i="1"/>
  <c r="H172" i="1" s="1"/>
  <c r="I141" i="1"/>
  <c r="H141" i="1" s="1"/>
  <c r="I125" i="1"/>
  <c r="H125" i="1" s="1"/>
  <c r="I114" i="1"/>
  <c r="H114" i="1" s="1"/>
  <c r="I105" i="1"/>
  <c r="H105" i="1" s="1"/>
  <c r="I94" i="1"/>
  <c r="H94" i="1" s="1"/>
  <c r="I83" i="1"/>
  <c r="H83" i="1" s="1"/>
  <c r="I70" i="1"/>
  <c r="H70" i="1" s="1"/>
  <c r="I54" i="1"/>
  <c r="H54" i="1" s="1"/>
  <c r="I41" i="1"/>
  <c r="H41" i="1" s="1"/>
  <c r="D81" i="1"/>
  <c r="D168" i="1"/>
  <c r="I427" i="1"/>
  <c r="H427" i="1" s="1"/>
  <c r="I411" i="1"/>
  <c r="H411" i="1" s="1"/>
  <c r="I395" i="1"/>
  <c r="H395" i="1" s="1"/>
  <c r="I350" i="1"/>
  <c r="H350" i="1" s="1"/>
  <c r="I320" i="1"/>
  <c r="H320" i="1" s="1"/>
  <c r="I288" i="1"/>
  <c r="H288" i="1" s="1"/>
  <c r="I272" i="1"/>
  <c r="H272" i="1" s="1"/>
  <c r="I256" i="1"/>
  <c r="H256" i="1" s="1"/>
  <c r="I242" i="1"/>
  <c r="I228" i="1"/>
  <c r="H228" i="1" s="1"/>
  <c r="I214" i="1"/>
  <c r="H214" i="1" s="1"/>
  <c r="I200" i="1"/>
  <c r="H200" i="1" s="1"/>
  <c r="I155" i="1"/>
  <c r="H155" i="1" s="1"/>
  <c r="I140" i="1"/>
  <c r="H140" i="1" s="1"/>
  <c r="I124" i="1"/>
  <c r="H124" i="1" s="1"/>
  <c r="I113" i="1"/>
  <c r="H113" i="1" s="1"/>
  <c r="I93" i="1"/>
  <c r="H93" i="1" s="1"/>
  <c r="I69" i="1"/>
  <c r="H69" i="1" s="1"/>
  <c r="I53" i="1"/>
  <c r="H53" i="1" s="1"/>
  <c r="I27" i="1"/>
  <c r="H27" i="1" s="1"/>
  <c r="I3" i="1"/>
  <c r="H3" i="1" s="1"/>
  <c r="D151" i="1"/>
  <c r="D12" i="1"/>
  <c r="D65" i="1"/>
  <c r="D88" i="1"/>
  <c r="D155" i="1"/>
  <c r="I363" i="1"/>
  <c r="H363" i="1" s="1"/>
  <c r="I332" i="1"/>
  <c r="H332" i="1" s="1"/>
  <c r="I302" i="1"/>
  <c r="H302" i="1" s="1"/>
  <c r="I286" i="1"/>
  <c r="H286" i="1" s="1"/>
  <c r="I270" i="1"/>
  <c r="H270" i="1" s="1"/>
  <c r="I226" i="1"/>
  <c r="H226" i="1" s="1"/>
  <c r="I212" i="1"/>
  <c r="H212" i="1" s="1"/>
  <c r="I198" i="1"/>
  <c r="H198" i="1" s="1"/>
  <c r="I184" i="1"/>
  <c r="H184" i="1" s="1"/>
  <c r="I169" i="1"/>
  <c r="H169" i="1" s="1"/>
  <c r="I153" i="1"/>
  <c r="H153" i="1" s="1"/>
  <c r="I138" i="1"/>
  <c r="H138" i="1" s="1"/>
  <c r="I82" i="1"/>
  <c r="H82" i="1" s="1"/>
  <c r="I67" i="1"/>
  <c r="H67" i="1" s="1"/>
  <c r="I51" i="1"/>
  <c r="H51" i="1" s="1"/>
  <c r="I39" i="1"/>
  <c r="H39" i="1" s="1"/>
  <c r="I25" i="1"/>
  <c r="H25" i="1" s="1"/>
  <c r="I13" i="1"/>
  <c r="H13" i="1" s="1"/>
  <c r="D119" i="1"/>
  <c r="D146" i="1"/>
  <c r="D33" i="1"/>
  <c r="D150" i="1"/>
  <c r="D125" i="1"/>
  <c r="D139" i="1"/>
  <c r="I349" i="1"/>
  <c r="H349" i="1" s="1"/>
  <c r="I301" i="1"/>
  <c r="H301" i="1" s="1"/>
  <c r="I221" i="1"/>
  <c r="H221" i="1" s="1"/>
  <c r="I182" i="1"/>
  <c r="H182" i="1" s="1"/>
  <c r="I144" i="1"/>
  <c r="H144" i="1" s="1"/>
  <c r="I111" i="1"/>
  <c r="H111" i="1" s="1"/>
  <c r="I89" i="1"/>
  <c r="H89" i="1" s="1"/>
  <c r="I52" i="1"/>
  <c r="H52" i="1" s="1"/>
  <c r="I24" i="1"/>
  <c r="H24" i="1" s="1"/>
  <c r="D50" i="1"/>
  <c r="I408" i="1"/>
  <c r="H408" i="1" s="1"/>
  <c r="I347" i="1"/>
  <c r="I300" i="1"/>
  <c r="H300" i="1" s="1"/>
  <c r="I219" i="1"/>
  <c r="H219" i="1" s="1"/>
  <c r="I181" i="1"/>
  <c r="H181" i="1" s="1"/>
  <c r="I139" i="1"/>
  <c r="H139" i="1" s="1"/>
  <c r="I110" i="1"/>
  <c r="H110" i="1" s="1"/>
  <c r="I85" i="1"/>
  <c r="H85" i="1" s="1"/>
  <c r="I50" i="1"/>
  <c r="H50" i="1" s="1"/>
  <c r="I22" i="1"/>
  <c r="H22" i="1" s="1"/>
  <c r="D134" i="1"/>
  <c r="D91" i="1"/>
  <c r="D85" i="1"/>
  <c r="D26" i="1"/>
  <c r="D175" i="1"/>
  <c r="D25" i="1"/>
  <c r="D110" i="1"/>
  <c r="I197" i="1"/>
  <c r="H197" i="1" s="1"/>
  <c r="D153" i="1"/>
  <c r="I407" i="1"/>
  <c r="H407" i="1" s="1"/>
  <c r="I346" i="1"/>
  <c r="H346" i="1" s="1"/>
  <c r="I299" i="1"/>
  <c r="H299" i="1" s="1"/>
  <c r="I253" i="1"/>
  <c r="H253" i="1" s="1"/>
  <c r="I213" i="1"/>
  <c r="H213" i="1" s="1"/>
  <c r="I179" i="1"/>
  <c r="H179" i="1" s="1"/>
  <c r="I137" i="1"/>
  <c r="H137" i="1" s="1"/>
  <c r="I18" i="1"/>
  <c r="H18" i="1" s="1"/>
  <c r="D172" i="1"/>
  <c r="D118" i="1"/>
  <c r="D75" i="1"/>
  <c r="D69" i="1"/>
  <c r="D10" i="1"/>
  <c r="D159" i="1"/>
  <c r="D56" i="1"/>
  <c r="D9" i="1"/>
  <c r="D94" i="1"/>
  <c r="D147" i="1"/>
  <c r="D45" i="1"/>
  <c r="D47" i="1"/>
  <c r="I406" i="1"/>
  <c r="H406" i="1" s="1"/>
  <c r="I345" i="1"/>
  <c r="H345" i="1" s="1"/>
  <c r="I293" i="1"/>
  <c r="H293" i="1" s="1"/>
  <c r="I251" i="1"/>
  <c r="H251" i="1" s="1"/>
  <c r="I211" i="1"/>
  <c r="H211" i="1" s="1"/>
  <c r="I175" i="1"/>
  <c r="H175" i="1" s="1"/>
  <c r="I136" i="1"/>
  <c r="H136" i="1" s="1"/>
  <c r="I108" i="1"/>
  <c r="H108" i="1" s="1"/>
  <c r="I15" i="1"/>
  <c r="H15" i="1" s="1"/>
  <c r="D130" i="1"/>
  <c r="D156" i="1"/>
  <c r="D102" i="1"/>
  <c r="D59" i="1"/>
  <c r="D37" i="1"/>
  <c r="D143" i="1"/>
  <c r="D8" i="1"/>
  <c r="D78" i="1"/>
  <c r="D131" i="1"/>
  <c r="D154" i="1"/>
  <c r="D116" i="1"/>
  <c r="I2" i="1"/>
  <c r="H2" i="1" s="1"/>
  <c r="I333" i="1"/>
  <c r="H333" i="1" s="1"/>
  <c r="I287" i="1"/>
  <c r="H287" i="1" s="1"/>
  <c r="I247" i="1"/>
  <c r="H247" i="1" s="1"/>
  <c r="I210" i="1"/>
  <c r="H210" i="1" s="1"/>
  <c r="I135" i="1"/>
  <c r="H135" i="1" s="1"/>
  <c r="D114" i="1"/>
  <c r="D86" i="1"/>
  <c r="D5" i="1"/>
  <c r="D136" i="1"/>
  <c r="D127" i="1"/>
  <c r="D62" i="1"/>
  <c r="D115" i="1"/>
  <c r="I439" i="1"/>
  <c r="H439" i="1" s="1"/>
  <c r="I271" i="1"/>
  <c r="H271" i="1" s="1"/>
  <c r="I164" i="1"/>
  <c r="H164" i="1" s="1"/>
  <c r="I101" i="1"/>
  <c r="H101" i="1" s="1"/>
  <c r="I392" i="1"/>
  <c r="H392" i="1" s="1"/>
  <c r="I331" i="1"/>
  <c r="H331" i="1" s="1"/>
  <c r="I285" i="1"/>
  <c r="H285" i="1" s="1"/>
  <c r="I241" i="1"/>
  <c r="I209" i="1"/>
  <c r="H209" i="1" s="1"/>
  <c r="I170" i="1"/>
  <c r="H170" i="1" s="1"/>
  <c r="I133" i="1"/>
  <c r="H133" i="1" s="1"/>
  <c r="I104" i="1"/>
  <c r="H104" i="1" s="1"/>
  <c r="I81" i="1"/>
  <c r="H81" i="1" s="1"/>
  <c r="I44" i="1"/>
  <c r="H44" i="1" s="1"/>
  <c r="I12" i="1"/>
  <c r="H12" i="1" s="1"/>
  <c r="D76" i="1"/>
  <c r="D70" i="1"/>
  <c r="D160" i="1"/>
  <c r="D72" i="1"/>
  <c r="D111" i="1"/>
  <c r="D46" i="1"/>
  <c r="I73" i="1"/>
  <c r="H73" i="1" s="1"/>
  <c r="D97" i="1"/>
  <c r="D48" i="1"/>
  <c r="I391" i="1"/>
  <c r="H391" i="1" s="1"/>
  <c r="I330" i="1"/>
  <c r="H330" i="1" s="1"/>
  <c r="I284" i="1"/>
  <c r="H284" i="1" s="1"/>
  <c r="I239" i="1"/>
  <c r="I208" i="1"/>
  <c r="H208" i="1" s="1"/>
  <c r="I168" i="1"/>
  <c r="H168" i="1" s="1"/>
  <c r="I129" i="1"/>
  <c r="H129" i="1" s="1"/>
  <c r="I103" i="1"/>
  <c r="H103" i="1" s="1"/>
  <c r="I80" i="1"/>
  <c r="H80" i="1" s="1"/>
  <c r="I40" i="1"/>
  <c r="H40" i="1" s="1"/>
  <c r="I11" i="1"/>
  <c r="H11" i="1" s="1"/>
  <c r="D44" i="1"/>
  <c r="D145" i="1"/>
  <c r="D6" i="1"/>
  <c r="D120" i="1"/>
  <c r="D144" i="1"/>
  <c r="D95" i="1"/>
  <c r="D164" i="1"/>
  <c r="D30" i="1"/>
  <c r="D99" i="1"/>
  <c r="I390" i="1"/>
  <c r="H390" i="1" s="1"/>
  <c r="I329" i="1"/>
  <c r="H329" i="1" s="1"/>
  <c r="I283" i="1"/>
  <c r="H283" i="1" s="1"/>
  <c r="I238" i="1"/>
  <c r="I205" i="1"/>
  <c r="H205" i="1" s="1"/>
  <c r="I167" i="1"/>
  <c r="H167" i="1" s="1"/>
  <c r="I79" i="1"/>
  <c r="H79" i="1" s="1"/>
  <c r="I38" i="1"/>
  <c r="H38" i="1" s="1"/>
  <c r="D129" i="1"/>
  <c r="D13" i="1"/>
  <c r="D128" i="1"/>
  <c r="D141" i="1"/>
  <c r="D79" i="1"/>
  <c r="D148" i="1"/>
  <c r="D14" i="1"/>
  <c r="D83" i="1"/>
  <c r="I379" i="1"/>
  <c r="H379" i="1" s="1"/>
  <c r="I277" i="1"/>
  <c r="H277" i="1" s="1"/>
  <c r="I237" i="1"/>
  <c r="I199" i="1"/>
  <c r="H199" i="1" s="1"/>
  <c r="I166" i="1"/>
  <c r="H166" i="1" s="1"/>
  <c r="I123" i="1"/>
  <c r="H123" i="1" s="1"/>
  <c r="I102" i="1"/>
  <c r="H102" i="1" s="1"/>
  <c r="I77" i="1"/>
  <c r="H77" i="1" s="1"/>
  <c r="I37" i="1"/>
  <c r="H37" i="1" s="1"/>
  <c r="I9" i="1"/>
  <c r="H9" i="1" s="1"/>
  <c r="D113" i="1"/>
  <c r="D64" i="1"/>
  <c r="D170" i="1"/>
  <c r="D173" i="1"/>
  <c r="D63" i="1"/>
  <c r="D132" i="1"/>
  <c r="D169" i="1"/>
  <c r="D67" i="1"/>
  <c r="I377" i="1"/>
  <c r="H377" i="1" s="1"/>
  <c r="I235" i="1"/>
  <c r="H235" i="1" s="1"/>
  <c r="I122" i="1"/>
  <c r="H122" i="1" s="1"/>
  <c r="I36" i="1"/>
  <c r="H36" i="1" s="1"/>
  <c r="I438" i="1"/>
  <c r="H438" i="1" s="1"/>
  <c r="I376" i="1"/>
  <c r="H376" i="1" s="1"/>
  <c r="I319" i="1"/>
  <c r="H319" i="1" s="1"/>
  <c r="I269" i="1"/>
  <c r="H269" i="1" s="1"/>
  <c r="I196" i="1"/>
  <c r="H196" i="1" s="1"/>
  <c r="I160" i="1"/>
  <c r="H160" i="1" s="1"/>
  <c r="I68" i="1"/>
  <c r="H68" i="1" s="1"/>
  <c r="D49" i="1"/>
  <c r="D32" i="1"/>
  <c r="D138" i="1"/>
  <c r="D31" i="1"/>
  <c r="D100" i="1"/>
  <c r="D137" i="1"/>
  <c r="D51" i="1"/>
  <c r="I437" i="1"/>
  <c r="H437" i="1" s="1"/>
  <c r="I375" i="1"/>
  <c r="H375" i="1" s="1"/>
  <c r="I317" i="1"/>
  <c r="H317" i="1" s="1"/>
  <c r="I268" i="1"/>
  <c r="H268" i="1" s="1"/>
  <c r="I233" i="1"/>
  <c r="H233" i="1" s="1"/>
  <c r="I195" i="1"/>
  <c r="H195" i="1" s="1"/>
  <c r="I154" i="1"/>
  <c r="H154" i="1" s="1"/>
  <c r="I121" i="1"/>
  <c r="H121" i="1" s="1"/>
  <c r="I92" i="1"/>
  <c r="H92" i="1" s="1"/>
  <c r="I66" i="1"/>
  <c r="H66" i="1" s="1"/>
  <c r="I32" i="1"/>
  <c r="H32" i="1" s="1"/>
  <c r="D135" i="1"/>
  <c r="D17" i="1"/>
  <c r="D16" i="1"/>
  <c r="D122" i="1"/>
  <c r="D18" i="1"/>
  <c r="D15" i="1"/>
  <c r="D84" i="1"/>
  <c r="D121" i="1"/>
  <c r="D35" i="1"/>
  <c r="I364" i="1"/>
  <c r="H364" i="1" s="1"/>
  <c r="I316" i="1"/>
  <c r="H316" i="1" s="1"/>
  <c r="I227" i="1"/>
  <c r="H227" i="1" s="1"/>
  <c r="I193" i="1"/>
  <c r="H193" i="1" s="1"/>
  <c r="I152" i="1"/>
  <c r="H152" i="1" s="1"/>
  <c r="I65" i="1"/>
  <c r="H65" i="1" s="1"/>
  <c r="I29" i="1"/>
  <c r="H29" i="1" s="1"/>
  <c r="D103" i="1"/>
  <c r="D167" i="1"/>
  <c r="D165" i="1"/>
  <c r="D106" i="1"/>
  <c r="D24" i="1"/>
  <c r="D68" i="1"/>
  <c r="D105" i="1"/>
  <c r="I424" i="1"/>
  <c r="H424" i="1" s="1"/>
  <c r="I315" i="1"/>
  <c r="H315" i="1" s="1"/>
  <c r="I265" i="1"/>
  <c r="H265" i="1" s="1"/>
  <c r="I225" i="1"/>
  <c r="H225" i="1" s="1"/>
  <c r="I190" i="1"/>
  <c r="H190" i="1" s="1"/>
  <c r="I151" i="1"/>
  <c r="H151" i="1" s="1"/>
  <c r="I118" i="1"/>
  <c r="H118" i="1" s="1"/>
  <c r="I91" i="1"/>
  <c r="H91" i="1" s="1"/>
  <c r="I64" i="1"/>
  <c r="H64" i="1" s="1"/>
  <c r="I26" i="1"/>
  <c r="H26" i="1" s="1"/>
  <c r="D87" i="1"/>
  <c r="D162" i="1"/>
  <c r="D149" i="1"/>
  <c r="D90" i="1"/>
  <c r="D52" i="1"/>
  <c r="D89" i="1"/>
  <c r="D174" i="1"/>
  <c r="D19" i="1"/>
  <c r="D36" i="1"/>
  <c r="D74" i="1"/>
  <c r="I255" i="1"/>
  <c r="H255" i="1" s="1"/>
  <c r="I442" i="1"/>
  <c r="H442" i="1" s="1"/>
  <c r="I425" i="1"/>
  <c r="H425" i="1" s="1"/>
  <c r="I378" i="1"/>
  <c r="H378" i="1" s="1"/>
  <c r="D158" i="1"/>
  <c r="D71" i="1"/>
  <c r="I309" i="1"/>
  <c r="H309" i="1" s="1"/>
  <c r="I394" i="1"/>
  <c r="H394" i="1" s="1"/>
  <c r="I48" i="1"/>
  <c r="H48" i="1" s="1"/>
  <c r="D117" i="1"/>
  <c r="I429" i="1"/>
  <c r="H429" i="1" s="1"/>
  <c r="I365" i="1"/>
  <c r="H365" i="1" s="1"/>
  <c r="D66" i="1"/>
  <c r="I441" i="1"/>
  <c r="H441" i="1" s="1"/>
  <c r="D61" i="1"/>
  <c r="D133" i="1"/>
  <c r="I361" i="1"/>
  <c r="H361" i="1" s="1"/>
  <c r="D101" i="1"/>
  <c r="D3" i="1"/>
  <c r="D93" i="1"/>
  <c r="I362" i="1"/>
  <c r="H362" i="1" s="1"/>
  <c r="D163" i="1"/>
  <c r="D41" i="1"/>
  <c r="D40" i="1"/>
  <c r="I148" i="1"/>
  <c r="H148" i="1" s="1"/>
  <c r="I410" i="1"/>
  <c r="H410" i="1" s="1"/>
  <c r="I267" i="1"/>
  <c r="H267" i="1" s="1"/>
  <c r="I303" i="1"/>
  <c r="H303" i="1" s="1"/>
  <c r="D57" i="1"/>
  <c r="I150" i="1"/>
  <c r="H150" i="1" s="1"/>
  <c r="I422" i="1"/>
  <c r="H422" i="1" s="1"/>
  <c r="D73" i="1"/>
  <c r="D107" i="1"/>
  <c r="I58" i="1"/>
  <c r="H58" i="1" s="1"/>
  <c r="I423" i="1"/>
  <c r="H423" i="1" s="1"/>
  <c r="D123" i="1"/>
  <c r="I62" i="1"/>
  <c r="H62" i="1" s="1"/>
  <c r="I183" i="1"/>
  <c r="H183" i="1" s="1"/>
  <c r="I185" i="1"/>
  <c r="H185" i="1" s="1"/>
  <c r="I426" i="1"/>
  <c r="H426" i="1" s="1"/>
  <c r="I223" i="1"/>
  <c r="H223" i="1" s="1"/>
  <c r="D4" i="1"/>
  <c r="D42" i="1"/>
  <c r="D34" i="1"/>
  <c r="I224" i="1"/>
  <c r="H224" i="1" s="1"/>
  <c r="I433" i="1"/>
  <c r="H433" i="1" s="1"/>
  <c r="I386" i="1"/>
  <c r="H386" i="1" s="1"/>
  <c r="I369" i="1"/>
  <c r="H369" i="1" s="1"/>
  <c r="I360" i="1"/>
  <c r="I373" i="1"/>
  <c r="H373" i="1" s="1"/>
  <c r="I368" i="1"/>
  <c r="I206" i="1"/>
  <c r="H206" i="1" s="1"/>
  <c r="I191" i="1"/>
  <c r="H191" i="1" s="1"/>
  <c r="I142" i="1"/>
  <c r="H142" i="1" s="1"/>
  <c r="I132" i="1"/>
  <c r="H132" i="1" s="1"/>
  <c r="I127" i="1"/>
  <c r="H127" i="1" s="1"/>
  <c r="I78" i="1"/>
  <c r="H78" i="1" s="1"/>
  <c r="I63" i="1"/>
  <c r="H63" i="1" s="1"/>
  <c r="I14" i="1"/>
  <c r="H14" i="1" s="1"/>
  <c r="I4" i="1"/>
  <c r="H4" i="1" s="1"/>
  <c r="D57" i="11"/>
  <c r="D5" i="11"/>
  <c r="D16" i="11"/>
  <c r="D21" i="11"/>
  <c r="D11" i="11"/>
  <c r="D48" i="11"/>
  <c r="D22" i="11"/>
  <c r="D25" i="11"/>
  <c r="D46" i="11"/>
  <c r="D38" i="11"/>
  <c r="D41" i="11"/>
  <c r="D14" i="11"/>
  <c r="D24" i="11"/>
  <c r="D10" i="11"/>
  <c r="D51" i="11"/>
  <c r="D49" i="11"/>
  <c r="D40" i="11"/>
  <c r="D63" i="11"/>
  <c r="D12" i="11"/>
  <c r="D34" i="11"/>
  <c r="D8" i="11"/>
  <c r="D64" i="11"/>
  <c r="D53" i="11"/>
  <c r="D7" i="11"/>
  <c r="D50" i="11"/>
  <c r="D43" i="11"/>
  <c r="D61" i="11"/>
  <c r="D60" i="11"/>
  <c r="D54" i="11"/>
  <c r="D9" i="11"/>
  <c r="D19" i="11"/>
  <c r="D29" i="11"/>
  <c r="I445" i="1"/>
  <c r="H445" i="1" s="1"/>
  <c r="I436" i="1"/>
  <c r="I432" i="1"/>
  <c r="H432" i="1" s="1"/>
  <c r="I398" i="1"/>
  <c r="H398" i="1" s="1"/>
  <c r="I381" i="1"/>
  <c r="H381" i="1" s="1"/>
  <c r="I372" i="1"/>
  <c r="I250" i="1"/>
  <c r="H250" i="1" s="1"/>
  <c r="I240" i="1"/>
  <c r="J220" i="1"/>
  <c r="I220" i="1"/>
  <c r="I186" i="1"/>
  <c r="H186" i="1" s="1"/>
  <c r="I176" i="1"/>
  <c r="H176" i="1" s="1"/>
  <c r="D171" i="1"/>
  <c r="I171" i="1"/>
  <c r="H171" i="1" s="1"/>
  <c r="J156" i="1"/>
  <c r="I156" i="1"/>
  <c r="D112" i="1"/>
  <c r="I112" i="1"/>
  <c r="H112" i="1" s="1"/>
  <c r="I107" i="1"/>
  <c r="H107" i="1" s="1"/>
  <c r="D43" i="1"/>
  <c r="I43" i="1"/>
  <c r="H43" i="1" s="1"/>
  <c r="J28" i="1"/>
  <c r="I28" i="1"/>
  <c r="D28" i="1"/>
  <c r="I402" i="1"/>
  <c r="H402" i="1" s="1"/>
  <c r="I389" i="1"/>
  <c r="H389" i="1" s="1"/>
  <c r="I393" i="1"/>
  <c r="H393" i="1" s="1"/>
  <c r="I254" i="1"/>
  <c r="H254" i="1" s="1"/>
  <c r="I244" i="1"/>
  <c r="I180" i="1"/>
  <c r="H180" i="1" s="1"/>
  <c r="I385" i="1"/>
  <c r="H385" i="1" s="1"/>
  <c r="I414" i="1"/>
  <c r="H414" i="1" s="1"/>
  <c r="I397" i="1"/>
  <c r="H397" i="1" s="1"/>
  <c r="I418" i="1"/>
  <c r="H418" i="1" s="1"/>
  <c r="I401" i="1"/>
  <c r="H401" i="1" s="1"/>
  <c r="I334" i="1"/>
  <c r="H334" i="1" s="1"/>
  <c r="I324" i="1"/>
  <c r="H324" i="1" s="1"/>
  <c r="J280" i="1"/>
  <c r="I280" i="1"/>
  <c r="D176" i="1"/>
  <c r="D92" i="1"/>
  <c r="I405" i="1"/>
  <c r="H405" i="1" s="1"/>
  <c r="I358" i="1"/>
  <c r="H358" i="1" s="1"/>
  <c r="J348" i="1"/>
  <c r="J343" i="1"/>
  <c r="I343" i="1"/>
  <c r="I314" i="1"/>
  <c r="H314" i="1" s="1"/>
  <c r="I304" i="1"/>
  <c r="H304" i="1" s="1"/>
  <c r="I409" i="1"/>
  <c r="H409" i="1" s="1"/>
  <c r="I353" i="1"/>
  <c r="H353" i="1" s="1"/>
  <c r="I348" i="1"/>
  <c r="I430" i="1"/>
  <c r="H430" i="1" s="1"/>
  <c r="I413" i="1"/>
  <c r="H413" i="1" s="1"/>
  <c r="I366" i="1"/>
  <c r="H366" i="1" s="1"/>
  <c r="J279" i="1"/>
  <c r="I279" i="1"/>
  <c r="I434" i="1"/>
  <c r="H434" i="1" s="1"/>
  <c r="I417" i="1"/>
  <c r="H417" i="1" s="1"/>
  <c r="I370" i="1"/>
  <c r="H370" i="1" s="1"/>
  <c r="J352" i="1"/>
  <c r="I352" i="1"/>
  <c r="J347" i="1"/>
  <c r="I318" i="1"/>
  <c r="H318" i="1" s="1"/>
  <c r="I308" i="1"/>
  <c r="H308" i="1" s="1"/>
  <c r="I421" i="1"/>
  <c r="H421" i="1" s="1"/>
  <c r="I374" i="1"/>
  <c r="H374" i="1" s="1"/>
  <c r="I357" i="1"/>
  <c r="H357" i="1" s="1"/>
  <c r="I440" i="1"/>
  <c r="H440" i="1" s="1"/>
  <c r="I380" i="1"/>
  <c r="H380" i="1" s="1"/>
  <c r="I351" i="1"/>
  <c r="H351" i="1" s="1"/>
  <c r="I396" i="1"/>
  <c r="H396" i="1" s="1"/>
  <c r="I412" i="1"/>
  <c r="H412" i="1" s="1"/>
  <c r="J436" i="1"/>
  <c r="J372" i="1"/>
  <c r="J368" i="1"/>
  <c r="J360" i="1"/>
  <c r="J356" i="1"/>
  <c r="D65" i="11"/>
  <c r="H436" i="1" l="1"/>
  <c r="H280" i="1"/>
  <c r="H338" i="1"/>
  <c r="H372" i="1"/>
  <c r="H279" i="1"/>
  <c r="H356" i="1"/>
  <c r="H220" i="1"/>
  <c r="H360" i="1"/>
  <c r="H368" i="1"/>
  <c r="H347" i="1"/>
  <c r="H343" i="1"/>
  <c r="H352" i="1"/>
  <c r="H348" i="1"/>
  <c r="H404" i="1"/>
  <c r="H156" i="1"/>
  <c r="H28"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5FD6870-D6DB-DF44-9FF5-E3F92DF7482E}" name="testresults" type="6" refreshedVersion="8" background="1" saveData="1">
    <textPr sourceFile="/Users/frederik/Library/CloudStorage/OneDrive-StichtingOpenChargeAlliance/OCTT-certification/testresults.csv" comma="1">
      <textFields count="2">
        <textField/>
        <textField/>
      </textFields>
    </textPr>
  </connection>
</connections>
</file>

<file path=xl/sharedStrings.xml><?xml version="1.0" encoding="utf-8"?>
<sst xmlns="http://schemas.openxmlformats.org/spreadsheetml/2006/main" count="3267" uniqueCount="1494">
  <si>
    <t>Protocol Implementation Conformance Statement</t>
  </si>
  <si>
    <t>OCPP 2.0.1 Certification</t>
  </si>
  <si>
    <t>Date:</t>
  </si>
  <si>
    <t xml:space="preserve"> </t>
  </si>
  <si>
    <t>Instruction</t>
  </si>
  <si>
    <t>This document can be used by following these steps:</t>
  </si>
  <si>
    <r>
      <rPr>
        <sz val="12"/>
        <color rgb="FF000000"/>
        <rFont val="Calibri"/>
        <family val="2"/>
      </rPr>
      <t>Specify the hardware features of your Charging Station in column D of the tab "</t>
    </r>
    <r>
      <rPr>
        <i/>
        <sz val="12"/>
        <color rgb="FF000000"/>
        <rFont val="Calibri"/>
        <family val="2"/>
      </rPr>
      <t>Hardware Feature set</t>
    </r>
    <r>
      <rPr>
        <sz val="12"/>
        <color rgb="FF000000"/>
        <rFont val="Calibri"/>
        <family val="2"/>
      </rPr>
      <t>".</t>
    </r>
  </si>
  <si>
    <r>
      <rPr>
        <sz val="12"/>
        <color rgb="FF000000"/>
        <rFont val="Calibri"/>
        <family val="2"/>
      </rPr>
      <t>Select the Certification Profiles that you want to certify during your Certification run in column C of the tab "</t>
    </r>
    <r>
      <rPr>
        <i/>
        <sz val="12"/>
        <color rgb="FF000000"/>
        <rFont val="Calibri"/>
        <family val="2"/>
      </rPr>
      <t>Profile Selection</t>
    </r>
    <r>
      <rPr>
        <sz val="12"/>
        <color rgb="FF000000"/>
        <rFont val="Calibri"/>
        <family val="2"/>
      </rPr>
      <t>"</t>
    </r>
  </si>
  <si>
    <r>
      <t>Fill in the answer to the questions on the tab "</t>
    </r>
    <r>
      <rPr>
        <i/>
        <sz val="12"/>
        <color theme="1"/>
        <rFont val="Calibri"/>
        <family val="2"/>
        <scheme val="minor"/>
      </rPr>
      <t>Additional questions</t>
    </r>
    <r>
      <rPr>
        <sz val="12"/>
        <color theme="1"/>
        <rFont val="Calibri"/>
        <family val="2"/>
        <scheme val="minor"/>
      </rPr>
      <t>" (in column D)</t>
    </r>
  </si>
  <si>
    <r>
      <rPr>
        <sz val="12"/>
        <color rgb="FF000000"/>
        <rFont val="Calibri"/>
        <family val="2"/>
      </rPr>
      <t>Fill in all settings / limitations that are relevant for certification in the tab "</t>
    </r>
    <r>
      <rPr>
        <i/>
        <sz val="12"/>
        <color rgb="FF000000"/>
        <rFont val="Calibri"/>
        <family val="2"/>
      </rPr>
      <t>Other relevant settings</t>
    </r>
    <r>
      <rPr>
        <sz val="12"/>
        <color rgb="FF000000"/>
        <rFont val="Calibri"/>
        <family val="2"/>
      </rPr>
      <t>".</t>
    </r>
  </si>
  <si>
    <t>Hardware feature set</t>
  </si>
  <si>
    <t>Device Under Test </t>
  </si>
  <si>
    <t>&lt;type name and / or model number&gt; </t>
  </si>
  <si>
    <t>Id</t>
  </si>
  <si>
    <t>HFS-1</t>
  </si>
  <si>
    <t>Has a detachable cable</t>
  </si>
  <si>
    <t>Yes</t>
  </si>
  <si>
    <t>HFS-2</t>
  </si>
  <si>
    <t>Has a fixed cable</t>
  </si>
  <si>
    <t>HFS-3</t>
  </si>
  <si>
    <t>Has AC support </t>
  </si>
  <si>
    <t>No</t>
  </si>
  <si>
    <t>HFS-4</t>
  </si>
  <si>
    <t>Has DC support </t>
  </si>
  <si>
    <t>HFS-5</t>
  </si>
  <si>
    <t>Has 1 phase support</t>
  </si>
  <si>
    <t>HFS-6</t>
  </si>
  <si>
    <t>Has 2 phase support</t>
  </si>
  <si>
    <t>HFS-7</t>
  </si>
  <si>
    <t>Has 3 phase support</t>
  </si>
  <si>
    <t>HFS-8</t>
  </si>
  <si>
    <t>No. EVSEs</t>
  </si>
  <si>
    <t>Communication technology  </t>
  </si>
  <si>
    <t>RFID readers </t>
  </si>
  <si>
    <t>Optional features</t>
  </si>
  <si>
    <t xml:space="preserve">List of Optional Features is currently: </t>
  </si>
  <si>
    <t>  </t>
  </si>
  <si>
    <t>Id </t>
  </si>
  <si>
    <t>Feature</t>
  </si>
  <si>
    <t>Supported / present </t>
  </si>
  <si>
    <t>C-01</t>
  </si>
  <si>
    <t>&lt;-- This cell is based on a calculation: Local Authorization list profile supported OR C- 02="Yes" OR C-49="Yes"</t>
  </si>
  <si>
    <t>C-02</t>
  </si>
  <si>
    <t>C-03</t>
  </si>
  <si>
    <t>C-04</t>
  </si>
  <si>
    <t>C-06</t>
  </si>
  <si>
    <t>C-06.1</t>
  </si>
  <si>
    <t>C-06.2</t>
  </si>
  <si>
    <t>C-07</t>
  </si>
  <si>
    <t>C-08</t>
  </si>
  <si>
    <t>C-09</t>
  </si>
  <si>
    <t>C-09.1</t>
  </si>
  <si>
    <t>C-09.2</t>
  </si>
  <si>
    <t>C-09.3</t>
  </si>
  <si>
    <t>C-09.4</t>
  </si>
  <si>
    <t>C-09.5</t>
  </si>
  <si>
    <t>C-09.6</t>
  </si>
  <si>
    <t>C-10</t>
  </si>
  <si>
    <t>C-10.1</t>
  </si>
  <si>
    <t>C-10.2</t>
  </si>
  <si>
    <t>C-10.3</t>
  </si>
  <si>
    <t>C-10.4</t>
  </si>
  <si>
    <t>C-10.5</t>
  </si>
  <si>
    <t>C-12</t>
  </si>
  <si>
    <t>C-12.1</t>
  </si>
  <si>
    <t>C-12.2</t>
  </si>
  <si>
    <t>C-13</t>
  </si>
  <si>
    <t>C-14</t>
  </si>
  <si>
    <t>C-20</t>
  </si>
  <si>
    <t>C-21</t>
  </si>
  <si>
    <r>
      <t> </t>
    </r>
    <r>
      <rPr>
        <b/>
        <sz val="11"/>
        <color rgb="FF000000"/>
        <rFont val="Arial"/>
        <family val="2"/>
      </rPr>
      <t> </t>
    </r>
  </si>
  <si>
    <t>C-23</t>
  </si>
  <si>
    <t>C-25</t>
  </si>
  <si>
    <t>C-26</t>
  </si>
  <si>
    <t>C-28</t>
  </si>
  <si>
    <t>C-29</t>
  </si>
  <si>
    <t>C-29.1</t>
  </si>
  <si>
    <t>C-29.2</t>
  </si>
  <si>
    <t>C-29.3</t>
  </si>
  <si>
    <t>C-29.4</t>
  </si>
  <si>
    <t>C-29.5</t>
  </si>
  <si>
    <t>C-29.6</t>
  </si>
  <si>
    <t>Authorization options for local start </t>
  </si>
  <si>
    <t>C-30</t>
  </si>
  <si>
    <t>C-31</t>
  </si>
  <si>
    <t>C-32</t>
  </si>
  <si>
    <t>C-33</t>
  </si>
  <si>
    <t>C-34</t>
  </si>
  <si>
    <t>C-35</t>
  </si>
  <si>
    <t> Id </t>
  </si>
  <si>
    <r>
      <t>Authorization options for remote start</t>
    </r>
    <r>
      <rPr>
        <sz val="11"/>
        <color rgb="FF7030A0"/>
        <rFont val="Arial"/>
        <family val="2"/>
      </rPr>
      <t> </t>
    </r>
    <r>
      <rPr>
        <b/>
        <sz val="11"/>
        <color rgb="FF7030A0"/>
        <rFont val="Arial"/>
        <family val="2"/>
      </rPr>
      <t>*</t>
    </r>
  </si>
  <si>
    <t>Supported</t>
  </si>
  <si>
    <t>C-36</t>
  </si>
  <si>
    <t>C-37</t>
  </si>
  <si>
    <t>C-38</t>
  </si>
  <si>
    <t>C-39</t>
  </si>
  <si>
    <t>C-40</t>
  </si>
  <si>
    <t>{ list of supported } at least one</t>
  </si>
  <si>
    <t>* mandatory to support at least one </t>
  </si>
  <si>
    <t>C-41</t>
  </si>
  <si>
    <t>C-42</t>
  </si>
  <si>
    <t>C-43</t>
  </si>
  <si>
    <t>C-47</t>
  </si>
  <si>
    <t>C-48</t>
  </si>
  <si>
    <t>C-48.1</t>
  </si>
  <si>
    <t>C-48.2</t>
  </si>
  <si>
    <t>C-58</t>
  </si>
  <si>
    <t>C-49</t>
  </si>
  <si>
    <t>C-59</t>
  </si>
  <si>
    <t>C-51</t>
  </si>
  <si>
    <t>C-52</t>
  </si>
  <si>
    <t>C-53</t>
  </si>
  <si>
    <t>C-54</t>
  </si>
  <si>
    <t>C-56</t>
  </si>
  <si>
    <t>C-57</t>
  </si>
  <si>
    <t>C-60</t>
  </si>
  <si>
    <t>Certification Profile: Smart Charging </t>
  </si>
  <si>
    <t>SC-2</t>
  </si>
  <si>
    <t>SC-2.1</t>
  </si>
  <si>
    <t>SC-2.2</t>
  </si>
  <si>
    <t>AS-2</t>
  </si>
  <si>
    <t>AS-3</t>
  </si>
  <si>
    <t>Certification Profile: Reservation</t>
  </si>
  <si>
    <t>R-2</t>
  </si>
  <si>
    <t>R-3</t>
  </si>
  <si>
    <t>Certification Profile: Advanced Device Management </t>
  </si>
  <si>
    <t>DM-3</t>
  </si>
  <si>
    <t>ISO-3</t>
  </si>
  <si>
    <t>ISO-4</t>
  </si>
  <si>
    <t>LA-1</t>
  </si>
  <si>
    <t>LA-3</t>
  </si>
  <si>
    <t>UI-1</t>
  </si>
  <si>
    <t>UI-1.1</t>
  </si>
  <si>
    <t>UI-1.2</t>
  </si>
  <si>
    <t>UI-1.3</t>
  </si>
  <si>
    <t>UI-2</t>
  </si>
  <si>
    <t>UI-2.1</t>
  </si>
  <si>
    <t>UI-2.2</t>
  </si>
  <si>
    <t>UI-2.3</t>
  </si>
  <si>
    <t>UI-2.4</t>
  </si>
  <si>
    <t>Profile selection</t>
  </si>
  <si>
    <t>Certification Profile</t>
  </si>
  <si>
    <t>Description</t>
  </si>
  <si>
    <t>Core</t>
  </si>
  <si>
    <t>Basic Charging Station functionality for booting, authorization (incl. cache if available), configuration, transactions, remote control, including basic security.</t>
  </si>
  <si>
    <t>Advanced Security</t>
  </si>
  <si>
    <t>Support for TLS with client authentication.</t>
  </si>
  <si>
    <t>Local Authorization List Management</t>
  </si>
  <si>
    <t>Support for local authorization list management and optionally of an authorization cache.</t>
  </si>
  <si>
    <t>Smart Charging</t>
  </si>
  <si>
    <t>Support for Smart Charging (all profile types, including stacking), to control charging.</t>
  </si>
  <si>
    <t>Advanced Device Management</t>
  </si>
  <si>
    <t>Support for the OCPP Device Model and advanced logging and monitoring.</t>
  </si>
  <si>
    <t>Reservation</t>
  </si>
  <si>
    <t>Support for reservation of a connector of a Charging Station.</t>
  </si>
  <si>
    <t>Advanced User Interface</t>
  </si>
  <si>
    <t>Support for tariff &amp; cost and DisplayMessage functionality.</t>
  </si>
  <si>
    <t>ISO 15118 Support</t>
  </si>
  <si>
    <t>Support for ISO 15118 Smart Charging and Plug and Charge authorization.</t>
  </si>
  <si>
    <t>Additional questions</t>
  </si>
  <si>
    <t>Additional questions for lab testing </t>
  </si>
  <si>
    <t>AQ-1</t>
  </si>
  <si>
    <t>Can the last CSMSRootCertificate can be removed? </t>
  </si>
  <si>
    <t>AQ-2</t>
  </si>
  <si>
    <t>Does the Charging Station have a cable lock, which prevents the EV driver to connect the EV and EVSE before authorization? </t>
  </si>
  <si>
    <t>AQ-3</t>
  </si>
  <si>
    <t>Can the last ChargingStationCertificate be removed (via other means than OCPP)? </t>
  </si>
  <si>
    <t>AQ-4</t>
  </si>
  <si>
    <t>Is there at least one unsupported NumberOfPhases? </t>
  </si>
  <si>
    <t>AQ-5</t>
  </si>
  <si>
    <t>Does the Charging Station have at least one hardWired monitor? </t>
  </si>
  <si>
    <t>If yes, which hardWired monitor should be used for the certification test</t>
  </si>
  <si>
    <t>AQ-6</t>
  </si>
  <si>
    <t>Does the Charging Station have a pre-configured monitor?</t>
  </si>
  <si>
    <t>If yes, which pre-configured monitor should be used for the certification test</t>
  </si>
  <si>
    <t>AQ-7</t>
  </si>
  <si>
    <t>Is your Charging Station able to download firmware while there is an ongoing transaction?</t>
  </si>
  <si>
    <t>AQ-8</t>
  </si>
  <si>
    <t>Does your Charging Station enforce a selection of EVSE (by design) prior to authorization?</t>
  </si>
  <si>
    <t>Other relevant Settings</t>
  </si>
  <si>
    <t>Value </t>
  </si>
  <si>
    <t>ORS-1</t>
  </si>
  <si>
    <t>ItemsPerMessageGetReport </t>
  </si>
  <si>
    <t>… </t>
  </si>
  <si>
    <t>ORS-2</t>
  </si>
  <si>
    <t>ItemsPerMessageGetVariables </t>
  </si>
  <si>
    <t>ORS-3</t>
  </si>
  <si>
    <t>ItemsPerMessageSetVariables </t>
  </si>
  <si>
    <t>ORS-4</t>
  </si>
  <si>
    <t>BytesPerMessageGetReport </t>
  </si>
  <si>
    <t>ORS-5</t>
  </si>
  <si>
    <t>BytesPerMessageGetVariables </t>
  </si>
  <si>
    <t>ORS-6</t>
  </si>
  <si>
    <t>BytesPerMessageSetVariables </t>
  </si>
  <si>
    <t>ORS-7</t>
  </si>
  <si>
    <t>ORS-8</t>
  </si>
  <si>
    <t>ORS-9</t>
  </si>
  <si>
    <t>Minimum SampledDataTxUpdatedInterval supported </t>
  </si>
  <si>
    <t>ORS-10</t>
  </si>
  <si>
    <t>Maximum SampledDataTxUpdatedInterval supported  </t>
  </si>
  <si>
    <t>ORS-11</t>
  </si>
  <si>
    <t>Minimum HeartbeatInterval supported  </t>
  </si>
  <si>
    <t>ORS-12</t>
  </si>
  <si>
    <t>Maximum HeartbeatInterval supported </t>
  </si>
  <si>
    <t>ORS-14</t>
  </si>
  <si>
    <t>ORS-15</t>
  </si>
  <si>
    <t>ORS-16</t>
  </si>
  <si>
    <t>WebSocketPingInterval </t>
  </si>
  <si>
    <t>ORS-17</t>
  </si>
  <si>
    <t>CertificateEntries </t>
  </si>
  <si>
    <t>ORS-18</t>
  </si>
  <si>
    <t>MaxCertificateChainSize </t>
  </si>
  <si>
    <t>ORS-19</t>
  </si>
  <si>
    <t>LocalAuthListEntries </t>
  </si>
  <si>
    <t>ORS-20</t>
  </si>
  <si>
    <t>ItemsPerMessageSendLocalList </t>
  </si>
  <si>
    <t>ORS-21</t>
  </si>
  <si>
    <t>BytesPerMessageSendLocalList </t>
  </si>
  <si>
    <t>ORS-22</t>
  </si>
  <si>
    <t>ChargingProfileMaxStackLevel </t>
  </si>
  <si>
    <t>ORS-23</t>
  </si>
  <si>
    <t>PeriodsPerSchedule </t>
  </si>
  <si>
    <t>ORS-24</t>
  </si>
  <si>
    <t>Supported file transfer protocols </t>
  </si>
  <si>
    <t>ORS-25</t>
  </si>
  <si>
    <t>ItemsPerMessageSetVariableMonitoring </t>
  </si>
  <si>
    <t>ORS-26</t>
  </si>
  <si>
    <t>BytesPerMessageSetVariableMonitoring </t>
  </si>
  <si>
    <t>ORS-27</t>
  </si>
  <si>
    <t>NumberOfDisplayMessages </t>
  </si>
  <si>
    <t>Testcase</t>
  </si>
  <si>
    <t>Name</t>
  </si>
  <si>
    <t>Mandatory / Conditional</t>
  </si>
  <si>
    <t>Feature ID</t>
  </si>
  <si>
    <t>Feature Name</t>
  </si>
  <si>
    <t>Status</t>
  </si>
  <si>
    <t>Perform test for certification  (based on PICS)</t>
  </si>
  <si>
    <t xml:space="preserve">Perform test for certification </t>
  </si>
  <si>
    <t>Profile selected</t>
  </si>
  <si>
    <t>Mandatory test for a mandatory feature</t>
  </si>
  <si>
    <t>Mandatory for optional feature</t>
  </si>
  <si>
    <t>Possibly mandatory, depending on your system</t>
  </si>
  <si>
    <t>Performance measurement</t>
  </si>
  <si>
    <t>Name </t>
  </si>
  <si>
    <t>Unit </t>
  </si>
  <si>
    <t>Description </t>
  </si>
  <si>
    <t>seconds </t>
  </si>
  <si>
    <t>OCPP triggered function response time (asynchronous reporting) </t>
  </si>
  <si>
    <t>OCPP response time </t>
  </si>
  <si>
    <t>Please note: only 1 communication technology is measured for performance, so if multiple technologies available in a Charging Station, please select for which the measurements should be executed by the lab. </t>
  </si>
  <si>
    <t>Key</t>
  </si>
  <si>
    <t>Value (based on formula)</t>
  </si>
  <si>
    <t>Optional feature related</t>
  </si>
  <si>
    <t>Used</t>
  </si>
  <si>
    <t>Check features use</t>
  </si>
  <si>
    <t>NOT C-56</t>
  </si>
  <si>
    <t>C-40 and C-42</t>
  </si>
  <si>
    <t>AS-2 and C-47</t>
  </si>
  <si>
    <t>NOT C-13</t>
  </si>
  <si>
    <t>(C-30 or C-31 or C-32 or C-35) and NOT AQ-2</t>
  </si>
  <si>
    <t>C-30 or C-31 or C-32</t>
  </si>
  <si>
    <t>(C-30 or C-31 or C-32 or C-35) and AQ-2</t>
  </si>
  <si>
    <t>NOT AQ-2 and (C-30 or C-31 or C-32)</t>
  </si>
  <si>
    <t>C-30 or C-31 or C-32 or (C-48.1 and (C-36 or C-37))</t>
  </si>
  <si>
    <t>C-49 and (C-07 or C-08)</t>
  </si>
  <si>
    <t>C-49 and C-03</t>
  </si>
  <si>
    <t>NOT AQ-2 and (C-30 - C-35 or ISO 15118 support)</t>
  </si>
  <si>
    <t>C-30 - C-35 or ISO 15118 support</t>
  </si>
  <si>
    <t>C-09.1 and (C-51 or NOT C-09.6)</t>
  </si>
  <si>
    <t>C-09.2 and (C-30 - C-35 or ISO 15118 support)</t>
  </si>
  <si>
    <t>C-09.3 and (C-51 or NOT (C-09.1 or C-09.2 or C-09.6))</t>
  </si>
  <si>
    <t>C-09.4 and (C-51 or NOT (C-09.1 or C-09.2 or C-09.3 or C-09.6))</t>
  </si>
  <si>
    <t>C-09.5 and (C-51 or NOT (C-09.1 or C-09.2 or C-09.3 or C-09.4 or C-09.6))</t>
  </si>
  <si>
    <t>HFS-1 and C-10.1 and (C-52 or NOT (C-10.2 or C-10.3 or C-10.4))</t>
  </si>
  <si>
    <t>C-10.1 and (C-52 or NOT (C-10.3 or C-10.4))</t>
  </si>
  <si>
    <t>C-10.2 and (C-30 or C-31 or C-32 or C35)</t>
  </si>
  <si>
    <t>(C-10.2 or C-10.3) and (C-30 - C-35 or ISO 15118 support) and C-01</t>
  </si>
  <si>
    <t>(C-10.2 or C-10.3) and C-06.2</t>
  </si>
  <si>
    <t>C-10.3 and (C-52 or NOT C-10.2) and (C-30 or C-31 or C-32 or C35)</t>
  </si>
  <si>
    <t>C-10.3 and (C-52 or NOT C-10.2)</t>
  </si>
  <si>
    <t>C-10.3 and (C-52 or NOT (C-10.1 or C-10.4))</t>
  </si>
  <si>
    <t>C-10.4 and (C-52 or NOT (C-10.2 or C-10.3))</t>
  </si>
  <si>
    <t>C-10.5 and (C-52 or NOT (C-10.1 or C-10.2 or C-10.3 or C-10.4))</t>
  </si>
  <si>
    <t>C-30 or C-31 or C-32 or C35</t>
  </si>
  <si>
    <t>HFS-1 and C-06.2 and C-12.1</t>
  </si>
  <si>
    <t>C-06.2 and C-12.2</t>
  </si>
  <si>
    <t>(C-10.2 or C-10.5) and (C-52 or NOT (C-10.1 or C-10.3 or C-10.4)) and C-06.1 and C-12.2</t>
  </si>
  <si>
    <t>(C-10.2 or C-10.5) and (C-52 or NOT (C-10.1 or C-10.3 or C-10.4)) and C-06.1 and C-12.2 and HFS-2</t>
  </si>
  <si>
    <t>C-01 and (C-30 - C-35 or ISO 15118 support)</t>
  </si>
  <si>
    <t>AQ-2 and (C-36 -(or) C-39)</t>
  </si>
  <si>
    <t>C-48.1 and (C-36 -(or) C-39)</t>
  </si>
  <si>
    <t>C-48.2 and (C-36 -(or) C-39)</t>
  </si>
  <si>
    <t>See column 3/4</t>
  </si>
  <si>
    <t>NOT ISO-3</t>
  </si>
  <si>
    <t>NOT Smart Charging</t>
  </si>
  <si>
    <t>C-20 and NOT C-43</t>
  </si>
  <si>
    <t>(C-30 or C-31 or C-34) and (Local Authorization List Management or C-49)</t>
  </si>
  <si>
    <t>(C-30 or C-31 or C-34) and C-49</t>
  </si>
  <si>
    <t>NOT (UI-1.1 and UI-1.2 and UI-1.3)</t>
  </si>
  <si>
    <t>NOT (UI-2.1 and UI-2.2 and UI-2.3 and UI-2.4)</t>
  </si>
  <si>
    <t>(UI-1.1 and UI-1.2) or (UI-1.2 and UI-1.3) or (UI-1.3 and UI-1.1)</t>
  </si>
  <si>
    <t>NOT (HFS-5 and HFS-6 and HFS-7)</t>
  </si>
  <si>
    <t>NOT (SC-2.1 and SC-2.2)</t>
  </si>
  <si>
    <t>HFS-8 &gt; 1</t>
  </si>
  <si>
    <t>C-49 and (C-30 or C-31 or C-32)</t>
  </si>
  <si>
    <t>C-02 and (C-30 or C-31 or C-32)</t>
  </si>
  <si>
    <t>C-07 and (C-30 or C-31 or C-32)</t>
  </si>
  <si>
    <t>C-08 and (C-30 or C-31 or C-32)</t>
  </si>
  <si>
    <t>C-53 and (C-30 or C-31 or C-32)</t>
  </si>
  <si>
    <t>C-49 and (C-07 or C-08) and (C-30 or C-31 or C-32)</t>
  </si>
  <si>
    <t>C-49 and C-03 and (C-30 or C-31 or C-32)</t>
  </si>
  <si>
    <t>C-59 and C-49 and (C-30 or C-31 or C-32)</t>
  </si>
  <si>
    <t>LA-3 and (C-30 or C-31 or C-32)</t>
  </si>
  <si>
    <t>C-20 and NOT C-43 and AQ-7</t>
  </si>
  <si>
    <t>C-20 and NOT C-43 and NOT AQ-7</t>
  </si>
  <si>
    <t>C-40 and NOT AQ-8</t>
  </si>
  <si>
    <t>NOT C-60</t>
  </si>
  <si>
    <t xml:space="preserve">Name </t>
  </si>
  <si>
    <t>CS Status</t>
  </si>
  <si>
    <t>Additional root certificate check mechanism implemented (AdditionalRootCertificateCheck)</t>
  </si>
  <si>
    <t>Optional</t>
  </si>
  <si>
    <t>Update Charging Station Certificate - CertificateSignedRequest Timeout (CertSigningWaitMinimum,CertSigningRepeatTimes)</t>
  </si>
  <si>
    <t>Support for offline authorization of transactions</t>
  </si>
  <si>
    <t>Support for allowing Offline Authorization for Unknown Ids (OfflineTxForUnknownIdEnabled)</t>
  </si>
  <si>
    <t>Support for maximizing energy for invalid ids (MaxEnergyOnInvalidId)</t>
  </si>
  <si>
    <t>Support to limit StatusNotifications (MinimumStatusDuration)</t>
  </si>
  <si>
    <t>Authorization status after cable disconnected on EV side (StopTxOnEVSideDisconnect)</t>
  </si>
  <si>
    <t>Support for maintaining authorization when cable disconnected on EV side</t>
  </si>
  <si>
    <t>Support for not maintaining authorization when cable disconnected on EV side</t>
  </si>
  <si>
    <t>Support for using a Master Pass for charging stations with UI (MasterPassGroupId)</t>
  </si>
  <si>
    <t>Support for using a Master Pass for charging stations without UI (MasterPassGroupId)</t>
  </si>
  <si>
    <t>Supported Transaction Start points (TxStartPoint)</t>
  </si>
  <si>
    <t>Start transaction options - EVConnected</t>
  </si>
  <si>
    <t>Start transaction options - Authorized</t>
  </si>
  <si>
    <t>Start transaction options - DataSigned</t>
  </si>
  <si>
    <t>Start transaction options - PowerPathClosed</t>
  </si>
  <si>
    <t>Start transaction options - EnergyTransfer</t>
  </si>
  <si>
    <t>Start transaction options - ParkingBayOccupancy</t>
  </si>
  <si>
    <t>Supported Transaction Stop points (TxStopPoint)</t>
  </si>
  <si>
    <t>Stop transaction options - EVConnected</t>
  </si>
  <si>
    <t>Stop transaction options - Authorized</t>
  </si>
  <si>
    <t>Stop transaction options - PowerPathClosed</t>
  </si>
  <si>
    <t>Stop transaction options - EnergyTransfer</t>
  </si>
  <si>
    <t>Stop transaction options - ParkingBayOccupancy</t>
  </si>
  <si>
    <t>Unlocking of connector when cable disconnected on EV side (UnlockOnEVSideDisconnect)</t>
  </si>
  <si>
    <t>Support for unlocking connector when cable disconnected on EV side</t>
  </si>
  <si>
    <t>Support for not unlocking when cable disconnected on EV side</t>
  </si>
  <si>
    <t>Support for Reset per EVSE (AllowReset)</t>
  </si>
  <si>
    <t>Support for retrieving / deleting CustomerInformation - CustomerIdentifier</t>
  </si>
  <si>
    <t>Allowing New Sessions Pending a FirmwareUpdate (AllowNewSessionsPendingFirmwareUpdate )</t>
  </si>
  <si>
    <t>Support for queuing all or only Transaction related messages until they are delivered to the CSMS (QueueAllMessages)</t>
  </si>
  <si>
    <t>Time related settings</t>
  </si>
  <si>
    <t>Supported time sources (TimeSource)</t>
  </si>
  <si>
    <t>{ list } at least Heartbeat</t>
  </si>
  <si>
    <t>Support for setting a TimeOffset (TimeOffset)</t>
  </si>
  <si>
    <t>Support for setting the TimeZone (TimeZone)</t>
  </si>
  <si>
    <t>Toggle sending clock aligned meter values when a transaction is ongoing / Idle (AlignedDataSendDuringIdle)</t>
  </si>
  <si>
    <t>TriggerMessage</t>
  </si>
  <si>
    <t>Trigger message - MeterValues</t>
  </si>
  <si>
    <t>Trigger message - TransactionEvent</t>
  </si>
  <si>
    <t>Trigger message - LogStatusNotification</t>
  </si>
  <si>
    <t>Trigger message - FirmwareStatusNotification</t>
  </si>
  <si>
    <t>Trigger message - StatusNotification</t>
  </si>
  <si>
    <t>Trigger message - BootNotification</t>
  </si>
  <si>
    <t>Authorization options for local start</t>
  </si>
  <si>
    <t>Authorization - using RFID ISO14443</t>
  </si>
  <si>
    <t>Authorization - using RFID ISO15693</t>
  </si>
  <si>
    <t>Authorization - using KeyCode</t>
  </si>
  <si>
    <t>Authorization - using locally generated id</t>
  </si>
  <si>
    <t>Authorization - MacAddress</t>
  </si>
  <si>
    <t>Authorization - NoAuthorization</t>
  </si>
  <si>
    <t>Authorization options for remote start ([.underline]#mandatory# to support at least one)</t>
  </si>
  <si>
    <t>Authorization - using centrally, in the CSMS (or other server) generated id</t>
  </si>
  <si>
    <t>Supported Cipher Suites</t>
  </si>
  <si>
    <t>{ list of cipher suites } -&gt; at least one of + TLS_ECDHE_ECDSA_WITH_AES_128_GCM_SHA256 + TLS_ECDHE_ECDSA_WITH_AES_256_GCM_SHA384 + OR + TLS_RSA_WITH_AES_128_GCM_SHA256 + TLS_RSA_WITH_AES_256_GCM_SHA384</t>
  </si>
  <si>
    <t>Signed Metervalues (SampledDataSignReadings)</t>
  </si>
  <si>
    <t>Support for falling back to default OCPP reconnection mechanism when NetworkConnection profile connection has failed</t>
  </si>
  <si>
    <t>Authorization of remote start (AuthorizeRemoteStart)</t>
  </si>
  <si>
    <t>Option for authorization in case of a remote start</t>
  </si>
  <si>
    <t>Option for no authorization in case of a remote start</t>
  </si>
  <si>
    <t>Authorization Cache (AuthCacheEnabled)</t>
  </si>
  <si>
    <t>Configurable TxStartPoint</t>
  </si>
  <si>
    <t>Configurable TxStopPoint</t>
  </si>
  <si>
    <t>Support for lifetime cached token (AuthCacheLifeTime)</t>
  </si>
  <si>
    <t>Supported policies for replacing cached entries (AuthCachePolicy)</t>
  </si>
  <si>
    <t>Support for providing the SummaryInventory</t>
  </si>
  <si>
    <t>Support for cancelling ongoing log file upload</t>
  </si>
  <si>
    <t>Option for disabling remote authorization for cached invalid idTokens (AuthCacheDisablePostAuthorize)</t>
  </si>
  <si>
    <t>Support for cancelling ongoing firmware update</t>
  </si>
  <si>
    <t>Queue notifyEventRequest messages for specific severities (OfflineMonitoringEventQueuingSeverity)</t>
  </si>
  <si>
    <t>ISO 15118 support</t>
  </si>
  <si>
    <t>Combined charging station Certificate (for both OCPP and ISO 15118)</t>
  </si>
  <si>
    <t>Support for retrieving / deleting CustomerInformation - CustomerCertificate</t>
  </si>
  <si>
    <t>Authorization list support (LocalAuthListEnabled)</t>
  </si>
  <si>
    <t>Option for disabling remote authorization for invalid idTokens stored at the Local Authorization List (LocalAuthListDisablePostAuthorize)</t>
  </si>
  <si>
    <t>Support for reservation of unspecified EVSE (ReservationNonEvseSpecific)</t>
  </si>
  <si>
    <t>Reservation support (ReservationEnabled)</t>
  </si>
  <si>
    <t>Supported charging rate units (ChargingScheduleChargingRateUnit)</t>
  </si>
  <si>
    <t>A</t>
  </si>
  <si>
    <t>W</t>
  </si>
  <si>
    <t>Supported message priorities (DisplayMessageSupportedPriorities)</t>
  </si>
  <si>
    <t>AlwaysFront</t>
  </si>
  <si>
    <t>InFront</t>
  </si>
  <si>
    <t>NormalCycle</t>
  </si>
  <si>
    <t>Supported message formats (DisplayMessageSupportedFormats)</t>
  </si>
  <si>
    <t>ASCII</t>
  </si>
  <si>
    <t>HTML</t>
  </si>
  <si>
    <t>URI</t>
  </si>
  <si>
    <t>UTF8</t>
  </si>
  <si>
    <t>Helper</t>
  </si>
  <si>
    <t>TC_A_01_CS</t>
  </si>
  <si>
    <t>Basic Authentication - Valid username/password combination</t>
  </si>
  <si>
    <t>M</t>
  </si>
  <si>
    <t>TC_A_04_CS</t>
  </si>
  <si>
    <t>TLS - server-side certificate - Valid certificate</t>
  </si>
  <si>
    <t>TC_A_05_CS</t>
  </si>
  <si>
    <t>TLS - server-side certificate - Invalid certificate</t>
  </si>
  <si>
    <t>TC_A_06_CS</t>
  </si>
  <si>
    <t>TLS - server-side certificate - TLS version too low</t>
  </si>
  <si>
    <t>TC_A_07_CS</t>
  </si>
  <si>
    <t>TC_A_09_CS</t>
  </si>
  <si>
    <t>Update Charging Station Password for HTTP Basic Authentication - Accepted</t>
  </si>
  <si>
    <t>TC_A_10_CS</t>
  </si>
  <si>
    <t>Update Charging Station Password for HTTP Basic Authentication - Rejected</t>
  </si>
  <si>
    <t>TC_A_11_CS</t>
  </si>
  <si>
    <t>Update Charging Station Certificate by request of CSMS - Success - Charging Station Certificate</t>
  </si>
  <si>
    <t>TC_A_12_CS</t>
  </si>
  <si>
    <t>Update Charging Station Certificate by request of CSMS - Success - V2G Certificate</t>
  </si>
  <si>
    <t>TC_A_13_CS</t>
  </si>
  <si>
    <t>Update Charging Station Certificate by request of CSMS - Success - Combined Certificate</t>
  </si>
  <si>
    <t>C</t>
  </si>
  <si>
    <t>Combined Charging Station Certificate</t>
  </si>
  <si>
    <t>TC_A_14_CS</t>
  </si>
  <si>
    <t>Update Charging Station Certificate by request of CSMS - Invalid certificate</t>
  </si>
  <si>
    <t>TC_A_15_CS</t>
  </si>
  <si>
    <t>Update Charging Station Certificate by request of CSMS - SignCertificateRequest Rejected</t>
  </si>
  <si>
    <t>TC_A_19_CS</t>
  </si>
  <si>
    <t>Upgrade Charging Station Security Profile - Accepted</t>
  </si>
  <si>
    <t>TC_A_20_CS</t>
  </si>
  <si>
    <t>Upgrade Charging Station Security Profile - No valid CSMSRootCertificate installed</t>
  </si>
  <si>
    <t>TC_A_21_CS</t>
  </si>
  <si>
    <t>Upgrade Charging Station Security Profile - No valid ChargingStationCertificate installed</t>
  </si>
  <si>
    <t>TC_A_22_CS</t>
  </si>
  <si>
    <t>Upgrade Charging Station Security Profile - Downgrade security profile - Rejected</t>
  </si>
  <si>
    <t>TC_A_23_CS</t>
  </si>
  <si>
    <t>Update Charging Station Certificate by request of CSMS - CertificateSignedRequest Timeout</t>
  </si>
  <si>
    <t>TC_B_01_CS</t>
  </si>
  <si>
    <t>TC_B_02_CS</t>
  </si>
  <si>
    <t>C-44</t>
  </si>
  <si>
    <t>BootNotification Pending</t>
  </si>
  <si>
    <t>TC_B_03_CS</t>
  </si>
  <si>
    <t>TC_B_06_CS</t>
  </si>
  <si>
    <t>TC_B_07_CS</t>
  </si>
  <si>
    <t>C-45</t>
  </si>
  <si>
    <t>TC_B_09_CS</t>
  </si>
  <si>
    <t>TC_B_10_CS</t>
  </si>
  <si>
    <t>C-46</t>
  </si>
  <si>
    <t>TC_B_11_CS</t>
  </si>
  <si>
    <t>TC_B_12_CS</t>
  </si>
  <si>
    <t>C-17</t>
  </si>
  <si>
    <t>ConfigurationInventory</t>
  </si>
  <si>
    <t>TC_B_13_CS</t>
  </si>
  <si>
    <t>C-50.2</t>
  </si>
  <si>
    <t>GetBaseReport - FullInventory - Manual trigger</t>
  </si>
  <si>
    <t>TC_B_14_CS</t>
  </si>
  <si>
    <t>TC_B_15_CS</t>
  </si>
  <si>
    <t>Not C-56</t>
  </si>
  <si>
    <t>TC_B_16_CS</t>
  </si>
  <si>
    <t>TC_B_17_CS</t>
  </si>
  <si>
    <t>TC_B_18_CS</t>
  </si>
  <si>
    <t>TC_B_20_CS</t>
  </si>
  <si>
    <t>TC_B_21_CS</t>
  </si>
  <si>
    <t>TC_B_22_CS</t>
  </si>
  <si>
    <t>TC_B_23_CS</t>
  </si>
  <si>
    <t>TC_B_24_CS</t>
  </si>
  <si>
    <t>TC_B_25_CS</t>
  </si>
  <si>
    <t>Reset per EVSE</t>
  </si>
  <si>
    <t>TC_B_26_CS</t>
  </si>
  <si>
    <t>TC_B_27_CS</t>
  </si>
  <si>
    <t>TC_B_28_CS</t>
  </si>
  <si>
    <t>TC_B_29_CS</t>
  </si>
  <si>
    <t>TC_B_30_CS</t>
  </si>
  <si>
    <t>C-44 or NOT AQ-6</t>
  </si>
  <si>
    <t>BootNotification Pending or + Does the CSMS reject unknown Charging Stations during websocket connection setup?</t>
  </si>
  <si>
    <t>TC_B_32_CS</t>
  </si>
  <si>
    <t>TC_B_33_CS</t>
  </si>
  <si>
    <t>TC_B_34_CS</t>
  </si>
  <si>
    <t>TC_B_35_CS</t>
  </si>
  <si>
    <t>TC_B_36_CS</t>
  </si>
  <si>
    <t>TC_B_37_CS</t>
  </si>
  <si>
    <t>TC_B_39_CS</t>
  </si>
  <si>
    <t>TC_B_41_CS</t>
  </si>
  <si>
    <t>TC_B_43_CS</t>
  </si>
  <si>
    <t>Set new NetworkConnectionProfile - Rejected</t>
  </si>
  <si>
    <t>TC_B_45_CS</t>
  </si>
  <si>
    <t>Migrate to new ConnectionProfile - Success - Same CSMS Root</t>
  </si>
  <si>
    <t>TC_B_46_CS</t>
  </si>
  <si>
    <t>Migrate to new ConnectionProfile - Fallback mechanism - Same CSMS Root</t>
  </si>
  <si>
    <t>TC_B_47_CS</t>
  </si>
  <si>
    <t>Migrate to new ConnectionProfile - Fallback after NetworkProfileConnectionAttempts per NetworkConfigurationPriority failed - New CSMS Root - New CSMS</t>
  </si>
  <si>
    <t>Additional Root Certificate check mechanism implemented &amp; Reconnect after NetworkProfileConnectionAttempts</t>
  </si>
  <si>
    <t>TC_B_49_CS</t>
  </si>
  <si>
    <t>Migrate to new ConnectionProfile - Fallback after NetworkProfileConnectionAttempts per NetworkConfigurationPriority failed - Same CSMS Root</t>
  </si>
  <si>
    <t>Reconnect after NetworkProfileConnectionAttempts</t>
  </si>
  <si>
    <t>TC_B_50_CS</t>
  </si>
  <si>
    <t>Migrate to new ConnectionProfile - Success - New CSMS Root - New CSMS</t>
  </si>
  <si>
    <t>TC_B_51_CS</t>
  </si>
  <si>
    <t>Status change during offline period - &gt; Offline Threshold</t>
  </si>
  <si>
    <t>TC_B_52_CS</t>
  </si>
  <si>
    <t>Status change during offline period - &lt; Offline Threshold</t>
  </si>
  <si>
    <t>TC_B_53_CS</t>
  </si>
  <si>
    <t>TC_B_54_CS</t>
  </si>
  <si>
    <t>TC_B_55_CS</t>
  </si>
  <si>
    <t>TC_B_56_CS</t>
  </si>
  <si>
    <t>TC_B_57_CS</t>
  </si>
  <si>
    <t>TC_C_02_CS</t>
  </si>
  <si>
    <t>TC_C_04_CS</t>
  </si>
  <si>
    <t>Local Authorization - using RFID ISO14443 / RFID ISO15693 / KeyCode</t>
  </si>
  <si>
    <t>TC_C_05_CS</t>
  </si>
  <si>
    <t>Local Authorization - using RFID ISO14443 / RFID ISO15693 / KeyCode / NoAuthorization</t>
  </si>
  <si>
    <t>TC_C_06_CS</t>
  </si>
  <si>
    <t>TC_C_07_CS</t>
  </si>
  <si>
    <t>TC_C_08_CS</t>
  </si>
  <si>
    <t>Authorization through authorization cache - Accepted</t>
  </si>
  <si>
    <t>Authorization Cache</t>
  </si>
  <si>
    <t>TC_C_09_CS</t>
  </si>
  <si>
    <t>TC_C_10_CS</t>
  </si>
  <si>
    <t>Authorization through authorization cache - Blocked</t>
  </si>
  <si>
    <t>TC_C_11_CS</t>
  </si>
  <si>
    <t>Authorization through authorization cache - Expired</t>
  </si>
  <si>
    <t>TC_C_12_CS</t>
  </si>
  <si>
    <t>Authorization through authorization cache - Invalid &amp; Accepted</t>
  </si>
  <si>
    <t>TC_C_13_CS</t>
  </si>
  <si>
    <t>TC_C_15_CS</t>
  </si>
  <si>
    <t>Authorization Cache &amp; MaxEnergyOnInvalidId</t>
  </si>
  <si>
    <t>TC_C_16_CS</t>
  </si>
  <si>
    <t>TC_C_17_CS</t>
  </si>
  <si>
    <t>TC_C_18_CS</t>
  </si>
  <si>
    <t>TC_C_21_CS</t>
  </si>
  <si>
    <t>Offline authorization through local authorization list - Accepted</t>
  </si>
  <si>
    <t>TC_C_22_CS</t>
  </si>
  <si>
    <t>Offline authorization through local authorization list - Invalid</t>
  </si>
  <si>
    <t>TC_C_23_CS</t>
  </si>
  <si>
    <t>Offline authorization through local authorization list - Blocked</t>
  </si>
  <si>
    <t>TC_C_24_CS</t>
  </si>
  <si>
    <t>Offline authorization through local authorization list - Expired</t>
  </si>
  <si>
    <t>TC_C_25_CS</t>
  </si>
  <si>
    <t>Offline authorization through local authorization list - Local Authorization List &gt; Authorization Cache</t>
  </si>
  <si>
    <t>TC_C_26_CS</t>
  </si>
  <si>
    <t>Unknown Offline Authorization</t>
  </si>
  <si>
    <t>TC_C_27_CS</t>
  </si>
  <si>
    <t>Online authorization through local authorization list - Accepted</t>
  </si>
  <si>
    <t>TC_C_28_CS</t>
  </si>
  <si>
    <t>TC_C_29_CS</t>
  </si>
  <si>
    <t>Online authorization through local authorization list - Blocked</t>
  </si>
  <si>
    <t>TC_C_30_CS</t>
  </si>
  <si>
    <t>Online authorization through local authorization list - Expired</t>
  </si>
  <si>
    <t>TC_C_31_CS</t>
  </si>
  <si>
    <t>Online authorization through local authorization list - Invalid &amp; Accepted</t>
  </si>
  <si>
    <t>TC_C_32_CS</t>
  </si>
  <si>
    <t>Store Authorization Data in the Authorization Cache - Persistent over reboot</t>
  </si>
  <si>
    <t>TC_C_33_CS</t>
  </si>
  <si>
    <t>Store Authorization Data in the Authorization Cache - Update on AuthorizeResponse</t>
  </si>
  <si>
    <t>TC_C_34_CS</t>
  </si>
  <si>
    <t>Store Authorization Data in the Authorization Cache - Update on TransactionResponse</t>
  </si>
  <si>
    <t>TC_C_36_CS</t>
  </si>
  <si>
    <t>TC_C_37_CS</t>
  </si>
  <si>
    <t>Clear Authorization Data in Authorization Cache - Accepted</t>
  </si>
  <si>
    <t>TC_C_38_CS</t>
  </si>
  <si>
    <t>Clear Authorization Data in Authorization Cache - Rejected</t>
  </si>
  <si>
    <t>TC_C_39_CS</t>
  </si>
  <si>
    <t>Authorization by GroupId - Success</t>
  </si>
  <si>
    <t>TC_C_40_CS</t>
  </si>
  <si>
    <t>Authorization by GroupId - Success with Local Authorization List</t>
  </si>
  <si>
    <t>TC_C_41_CS</t>
  </si>
  <si>
    <t>Authorization by GroupId - Success with Authorization Cache</t>
  </si>
  <si>
    <t>TC_C_42_CS</t>
  </si>
  <si>
    <t>Authorization by GroupId - Not stopped by GroupId</t>
  </si>
  <si>
    <t>TC_C_43_CS</t>
  </si>
  <si>
    <t>Authorization by GroupId - Invalid status with Local Authorization List</t>
  </si>
  <si>
    <t>TC_C_44_CS</t>
  </si>
  <si>
    <t>Authorization by GroupId - Invalid status with Authorization Cache</t>
  </si>
  <si>
    <t>TC_C_45_CS</t>
  </si>
  <si>
    <t>Authorization by GroupId - Master pass - Not able to start transaction + groupId</t>
  </si>
  <si>
    <t>TC_C_46_CS</t>
  </si>
  <si>
    <t>Store Authorization Data in the Authorization Cache - AuthCacheLifeTime</t>
  </si>
  <si>
    <t>AuthCacheLifeTime</t>
  </si>
  <si>
    <t>TC_C_47_CS</t>
  </si>
  <si>
    <t>Stop Transaction with a Master Pass - With UI - All transactions</t>
  </si>
  <si>
    <t>Master Pass - With UI</t>
  </si>
  <si>
    <t>TC_C_48_CS</t>
  </si>
  <si>
    <t>TC_C_49_CS</t>
  </si>
  <si>
    <t>Stop Transaction with a Master Pass - Without UI</t>
  </si>
  <si>
    <t>Master Pass - Without UI</t>
  </si>
  <si>
    <t>TC_C_50_CS</t>
  </si>
  <si>
    <t>Authorization using Contract Certificates 15118 - Online - Local contract certificate validation - Accepted</t>
  </si>
  <si>
    <t>TC_C_51_CS</t>
  </si>
  <si>
    <t>Authorization using Contract Certificates 15118 - Online - Local contract certificate validation - Rejected</t>
  </si>
  <si>
    <t>TC_C_52_CS</t>
  </si>
  <si>
    <t>Authorization using Contract Certificates 15118 - Online - Central contract certificate validation - Accepted</t>
  </si>
  <si>
    <t>TC_C_53_CS</t>
  </si>
  <si>
    <t>TC_C_54_CS</t>
  </si>
  <si>
    <t>Authorization using Contract Certificates 15118 - Offline - ContractValidationOffline is true</t>
  </si>
  <si>
    <t>TC_C_55_CS</t>
  </si>
  <si>
    <t>Authorization using Contract Certificates 15118 - Offline - ContractValidationOffline is false</t>
  </si>
  <si>
    <t>TC_C_56_CS</t>
  </si>
  <si>
    <t>TC_C_57_CS</t>
  </si>
  <si>
    <t>Authorization through authorization cache - AuthCacheDisablePostAuthorize</t>
  </si>
  <si>
    <t>TC_C_58_CS</t>
  </si>
  <si>
    <t>Online authorization through local authorization list - LocalAuthListDisablePostAuthorize</t>
  </si>
  <si>
    <t>TC_D_01_CS</t>
  </si>
  <si>
    <t>Send Local Authorization List - Full</t>
  </si>
  <si>
    <t>TC_D_02_CS</t>
  </si>
  <si>
    <t>Send Local Authorization List - Differential Update</t>
  </si>
  <si>
    <t>TC_D_03_CS</t>
  </si>
  <si>
    <t>Send Local Authorization List - Differential Remove</t>
  </si>
  <si>
    <t>TC_D_04_CS</t>
  </si>
  <si>
    <t>Send Local Authorization List - Full with empy list</t>
  </si>
  <si>
    <t>TC_D_05_CS</t>
  </si>
  <si>
    <t>Send Local Authorization List - Differential with empty list</t>
  </si>
  <si>
    <t>TC_D_06_CS</t>
  </si>
  <si>
    <t>Send Local Authorization List - VersionMismatch</t>
  </si>
  <si>
    <t>TC_D_07_CS</t>
  </si>
  <si>
    <t>Send Local Authorization List - Persistent over reboot</t>
  </si>
  <si>
    <t>TC_D_08_CS</t>
  </si>
  <si>
    <t>Get Local List Version - Success</t>
  </si>
  <si>
    <t>LA-2</t>
  </si>
  <si>
    <t>GetLocalListVersion</t>
  </si>
  <si>
    <t>TC_D_10_CS</t>
  </si>
  <si>
    <t>Get Local List Version - Function disabled</t>
  </si>
  <si>
    <t>TC_E_01_CS</t>
  </si>
  <si>
    <t>Supported Transaction Start points</t>
  </si>
  <si>
    <t>TC_E_02_CS</t>
  </si>
  <si>
    <t>TC_E_03_CS</t>
  </si>
  <si>
    <t>Local start transaction - Cable plugin first - Success</t>
  </si>
  <si>
    <t>TC_E_04_CS</t>
  </si>
  <si>
    <t>Local start transaction - Authorization first - Success</t>
  </si>
  <si>
    <t>TC_E_05_CS</t>
  </si>
  <si>
    <t>Local start transaction - Authorization first - Cable plugin timeout</t>
  </si>
  <si>
    <t>TC_E_06_CS</t>
  </si>
  <si>
    <t>TC_E_07_CS</t>
  </si>
  <si>
    <t>Stop transaction options - PowerPathClosed - Local stop</t>
  </si>
  <si>
    <t>Supported Transaction Stop Points &amp; Local Authorization - using RFID ISO14443 / RFID ISO15693 / KeyCode / NoAuthorization</t>
  </si>
  <si>
    <t>TC_E_08_CS</t>
  </si>
  <si>
    <t>Stop transaction options - EnergyTransfer stopped - StopAuthorized</t>
  </si>
  <si>
    <t>Supported Transaction Stop points</t>
  </si>
  <si>
    <t>TC_E_09_CS</t>
  </si>
  <si>
    <t>TC_E_10_CS</t>
  </si>
  <si>
    <t>Start transaction options - Authorized - Local</t>
  </si>
  <si>
    <t>Supported Transaction Start Points &amp; Authorization options for local start &amp; Authorization - eMAID</t>
  </si>
  <si>
    <t>TC_E_11_CS</t>
  </si>
  <si>
    <t>TC_E_12_CS</t>
  </si>
  <si>
    <t>TC_E_13_CS</t>
  </si>
  <si>
    <t>Start transaction options - Authorized - Remote</t>
  </si>
  <si>
    <t>TC_E_14_CS</t>
  </si>
  <si>
    <t>Stop transaction options - EVDisconnected - Charging Station side</t>
  </si>
  <si>
    <t>TC_E_15_CS</t>
  </si>
  <si>
    <t>Stop transaction options - StopAuthorized - Local</t>
  </si>
  <si>
    <t>TC_E_16_CS</t>
  </si>
  <si>
    <t>Stop transaction options - Deauthorized - Invalid idToken</t>
  </si>
  <si>
    <t>Supported Transaction Stop Points &amp; Local Authorization options for local start &amp; Authorization - eMAID</t>
  </si>
  <si>
    <t>TC_E_17_CS</t>
  </si>
  <si>
    <t>Stop transaction options - Deauthorized - EV side disconnect</t>
  </si>
  <si>
    <t>TC_E_19_CS</t>
  </si>
  <si>
    <t>Stop transaction options - ParkingBayUnoccupied</t>
  </si>
  <si>
    <t>TC_E_20_CS</t>
  </si>
  <si>
    <t>TC_E_21_CS</t>
  </si>
  <si>
    <t>Stop transaction options - StopAuthorized - Remote</t>
  </si>
  <si>
    <t>TC_E_22_CS</t>
  </si>
  <si>
    <t>Stop transaction options - EnergyTransfer stopped - SuspendedEV</t>
  </si>
  <si>
    <t>TC_E_24_CS</t>
  </si>
  <si>
    <t>Support for not maintaining authorization when cable disconnected on EV side &amp; Support for unlocking connector when cable disconnected on EV side</t>
  </si>
  <si>
    <t>TC_E_25_CS</t>
  </si>
  <si>
    <t>Support for not maintaining authorization when cable disconnected on EV side &amp; Support for not unlocking connector when cable disconnected on EV side</t>
  </si>
  <si>
    <t>TC_E_26_CS</t>
  </si>
  <si>
    <t>Disconnect cable on EV-side - Suspend transaction</t>
  </si>
  <si>
    <t>TC_E_27_CS</t>
  </si>
  <si>
    <t>Disconnect cable on EV-side - Suspend transaction - Fixed cable connection timeout</t>
  </si>
  <si>
    <t>TC_E_28_CS</t>
  </si>
  <si>
    <t>Check Transaction status - TransactionId unknown</t>
  </si>
  <si>
    <t>TC_E_29_CS</t>
  </si>
  <si>
    <t>Check Transaction status - Transaction with id ongoing - with message in queue</t>
  </si>
  <si>
    <t>C-16</t>
  </si>
  <si>
    <t>Check TransactionStatus</t>
  </si>
  <si>
    <t>TC_E_30_CS</t>
  </si>
  <si>
    <t>Check Transaction status - Transaction with id ongoing - without message in queue</t>
  </si>
  <si>
    <t>TC_E_31_CS</t>
  </si>
  <si>
    <t>Check Transaction status - Transaction with id ended - with message in queue</t>
  </si>
  <si>
    <t>TC_E_32_CS</t>
  </si>
  <si>
    <t>Check Transaction status - Transaction with id ended - without message in queue</t>
  </si>
  <si>
    <t>TC_E_33_CS</t>
  </si>
  <si>
    <t>Check Transaction status - Without transactionId - with message in queue</t>
  </si>
  <si>
    <t>TC_E_34_CS</t>
  </si>
  <si>
    <t>Check Transaction status - Without transactionId - without message in queue</t>
  </si>
  <si>
    <t>TC_E_35_CS</t>
  </si>
  <si>
    <t>Stop transaction options - PowerPathClosed - Remote stop</t>
  </si>
  <si>
    <t>TC_E_37_CS</t>
  </si>
  <si>
    <t>Stop transaction options - PowerPathClosed - EV side disconnect</t>
  </si>
  <si>
    <t>TC_E_38_CS</t>
  </si>
  <si>
    <t>TC_E_39_CS</t>
  </si>
  <si>
    <t>Stop transaction options - Deauthorized - timeout</t>
  </si>
  <si>
    <t>TC_E_40_CS</t>
  </si>
  <si>
    <t>TC_E_41_CS</t>
  </si>
  <si>
    <t>Retry sending transaction message when failed - Max retry count reached</t>
  </si>
  <si>
    <t>TC_E_42_CS</t>
  </si>
  <si>
    <t>Retry sending transaction message when failed - Success before reaching the max retry count</t>
  </si>
  <si>
    <t>TC_E_43_CS</t>
  </si>
  <si>
    <t>TC_E_44_CS</t>
  </si>
  <si>
    <t>TC_E_45_CS</t>
  </si>
  <si>
    <t>TC_E_46_CS</t>
  </si>
  <si>
    <t>End of charging process 15118 - End of charging process 15118</t>
  </si>
  <si>
    <t>TC_E_50_CS</t>
  </si>
  <si>
    <t>Retry sending transaction message when failed - Max retry count reached - CallError</t>
  </si>
  <si>
    <t>TC_E_51_CS</t>
  </si>
  <si>
    <t>Retry sending transaction message when failed - Success before reaching the max retry count - CallError</t>
  </si>
  <si>
    <t>TC_E_52_CS</t>
  </si>
  <si>
    <t>Local start transaction - Authorization first - DisableRemoteAuthorization</t>
  </si>
  <si>
    <t>TC_F_01_CS</t>
  </si>
  <si>
    <t>Authorization options for remote start</t>
  </si>
  <si>
    <t>TC_F_02_CS</t>
  </si>
  <si>
    <t>TC_F_03_CS</t>
  </si>
  <si>
    <t>TC_F_04_CS</t>
  </si>
  <si>
    <t>TC_F_05_CS</t>
  </si>
  <si>
    <t>TC_F_06_CS</t>
  </si>
  <si>
    <t>TC_F_07_CS</t>
  </si>
  <si>
    <t>TC_F_08_CS</t>
  </si>
  <si>
    <t>Remote stop transaction - Success</t>
  </si>
  <si>
    <t>TC_F_09_CS</t>
  </si>
  <si>
    <t>Remote stop transaction - Rejected</t>
  </si>
  <si>
    <t>TC_F_10_CS</t>
  </si>
  <si>
    <t>TC_F_11_CS</t>
  </si>
  <si>
    <t>Trigger message - MeterValues - Specific EVSE</t>
  </si>
  <si>
    <t>TC_F_12_CS</t>
  </si>
  <si>
    <t>Trigger message - MeterValues - All EVSE</t>
  </si>
  <si>
    <t>TC_F_13_CS</t>
  </si>
  <si>
    <t>Trigger message - TransactionEvent - Specific EVSE</t>
  </si>
  <si>
    <t>TC_F_14_CS</t>
  </si>
  <si>
    <t>Trigger message - TransactionEvent - All EVSE</t>
  </si>
  <si>
    <t>TC_F_15_CS</t>
  </si>
  <si>
    <t>Trigger message - LogStatusNotification - Idle</t>
  </si>
  <si>
    <t>TC_F_16_CS</t>
  </si>
  <si>
    <t>Trigger message - LogStatusNotification - Uploading</t>
  </si>
  <si>
    <t>TC_F_17_CS</t>
  </si>
  <si>
    <t>Trigger message - FirmwareStatusNotification - Specific EVSE not relevant</t>
  </si>
  <si>
    <t>TC_F_18_CS</t>
  </si>
  <si>
    <t>Trigger message - FirmwareStatusNotification - Idle</t>
  </si>
  <si>
    <t>TC_F_19_CS</t>
  </si>
  <si>
    <t>Trigger message - FirmwareStatusNotification - Downloading</t>
  </si>
  <si>
    <t>TC_F_20_CS</t>
  </si>
  <si>
    <t>Trigger message - Heartbeat</t>
  </si>
  <si>
    <t>TC_F_23_CS</t>
  </si>
  <si>
    <t>Trigger message - StatusNotification - Specific EVSE - Available</t>
  </si>
  <si>
    <t>TC_F_24_CS</t>
  </si>
  <si>
    <t>Trigger message - StatusNotification - Specific EVSE - Occupied</t>
  </si>
  <si>
    <t>TC_F_26_CS</t>
  </si>
  <si>
    <t>Trigger message - BootNotification - Rejected</t>
  </si>
  <si>
    <t>TC_F_27_CS</t>
  </si>
  <si>
    <t>Trigger message - NotImplemented</t>
  </si>
  <si>
    <t>TC_G_01_CS</t>
  </si>
  <si>
    <t>TC_G_02_CS</t>
  </si>
  <si>
    <t>TC_G_03_CS</t>
  </si>
  <si>
    <t>TC_G_04_CS</t>
  </si>
  <si>
    <t>TC_G_05_CS</t>
  </si>
  <si>
    <t>TC_G_06_CS</t>
  </si>
  <si>
    <t>TC_G_07_CS</t>
  </si>
  <si>
    <t>TC_G_08_CS</t>
  </si>
  <si>
    <t>TC_G_09_CS</t>
  </si>
  <si>
    <t>TC_G_10_CS</t>
  </si>
  <si>
    <t>TC_G_11_CS</t>
  </si>
  <si>
    <t>TC_G_12_CS</t>
  </si>
  <si>
    <t>TC_G_13_CS</t>
  </si>
  <si>
    <t>TC_G_14_CS</t>
  </si>
  <si>
    <t>TC_G_15_CS</t>
  </si>
  <si>
    <t>TC_G_16_CS</t>
  </si>
  <si>
    <t>TC_G_17_CS</t>
  </si>
  <si>
    <t>TC_G_18_CS</t>
  </si>
  <si>
    <t>TC_G_19_CS</t>
  </si>
  <si>
    <t>TC_G_21_CS</t>
  </si>
  <si>
    <t>TC_H_01_CS</t>
  </si>
  <si>
    <t>TC_H_02_CS</t>
  </si>
  <si>
    <t>TC_H_03_CS</t>
  </si>
  <si>
    <t>Reserve a specific EVSE - Occupied - EVSE Reserved</t>
  </si>
  <si>
    <t>TC_H_04_CS</t>
  </si>
  <si>
    <t>Reserve a specific EVSE - Occupied - EVSE Occupied</t>
  </si>
  <si>
    <t>TC_H_06_CS</t>
  </si>
  <si>
    <t>Reserve a specific EVSE - Unavailable</t>
  </si>
  <si>
    <t>TC_H_07_CS</t>
  </si>
  <si>
    <t>Reserve a specific EVSE - Reservation Ended / not used</t>
  </si>
  <si>
    <t>TC_H_08_CS</t>
  </si>
  <si>
    <t>Reserve an unspecified EVSE - Accepted</t>
  </si>
  <si>
    <t>Support reservations of unspecified EVSE</t>
  </si>
  <si>
    <t>TC_H_09_CS</t>
  </si>
  <si>
    <t>Reserve an unspecified EVSE - Occupied - EVSE Reserved</t>
  </si>
  <si>
    <t>TC_H_10_CS</t>
  </si>
  <si>
    <t>Reserve an unspecified EVSE - Occupied - EVSE Occupied</t>
  </si>
  <si>
    <t>TC_H_12_CS</t>
  </si>
  <si>
    <t>Reserve an unspecified EVSE - Unavailable</t>
  </si>
  <si>
    <t>TC_H_13_CS</t>
  </si>
  <si>
    <t>Reserve an unspecified EVSE - Rejected</t>
  </si>
  <si>
    <t>TC_H_14_CS</t>
  </si>
  <si>
    <t>Reserve an unspecified EVSE - Amount of EVSEs available equals the amount of reservations</t>
  </si>
  <si>
    <t>TC_H_15_CS</t>
  </si>
  <si>
    <t>Reserve a connector with a specific type - Success</t>
  </si>
  <si>
    <t>TC_H_16_CS</t>
  </si>
  <si>
    <t>TC_H_17_CS</t>
  </si>
  <si>
    <t>Cancel reservation of an EVSE - Success</t>
  </si>
  <si>
    <t>TC_H_18_CS</t>
  </si>
  <si>
    <t>Cancel reservation of an EVSE - Rejected</t>
  </si>
  <si>
    <t>TC_H_19_CS</t>
  </si>
  <si>
    <t>TC_H_21_CS</t>
  </si>
  <si>
    <t>Cancel reservation of an EVSE - Charging Station cancels reservation when Unavailable</t>
  </si>
  <si>
    <t>TC_H_22_CS</t>
  </si>
  <si>
    <t>Reserve a specific EVSE - Configured to Reject</t>
  </si>
  <si>
    <t>TC_H_23_CS</t>
  </si>
  <si>
    <t>Reserve a specific EVSE - Replace reservation</t>
  </si>
  <si>
    <t>TC_H_24_CS</t>
  </si>
  <si>
    <t>Reserve an unspecified EVSE - GroupIdToken</t>
  </si>
  <si>
    <t>TC_I_01_CS</t>
  </si>
  <si>
    <t>Show costs to EV Driver - Show EV Driver running total cost during charging</t>
  </si>
  <si>
    <t>TC_I_02_CS</t>
  </si>
  <si>
    <t>Show costs to EV Driver - Show EV Driver Final Total Cost After Charging</t>
  </si>
  <si>
    <t>TC_I_07_CS</t>
  </si>
  <si>
    <t>Show costs to EV Driver - Show EV Driver running total cost during charging - transactionEventResponse</t>
  </si>
  <si>
    <t>TC_J_01_CS</t>
  </si>
  <si>
    <t>Clock-aligned Meter Values - No transaction ongoing</t>
  </si>
  <si>
    <t>Supported MeterValue Measurands</t>
  </si>
  <si>
    <t>TC_J_02_CS</t>
  </si>
  <si>
    <t>Clock-aligned Meter Values - Transaction ongoing</t>
  </si>
  <si>
    <t>TC_J_03_CS</t>
  </si>
  <si>
    <t>Clock-aligned Meter Values - EventType Ended</t>
  </si>
  <si>
    <t>TC_J_04_CS</t>
  </si>
  <si>
    <t>Clock-aligned Meter Values - Signed</t>
  </si>
  <si>
    <t>Supported MeterValue Measurands &amp; Signed Metervalues</t>
  </si>
  <si>
    <t>TC_J_06_CS</t>
  </si>
  <si>
    <t>AlignedDataSendDuringIdle</t>
  </si>
  <si>
    <t>TC_J_07_CS</t>
  </si>
  <si>
    <t>Sampled Meter Values - EventType Started - EVSE known</t>
  </si>
  <si>
    <t>TC_J_08_CS</t>
  </si>
  <si>
    <t>Supported MeterValue Measurands &amp; possibility to enforce EVSE being known.</t>
  </si>
  <si>
    <t>TC_J_09_CS</t>
  </si>
  <si>
    <t>Sampled Meter Values - EventType Updated</t>
  </si>
  <si>
    <t>TC_J_10_CS</t>
  </si>
  <si>
    <t>Sampled Meter Values - EventType Ended</t>
  </si>
  <si>
    <t>TC_J_11_CS</t>
  </si>
  <si>
    <t>Sampled Meter Values - Signed</t>
  </si>
  <si>
    <t>TC_K_01_CS</t>
  </si>
  <si>
    <t>TC_K_02_CS</t>
  </si>
  <si>
    <t>TC_K_03_CS</t>
  </si>
  <si>
    <t>TC_K_04_CS</t>
  </si>
  <si>
    <t>Replace charging profile - With chargingProfileId</t>
  </si>
  <si>
    <t>TC_K_05_CS</t>
  </si>
  <si>
    <t>Clear Charging Profile - With chargingProfileId</t>
  </si>
  <si>
    <t>TC_K_06_CS</t>
  </si>
  <si>
    <t>TC_K_07_CS</t>
  </si>
  <si>
    <t>TC_K_08_CS</t>
  </si>
  <si>
    <t>Clear Charging Profile - Without previous charging profile</t>
  </si>
  <si>
    <t>TC_K_09_CS</t>
  </si>
  <si>
    <t>Clear Charging Profile - Clearing a TxDefaultProfile - With ongoing transaction</t>
  </si>
  <si>
    <t>TC_K_10_CS</t>
  </si>
  <si>
    <t>SC-4</t>
  </si>
  <si>
    <t>Support for TxDefaultProfile on EVSEID #0</t>
  </si>
  <si>
    <t>TC_K_11_CS</t>
  </si>
  <si>
    <t>TC_K_12_CS</t>
  </si>
  <si>
    <t>TC_K_13_CS</t>
  </si>
  <si>
    <t>TC_K_14_CS</t>
  </si>
  <si>
    <t>TC_K_16_CS</t>
  </si>
  <si>
    <t>TC_K_19_CS</t>
  </si>
  <si>
    <t>TC_K_21_CS</t>
  </si>
  <si>
    <t>TC_K_22_CS</t>
  </si>
  <si>
    <t>TC_K_23_CS</t>
  </si>
  <si>
    <t>TC_K_24_CS</t>
  </si>
  <si>
    <t>TC_K_28_CS</t>
  </si>
  <si>
    <t>TC_K_29_CS</t>
  </si>
  <si>
    <t>Get Charging Profile - EvseId 0</t>
  </si>
  <si>
    <t>TC_K_30_CS</t>
  </si>
  <si>
    <t>Get Charging Profile - EvseId &gt; 0</t>
  </si>
  <si>
    <t>TC_K_31_CS</t>
  </si>
  <si>
    <t>Get Charging Profile - No EvseId</t>
  </si>
  <si>
    <t>TC_K_32_CS</t>
  </si>
  <si>
    <t>Get Charging Profile - chargingProfileId</t>
  </si>
  <si>
    <t>TC_K_33_CS</t>
  </si>
  <si>
    <t>Get Charging Profile - EvseId &gt; 0 + stackLevel</t>
  </si>
  <si>
    <t>TC_K_34_CS</t>
  </si>
  <si>
    <t>Get Charging Profile - EvseId &gt; 0 + chargingLimitSource</t>
  </si>
  <si>
    <t>TC_K_35_CS</t>
  </si>
  <si>
    <t>Get Charging Profile - EvseId &gt; 0 + chargingProfilePurpose</t>
  </si>
  <si>
    <t>TC_K_36_CS</t>
  </si>
  <si>
    <t>Get Charging Profile - EvseId &gt; 0 + chargingProfilePurpose + stackLevel</t>
  </si>
  <si>
    <t>TC_K_37_CS</t>
  </si>
  <si>
    <t>Remote start transaction with charging profile - Success</t>
  </si>
  <si>
    <t>TC_K_38_CS</t>
  </si>
  <si>
    <t>Remote start transaction with charging profile - Ignore chargingProfile</t>
  </si>
  <si>
    <t>TC_K_39_CS</t>
  </si>
  <si>
    <t>Get Composite Schedule - No ChargingProfile installed on Charging Station</t>
  </si>
  <si>
    <t>TC_K_40_CS</t>
  </si>
  <si>
    <t>Get Composite Schedule - Stacking ChargingProfiles</t>
  </si>
  <si>
    <t>ChargingRateUnit</t>
  </si>
  <si>
    <t>TC_K_41_CS</t>
  </si>
  <si>
    <t>TC_K_42_CS</t>
  </si>
  <si>
    <t>Get Composite Schedule - chargingRateUnit  not supported</t>
  </si>
  <si>
    <t>TC_K_47_CS</t>
  </si>
  <si>
    <t>Get Composite Schedule - Unknown EVSEId</t>
  </si>
  <si>
    <t>TC_K_53_CS</t>
  </si>
  <si>
    <t>Charging with load leveling based on High Level Communication - Success</t>
  </si>
  <si>
    <t>TC_K_54_CS</t>
  </si>
  <si>
    <t>Charging with load leveling based on High Level Communication - No SASchedule (rejected)</t>
  </si>
  <si>
    <t>TC_K_56_CS</t>
  </si>
  <si>
    <t>Charging with load leveling based on High Level Communication - Offline</t>
  </si>
  <si>
    <t>TC_K_57_CS</t>
  </si>
  <si>
    <t>Renegotiating a Charging Schedule - Initiated by EV</t>
  </si>
  <si>
    <t>TC_K_58_CS</t>
  </si>
  <si>
    <t>Renegotiating a Charging Schedule - Initiated by CSMS</t>
  </si>
  <si>
    <t>TC_K_60_CS</t>
  </si>
  <si>
    <t>TC_L_01_CS</t>
  </si>
  <si>
    <t>Secure Firmware Update - Installation successful</t>
  </si>
  <si>
    <t>TC_L_02_CS</t>
  </si>
  <si>
    <t>Secure Firmware Update - InstallScheduled</t>
  </si>
  <si>
    <t>C-15</t>
  </si>
  <si>
    <t>Scheduled firmware updates</t>
  </si>
  <si>
    <t>TC_L_03_CS</t>
  </si>
  <si>
    <t>Secure Firmware Update - DownloadScheduled</t>
  </si>
  <si>
    <t>TC_L_05_CS</t>
  </si>
  <si>
    <t>Secure Firmware Update - InvalidCertificate</t>
  </si>
  <si>
    <t>TC_L_06_CS</t>
  </si>
  <si>
    <t>Secure Firmware Update - InvalidSignature</t>
  </si>
  <si>
    <t>TC_L_07_CS</t>
  </si>
  <si>
    <t>Secure Firmware Update - DownloadFailed</t>
  </si>
  <si>
    <t>TC_L_08_CS</t>
  </si>
  <si>
    <t>TC_L_10_CS</t>
  </si>
  <si>
    <t>Secure Firmware Update - AcceptedCanceled</t>
  </si>
  <si>
    <t>TC_L_11_CS</t>
  </si>
  <si>
    <t>Secure Firmware Update - Unable to cancel</t>
  </si>
  <si>
    <t>TC_L_12_CS</t>
  </si>
  <si>
    <t>Secure Firmware Update - Unable to download/install firmware with ongoing transaction - AllowNewSessionsPendingFirmwareUpdate is false</t>
  </si>
  <si>
    <t>AllowNewSessionsPendingFirmwareUpdate</t>
  </si>
  <si>
    <t>TC_L_13_CS</t>
  </si>
  <si>
    <t>Secure Firmware Update - Unable to download/install firmware with ongoing transaction - AllowNewSessionsPendingFirmwareUpdate is true</t>
  </si>
  <si>
    <t>TC_L_14_CS</t>
  </si>
  <si>
    <t>TC_L_15_CS</t>
  </si>
  <si>
    <t>TC_L_16_CS</t>
  </si>
  <si>
    <t>Secure Firmware Update - Able to update firmware with ongoing transaction</t>
  </si>
  <si>
    <t>Install Firmware with ongoing transaction(s)</t>
  </si>
  <si>
    <t>TC_L_18_CS</t>
  </si>
  <si>
    <t>Secure Firmware Update - Missing firmware signing certificate and signature</t>
  </si>
  <si>
    <t>TC_M_01_CS</t>
  </si>
  <si>
    <t>Install CA certificate - CSMSRootCertificate</t>
  </si>
  <si>
    <t>TC_M_02_CS</t>
  </si>
  <si>
    <t>Install CA certificate - ManufacturerRootCertificate</t>
  </si>
  <si>
    <t>TC_M_03_CS</t>
  </si>
  <si>
    <t>Install CA certificate - V2GRootCertificate</t>
  </si>
  <si>
    <t>TC_M_04_CS</t>
  </si>
  <si>
    <t>Install CA certificate - MORootCertificate</t>
  </si>
  <si>
    <t>TC_M_07_CS</t>
  </si>
  <si>
    <t>Install CA certificate - Rejected - Certificate invalid</t>
  </si>
  <si>
    <t>TC_M_09_CS</t>
  </si>
  <si>
    <t>Install CA certificate - AdditionalRootCertificateCheck - Rejected</t>
  </si>
  <si>
    <t>Additional Root Certificate check mechanism implemented</t>
  </si>
  <si>
    <t>TC_M_12_CS</t>
  </si>
  <si>
    <t>Retrieve certificates from Charging Station - CSMSRootCertificate</t>
  </si>
  <si>
    <t>TC_M_13_CS</t>
  </si>
  <si>
    <t>Retrieve certificates from Charging Station - ManufacturerRootCertificate</t>
  </si>
  <si>
    <t>TC_M_14_CS</t>
  </si>
  <si>
    <t>Retrieve certificates from Charging Station - V2GRootCertificate</t>
  </si>
  <si>
    <t>TC_M_15_CS</t>
  </si>
  <si>
    <t>Retrieve certificates from Charging Station - V2GCertificateChain</t>
  </si>
  <si>
    <t>TC_M_16_CS</t>
  </si>
  <si>
    <t>Retrieve certificates from Charging Station - MORootCertificate</t>
  </si>
  <si>
    <t>TC_M_17_CS</t>
  </si>
  <si>
    <t>Retrieve certificates from Charging Station - CSMSRootCertificate &amp; ManufacturerRootCertificate</t>
  </si>
  <si>
    <t>TC_M_18_CS</t>
  </si>
  <si>
    <t>Retrieve certificates from Charging Station - All certificateTypes</t>
  </si>
  <si>
    <t>TC_M_19_CS</t>
  </si>
  <si>
    <t>Retrieve certificates from Charging Station - No matching certificate found</t>
  </si>
  <si>
    <t>TC_M_20_CS</t>
  </si>
  <si>
    <t>Delete a certificate from a Charging Station - Success</t>
  </si>
  <si>
    <t>TC_M_22_CS</t>
  </si>
  <si>
    <t>Delete a certificate from a Charging Station - No matching certificate found</t>
  </si>
  <si>
    <t>TC_M_23_CS</t>
  </si>
  <si>
    <t>Delete a certificate from a Charging Station - Unable to delete the Charging Station Certificate</t>
  </si>
  <si>
    <t>TC_M_24_CS</t>
  </si>
  <si>
    <t>Get Charging Station Certificate status - Success</t>
  </si>
  <si>
    <t>TC_M_25_CS</t>
  </si>
  <si>
    <t>Get Charging Station Certificate status - Rejected</t>
  </si>
  <si>
    <t>TC_M_26_CS</t>
  </si>
  <si>
    <t>TC_M_27_CS</t>
  </si>
  <si>
    <t>TC_M_28_CS</t>
  </si>
  <si>
    <t>TC_M_29_CS</t>
  </si>
  <si>
    <t>TC_M_30_CS</t>
  </si>
  <si>
    <t>Install CA certificate - AdditionalRootCertificateCheck - Reconnect using new CSMS Root - Success</t>
  </si>
  <si>
    <t>TC_M_31_CS</t>
  </si>
  <si>
    <t>Install CA certificate - AdditionalRootCertificateCheck - Reconnect using new CSMS Root - Fallback mechanism</t>
  </si>
  <si>
    <t>TC_N_01_CS</t>
  </si>
  <si>
    <t>TC_N_02_CS</t>
  </si>
  <si>
    <t>TC_N_03_CS</t>
  </si>
  <si>
    <t>TC_N_05_CS</t>
  </si>
  <si>
    <t>TC_N_06_CS</t>
  </si>
  <si>
    <t>Set Monitoring Base - test removal custom monitors</t>
  </si>
  <si>
    <t>TC_N_08_CS</t>
  </si>
  <si>
    <t>Set Variable Monitoring - One SetMonitoringData element</t>
  </si>
  <si>
    <t>TC_N_09_CS</t>
  </si>
  <si>
    <t>TC_N_10_CS</t>
  </si>
  <si>
    <t>TC_N_11_CS</t>
  </si>
  <si>
    <t>TC_N_12_CS</t>
  </si>
  <si>
    <t>TC_N_13_CS</t>
  </si>
  <si>
    <t>TC_N_15_CS</t>
  </si>
  <si>
    <t>Set Variable Monitoring - Duplicate Variable type/severity combination</t>
  </si>
  <si>
    <t>TC_N_16_CS</t>
  </si>
  <si>
    <t>Set Monitoring Level - Success</t>
  </si>
  <si>
    <t>TC_N_17_CS</t>
  </si>
  <si>
    <t>Set Monitoring Level - Out of range</t>
  </si>
  <si>
    <t>TC_N_18_CS</t>
  </si>
  <si>
    <t>TC_N_19_CS</t>
  </si>
  <si>
    <t>TC_N_20_CS</t>
  </si>
  <si>
    <t>TC_N_21_CS</t>
  </si>
  <si>
    <t>TC_N_22_CS</t>
  </si>
  <si>
    <t>OfflineMonitoringEventQueuingSeverity</t>
  </si>
  <si>
    <t>TC_N_23_CS</t>
  </si>
  <si>
    <t>TC_N_24_CS</t>
  </si>
  <si>
    <t>TC_N_25_CS</t>
  </si>
  <si>
    <t>Retrieve Log Information - Diagnostics Log - Success</t>
  </si>
  <si>
    <t>TC_N_26_CS</t>
  </si>
  <si>
    <t>TC_N_27_CS</t>
  </si>
  <si>
    <t>Get Customer Information - Accepted + data</t>
  </si>
  <si>
    <t>TC_N_28_CS</t>
  </si>
  <si>
    <t>Get Customer Information - Accepted + no data</t>
  </si>
  <si>
    <t>TC_N_30_CS</t>
  </si>
  <si>
    <t>Clear Customer Information - Clear and report + data</t>
  </si>
  <si>
    <t>TC_N_31_CS</t>
  </si>
  <si>
    <t>Clear Customer Information - Clear and report + no data</t>
  </si>
  <si>
    <t>TC_N_32_CS</t>
  </si>
  <si>
    <t>Clear Customer Information - Clear and no report</t>
  </si>
  <si>
    <t>TC_N_35_CS</t>
  </si>
  <si>
    <t>Retrieve Log Information - Security Log - Success</t>
  </si>
  <si>
    <t>TC_N_36_CS</t>
  </si>
  <si>
    <t>Retrieve Log Information - Second Request</t>
  </si>
  <si>
    <t>TC_N_37_CS</t>
  </si>
  <si>
    <t>Set Variable Monitoring - Unknown Variable</t>
  </si>
  <si>
    <t>TC_N_39_CS</t>
  </si>
  <si>
    <t>Set Variable Monitoring - Component/Variable combination does NOT correspond</t>
  </si>
  <si>
    <t>TC_N_40_CS</t>
  </si>
  <si>
    <t>Set Variable Monitoring - Replace Variable Monitor</t>
  </si>
  <si>
    <t>TC_N_41_CS</t>
  </si>
  <si>
    <t>TC_N_43_CS</t>
  </si>
  <si>
    <t>Set Variable Monitoring - First SetMonitoringData and third SetMonitoringData are valid, but the second contains an out of range value</t>
  </si>
  <si>
    <t>TC_N_44_CS</t>
  </si>
  <si>
    <t>TC_N_45_CS</t>
  </si>
  <si>
    <t>TC_N_47_CS</t>
  </si>
  <si>
    <t>TC_N_48_CS</t>
  </si>
  <si>
    <t>Alert Event - Variable monitoring on write only</t>
  </si>
  <si>
    <t>TC_N_51_CS</t>
  </si>
  <si>
    <t>TC_N_52_CS</t>
  </si>
  <si>
    <t>TC_N_53_CS</t>
  </si>
  <si>
    <t>Alert Event - Persistant over reboot</t>
  </si>
  <si>
    <t>TC_N_56_CS</t>
  </si>
  <si>
    <t>TC_N_62_CS</t>
  </si>
  <si>
    <t>Clear Customer Information - Clear and report - customerIdentifier</t>
  </si>
  <si>
    <t>TC_N_63_CS</t>
  </si>
  <si>
    <t>Clear Customer Information - Clear and report - customerCertificate</t>
  </si>
  <si>
    <t>TC_O_01_CS</t>
  </si>
  <si>
    <t>Set Display Message - Success</t>
  </si>
  <si>
    <t>UI-1 and UI-2</t>
  </si>
  <si>
    <t>Supported MessagePriorities &amp; Supported MessageFormats</t>
  </si>
  <si>
    <t>TC_O_02_CS</t>
  </si>
  <si>
    <t>Get all Display Messages - Success</t>
  </si>
  <si>
    <t>TC_O_03_CS</t>
  </si>
  <si>
    <t>Get all Display Messages - No DisplayMessages configured</t>
  </si>
  <si>
    <t>TC_O_04_CS</t>
  </si>
  <si>
    <t>TC_O_05_CS</t>
  </si>
  <si>
    <t>TC_O_06_CS</t>
  </si>
  <si>
    <t>Set Display Message - Specific transaction - Success</t>
  </si>
  <si>
    <t>TC_O_07_CS</t>
  </si>
  <si>
    <t>Get a Specific Display Message - Id</t>
  </si>
  <si>
    <t>TC_O_08_CS</t>
  </si>
  <si>
    <t>Get a Specific Display Message - Priority</t>
  </si>
  <si>
    <t>Supported MessagePriorities</t>
  </si>
  <si>
    <t>TC_O_09_CS</t>
  </si>
  <si>
    <t>Get a Specific Display Message - State</t>
  </si>
  <si>
    <t>TC_O_10_CS</t>
  </si>
  <si>
    <t>TC_O_11_CS</t>
  </si>
  <si>
    <t>TC_O_12_CS</t>
  </si>
  <si>
    <t>TC_O_13_CS</t>
  </si>
  <si>
    <t>Set Display Message - Display message at StartTime</t>
  </si>
  <si>
    <t>TC_O_14_CS</t>
  </si>
  <si>
    <t>Set Display Message - Remove message after EndTime</t>
  </si>
  <si>
    <t>TC_O_15_CS</t>
  </si>
  <si>
    <t>Set Display Message - Language preference of the EV Driver</t>
  </si>
  <si>
    <t>TC_O_17_CS</t>
  </si>
  <si>
    <t>Set Display Message - NotSupportedPriority</t>
  </si>
  <si>
    <t>TC_O_19_CS</t>
  </si>
  <si>
    <t>Set Display Message - NotSupportedMessageFormat</t>
  </si>
  <si>
    <t>TC_O_20_CS</t>
  </si>
  <si>
    <t>Set Display Message - Persistent over reboot</t>
  </si>
  <si>
    <t>TC_O_22_CS</t>
  </si>
  <si>
    <t>Set Display Message - Multiple In front priority</t>
  </si>
  <si>
    <t>Supported MessagePriorities InFront</t>
  </si>
  <si>
    <t>TC_O_24_CS</t>
  </si>
  <si>
    <t>Set Display Message - Second Alwaysfront priority</t>
  </si>
  <si>
    <t>Supported MessagePriorities AlwaysFront</t>
  </si>
  <si>
    <t>TC_O_27_CS</t>
  </si>
  <si>
    <t>Set Display Message - Specific transaction - Display message at StartTime</t>
  </si>
  <si>
    <t>TC_O_28_CS</t>
  </si>
  <si>
    <t>Set Display Message - Specific transaction - Remove message after EndTime</t>
  </si>
  <si>
    <t>TC_O_30_CS</t>
  </si>
  <si>
    <t>TC_O_32_CS</t>
  </si>
  <si>
    <t>TC_O_33_CS</t>
  </si>
  <si>
    <t>Get a Specific Display Message - No DisplayMessages configured</t>
  </si>
  <si>
    <t>TC_O_34_CS</t>
  </si>
  <si>
    <t>Get a Specific Display Message - Known Id, but not matching State</t>
  </si>
  <si>
    <t>TC_O_35_CS</t>
  </si>
  <si>
    <t>Get a Specific Display Message - Known Id, but not matching Priority</t>
  </si>
  <si>
    <t>TC_O_36_CS</t>
  </si>
  <si>
    <t>Set Display Message - State Charging</t>
  </si>
  <si>
    <t>TC_O_37_CS</t>
  </si>
  <si>
    <t>Set Display Message - State Idle</t>
  </si>
  <si>
    <t>TC_O_38_CS</t>
  </si>
  <si>
    <t>Set Display Message - State Unavailable</t>
  </si>
  <si>
    <t>TC_P_01_CS</t>
  </si>
  <si>
    <t>Data Transfer to the Charging Station - Rejected / Unknown VendorId / Unknown MessageId</t>
  </si>
  <si>
    <t>TC_P_03_CS</t>
  </si>
  <si>
    <t>Secure Firmware Update - InstallVerificationFailed or InstallationFailed</t>
  </si>
  <si>
    <t>C-10.1 and (C-52 or NOT (C-10.3 or C-10.4)) AND NOT (C-10.2 AND NOT C-52 AND NOT C-06.1)</t>
  </si>
  <si>
    <t>C-40 and NOT AQ-8 AND (C-09.2 OR C-09.6)</t>
  </si>
  <si>
    <t>(C-30 or C-31 or C-32) AND (C-07 OR C-08)</t>
  </si>
  <si>
    <t>NOT C-09.5</t>
  </si>
  <si>
    <t>(C-30 or C-31 or C-32) and (Local Authorization List Management or C-49)</t>
  </si>
  <si>
    <t>NOT C-43 and NOT AQ-7</t>
  </si>
  <si>
    <t>NOT C-43 and AQ-7</t>
  </si>
  <si>
    <t>AQ-9</t>
  </si>
  <si>
    <t>C-10.1 and (C-52 or NOT (C-10.3 or C-10.4)) AND NOT (C-10.2 AND NOT C-52 AND (NOT C-06.1 OR NOT AQ-9))</t>
  </si>
  <si>
    <t>(C-10.2 or C-10.3) and C-06.2 and AQ-9</t>
  </si>
  <si>
    <t>HFS-1 and C-06.2 and C-12.1 and AQ-9</t>
  </si>
  <si>
    <t>C-06.2 and C-12.2 and AQ-9</t>
  </si>
  <si>
    <t>(C-10.2 or C-10.5) and (C-52 or NOT (C-10.1 or C-10.3 or C-10.4)) and C-06.1 and C-12.2 and AQ-9</t>
  </si>
  <si>
    <t>(C-10.2 or C-10.5) and (C-52 or NOT (C-10.1 or C-10.3 or C-10.4)) and C-06.1 and C-12.2 and HFS-2 and AQ-9</t>
  </si>
  <si>
    <t>Does your Charging Station support charging an EV using IEC 61851-1 (Mode 3)?</t>
  </si>
  <si>
    <t>Stop transaction options - EVDisconnected - EV side (not able to charge IEC 61851-1 EV)</t>
  </si>
  <si>
    <t>Local Authorization - using RFID ISO14443 / RFID ISO15693 / KeyCode and Master Pass</t>
  </si>
  <si>
    <t>(C-30 or C-31 or C-32) AND (Local Authorization List Management or C-49)</t>
  </si>
  <si>
    <t>Local Authorization - using RFID ISO14443 / RFID ISO15693 / KeyCode and Local Authorization List or Authorization Cache</t>
  </si>
  <si>
    <t>C-10.1 and (C-52 or NOT (C-10.3 or C-10.4)) AND NOT (C-10.2 AND NOT C-52 AND NOT C-06.1) AND AQ-9</t>
  </si>
  <si>
    <t>C-10.1 and (C-52 or NOT (C-10.3 or C-10.4)) AND NOT (C-10.2 AND NOT C-52) AND (HFS-4 OR ISO15118 support)</t>
  </si>
  <si>
    <t>NOT AQ-2 and (C-36 -(or) C-39)</t>
  </si>
  <si>
    <t>C-10.1 and (C-52 or NOT (C-10.3 or C-10.4)) AND NOT (C-10.2 AND NOT C-52 AND NOT C-06.1) AND (AQ-9 OR Product Subtype "Mode 1/2-only Charging Station")</t>
  </si>
  <si>
    <t>C-06.2 and C-12.2 and (AQ-9 OR Product Subtype "Mode 1/2-only Charging Station")</t>
  </si>
  <si>
    <t>HFS-1 and C-06.2 and C-12.1 and AQ-9 and NOT Product Subtype "Mode 1/2-only Charging Station"</t>
  </si>
  <si>
    <t>(C-10.2 or C-10.5) and (C-52 or NOT (C-10.1 or C-10.3 or C-10.4)) and C-06.1 and C-12.2 and AQ-9 and NOT Product Subtype "Mode 1/2-only Charging Station"</t>
  </si>
  <si>
    <t>(C-10.2 or C-10.5) and (C-52 or NOT (C-10.1 or C-10.3 or C-10.4)) and C-06.1 and C-12.2 and HFS-2 and AQ-9 and NOT Product Subtype "Mode 1/2-only Charging Station"</t>
  </si>
  <si>
    <t>NOT C-09.5 and NOT Product Subtype "Mode 1/2-only Charging Station"</t>
  </si>
  <si>
    <t>C-10.1 and (C-52 or NOT (C-10.3 or C-10.4)) AND NOT (C-10.2 AND NOT C-52) AND (HFS-4 OR ISO15118 support) and NOT Product Subtype "Mode 1/2-only Charging Station"</t>
  </si>
  <si>
    <t>HFS-1 and NOT Product Subtype "Mode 1/2-only Charging Station"</t>
  </si>
  <si>
    <t>Product Subtype</t>
  </si>
  <si>
    <t>See column 3/4 -&gt; old formula</t>
  </si>
  <si>
    <t>Stop transaction options - EVDisconnected - EV side (able to charge IEC 61851-1 EV)</t>
  </si>
  <si>
    <t>TC_E_54_CS</t>
  </si>
  <si>
    <t>C-10.3 and (C-52 or NOT (C-10.1 or C-10.4)) AND (AQ-9 OR Product Subtype "Mode 1/2-only Charging Station")</t>
  </si>
  <si>
    <t>C-20 and NOT C-43 and AQ-7 and HFS-8 &gt; 1</t>
  </si>
  <si>
    <t>C-20 and NOT C-43 and NOT AQ-7 and HFS-8 &gt; 1</t>
  </si>
  <si>
    <t>*** only checked with BaseReport</t>
  </si>
  <si>
    <t>** only configured measurands are tested</t>
  </si>
  <si>
    <t>SampledTxStartedMeasurands</t>
  </si>
  <si>
    <t>SampledTxUpdatedMeasurands</t>
  </si>
  <si>
    <t>SampledTxEndedMeasurands</t>
  </si>
  <si>
    <t>AlignedDataMeasurands</t>
  </si>
  <si>
    <t>AlignedDataTxEndedMeasurands</t>
  </si>
  <si>
    <t>C-40.1</t>
  </si>
  <si>
    <t>C-40.2</t>
  </si>
  <si>
    <t>C-40.3</t>
  </si>
  <si>
    <t>C-40.4</t>
  </si>
  <si>
    <t>C-40.5</t>
  </si>
  <si>
    <t>EVSE</t>
  </si>
  <si>
    <t>Phases</t>
  </si>
  <si>
    <t>Connector</t>
  </si>
  <si>
    <t>Metervalues</t>
  </si>
  <si>
    <t>Vendor</t>
  </si>
  <si>
    <t>Company</t>
  </si>
  <si>
    <t>&lt;vendor name&gt;</t>
  </si>
  <si>
    <t>Department</t>
  </si>
  <si>
    <t>Position</t>
  </si>
  <si>
    <t>Location</t>
  </si>
  <si>
    <t>Test laboratory</t>
  </si>
  <si>
    <t>Value</t>
  </si>
  <si>
    <r>
      <rPr>
        <b/>
        <sz val="11"/>
        <color theme="1"/>
        <rFont val="Calibri"/>
        <family val="2"/>
        <scheme val="minor"/>
      </rPr>
      <t>Date</t>
    </r>
    <r>
      <rPr>
        <sz val="12"/>
        <color theme="1"/>
        <rFont val="Calibri"/>
        <family val="2"/>
        <scheme val="minor"/>
      </rPr>
      <t>:</t>
    </r>
  </si>
  <si>
    <t>Signature:</t>
  </si>
  <si>
    <t>TLS - Client-side certificate - valid certificate</t>
  </si>
  <si>
    <t>Can the last CSMSRootCertificate be removed?</t>
  </si>
  <si>
    <t>Cold Boot Charging Station - Accepted</t>
  </si>
  <si>
    <t>Cold Boot Charging Station - Pending</t>
  </si>
  <si>
    <t>Cold Boot Charging Station - Rejected</t>
  </si>
  <si>
    <t>Get Variables - single value</t>
  </si>
  <si>
    <t>Get Variables - multiple values</t>
  </si>
  <si>
    <t>multiple values elements GetVariablesRequest</t>
  </si>
  <si>
    <t>Set Variables - single value</t>
  </si>
  <si>
    <t>Set Variables - multiple values</t>
  </si>
  <si>
    <t>multiple values elements SetVariablesRequest</t>
  </si>
  <si>
    <t>Set Variables - invalidly formatted values</t>
  </si>
  <si>
    <t>Get Base Report - ConfigurationInventory</t>
  </si>
  <si>
    <t>Get Base Report - FullInventory</t>
  </si>
  <si>
    <t>Get Base Report - Not Supported base report</t>
  </si>
  <si>
    <t>Reset Charging Station - Without ongoing transaction - OnIdle</t>
  </si>
  <si>
    <t>Reset Charging Station - With Ongoing Transaction - OnIdle</t>
  </si>
  <si>
    <t>Reset Charging Station - With Ongoing Transaction - Immediate</t>
  </si>
  <si>
    <t>Reset Charging Station - Unavailable persists reset</t>
  </si>
  <si>
    <t>Reset EVSE - Without ongoing transaction</t>
  </si>
  <si>
    <t>Reset EVSE - With Ongoing Transaction - OnIdle</t>
  </si>
  <si>
    <t>Reset EVSE - With Ongoing Transaction - Immediate</t>
  </si>
  <si>
    <t>Reset EVSE - Not Supported</t>
  </si>
  <si>
    <t>Reset EVSE - With ongoing transaction - Not Supported</t>
  </si>
  <si>
    <t>Cold Boot Charging Station - Pending/Rejected - SecurityError</t>
  </si>
  <si>
    <t>Get Variables - Unknown component</t>
  </si>
  <si>
    <t>Get Variables - Unknown variable</t>
  </si>
  <si>
    <t>Get Variables - Not supported attribute type</t>
  </si>
  <si>
    <t>Set Variables - Unknown component</t>
  </si>
  <si>
    <t>Set Variables - Unknown variable</t>
  </si>
  <si>
    <t>Set Variables - Not supported attribute type</t>
  </si>
  <si>
    <t>Set Variables - Read-only</t>
  </si>
  <si>
    <t>Reset Charging Station - With multiple ongoing transactions - OnIdle</t>
  </si>
  <si>
    <t>Get Base Report - Test mandatory DM variables via FullInventory</t>
  </si>
  <si>
    <t>Network Reconnection - After connection loss</t>
  </si>
  <si>
    <t>Local start transaction - Authorization Invalid/Unknown</t>
  </si>
  <si>
    <t>Local Stop Transaction - Different idToken</t>
  </si>
  <si>
    <t>Local start transaction - Authorization invalid - Cable lock</t>
  </si>
  <si>
    <t>Local start transaction - Authorization Blocked</t>
  </si>
  <si>
    <t>Local start transaction - Authorization Expired</t>
  </si>
  <si>
    <t>Authorization through authorization cache - Invalid &amp; Not Accepted</t>
  </si>
  <si>
    <t>Authorization through authorization cache - Accepted but cable not connected yet.</t>
  </si>
  <si>
    <t>Authorization through authorization cache - StopTxOnInvalidId = false, MaxEnergyOnInvalidId &gt; 0</t>
  </si>
  <si>
    <t>Authorization through authorization cache - StopTxOnInvalidId = true</t>
  </si>
  <si>
    <t>Authorization through authorization cache - StopTxOnInvalidId = false</t>
  </si>
  <si>
    <t>Authorization through authorization cache - StopTxOnInvalidId = true, MaxEnergyOnInvalidId &gt; 0</t>
  </si>
  <si>
    <t>Offline Authorization - Unknown Id</t>
  </si>
  <si>
    <t>Store Authorization Data in the Authorization Cache - AuthCacheCtrlr.LocalPreAuthorize = false</t>
  </si>
  <si>
    <t>Stop Transaction with a Master Pass - With UI - With UI - Specific transactions</t>
  </si>
  <si>
    <t>Local start transaction - Authorization Unknown</t>
  </si>
  <si>
    <t>Local Stop Transaction - Accepted</t>
  </si>
  <si>
    <t>Start transaction options - ParkingBayOccupied</t>
  </si>
  <si>
    <t>C-10.1 and (C-52 or NOT (C-10.2 or C-10.3 or C-10.4)) AND NOT C-06.1) AND (AQ-9 OR Product Subtype "Mode 1/2-only Charging Station")</t>
  </si>
  <si>
    <t>Disconnect cable on EV-side - Deauthorize transaction - UnlockOnEVSideDisconnect is true</t>
  </si>
  <si>
    <t>Disconnect cable on EV-side - Deauthorize transaction - UnlockOnEVSideDisconnect is false</t>
  </si>
  <si>
    <t>Local start transaction - EV not ready</t>
  </si>
  <si>
    <t>Offline Behaviour - Connection loss during transaction</t>
  </si>
  <si>
    <t>Offline Behaviour - Transaction during offline period</t>
  </si>
  <si>
    <t>Offline Behaviour - Stop transaction during offline period</t>
  </si>
  <si>
    <t>Offline Behaviour - Stop transaction during offline period - Same GroupId</t>
  </si>
  <si>
    <t>C-10.1 and (C-52 or NOT (C-10.2 or C-10.3 or C-10.4)) AND (HFS-4 OR ISO15118 support) AND NOT Product Subtype "Mode 1/2-only Charging Station"</t>
  </si>
  <si>
    <t>Remote start transaction - Cable plugin first</t>
  </si>
  <si>
    <t>Remote start transaction - Remote start first - AuthorizeRemoteStart is true</t>
  </si>
  <si>
    <t>Remote start transaction - Remote start first - AuthorizeRemoteStart is false</t>
  </si>
  <si>
    <t>Remote start transaction - Remote start first - Cable plugin timeout</t>
  </si>
  <si>
    <t>Remote unlock Connector - With ongoing transaction</t>
  </si>
  <si>
    <t>Remote unlock Connector - Without ongoing transaction - Accepted</t>
  </si>
  <si>
    <t>Remote unlock Connector - Without ongoing transaction - No cable connected</t>
  </si>
  <si>
    <t>Remote unlock Connector - Without ongoing transaction - UnknownConnector</t>
  </si>
  <si>
    <t>Connector status Notification - Available to Occupied</t>
  </si>
  <si>
    <t>Connector status Notification - Occupied to Available</t>
  </si>
  <si>
    <t>Change Availability EVSE - Operative to inoperative</t>
  </si>
  <si>
    <t>Change Availability EVSE - Inoperative to operative</t>
  </si>
  <si>
    <t>Change Availability Charging Station - Operative to inoperative</t>
  </si>
  <si>
    <t>Change Availability Charging Station - Inoperative to operative</t>
  </si>
  <si>
    <t>Change Availability Connector - Operative to inoperative</t>
  </si>
  <si>
    <t>Change Availability Connector - Inoperative to operative</t>
  </si>
  <si>
    <t>Change Availability EVSE - Operative to operative</t>
  </si>
  <si>
    <t>Change Availability EVSE - Inoperative to inoperative</t>
  </si>
  <si>
    <t>Change Availability EVSE - With ongoing transaction</t>
  </si>
  <si>
    <t>Change Availability Charging Station - Operative to operative</t>
  </si>
  <si>
    <t>Change Availability Charging Station - Inoperative to inoperative</t>
  </si>
  <si>
    <t>Change Availability Charging Station - With ongoing transaction</t>
  </si>
  <si>
    <t>Change Availability Connector - Operative to operative</t>
  </si>
  <si>
    <t>Change Availability Connector - Inoperative to inoperative</t>
  </si>
  <si>
    <t>Change Availability Connector - With ongoing transaction</t>
  </si>
  <si>
    <t>Change Availability EVSE - state persists across reboot</t>
  </si>
  <si>
    <t>Change Availability Connector - state persists across reboot</t>
  </si>
  <si>
    <t>Change Availability Charging Station - state persists across reboot</t>
  </si>
  <si>
    <t>Clock-aligned Meter Values - No Meter Values during transaction</t>
  </si>
  <si>
    <t>Sampled Meter Values - Context Transaction.Begin - EVSE not known</t>
  </si>
  <si>
    <t>Retrieve Log Information - Diagnostics Log - Upload failed</t>
  </si>
  <si>
    <t>CustomData - Receive custom data</t>
  </si>
  <si>
    <t>Test Report Reference</t>
  </si>
  <si>
    <t>Current</t>
  </si>
  <si>
    <t>(At least one of the suboptions below is required)</t>
  </si>
  <si>
    <t>The response time for when waiting for an OCPP response message after sending an OCPP request message. This entails all OCPP messages. Messages to the DUT can be handled within this timeout. </t>
  </si>
  <si>
    <t>Max Value</t>
  </si>
  <si>
    <t>Min Value</t>
  </si>
  <si>
    <t>Vendor provided performance values</t>
  </si>
  <si>
    <t>Communication technology used during performance measurement: </t>
  </si>
  <si>
    <t>Cable Type</t>
  </si>
  <si>
    <t>HFS-9</t>
  </si>
  <si>
    <t>HFS-10</t>
  </si>
  <si>
    <t>PICS Version:</t>
  </si>
  <si>
    <t>OCPP Errata Version</t>
  </si>
  <si>
    <t>OCPP Spec Version</t>
  </si>
  <si>
    <t>&lt;list of values, at least Heartbeat&gt;</t>
  </si>
  <si>
    <t>&lt;list of supported values, at least one&gt;</t>
  </si>
  <si>
    <t>Vendor specific settings and limits </t>
  </si>
  <si>
    <t>Configuration Setting</t>
  </si>
  <si>
    <t>Configured Value</t>
  </si>
  <si>
    <t>…</t>
  </si>
  <si>
    <t>Type</t>
  </si>
  <si>
    <t>Average Value</t>
  </si>
  <si>
    <t>Fill in all settings that are specific to this vendor/device and relevant for certification in the tab "Vendor Specific Settings"</t>
  </si>
  <si>
    <t>Test Performed On</t>
  </si>
  <si>
    <t>C-10.1 and (C-52 or NOT (C-10.3 or C-10.4)) AND (C-10.2 AND NOT C-52 AND NOT C.06.1) AND (AQ-9 OR Product Subtype "Mode 1/2-only Charging Station")</t>
  </si>
  <si>
    <t>Test Location</t>
  </si>
  <si>
    <t>&lt;location where tests are performed&gt;</t>
  </si>
  <si>
    <t>&lt;date the test lab completed testing&gt;</t>
  </si>
  <si>
    <t>(C-10.1 AND (NOT (NOT C-52 AND (C-10.3 or C-10.4))) AND NOT (NOT C.06.1 AND NOT C-52 AND C-10.2)) AND (AQ-9 OR Product Subtype "Mode 1/2-only Charging Station")</t>
  </si>
  <si>
    <t>C-10.1 AND (NOT (NOT C-52 AND (C-10.2 or C-10.3 or C-10.4))) AND (HFS-4 OR ISO15118 support) AND NOT Product Subtype "Mode 1/2-only Charging Station"</t>
  </si>
  <si>
    <t>Transaction authorization time by RequestStartTransactionRequest</t>
  </si>
  <si>
    <t>Transaction authorization end time by RequestStopTransactionRequest</t>
  </si>
  <si>
    <t>&lt;fill in your company name&gt; </t>
  </si>
  <si>
    <t>Product Designation</t>
  </si>
  <si>
    <t>&lt;type software version of the product&gt; </t>
  </si>
  <si>
    <t>&lt;select subtype or Not Applicable&gt;</t>
  </si>
  <si>
    <t>&lt;select RFID Reader configuration&gt;</t>
  </si>
  <si>
    <t xml:space="preserve">Hardware Feature Set is : </t>
  </si>
  <si>
    <t>EVSE and Connector Configuration</t>
  </si>
  <si>
    <t xml:space="preserve">… </t>
  </si>
  <si>
    <t>&lt;vendor maximum&gt;</t>
  </si>
  <si>
    <t>Measured performance (filled in by testlab after completion of the tests)</t>
  </si>
  <si>
    <t xml:space="preserve">... </t>
  </si>
  <si>
    <t>The table below should contain all relevant non-OCPP settings of the System Under Test that are relevant for the test laboratory and for the correct OCPP-compliant functioning : </t>
  </si>
  <si>
    <t>&lt;specify supported communication technology/ies&gt;</t>
  </si>
  <si>
    <t>OCPP Software Version </t>
  </si>
  <si>
    <r>
      <t>&lt;WiFi / ethernet / mobile&gt;</t>
    </r>
    <r>
      <rPr>
        <b/>
        <sz val="11"/>
        <color rgb="FF7030A0"/>
        <rFont val="Arial"/>
        <family val="2"/>
      </rPr>
      <t> </t>
    </r>
  </si>
  <si>
    <t>&lt;testlab location&gt;</t>
  </si>
  <si>
    <t>&lt;vendor location&gt;</t>
  </si>
  <si>
    <t>&lt;testlab organization name&gt;</t>
  </si>
  <si>
    <t>&lt;testlab department name&gt;</t>
  </si>
  <si>
    <t>&lt;vendor department name&gt;</t>
  </si>
  <si>
    <t>&lt;signature date&gt;</t>
  </si>
  <si>
    <t>&lt;vendor representative name&gt;</t>
  </si>
  <si>
    <t>&lt;vendor representative position&gt;</t>
  </si>
  <si>
    <t>&lt;testlab representative name&gt;</t>
  </si>
  <si>
    <t>&lt;testlab representative position&gt;</t>
  </si>
  <si>
    <t>&lt;internal testlab reference&gt;</t>
  </si>
  <si>
    <t>Statement of Approval</t>
  </si>
  <si>
    <t>I hereby declare that the information provided in the document is correct and complete and that I approve this document to be submitted for OCPP 2.0.1 certification based on this information.</t>
  </si>
  <si>
    <r>
      <t xml:space="preserve">This document must be used to define the system that you want to certify in the Open Charge Alliance OCPP Certification Program for OCPP 2.0.1. By defining a system / device using this document, a vendor or certification lab can determine the exact test cases that have to be performed during the certification run for OCPP 2.0.1 certification. 
This document is only intended to be updated using Microsoft Excel. It contains many calculations to ensure that the combination of values is sound and as a tool for the user it also calculates which testcases are required. We have locked the sheet to ensure only the fields that are intended for input can be modified and are fully aware that it is possible to remove this protection. We cannot accept any filled in PICS documents that have  the password protection removed or that have been modified using another program than Microsoft Excel. Doing so makes this PICS invalid and renders it unusable for starting your certification proces.
</t>
    </r>
    <r>
      <rPr>
        <i/>
        <sz val="12"/>
        <color theme="1"/>
        <rFont val="Calibri"/>
        <family val="2"/>
        <scheme val="minor"/>
      </rPr>
      <t>Please note: this document is still under contruction for the Certification Profiles for which the Certification Program is not opened yet.</t>
    </r>
    <r>
      <rPr>
        <sz val="12"/>
        <color theme="1"/>
        <rFont val="Calibri"/>
        <family val="2"/>
        <scheme val="minor"/>
      </rPr>
      <t xml:space="preserve"> When submitting ths PICS for certification testing by a testlab please ensure you fill in and submit the latest version (earlier versions cannot be used for certification).</t>
    </r>
  </si>
  <si>
    <t>Vendor Name </t>
  </si>
  <si>
    <t>Supported / Present </t>
  </si>
  <si>
    <t>Tested during Certification</t>
  </si>
  <si>
    <t>Supported 
according to Vendor</t>
  </si>
  <si>
    <t>Tested during Certification**</t>
  </si>
  <si>
    <t>Supported
according to Vendor***</t>
  </si>
  <si>
    <t>Supported / Present</t>
  </si>
  <si>
    <t>Security Related Settings</t>
  </si>
  <si>
    <t>Limit / Setting</t>
  </si>
  <si>
    <t>Certification Profile: Local Authorization List Management</t>
  </si>
  <si>
    <t>Firmware Management Settings</t>
  </si>
  <si>
    <t>&lt;please provide supported protocols, e.g. http, https, ftp, ftps&gt;</t>
  </si>
  <si>
    <t xml:space="preserve">List of Other Relevant Settings is currently: </t>
  </si>
  <si>
    <t>&lt;please provide the preconfigured value (max. 120 seconds)&gt;</t>
  </si>
  <si>
    <t>Minimum WebSocketPingInterval  supported</t>
  </si>
  <si>
    <t>Maximum WebSocketPingInterval  supported</t>
  </si>
  <si>
    <t>Maximum MessageAttemptIntervalTransactionEvent  supported</t>
  </si>
  <si>
    <t>Minimum MessageAttemptIntervalTransactionEvent  supported</t>
  </si>
  <si>
    <t>Certification Profile: Advanced User Interface</t>
  </si>
  <si>
    <t>Certification Profile: ISO 15118 Support</t>
  </si>
  <si>
    <t>Certification Profile: Advanced Device Management</t>
  </si>
  <si>
    <t>Certification Profile: Advanced Security</t>
  </si>
  <si>
    <t>Certification Profile: Smart Charging</t>
  </si>
  <si>
    <r>
      <t>Specify which optional features you have implemented in your Charging Station in columns D and E of the tab "</t>
    </r>
    <r>
      <rPr>
        <i/>
        <sz val="12"/>
        <color rgb="FF000000"/>
        <rFont val="Calibri"/>
        <family val="2"/>
      </rPr>
      <t>Optional features</t>
    </r>
    <r>
      <rPr>
        <sz val="12"/>
        <color rgb="FF000000"/>
        <rFont val="Calibri"/>
        <family val="2"/>
      </rPr>
      <t>". Fill in all black fields, purple fields will be populated during certification</t>
    </r>
  </si>
  <si>
    <t>Before submitting this document to a testlab for a certification test:</t>
  </si>
  <si>
    <r>
      <t>Enter your performance commitment in the tab '</t>
    </r>
    <r>
      <rPr>
        <i/>
        <sz val="12"/>
        <color theme="1"/>
        <rFont val="Calibri"/>
        <family val="2"/>
        <scheme val="minor"/>
      </rPr>
      <t>Performance Measurement</t>
    </r>
    <r>
      <rPr>
        <sz val="12"/>
        <color theme="1"/>
        <rFont val="Calibri"/>
        <family val="2"/>
        <scheme val="minor"/>
      </rPr>
      <t xml:space="preserve">' in column C (black fields only, purple fields will be populated during certification) </t>
    </r>
  </si>
  <si>
    <t>Ensure that all tabs that have a check show a green VALID status on the top row</t>
  </si>
  <si>
    <t xml:space="preserve">List of Additional Questions is currently: </t>
  </si>
  <si>
    <r>
      <t>You can now see the test cases that need to be passed on the tab "</t>
    </r>
    <r>
      <rPr>
        <i/>
        <sz val="12"/>
        <color rgb="FF000000"/>
        <rFont val="Calibri"/>
        <family val="2"/>
      </rPr>
      <t>Charging Station Testcases</t>
    </r>
    <r>
      <rPr>
        <sz val="12"/>
        <color rgb="FF000000"/>
        <rFont val="Calibri"/>
        <family val="2"/>
      </rPr>
      <t>" by filtering column H for the value "TRUE".</t>
    </r>
  </si>
  <si>
    <t xml:space="preserve">Performance Measurement is currently: </t>
  </si>
  <si>
    <t>&lt;select type of Device Under Test&gt;</t>
  </si>
  <si>
    <r>
      <t xml:space="preserve">double-check the selected values entered in the steps above and be sure that the configuration specified will allow all required testcases to PASS. </t>
    </r>
    <r>
      <rPr>
        <b/>
        <sz val="12"/>
        <color theme="1"/>
        <rFont val="Calibri"/>
        <family val="2"/>
        <scheme val="minor"/>
      </rPr>
      <t>Please note that all values provided in the PICS will be shown on the Certificate.</t>
    </r>
  </si>
  <si>
    <t xml:space="preserve">The response time used when waiting for an asynchronous OCPP report after requesting this report (the time between receiving a GetReportRequest, GetBaseReportRequest or CustomerInformationRequest and lthe last corresponding NotifyReportRequest or NotifyCustomerInformationRequest). </t>
  </si>
  <si>
    <t>The time between a RequestStopTransactionRequest and the corresponding TransactionEventRequest (with triggerReason RemoteStop)
Only cases where the RequestStopTransactionRequest immediately results in an end of the authorization followed by a TransactionEventRequest (with triggerReason RemoteStop), that do not contain transactionInfo.chargingState = EVConnected (to exclude chargingState transitions) are included.</t>
  </si>
  <si>
    <t>The time between a RequestStartTransactionRequest and the corresponding TransactionEventRequest (with triggerReason RemoteStart).
Only cases where the RequestStartTransactionRequest immediately results in an authorization followed by a TransactionEventRequest (with triggerReason RemoteStart), without the need of any additional manual actions or chargingState transitions inbetween are included.</t>
  </si>
  <si>
    <t>Core Features</t>
  </si>
  <si>
    <t>Cipher Suites</t>
  </si>
  <si>
    <r>
      <t>Statement of Appr</t>
    </r>
    <r>
      <rPr>
        <sz val="12"/>
        <color theme="1"/>
        <rFont val="Calibri"/>
        <family val="2"/>
        <scheme val="minor"/>
      </rPr>
      <t xml:space="preserve">oval is currently: </t>
    </r>
  </si>
  <si>
    <t>AC</t>
  </si>
  <si>
    <t>DC</t>
  </si>
  <si>
    <t>AC &amp; DC</t>
  </si>
  <si>
    <t>1.0.2</t>
  </si>
  <si>
    <t>1.0.1</t>
  </si>
  <si>
    <t>1.0.0</t>
  </si>
  <si>
    <t>Initial version</t>
  </si>
  <si>
    <t>Update for erroneous formula's for AC/DC software stacks and Mode 1/2-only Charging Stations</t>
  </si>
  <si>
    <t>Changelog:</t>
  </si>
  <si>
    <t>Update for automatic generation of certificates and improved validations</t>
  </si>
  <si>
    <t>C-09.2 or C-09.6</t>
  </si>
  <si>
    <t>1.1.0</t>
  </si>
  <si>
    <t>(C-30 or C-31 or C-32) and NOT AQ-2</t>
  </si>
  <si>
    <t>Local Authorization - using RFID ISO14443 / RFID ISO15693 / KeyCode and + Does the Charging Station have a cable lock, which prevents the EV driver to connect the EV and EVSE before authorization?</t>
  </si>
  <si>
    <t>(C-30 or C-31 or C-32) and AQ-2</t>
  </si>
  <si>
    <t>C-58 and (C-30 or C-31 or C-32) and (C-49 or Local Authorization List Management)</t>
  </si>
  <si>
    <t>Local Authorization - using RFID ISO14443 / RFID ISO15693 / KeyCode &amp;</t>
  </si>
  <si>
    <t>(C-10.2 or C-10.3) and (C-30 - C-32 or ISO 15118 support) and C-01</t>
  </si>
  <si>
    <t>(C-01 and (C-30 - C-34 or ISO 15118 support)) or C-35</t>
  </si>
  <si>
    <t>Offline transaction support &amp; Local Authorization options for local start or NoAuthorization support</t>
  </si>
  <si>
    <t>Local Authorization options for local start &amp; Authorization - eMAID</t>
  </si>
  <si>
    <t>Update for part 5 errata (B_06, F_04, formulas E_20, E_54 and formulas for NoAuthorization cases) and
added testlab reviewer name</t>
  </si>
  <si>
    <t>1.2.0</t>
  </si>
  <si>
    <t>Update for part 5 errata 2024-02 (test cases E_31, F_04 and M_23 and optional feature C-43)</t>
  </si>
  <si>
    <t>ISO-5</t>
  </si>
  <si>
    <t>Charging Station can provide a contract certificate that it cannot validate to the CSMS (CentralContractValidationAllowed)</t>
  </si>
  <si>
    <t>Authorization using Contract Certificates 15118 - Online - Central contract validation fails</t>
  </si>
  <si>
    <t>NOT ( NOT (C-30 - C-35) AND (NOT C-10.1 AND NOT C-10.3 AND NOT C-10.4 AND NOT C-10.5) AND NOT C-06.2)</t>
  </si>
  <si>
    <t>Reserve a specific EVSE - Use a reserved EVSE with GroupId</t>
  </si>
  <si>
    <t>Reserve a connector with a specific type - Amount of available connectors of a type equals the amount of reservations</t>
  </si>
  <si>
    <t>Support for reservation of unspecified EVSE</t>
  </si>
  <si>
    <t>1.3.0</t>
  </si>
  <si>
    <t>Update for part 5 errata / edition 3 and remaining profiles.</t>
  </si>
  <si>
    <t>(Select all supported suboptions)</t>
  </si>
  <si>
    <t>Test lab result</t>
  </si>
  <si>
    <t>Test lab remark</t>
  </si>
  <si>
    <t>Option for disabling remote authorization	(DisableRemoteAuthorization)</t>
  </si>
  <si>
    <t>Secure Firmware Update - Unable to install and activate firmware with ongoing transaction - AllowNewSessionsPendingFirmwareUpdate is true</t>
  </si>
  <si>
    <t>Online authorization through local authorization list - Invalid &amp; Not Accepted</t>
  </si>
  <si>
    <t>Set Charging Profile - TxDefaultProfile - Specific EVSE</t>
  </si>
  <si>
    <t>Set Charging Profile - TxDefaultProfile - All EVSE</t>
  </si>
  <si>
    <t>Set Charging Profile - TxProfile with ongoing transaction on the specified EVSE</t>
  </si>
  <si>
    <t>Set Charging Profile - TxProfile without ongoing transaction on the specified EVSE</t>
  </si>
  <si>
    <t>Set Charging Profile - Unable to set TxProfile on all EVSE at once</t>
  </si>
  <si>
    <t>Set Charging Profile - ChargingStationMaxProfile</t>
  </si>
  <si>
    <t>Set Charging Profile - ChargingProfileKind is Recurring</t>
  </si>
  <si>
    <t>Set Charging Profile - ChargerRateUnit Rejected</t>
  </si>
  <si>
    <t>Set Charging Profile - Persistent over reboot</t>
  </si>
  <si>
    <t>Set Charging Profile - Unexisting EVSEid</t>
  </si>
  <si>
    <t>Set Charging Profile - TxDefaultProfile with transaction ongoing</t>
  </si>
  <si>
    <t>Set Charging Profile - Unknown transactionId</t>
  </si>
  <si>
    <t>Set Charging Profile - ValidFrom</t>
  </si>
  <si>
    <t>Set Charging Profile - ValidTo</t>
  </si>
  <si>
    <t>Set Charging Profile - StartSchedule</t>
  </si>
  <si>
    <t>Get Composite Schedule - Combining chargingProfilePurposes</t>
  </si>
  <si>
    <t>Get Composite Schedule - chargingRateUnit not supported</t>
  </si>
  <si>
    <t>Clear Charging Profile - With stackLevel/purpose combination for one profile</t>
  </si>
  <si>
    <t>Clear Charging Profile - With unknown stackLevel/purpose combination</t>
  </si>
  <si>
    <t>Clear Charging Profile - With stackLevel/purpose combination for multiple profiles</t>
  </si>
  <si>
    <t>Get Base Report - SummaryInventory</t>
  </si>
  <si>
    <t>Get Custom Report - with component criteria</t>
  </si>
  <si>
    <t>Get Custom Report - with component/variable</t>
  </si>
  <si>
    <t>Get Custom Report - with componentCriteria and component/variables</t>
  </si>
  <si>
    <t>Get Custom Report - with component/variable, but no instance</t>
  </si>
  <si>
    <t>Get Custom Report - with component/variable/instance</t>
  </si>
  <si>
    <t>Get Custom Report - with component/variable, but no evseId</t>
  </si>
  <si>
    <t>Get Monitoring Report - with monitoringCriteria</t>
  </si>
  <si>
    <t>Get Monitoring Report - with component/variable</t>
  </si>
  <si>
    <t>Get Monitoring Report - with component criteria and component/variable</t>
  </si>
  <si>
    <t>Get Monitoring Report - Report all</t>
  </si>
  <si>
    <t>Set Monitoring Base - success</t>
  </si>
  <si>
    <t>Set Variable Monitoring - Multiple elements on different component and variable</t>
  </si>
  <si>
    <t>Set Variable Monitoring - Multiple monitors on the same component and variable</t>
  </si>
  <si>
    <t>Set Variable Monitoring - Unknown component</t>
  </si>
  <si>
    <t>Set Variable Monitoring - Value out of range - Delta monitor</t>
  </si>
  <si>
    <t>Set Variable Monitoring - Value out of range - Threshold monitor</t>
  </si>
  <si>
    <t>Set Variable Monitoring - Periodic event</t>
  </si>
  <si>
    <t>Set Variable Monitoring - Return to FactoryDefault</t>
  </si>
  <si>
    <t>Set Variable Monitoring - Modifying a VariableMonitor and trigger</t>
  </si>
  <si>
    <t>Set Variable Monitoring - Removing a VariableMonitor</t>
  </si>
  <si>
    <t>Clear Monitoring - Success</t>
  </si>
  <si>
    <t>Clear Monitoring - Not found</t>
  </si>
  <si>
    <t>Clear Monitoring - Rejected</t>
  </si>
  <si>
    <t>Alert Event - Threshold value exceeded</t>
  </si>
  <si>
    <t>Alert Event - HardWiredMonitor</t>
  </si>
  <si>
    <t>Alert Event - Delta value exceeded</t>
  </si>
  <si>
    <t>Alert Event - Delta value NOT numeric exceeded</t>
  </si>
  <si>
    <t>Offline Notification - OfflineMonitoringEventQueuingSeverity set equal or lower</t>
  </si>
  <si>
    <t>Offline Notification - OfflineMonitoringEventQueuingSeverity set higher</t>
  </si>
  <si>
    <t>Reset Charging Station - Reserved persists reset</t>
  </si>
  <si>
    <t>Reserve a specific EVSE - Accepted - Valid idToken</t>
  </si>
  <si>
    <t>Reserve a specific EVSE - Accepted - Different idToken</t>
  </si>
  <si>
    <t>Set Display Message - Replace DisplayMessage</t>
  </si>
  <si>
    <t>Set Display Message - Specific transaction - UnknownTransaction</t>
  </si>
  <si>
    <t>Set Display Message - Specific transaction - Multiple In front priority</t>
  </si>
  <si>
    <t>Set Display Message - Specific transaction - Second Alwaysfront priority</t>
  </si>
  <si>
    <t>Get a Specific Display Message - Unknown parameters</t>
  </si>
  <si>
    <t>Clear Display Message - Success</t>
  </si>
  <si>
    <t>Clear Display Message - Unknown Key</t>
  </si>
  <si>
    <t>Certificate Installation EV - Success</t>
  </si>
  <si>
    <t>Certificate Installation EV - Failed</t>
  </si>
  <si>
    <t>Certificate Update EV - Success</t>
  </si>
  <si>
    <t>Certificate Update EV - Failed</t>
  </si>
  <si>
    <t>Secure Firmware Update - Unable to install and activate firmware with ongoing transaction - AllowNewSessionsPendingFirmwareUpdate is false</t>
  </si>
  <si>
    <t>Install and activate Firmware with ongoing transaction(s)</t>
  </si>
  <si>
    <t>Name reviewer</t>
  </si>
  <si>
    <t>&lt;optional testlab reviewer name&gt;</t>
  </si>
  <si>
    <t>1.3.1</t>
  </si>
  <si>
    <t>1.3.2</t>
  </si>
  <si>
    <t>Photo('s) of tested Charging Stations (taken and added by test lab):</t>
  </si>
  <si>
    <t>Edition 3 FINAL, 2024-05-06</t>
  </si>
  <si>
    <t>Update to Errata 2024-06</t>
  </si>
  <si>
    <t>1.3.3</t>
  </si>
  <si>
    <t>(C-30 or C-31 or C-32 or C-33 or C-35)</t>
  </si>
  <si>
    <t>C-10.2 and C-06.2 and AQ-9 and NOT (NOT C-52 AND (10.1 OR C-10.3 OR 10.4))</t>
  </si>
  <si>
    <t>Errata 2024-09</t>
  </si>
  <si>
    <t>Update to Errata 2024-09</t>
  </si>
  <si>
    <t>1.3.4</t>
  </si>
  <si>
    <t>Fix in formula for E_17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</si>
</sst>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yyyy\-mm\-dd;@"/>
  </numFmts>
  <fonts count="36"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sz val="12"/>
      <color rgb="FF000000"/>
      <name val="Calibri"/>
      <family val="2"/>
    </font>
    <font>
      <b/>
      <sz val="11"/>
      <color rgb="FF7030A0"/>
      <name val="Arial"/>
      <family val="2"/>
    </font>
    <font>
      <b/>
      <sz val="11"/>
      <name val="Arial"/>
      <family val="2"/>
    </font>
    <font>
      <sz val="11"/>
      <name val="Arial"/>
      <family val="2"/>
    </font>
    <font>
      <sz val="11"/>
      <color rgb="FF7030A0"/>
      <name val="Arial"/>
      <family val="2"/>
    </font>
    <font>
      <sz val="11"/>
      <color rgb="FF000000"/>
      <name val="Arial"/>
      <family val="2"/>
    </font>
    <font>
      <b/>
      <sz val="11"/>
      <color rgb="FF000000"/>
      <name val="Arial"/>
      <family val="2"/>
    </font>
    <font>
      <i/>
      <sz val="11"/>
      <color rgb="FF000000"/>
      <name val="Arial"/>
      <family val="2"/>
    </font>
    <font>
      <i/>
      <sz val="10"/>
      <name val="Arial"/>
      <family val="2"/>
    </font>
    <font>
      <i/>
      <sz val="11"/>
      <name val="Arial"/>
      <family val="2"/>
    </font>
    <font>
      <b/>
      <sz val="11"/>
      <color theme="1"/>
      <name val="Arial"/>
      <family val="2"/>
    </font>
    <font>
      <sz val="16"/>
      <color theme="1"/>
      <name val="Calibri"/>
      <family val="2"/>
      <scheme val="minor"/>
    </font>
    <font>
      <sz val="28"/>
      <color theme="1"/>
      <name val="Calibri"/>
      <family val="2"/>
      <scheme val="minor"/>
    </font>
    <font>
      <i/>
      <sz val="12"/>
      <color theme="1"/>
      <name val="Calibri"/>
      <family val="2"/>
      <scheme val="minor"/>
    </font>
    <font>
      <i/>
      <sz val="12"/>
      <color rgb="FF000000"/>
      <name val="Calibri"/>
      <family val="2"/>
    </font>
    <font>
      <b/>
      <sz val="16"/>
      <color theme="1"/>
      <name val="Calibri"/>
      <family val="2"/>
      <scheme val="minor"/>
    </font>
    <font>
      <b/>
      <sz val="28"/>
      <color theme="1"/>
      <name val="Calibri"/>
      <family val="2"/>
      <scheme val="minor"/>
    </font>
    <font>
      <b/>
      <sz val="18"/>
      <color theme="1"/>
      <name val="Calibri"/>
      <family val="2"/>
      <scheme val="minor"/>
    </font>
    <font>
      <b/>
      <sz val="18"/>
      <name val="Arial"/>
      <family val="2"/>
    </font>
    <font>
      <sz val="11"/>
      <color theme="0" tint="-0.34998626667073579"/>
      <name val="Arial"/>
      <family val="2"/>
    </font>
    <font>
      <b/>
      <sz val="12"/>
      <color rgb="FFFF0000"/>
      <name val="Calibri"/>
      <family val="2"/>
      <scheme val="minor"/>
    </font>
    <font>
      <b/>
      <sz val="11"/>
      <color theme="1"/>
      <name val="Calibri"/>
      <family val="2"/>
      <scheme val="minor"/>
    </font>
    <font>
      <b/>
      <sz val="14"/>
      <color rgb="FF7030A0"/>
      <name val="Calibri"/>
      <family val="2"/>
      <scheme val="minor"/>
    </font>
    <font>
      <b/>
      <sz val="12"/>
      <name val="Arial"/>
      <family val="2"/>
    </font>
    <font>
      <b/>
      <sz val="14"/>
      <color rgb="FFFF0000"/>
      <name val="Calibri"/>
      <family val="2"/>
      <scheme val="minor"/>
    </font>
    <font>
      <b/>
      <sz val="11"/>
      <color theme="0" tint="-0.34998626667073579"/>
      <name val="Arial"/>
      <family val="2"/>
    </font>
    <font>
      <b/>
      <sz val="11"/>
      <color theme="0" tint="-0.249977111117893"/>
      <name val="Arial"/>
      <family val="2"/>
    </font>
    <font>
      <sz val="11"/>
      <color theme="1"/>
      <name val="Arial"/>
      <family val="2"/>
    </font>
    <font>
      <i/>
      <sz val="11"/>
      <color theme="0" tint="-0.249977111117893"/>
      <name val="Arial"/>
      <family val="2"/>
    </font>
    <font>
      <sz val="11"/>
      <color theme="0" tint="-0.249977111117893"/>
      <name val="Arial"/>
      <family val="2"/>
    </font>
    <font>
      <b/>
      <sz val="11"/>
      <color rgb="FF7030A0"/>
      <name val="Calibri"/>
      <family val="2"/>
      <scheme val="minor"/>
    </font>
  </fonts>
  <fills count="6">
    <fill>
      <patternFill patternType="none"/>
    </fill>
    <fill>
      <patternFill patternType="gray125"/>
    </fill>
    <fill>
      <patternFill patternType="solid">
        <fgColor rgb="FFFFF2CC"/>
        <bgColor indexed="64"/>
      </patternFill>
    </fill>
    <fill>
      <patternFill patternType="solid">
        <fgColor rgb="FFFFC000"/>
        <bgColor indexed="64"/>
      </patternFill>
    </fill>
    <fill>
      <patternFill patternType="solid">
        <fgColor theme="7"/>
        <bgColor indexed="64"/>
      </patternFill>
    </fill>
    <fill>
      <patternFill patternType="solid">
        <fgColor theme="7" tint="0.79998168889431442"/>
        <bgColor indexed="64"/>
      </patternFill>
    </fill>
  </fills>
  <borders count="91">
    <border>
      <left/>
      <right/>
      <top/>
      <bottom/>
      <diagonal/>
    </border>
    <border>
      <left style="thin">
        <color rgb="FF000000"/>
      </left>
      <right/>
      <top style="thin">
        <color rgb="FF000000"/>
      </top>
      <bottom style="medium">
        <color rgb="FFFFD966"/>
      </bottom>
      <diagonal/>
    </border>
    <border>
      <left/>
      <right style="thin">
        <color rgb="FF000000"/>
      </right>
      <top style="thin">
        <color rgb="FF000000"/>
      </top>
      <bottom style="medium">
        <color rgb="FFFFD966"/>
      </bottom>
      <diagonal/>
    </border>
    <border>
      <left style="thin">
        <color rgb="FF000000"/>
      </left>
      <right/>
      <top style="medium">
        <color rgb="FFFFD966"/>
      </top>
      <bottom style="medium">
        <color rgb="FFFFD966"/>
      </bottom>
      <diagonal/>
    </border>
    <border>
      <left/>
      <right style="thin">
        <color rgb="FF000000"/>
      </right>
      <top style="medium">
        <color rgb="FFFFD966"/>
      </top>
      <bottom style="medium">
        <color rgb="FFFFD966"/>
      </bottom>
      <diagonal/>
    </border>
    <border>
      <left style="thin">
        <color rgb="FF000000"/>
      </left>
      <right/>
      <top style="medium">
        <color rgb="FFFFD966"/>
      </top>
      <bottom style="thin">
        <color rgb="FF000000"/>
      </bottom>
      <diagonal/>
    </border>
    <border>
      <left/>
      <right style="thin">
        <color rgb="FF000000"/>
      </right>
      <top style="medium">
        <color rgb="FFFFD966"/>
      </top>
      <bottom style="thin">
        <color rgb="FF000000"/>
      </bottom>
      <diagonal/>
    </border>
    <border>
      <left style="thin">
        <color rgb="FF000000"/>
      </left>
      <right/>
      <top style="thin">
        <color rgb="FF000000"/>
      </top>
      <bottom style="medium">
        <color rgb="FFFFC000"/>
      </bottom>
      <diagonal/>
    </border>
    <border>
      <left/>
      <right/>
      <top style="thin">
        <color rgb="FF000000"/>
      </top>
      <bottom style="medium">
        <color rgb="FFFFC000"/>
      </bottom>
      <diagonal/>
    </border>
    <border>
      <left style="medium">
        <color rgb="FFFFD966"/>
      </left>
      <right style="medium">
        <color rgb="FFFFD966"/>
      </right>
      <top style="medium">
        <color rgb="FFFFD966"/>
      </top>
      <bottom style="medium">
        <color rgb="FFFFD966"/>
      </bottom>
      <diagonal/>
    </border>
    <border>
      <left style="medium">
        <color rgb="FFFFD966"/>
      </left>
      <right style="medium">
        <color rgb="FFFFD966"/>
      </right>
      <top style="medium">
        <color rgb="FFFFD966"/>
      </top>
      <bottom/>
      <diagonal/>
    </border>
    <border>
      <left style="thin">
        <color rgb="FF000000"/>
      </left>
      <right style="medium">
        <color rgb="FFFFD966"/>
      </right>
      <top style="medium">
        <color rgb="FFFFD966"/>
      </top>
      <bottom/>
      <diagonal/>
    </border>
    <border>
      <left style="thin">
        <color rgb="FF000000"/>
      </left>
      <right style="medium">
        <color rgb="FFFFD966"/>
      </right>
      <top style="medium">
        <color rgb="FFFFD966"/>
      </top>
      <bottom style="medium">
        <color rgb="FFFFD966"/>
      </bottom>
      <diagonal/>
    </border>
    <border>
      <left style="medium">
        <color rgb="FFFFD966"/>
      </left>
      <right style="medium">
        <color rgb="FFFFD966"/>
      </right>
      <top style="medium">
        <color rgb="FFFFC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medium">
        <color rgb="FFFFD966"/>
      </bottom>
      <diagonal/>
    </border>
    <border>
      <left/>
      <right style="thin">
        <color indexed="64"/>
      </right>
      <top style="thin">
        <color indexed="64"/>
      </top>
      <bottom style="medium">
        <color rgb="FFFFD966"/>
      </bottom>
      <diagonal/>
    </border>
    <border>
      <left style="thin">
        <color indexed="64"/>
      </left>
      <right/>
      <top style="medium">
        <color rgb="FFFFD966"/>
      </top>
      <bottom style="medium">
        <color rgb="FFFFD966"/>
      </bottom>
      <diagonal/>
    </border>
    <border>
      <left/>
      <right style="thin">
        <color indexed="64"/>
      </right>
      <top style="medium">
        <color rgb="FFFFD966"/>
      </top>
      <bottom style="medium">
        <color rgb="FFFFD966"/>
      </bottom>
      <diagonal/>
    </border>
    <border>
      <left style="thin">
        <color indexed="64"/>
      </left>
      <right/>
      <top style="medium">
        <color rgb="FFFFD966"/>
      </top>
      <bottom style="thin">
        <color indexed="64"/>
      </bottom>
      <diagonal/>
    </border>
    <border>
      <left/>
      <right style="thin">
        <color indexed="64"/>
      </right>
      <top style="medium">
        <color rgb="FFFFD96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FFC000"/>
      </left>
      <right/>
      <top style="medium">
        <color rgb="FFFFC000"/>
      </top>
      <bottom style="medium">
        <color rgb="FFFFC000"/>
      </bottom>
      <diagonal/>
    </border>
    <border>
      <left/>
      <right style="medium">
        <color rgb="FFFFC000"/>
      </right>
      <top style="medium">
        <color rgb="FFFFC000"/>
      </top>
      <bottom style="medium">
        <color rgb="FFFFC000"/>
      </bottom>
      <diagonal/>
    </border>
    <border>
      <left style="medium">
        <color rgb="FFFFD966"/>
      </left>
      <right style="medium">
        <color rgb="FFFFD966"/>
      </right>
      <top style="medium">
        <color rgb="FFFFD966"/>
      </top>
      <bottom style="medium">
        <color rgb="FFFFC000"/>
      </bottom>
      <diagonal/>
    </border>
    <border>
      <left style="thin">
        <color rgb="FF000000"/>
      </left>
      <right/>
      <top style="thin">
        <color indexed="64"/>
      </top>
      <bottom style="medium">
        <color rgb="FFFFD966"/>
      </bottom>
      <diagonal/>
    </border>
    <border>
      <left style="thin">
        <color rgb="FF000000"/>
      </left>
      <right/>
      <top style="medium">
        <color rgb="FFFFD966"/>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style="medium">
        <color rgb="FF000000"/>
      </top>
      <bottom style="thin">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top/>
      <bottom style="medium">
        <color rgb="FFFFC000"/>
      </bottom>
      <diagonal/>
    </border>
    <border>
      <left/>
      <right/>
      <top/>
      <bottom style="medium">
        <color rgb="FFFFC000"/>
      </bottom>
      <diagonal/>
    </border>
    <border>
      <left style="medium">
        <color rgb="FFFFD966"/>
      </left>
      <right/>
      <top style="medium">
        <color rgb="FFFFC000"/>
      </top>
      <bottom style="medium">
        <color rgb="FFFFD966"/>
      </bottom>
      <diagonal/>
    </border>
    <border>
      <left/>
      <right/>
      <top style="medium">
        <color rgb="FFFFC000"/>
      </top>
      <bottom style="medium">
        <color rgb="FFFFD966"/>
      </bottom>
      <diagonal/>
    </border>
    <border>
      <left/>
      <right style="medium">
        <color rgb="FFFFD966"/>
      </right>
      <top style="medium">
        <color rgb="FFFFC000"/>
      </top>
      <bottom style="medium">
        <color rgb="FFFFD966"/>
      </bottom>
      <diagonal/>
    </border>
    <border>
      <left style="medium">
        <color rgb="FFFFD966"/>
      </left>
      <right/>
      <top style="medium">
        <color rgb="FFFFD966"/>
      </top>
      <bottom style="medium">
        <color rgb="FFFFD966"/>
      </bottom>
      <diagonal/>
    </border>
    <border>
      <left/>
      <right/>
      <top style="medium">
        <color rgb="FFFFD966"/>
      </top>
      <bottom style="medium">
        <color rgb="FFFFD966"/>
      </bottom>
      <diagonal/>
    </border>
    <border>
      <left/>
      <right style="medium">
        <color rgb="FFFFD966"/>
      </right>
      <top style="medium">
        <color rgb="FFFFD966"/>
      </top>
      <bottom style="medium">
        <color rgb="FFFFD966"/>
      </bottom>
      <diagonal/>
    </border>
    <border>
      <left style="thin">
        <color indexed="64"/>
      </left>
      <right/>
      <top style="medium">
        <color rgb="FFFFD966"/>
      </top>
      <bottom style="medium">
        <color rgb="FFFFC000"/>
      </bottom>
      <diagonal/>
    </border>
    <border>
      <left style="thin">
        <color rgb="FF000000"/>
      </left>
      <right/>
      <top style="medium">
        <color rgb="FFFFD966"/>
      </top>
      <bottom style="medium">
        <color rgb="FFFFC000"/>
      </bottom>
      <diagonal/>
    </border>
    <border>
      <left/>
      <right style="thin">
        <color indexed="64"/>
      </right>
      <top style="medium">
        <color rgb="FFFFD966"/>
      </top>
      <bottom style="medium">
        <color rgb="FFFFC000"/>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top style="thin">
        <color rgb="FF000000"/>
      </top>
      <bottom style="thin">
        <color indexed="64"/>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indexed="64"/>
      </left>
      <right style="thin">
        <color indexed="64"/>
      </right>
      <top style="medium">
        <color indexed="64"/>
      </top>
      <bottom style="thin">
        <color indexed="64"/>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top/>
      <bottom style="thin">
        <color rgb="FF000000"/>
      </bottom>
      <diagonal/>
    </border>
    <border>
      <left style="thin">
        <color rgb="FF000000"/>
      </left>
      <right style="medium">
        <color rgb="FFFFD966"/>
      </right>
      <top style="medium">
        <color rgb="FFFFD966"/>
      </top>
      <bottom style="medium">
        <color theme="7"/>
      </bottom>
      <diagonal/>
    </border>
    <border>
      <left style="medium">
        <color rgb="FFFFD966"/>
      </left>
      <right style="medium">
        <color rgb="FFFFD966"/>
      </right>
      <top style="medium">
        <color rgb="FFFFD966"/>
      </top>
      <bottom style="medium">
        <color theme="7"/>
      </bottom>
      <diagonal/>
    </border>
    <border>
      <left style="medium">
        <color rgb="FFFFD966"/>
      </left>
      <right/>
      <top style="medium">
        <color rgb="FFFFC000"/>
      </top>
      <bottom style="medium">
        <color theme="7"/>
      </bottom>
      <diagonal/>
    </border>
    <border>
      <left/>
      <right/>
      <top style="medium">
        <color rgb="FFFFC000"/>
      </top>
      <bottom style="medium">
        <color theme="7"/>
      </bottom>
      <diagonal/>
    </border>
    <border>
      <left/>
      <right style="medium">
        <color rgb="FFFFD966"/>
      </right>
      <top style="medium">
        <color rgb="FFFFC000"/>
      </top>
      <bottom style="medium">
        <color theme="7"/>
      </bottom>
      <diagonal/>
    </border>
    <border>
      <left/>
      <right/>
      <top style="thin">
        <color rgb="FF000000"/>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3" fillId="0" borderId="0"/>
  </cellStyleXfs>
  <cellXfs count="282">
    <xf numFmtId="0" fontId="0" fillId="0" borderId="0" xfId="0"/>
    <xf numFmtId="0" fontId="4" fillId="0" borderId="0" xfId="0" applyFont="1"/>
    <xf numFmtId="0" fontId="0" fillId="0" borderId="0" xfId="0" applyAlignment="1">
      <alignment wrapText="1"/>
    </xf>
    <xf numFmtId="0" fontId="8" fillId="0" borderId="0" xfId="0" applyFont="1" applyAlignment="1">
      <alignment horizontal="left" vertical="center" wrapText="1"/>
    </xf>
    <xf numFmtId="0" fontId="10" fillId="0" borderId="0" xfId="0" applyFont="1" applyAlignment="1">
      <alignment horizontal="left" vertical="center" wrapText="1"/>
    </xf>
    <xf numFmtId="0" fontId="6" fillId="3" borderId="7" xfId="0" applyFont="1" applyFill="1" applyBorder="1" applyAlignment="1">
      <alignment horizontal="left" vertical="center" wrapText="1"/>
    </xf>
    <xf numFmtId="0" fontId="6" fillId="3" borderId="8" xfId="0" applyFont="1" applyFill="1" applyBorder="1" applyAlignment="1">
      <alignment horizontal="left" vertical="center" wrapText="1"/>
    </xf>
    <xf numFmtId="0" fontId="7" fillId="0" borderId="14" xfId="0" applyFont="1" applyBorder="1" applyAlignment="1">
      <alignment horizontal="left" vertical="center" wrapText="1"/>
    </xf>
    <xf numFmtId="0" fontId="6" fillId="0" borderId="16" xfId="0" applyFont="1" applyBorder="1" applyAlignment="1">
      <alignment horizontal="left" vertical="center" wrapText="1"/>
    </xf>
    <xf numFmtId="0" fontId="10" fillId="2" borderId="26" xfId="0" applyFont="1" applyFill="1" applyBorder="1" applyAlignment="1">
      <alignment horizontal="center" vertical="center" wrapText="1"/>
    </xf>
    <xf numFmtId="0" fontId="10" fillId="0" borderId="26" xfId="0" applyFont="1" applyBorder="1" applyAlignment="1">
      <alignment horizontal="center" vertical="center" wrapText="1"/>
    </xf>
    <xf numFmtId="0" fontId="0" fillId="0" borderId="0" xfId="0" applyAlignment="1">
      <alignment horizontal="center"/>
    </xf>
    <xf numFmtId="49" fontId="8" fillId="0" borderId="0" xfId="0" applyNumberFormat="1" applyFont="1" applyAlignment="1">
      <alignment horizontal="left" vertical="center" wrapText="1"/>
    </xf>
    <xf numFmtId="49" fontId="10" fillId="2" borderId="25" xfId="0" applyNumberFormat="1" applyFont="1" applyFill="1" applyBorder="1" applyAlignment="1">
      <alignment horizontal="left" vertical="center" wrapText="1"/>
    </xf>
    <xf numFmtId="49" fontId="10" fillId="0" borderId="25" xfId="0" applyNumberFormat="1" applyFont="1" applyBorder="1" applyAlignment="1">
      <alignment horizontal="left" vertical="center" wrapText="1"/>
    </xf>
    <xf numFmtId="49" fontId="10" fillId="2" borderId="27" xfId="0" applyNumberFormat="1" applyFont="1" applyFill="1" applyBorder="1" applyAlignment="1">
      <alignment horizontal="left" vertical="center" wrapText="1"/>
    </xf>
    <xf numFmtId="49" fontId="0" fillId="0" borderId="0" xfId="0" applyNumberFormat="1"/>
    <xf numFmtId="49" fontId="10" fillId="0" borderId="0" xfId="0" applyNumberFormat="1" applyFont="1" applyAlignment="1">
      <alignment horizontal="left" vertical="center" wrapText="1"/>
    </xf>
    <xf numFmtId="0" fontId="6" fillId="3" borderId="30" xfId="0" applyFont="1" applyFill="1" applyBorder="1" applyAlignment="1">
      <alignment vertical="center" wrapText="1"/>
    </xf>
    <xf numFmtId="0" fontId="6" fillId="3" borderId="31" xfId="0" applyFont="1" applyFill="1" applyBorder="1" applyAlignment="1">
      <alignment horizontal="center" vertical="center" wrapText="1"/>
    </xf>
    <xf numFmtId="0" fontId="15" fillId="2" borderId="13" xfId="0" applyFont="1" applyFill="1" applyBorder="1" applyAlignment="1">
      <alignment vertical="center" wrapText="1"/>
    </xf>
    <xf numFmtId="0" fontId="15" fillId="0" borderId="10" xfId="0" applyFont="1" applyBorder="1" applyAlignment="1">
      <alignment vertical="center" wrapText="1"/>
    </xf>
    <xf numFmtId="0" fontId="6" fillId="3" borderId="30" xfId="0" applyFont="1" applyFill="1" applyBorder="1" applyAlignment="1">
      <alignment horizontal="center" vertical="center" wrapText="1"/>
    </xf>
    <xf numFmtId="0" fontId="4" fillId="0" borderId="0" xfId="0" applyFont="1" applyAlignment="1">
      <alignment horizontal="center"/>
    </xf>
    <xf numFmtId="0" fontId="8" fillId="2" borderId="3" xfId="0" applyFont="1" applyFill="1" applyBorder="1" applyAlignment="1">
      <alignment horizontal="left" vertical="center" wrapText="1"/>
    </xf>
    <xf numFmtId="49" fontId="12" fillId="2" borderId="25" xfId="0" applyNumberFormat="1" applyFont="1" applyFill="1" applyBorder="1" applyAlignment="1">
      <alignment horizontal="left" vertical="center" wrapText="1"/>
    </xf>
    <xf numFmtId="49" fontId="12" fillId="0" borderId="25" xfId="0" applyNumberFormat="1" applyFont="1" applyBorder="1" applyAlignment="1">
      <alignment horizontal="left" vertical="center" wrapText="1"/>
    </xf>
    <xf numFmtId="49" fontId="12" fillId="2" borderId="27" xfId="0" applyNumberFormat="1" applyFont="1" applyFill="1" applyBorder="1" applyAlignment="1">
      <alignment horizontal="left" vertical="center" wrapText="1"/>
    </xf>
    <xf numFmtId="0" fontId="8" fillId="0" borderId="3" xfId="0" applyFont="1" applyBorder="1" applyAlignment="1">
      <alignment horizontal="left" vertical="center" wrapText="1"/>
    </xf>
    <xf numFmtId="0" fontId="6" fillId="0" borderId="33" xfId="0" applyFont="1" applyBorder="1" applyAlignment="1">
      <alignment horizontal="left" vertical="center" wrapText="1"/>
    </xf>
    <xf numFmtId="0" fontId="8" fillId="2" borderId="18" xfId="0" applyFont="1" applyFill="1" applyBorder="1" applyAlignment="1">
      <alignment horizontal="left" vertical="center" wrapText="1"/>
    </xf>
    <xf numFmtId="0" fontId="8" fillId="0" borderId="18" xfId="0" applyFont="1" applyBorder="1" applyAlignment="1">
      <alignment horizontal="left" vertical="center" wrapText="1"/>
    </xf>
    <xf numFmtId="49" fontId="10" fillId="0" borderId="27" xfId="0" applyNumberFormat="1" applyFont="1" applyBorder="1" applyAlignment="1">
      <alignment horizontal="left" vertical="center" wrapText="1"/>
    </xf>
    <xf numFmtId="0" fontId="7" fillId="0" borderId="0" xfId="0" applyFont="1" applyAlignment="1">
      <alignment horizontal="left" vertical="center" wrapText="1"/>
    </xf>
    <xf numFmtId="0" fontId="16" fillId="0" borderId="0" xfId="0" applyFont="1"/>
    <xf numFmtId="0" fontId="17" fillId="0" borderId="0" xfId="0" applyFont="1"/>
    <xf numFmtId="0" fontId="18" fillId="0" borderId="0" xfId="0" applyFont="1"/>
    <xf numFmtId="0" fontId="0" fillId="0" borderId="0" xfId="0" applyAlignment="1">
      <alignment vertical="top"/>
    </xf>
    <xf numFmtId="14" fontId="0" fillId="0" borderId="0" xfId="0" applyNumberFormat="1" applyAlignment="1">
      <alignment horizontal="left"/>
    </xf>
    <xf numFmtId="0" fontId="0" fillId="0" borderId="0" xfId="0" applyAlignment="1">
      <alignment vertical="top" wrapText="1"/>
    </xf>
    <xf numFmtId="0" fontId="20" fillId="0" borderId="0" xfId="0" applyFont="1"/>
    <xf numFmtId="0" fontId="21" fillId="0" borderId="0" xfId="0" applyFont="1"/>
    <xf numFmtId="0" fontId="6" fillId="0" borderId="23" xfId="0" applyFont="1" applyBorder="1" applyAlignment="1">
      <alignment horizontal="left" vertical="center" wrapText="1"/>
    </xf>
    <xf numFmtId="0" fontId="6" fillId="0" borderId="24" xfId="0" applyFont="1" applyBorder="1" applyAlignment="1">
      <alignment horizontal="center" vertical="center" wrapText="1"/>
    </xf>
    <xf numFmtId="0" fontId="4" fillId="3" borderId="0" xfId="0" applyFont="1" applyFill="1"/>
    <xf numFmtId="0" fontId="4" fillId="3" borderId="0" xfId="0" applyFont="1" applyFill="1" applyAlignment="1">
      <alignment horizontal="center"/>
    </xf>
    <xf numFmtId="0" fontId="7" fillId="2" borderId="0" xfId="0" applyFont="1" applyFill="1" applyAlignment="1">
      <alignment horizontal="left" vertical="center" wrapText="1"/>
    </xf>
    <xf numFmtId="0" fontId="6" fillId="0" borderId="22" xfId="0" applyFont="1" applyBorder="1" applyAlignment="1">
      <alignment horizontal="center" vertical="center" wrapText="1"/>
    </xf>
    <xf numFmtId="0" fontId="14" fillId="2" borderId="25" xfId="0" applyFont="1" applyFill="1" applyBorder="1" applyAlignment="1">
      <alignment horizontal="center" vertical="center" wrapText="1"/>
    </xf>
    <xf numFmtId="0" fontId="14" fillId="0" borderId="25" xfId="0" applyFont="1" applyBorder="1" applyAlignment="1">
      <alignment horizontal="center" vertical="center" wrapText="1"/>
    </xf>
    <xf numFmtId="0" fontId="22" fillId="0" borderId="0" xfId="0" applyFont="1" applyAlignment="1">
      <alignment horizontal="center" vertical="center"/>
    </xf>
    <xf numFmtId="0" fontId="8" fillId="2" borderId="4" xfId="0" applyFont="1" applyFill="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0" fillId="0" borderId="0" xfId="0" applyProtection="1">
      <protection locked="0"/>
    </xf>
    <xf numFmtId="0" fontId="8" fillId="0" borderId="0" xfId="0" applyFont="1" applyAlignment="1" applyProtection="1">
      <alignment horizontal="left" vertical="center" wrapText="1"/>
      <protection locked="0"/>
    </xf>
    <xf numFmtId="0" fontId="15" fillId="0" borderId="10" xfId="0" applyFont="1" applyBorder="1" applyAlignment="1" applyProtection="1">
      <alignment horizontal="center" vertical="center" wrapText="1"/>
      <protection locked="0"/>
    </xf>
    <xf numFmtId="0" fontId="10" fillId="2" borderId="26" xfId="0" applyFont="1" applyFill="1" applyBorder="1" applyAlignment="1" applyProtection="1">
      <alignment horizontal="center" vertical="center" wrapText="1"/>
      <protection locked="0"/>
    </xf>
    <xf numFmtId="0" fontId="10" fillId="0" borderId="26" xfId="0" applyFont="1" applyBorder="1" applyAlignment="1" applyProtection="1">
      <alignment horizontal="center" vertical="center" wrapText="1"/>
      <protection locked="0"/>
    </xf>
    <xf numFmtId="0" fontId="8" fillId="2" borderId="19" xfId="0" applyFont="1" applyFill="1" applyBorder="1" applyAlignment="1" applyProtection="1">
      <alignment horizontal="left" vertical="center" wrapText="1"/>
      <protection locked="0"/>
    </xf>
    <xf numFmtId="0" fontId="8" fillId="0" borderId="19" xfId="0" applyFont="1" applyBorder="1" applyAlignment="1" applyProtection="1">
      <alignment horizontal="left" vertical="center" wrapText="1"/>
      <protection locked="0"/>
    </xf>
    <xf numFmtId="49" fontId="6" fillId="0" borderId="35" xfId="0" applyNumberFormat="1" applyFont="1" applyBorder="1" applyAlignment="1">
      <alignment horizontal="left" vertical="center" wrapText="1"/>
    </xf>
    <xf numFmtId="0" fontId="6" fillId="0" borderId="36" xfId="0" applyFont="1" applyBorder="1" applyAlignment="1">
      <alignment horizontal="left" vertical="center" wrapText="1"/>
    </xf>
    <xf numFmtId="0" fontId="24" fillId="0" borderId="26" xfId="0" applyFont="1" applyBorder="1" applyAlignment="1">
      <alignment horizontal="center" vertical="center" wrapText="1"/>
    </xf>
    <xf numFmtId="49" fontId="10" fillId="2" borderId="0" xfId="0" applyNumberFormat="1" applyFont="1" applyFill="1" applyAlignment="1">
      <alignment horizontal="left" vertical="center" wrapText="1"/>
    </xf>
    <xf numFmtId="49" fontId="12" fillId="2" borderId="0" xfId="0" applyNumberFormat="1" applyFont="1" applyFill="1" applyAlignment="1">
      <alignment horizontal="left" vertical="center" wrapText="1"/>
    </xf>
    <xf numFmtId="49" fontId="12" fillId="0" borderId="0" xfId="0" applyNumberFormat="1" applyFont="1" applyAlignment="1">
      <alignment horizontal="left" vertical="center" wrapText="1" indent="2"/>
    </xf>
    <xf numFmtId="49" fontId="12" fillId="2" borderId="0" xfId="0" applyNumberFormat="1" applyFont="1" applyFill="1" applyAlignment="1">
      <alignment horizontal="left" vertical="center" wrapText="1" indent="2"/>
    </xf>
    <xf numFmtId="49" fontId="10" fillId="2" borderId="28" xfId="0" applyNumberFormat="1" applyFont="1" applyFill="1" applyBorder="1" applyAlignment="1">
      <alignment horizontal="left" vertical="center" wrapText="1"/>
    </xf>
    <xf numFmtId="49" fontId="12" fillId="2" borderId="28" xfId="0" applyNumberFormat="1" applyFont="1" applyFill="1" applyBorder="1" applyAlignment="1">
      <alignment horizontal="left" vertical="center" wrapText="1" indent="2"/>
    </xf>
    <xf numFmtId="49" fontId="10" fillId="0" borderId="28" xfId="0" applyNumberFormat="1" applyFont="1" applyBorder="1" applyAlignment="1">
      <alignment horizontal="left" vertical="center" wrapText="1"/>
    </xf>
    <xf numFmtId="0" fontId="15" fillId="2" borderId="13" xfId="0" applyFont="1" applyFill="1" applyBorder="1" applyAlignment="1">
      <alignment horizontal="center" vertical="center" wrapText="1"/>
    </xf>
    <xf numFmtId="0" fontId="10" fillId="0" borderId="29" xfId="0" applyFont="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0" fillId="2" borderId="29" xfId="0" applyFont="1" applyFill="1" applyBorder="1" applyAlignment="1" applyProtection="1">
      <alignment horizontal="center" vertical="center" wrapText="1"/>
      <protection locked="0"/>
    </xf>
    <xf numFmtId="0" fontId="25" fillId="0" borderId="0" xfId="0" applyFont="1"/>
    <xf numFmtId="0" fontId="5" fillId="0" borderId="0" xfId="0" applyFont="1" applyAlignment="1">
      <alignment wrapText="1"/>
    </xf>
    <xf numFmtId="0" fontId="10" fillId="2" borderId="0" xfId="0" applyFont="1" applyFill="1" applyAlignment="1" applyProtection="1">
      <alignment horizontal="center" vertical="center" wrapText="1"/>
      <protection locked="0"/>
    </xf>
    <xf numFmtId="0" fontId="3" fillId="0" borderId="0" xfId="1"/>
    <xf numFmtId="0" fontId="26" fillId="0" borderId="40" xfId="1" applyFont="1" applyBorder="1" applyAlignment="1">
      <alignment vertical="center"/>
    </xf>
    <xf numFmtId="0" fontId="26" fillId="0" borderId="42" xfId="1" applyFont="1" applyBorder="1" applyAlignment="1">
      <alignment vertical="center"/>
    </xf>
    <xf numFmtId="0" fontId="26" fillId="0" borderId="44" xfId="1" applyFont="1" applyBorder="1" applyAlignment="1">
      <alignment vertical="center"/>
    </xf>
    <xf numFmtId="0" fontId="7" fillId="0" borderId="0" xfId="0" applyFont="1" applyAlignment="1" applyProtection="1">
      <alignment horizontal="left" vertical="center" wrapText="1"/>
      <protection locked="0"/>
    </xf>
    <xf numFmtId="0" fontId="10" fillId="0" borderId="26" xfId="0" applyFont="1" applyBorder="1" applyAlignment="1" applyProtection="1">
      <alignment horizontal="left" vertical="center" wrapText="1"/>
      <protection locked="0"/>
    </xf>
    <xf numFmtId="0" fontId="10" fillId="2" borderId="26" xfId="0" applyFont="1" applyFill="1" applyBorder="1" applyAlignment="1" applyProtection="1">
      <alignment horizontal="left" vertical="center" wrapText="1"/>
      <protection locked="0"/>
    </xf>
    <xf numFmtId="0" fontId="6" fillId="0" borderId="3" xfId="0" applyFont="1" applyBorder="1" applyAlignment="1">
      <alignment horizontal="left" vertical="center" wrapText="1"/>
    </xf>
    <xf numFmtId="0" fontId="6" fillId="0" borderId="3" xfId="0" applyFont="1" applyBorder="1" applyAlignment="1">
      <alignment vertical="center" wrapText="1"/>
    </xf>
    <xf numFmtId="0" fontId="6" fillId="0" borderId="18" xfId="0" applyFont="1" applyBorder="1" applyAlignment="1">
      <alignment horizontal="left" vertical="center" wrapText="1"/>
    </xf>
    <xf numFmtId="0" fontId="3" fillId="0" borderId="46" xfId="1" applyBorder="1"/>
    <xf numFmtId="0" fontId="3" fillId="0" borderId="47" xfId="1" applyBorder="1"/>
    <xf numFmtId="0" fontId="3" fillId="0" borderId="48" xfId="1" applyBorder="1"/>
    <xf numFmtId="0" fontId="3" fillId="0" borderId="49" xfId="1" applyBorder="1" applyAlignment="1">
      <alignment vertical="center"/>
    </xf>
    <xf numFmtId="0" fontId="8" fillId="0" borderId="6" xfId="0" applyFont="1" applyBorder="1" applyAlignment="1" applyProtection="1">
      <alignment horizontal="left" vertical="center" wrapText="1"/>
      <protection locked="0"/>
    </xf>
    <xf numFmtId="0" fontId="6" fillId="3" borderId="57" xfId="0" applyFont="1" applyFill="1" applyBorder="1" applyAlignment="1">
      <alignment horizontal="left" vertical="center" wrapText="1"/>
    </xf>
    <xf numFmtId="0" fontId="0" fillId="0" borderId="28" xfId="0" applyBorder="1" applyProtection="1">
      <protection locked="0"/>
    </xf>
    <xf numFmtId="0" fontId="28" fillId="0" borderId="28" xfId="0" applyFont="1" applyBorder="1" applyAlignment="1">
      <alignment horizontal="left" vertical="center" wrapText="1"/>
    </xf>
    <xf numFmtId="0" fontId="7" fillId="0" borderId="12" xfId="0" applyFont="1" applyBorder="1" applyAlignment="1">
      <alignment horizontal="left" vertical="center" wrapText="1"/>
    </xf>
    <xf numFmtId="0" fontId="8" fillId="0" borderId="9" xfId="0" applyFont="1" applyBorder="1" applyAlignment="1">
      <alignment horizontal="left" vertical="center" wrapText="1"/>
    </xf>
    <xf numFmtId="0" fontId="7" fillId="5" borderId="11" xfId="0" applyFont="1" applyFill="1" applyBorder="1" applyAlignment="1">
      <alignment vertical="center" wrapText="1"/>
    </xf>
    <xf numFmtId="0" fontId="8" fillId="5" borderId="10" xfId="0" applyFont="1" applyFill="1" applyBorder="1" applyAlignment="1">
      <alignment vertical="center" wrapText="1"/>
    </xf>
    <xf numFmtId="0" fontId="10" fillId="0" borderId="28" xfId="0" applyFont="1" applyBorder="1" applyAlignment="1">
      <alignment horizontal="left" vertical="center" wrapText="1"/>
    </xf>
    <xf numFmtId="0" fontId="6" fillId="0" borderId="17" xfId="0" applyFont="1" applyBorder="1" applyAlignment="1">
      <alignment horizontal="left" vertical="center" wrapText="1"/>
    </xf>
    <xf numFmtId="0" fontId="7" fillId="0" borderId="0" xfId="0" applyFont="1" applyAlignment="1" applyProtection="1">
      <alignment horizontal="center" vertical="center" wrapText="1"/>
      <protection locked="0"/>
    </xf>
    <xf numFmtId="0" fontId="7" fillId="0" borderId="0" xfId="0" applyFont="1" applyAlignment="1" applyProtection="1">
      <alignment vertical="center" wrapText="1"/>
      <protection locked="0"/>
    </xf>
    <xf numFmtId="0" fontId="14" fillId="0" borderId="0" xfId="0" applyFont="1" applyAlignment="1" applyProtection="1">
      <alignment vertical="center" wrapText="1"/>
      <protection locked="0"/>
    </xf>
    <xf numFmtId="0" fontId="14" fillId="0" borderId="0" xfId="0" applyFont="1" applyAlignment="1" applyProtection="1">
      <alignment horizontal="left" vertical="center" wrapText="1"/>
      <protection locked="0"/>
    </xf>
    <xf numFmtId="0" fontId="14" fillId="2" borderId="27" xfId="0" applyFont="1" applyFill="1" applyBorder="1" applyAlignment="1">
      <alignment horizontal="center" vertical="center" wrapText="1"/>
    </xf>
    <xf numFmtId="0" fontId="7" fillId="2" borderId="28" xfId="0" applyFont="1" applyFill="1" applyBorder="1" applyAlignment="1">
      <alignment horizontal="left" vertical="center" wrapText="1"/>
    </xf>
    <xf numFmtId="0" fontId="26" fillId="0" borderId="68" xfId="1" applyFont="1" applyBorder="1" applyAlignment="1">
      <alignment horizontal="left"/>
    </xf>
    <xf numFmtId="0" fontId="3" fillId="0" borderId="70" xfId="1" applyBorder="1"/>
    <xf numFmtId="0" fontId="26" fillId="0" borderId="73" xfId="1" applyFont="1" applyBorder="1" applyAlignment="1">
      <alignment horizontal="left"/>
    </xf>
    <xf numFmtId="0" fontId="26" fillId="0" borderId="74" xfId="1" applyFont="1" applyBorder="1" applyAlignment="1">
      <alignment vertical="center"/>
    </xf>
    <xf numFmtId="0" fontId="26" fillId="0" borderId="76" xfId="1" applyFont="1" applyBorder="1" applyAlignment="1">
      <alignment vertical="center"/>
    </xf>
    <xf numFmtId="0" fontId="26" fillId="0" borderId="78" xfId="1" applyFont="1" applyBorder="1" applyAlignment="1">
      <alignment vertical="center"/>
    </xf>
    <xf numFmtId="0" fontId="7" fillId="0" borderId="11" xfId="0" applyFont="1" applyBorder="1" applyAlignment="1">
      <alignment horizontal="left" vertical="center" wrapText="1"/>
    </xf>
    <xf numFmtId="164" fontId="18" fillId="0" borderId="0" xfId="0" quotePrefix="1" applyNumberFormat="1" applyFont="1" applyAlignment="1">
      <alignment horizontal="left"/>
    </xf>
    <xf numFmtId="165" fontId="18" fillId="0" borderId="0" xfId="0" applyNumberFormat="1" applyFont="1" applyAlignment="1">
      <alignment horizontal="left"/>
    </xf>
    <xf numFmtId="0" fontId="10" fillId="0" borderId="29" xfId="0" applyFont="1" applyBorder="1" applyAlignment="1">
      <alignment horizontal="center" vertical="center" wrapText="1"/>
    </xf>
    <xf numFmtId="0" fontId="10" fillId="0" borderId="0" xfId="0" applyFont="1" applyAlignment="1">
      <alignment horizontal="center" vertical="center" wrapText="1"/>
    </xf>
    <xf numFmtId="0" fontId="9" fillId="2" borderId="0" xfId="0" applyFont="1" applyFill="1" applyAlignment="1">
      <alignment horizontal="center" vertical="center" wrapText="1"/>
    </xf>
    <xf numFmtId="49" fontId="10" fillId="0" borderId="0" xfId="0" applyNumberFormat="1" applyFont="1" applyAlignment="1">
      <alignment horizontal="left" vertical="center"/>
    </xf>
    <xf numFmtId="0" fontId="6" fillId="0" borderId="37" xfId="0" applyFont="1" applyBorder="1" applyAlignment="1">
      <alignment horizontal="center" vertical="center" wrapText="1"/>
    </xf>
    <xf numFmtId="0" fontId="8" fillId="2" borderId="19" xfId="0" applyFont="1" applyFill="1" applyBorder="1" applyAlignment="1">
      <alignment horizontal="left" vertical="center" wrapText="1"/>
    </xf>
    <xf numFmtId="0" fontId="9" fillId="0" borderId="9" xfId="0" applyFont="1" applyBorder="1" applyAlignment="1">
      <alignment horizontal="left" vertical="center" wrapText="1"/>
    </xf>
    <xf numFmtId="0" fontId="9" fillId="5" borderId="10" xfId="0" applyFont="1" applyFill="1" applyBorder="1" applyAlignment="1">
      <alignment vertical="center" wrapText="1"/>
    </xf>
    <xf numFmtId="0" fontId="9" fillId="0" borderId="10" xfId="0" applyFont="1" applyBorder="1" applyAlignment="1">
      <alignment horizontal="left" vertical="center" wrapText="1"/>
    </xf>
    <xf numFmtId="0" fontId="6" fillId="3" borderId="58"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8" fillId="0" borderId="18"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8" fillId="0" borderId="19" xfId="0" applyFont="1" applyBorder="1" applyAlignment="1">
      <alignment horizontal="left" vertical="center" wrapText="1"/>
    </xf>
    <xf numFmtId="0" fontId="6" fillId="2" borderId="18" xfId="0" applyFont="1" applyFill="1" applyBorder="1" applyAlignment="1">
      <alignment horizontal="left" vertical="center" wrapText="1"/>
    </xf>
    <xf numFmtId="0" fontId="6" fillId="2" borderId="3" xfId="0" applyFont="1" applyFill="1" applyBorder="1" applyAlignment="1">
      <alignment horizontal="left" vertical="center" wrapText="1"/>
    </xf>
    <xf numFmtId="0" fontId="8" fillId="0" borderId="20" xfId="0" applyFont="1" applyBorder="1" applyAlignment="1">
      <alignment horizontal="left" vertical="center" wrapText="1"/>
    </xf>
    <xf numFmtId="0" fontId="8" fillId="0" borderId="34" xfId="0" applyFont="1" applyBorder="1" applyAlignment="1">
      <alignment horizontal="left" vertical="center" wrapText="1"/>
    </xf>
    <xf numFmtId="0" fontId="8" fillId="0" borderId="21" xfId="0" applyFont="1" applyBorder="1" applyAlignment="1">
      <alignment horizontal="left" vertical="center" wrapText="1"/>
    </xf>
    <xf numFmtId="0" fontId="6" fillId="2" borderId="19" xfId="0" applyFont="1" applyFill="1" applyBorder="1" applyAlignment="1">
      <alignment horizontal="left" vertical="center" wrapText="1"/>
    </xf>
    <xf numFmtId="0" fontId="9" fillId="0" borderId="15" xfId="0" applyFont="1" applyBorder="1" applyAlignment="1" applyProtection="1">
      <alignment horizontal="left" vertical="center" wrapText="1"/>
      <protection locked="0"/>
    </xf>
    <xf numFmtId="14" fontId="3" fillId="0" borderId="50" xfId="1" applyNumberFormat="1" applyBorder="1" applyAlignment="1" applyProtection="1">
      <alignment vertical="center"/>
      <protection locked="0"/>
    </xf>
    <xf numFmtId="0" fontId="3" fillId="0" borderId="51" xfId="1" applyBorder="1" applyAlignment="1">
      <alignment vertical="center"/>
    </xf>
    <xf numFmtId="14" fontId="3" fillId="0" borderId="52" xfId="1" applyNumberFormat="1" applyBorder="1" applyAlignment="1">
      <alignment vertical="center"/>
    </xf>
    <xf numFmtId="0" fontId="3" fillId="0" borderId="52" xfId="1" applyBorder="1" applyAlignment="1">
      <alignment vertical="center"/>
    </xf>
    <xf numFmtId="0" fontId="2" fillId="0" borderId="41" xfId="1" applyFont="1" applyBorder="1" applyAlignment="1" applyProtection="1">
      <alignment vertical="center"/>
      <protection locked="0"/>
    </xf>
    <xf numFmtId="0" fontId="3" fillId="0" borderId="43" xfId="1" applyBorder="1" applyAlignment="1" applyProtection="1">
      <alignment vertical="center"/>
      <protection locked="0"/>
    </xf>
    <xf numFmtId="0" fontId="2" fillId="0" borderId="43" xfId="1" applyFont="1" applyBorder="1" applyAlignment="1" applyProtection="1">
      <alignment vertical="center"/>
      <protection locked="0"/>
    </xf>
    <xf numFmtId="0" fontId="2" fillId="0" borderId="45" xfId="1" applyFont="1" applyBorder="1" applyAlignment="1" applyProtection="1">
      <alignment vertical="center"/>
      <protection locked="0"/>
    </xf>
    <xf numFmtId="14" fontId="2" fillId="0" borderId="50" xfId="1" applyNumberFormat="1" applyFont="1" applyBorder="1" applyAlignment="1" applyProtection="1">
      <alignment horizontal="left" vertical="center"/>
      <protection locked="0"/>
    </xf>
    <xf numFmtId="14" fontId="2" fillId="0" borderId="69" xfId="1" applyNumberFormat="1" applyFont="1" applyBorder="1" applyAlignment="1" applyProtection="1">
      <alignment horizontal="left" vertical="center"/>
      <protection locked="0"/>
    </xf>
    <xf numFmtId="0" fontId="2" fillId="0" borderId="69" xfId="1" applyFont="1" applyBorder="1" applyAlignment="1" applyProtection="1">
      <alignment horizontal="left" vertical="center"/>
      <protection locked="0"/>
    </xf>
    <xf numFmtId="0" fontId="2" fillId="0" borderId="75" xfId="1" applyFont="1" applyBorder="1" applyAlignment="1" applyProtection="1">
      <alignment vertical="center"/>
      <protection locked="0"/>
    </xf>
    <xf numFmtId="0" fontId="2" fillId="0" borderId="77" xfId="1" applyFont="1" applyBorder="1" applyAlignment="1" applyProtection="1">
      <alignment vertical="center"/>
      <protection locked="0"/>
    </xf>
    <xf numFmtId="0" fontId="2" fillId="0" borderId="79" xfId="1" applyFont="1" applyBorder="1" applyAlignment="1" applyProtection="1">
      <alignment vertical="center"/>
      <protection locked="0"/>
    </xf>
    <xf numFmtId="0" fontId="4" fillId="0" borderId="0" xfId="0" applyFont="1" applyAlignment="1">
      <alignment vertical="center"/>
    </xf>
    <xf numFmtId="0" fontId="7" fillId="5" borderId="81" xfId="0" applyFont="1" applyFill="1" applyBorder="1" applyAlignment="1">
      <alignment vertical="center" wrapText="1"/>
    </xf>
    <xf numFmtId="0" fontId="9" fillId="5" borderId="82" xfId="0" applyFont="1" applyFill="1" applyBorder="1" applyAlignment="1">
      <alignment vertical="center" wrapText="1"/>
    </xf>
    <xf numFmtId="0" fontId="8" fillId="5" borderId="83" xfId="0" applyFont="1" applyFill="1" applyBorder="1" applyAlignment="1">
      <alignment vertical="center" wrapText="1"/>
    </xf>
    <xf numFmtId="0" fontId="32" fillId="0" borderId="3" xfId="0" applyFont="1" applyBorder="1" applyAlignment="1">
      <alignment horizontal="left" vertical="center" wrapText="1"/>
    </xf>
    <xf numFmtId="0" fontId="32" fillId="2" borderId="3" xfId="0" applyFont="1" applyFill="1" applyBorder="1" applyAlignment="1">
      <alignment horizontal="left" vertical="center" wrapText="1"/>
    </xf>
    <xf numFmtId="0" fontId="25" fillId="0" borderId="0" xfId="0" applyFont="1" applyAlignment="1">
      <alignment vertical="center"/>
    </xf>
    <xf numFmtId="49" fontId="6" fillId="2" borderId="35" xfId="0" applyNumberFormat="1" applyFont="1" applyFill="1" applyBorder="1" applyAlignment="1">
      <alignment horizontal="left" vertical="center" wrapText="1"/>
    </xf>
    <xf numFmtId="0" fontId="6" fillId="2" borderId="36" xfId="0" applyFont="1" applyFill="1" applyBorder="1" applyAlignment="1">
      <alignment horizontal="left" vertical="center" wrapText="1"/>
    </xf>
    <xf numFmtId="0" fontId="9" fillId="2" borderId="37" xfId="0" applyFont="1" applyFill="1" applyBorder="1" applyAlignment="1">
      <alignment horizontal="center" vertical="center" wrapText="1"/>
    </xf>
    <xf numFmtId="49" fontId="6" fillId="0" borderId="35" xfId="0" applyNumberFormat="1" applyFont="1" applyBorder="1" applyAlignment="1">
      <alignment vertical="center" wrapText="1"/>
    </xf>
    <xf numFmtId="0" fontId="6" fillId="0" borderId="36" xfId="0" applyFont="1" applyBorder="1" applyAlignment="1">
      <alignment vertical="center" wrapText="1"/>
    </xf>
    <xf numFmtId="0" fontId="6" fillId="0" borderId="36" xfId="0" applyFont="1" applyBorder="1" applyAlignment="1">
      <alignment horizontal="center" vertical="center" wrapText="1"/>
    </xf>
    <xf numFmtId="49" fontId="6" fillId="0" borderId="36" xfId="0" applyNumberFormat="1" applyFont="1" applyBorder="1" applyAlignment="1">
      <alignment horizontal="left" vertical="center" wrapText="1"/>
    </xf>
    <xf numFmtId="0" fontId="6" fillId="0" borderId="27" xfId="0" applyFont="1" applyBorder="1" applyAlignment="1" applyProtection="1">
      <alignment vertical="center" wrapText="1"/>
      <protection locked="0"/>
    </xf>
    <xf numFmtId="0" fontId="6" fillId="0" borderId="28" xfId="0" applyFont="1" applyBorder="1" applyAlignment="1" applyProtection="1">
      <alignment vertical="center" wrapText="1"/>
      <protection locked="0"/>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49" fontId="10" fillId="0" borderId="36" xfId="0" applyNumberFormat="1" applyFont="1" applyBorder="1" applyAlignment="1">
      <alignment horizontal="left" vertical="center" wrapText="1"/>
    </xf>
    <xf numFmtId="0" fontId="10" fillId="0" borderId="36" xfId="0" applyFont="1" applyBorder="1" applyAlignment="1">
      <alignment horizontal="center" vertical="center" wrapText="1"/>
    </xf>
    <xf numFmtId="49" fontId="8" fillId="0" borderId="26" xfId="0" applyNumberFormat="1" applyFont="1" applyBorder="1" applyAlignment="1">
      <alignment horizontal="center" vertical="center" wrapText="1"/>
    </xf>
    <xf numFmtId="0" fontId="33" fillId="2" borderId="25" xfId="0" applyFont="1" applyFill="1" applyBorder="1" applyAlignment="1">
      <alignment horizontal="center" vertical="center" wrapText="1"/>
    </xf>
    <xf numFmtId="0" fontId="31" fillId="2" borderId="0" xfId="0" applyFont="1" applyFill="1" applyAlignment="1">
      <alignment horizontal="left" vertical="center" wrapText="1"/>
    </xf>
    <xf numFmtId="0" fontId="34" fillId="2" borderId="26" xfId="0" applyFont="1" applyFill="1" applyBorder="1" applyAlignment="1">
      <alignment horizontal="center" vertical="center" wrapText="1"/>
    </xf>
    <xf numFmtId="0" fontId="33" fillId="0" borderId="25" xfId="0" applyFont="1" applyBorder="1" applyAlignment="1">
      <alignment horizontal="center" vertical="center" wrapText="1"/>
    </xf>
    <xf numFmtId="0" fontId="33" fillId="0" borderId="0" xfId="0" applyFont="1" applyAlignment="1">
      <alignment horizontal="left" vertical="center" wrapText="1" indent="2"/>
    </xf>
    <xf numFmtId="0" fontId="31" fillId="0" borderId="26" xfId="0" applyFont="1" applyBorder="1" applyAlignment="1">
      <alignment vertical="center" wrapText="1"/>
    </xf>
    <xf numFmtId="0" fontId="8" fillId="2" borderId="65" xfId="0" applyFont="1" applyFill="1" applyBorder="1" applyAlignment="1" applyProtection="1">
      <alignment vertical="center" wrapText="1"/>
      <protection locked="0"/>
    </xf>
    <xf numFmtId="0" fontId="8" fillId="5" borderId="66" xfId="0" applyFont="1" applyFill="1" applyBorder="1" applyAlignment="1" applyProtection="1">
      <alignment horizontal="left" vertical="center" wrapText="1"/>
      <protection locked="0"/>
    </xf>
    <xf numFmtId="0" fontId="8" fillId="2" borderId="67" xfId="0" applyFont="1" applyFill="1" applyBorder="1" applyAlignment="1" applyProtection="1">
      <alignment vertical="center" wrapText="1"/>
      <protection locked="0"/>
    </xf>
    <xf numFmtId="0" fontId="0" fillId="0" borderId="0" xfId="0" applyAlignment="1">
      <alignment horizontal="center" wrapText="1"/>
    </xf>
    <xf numFmtId="0" fontId="9" fillId="0" borderId="0" xfId="0" applyFont="1" applyAlignment="1">
      <alignment horizontal="center" vertical="center" wrapText="1"/>
    </xf>
    <xf numFmtId="0" fontId="9" fillId="0" borderId="28" xfId="0" applyFont="1" applyBorder="1" applyAlignment="1">
      <alignment horizontal="center" vertical="center" wrapText="1"/>
    </xf>
    <xf numFmtId="2" fontId="9" fillId="0" borderId="10" xfId="0" applyNumberFormat="1" applyFont="1" applyBorder="1" applyAlignment="1">
      <alignment horizontal="center" vertical="center" wrapText="1"/>
    </xf>
    <xf numFmtId="2" fontId="9" fillId="2" borderId="9" xfId="0" applyNumberFormat="1" applyFont="1" applyFill="1" applyBorder="1" applyAlignment="1">
      <alignment horizontal="center" vertical="center" wrapText="1"/>
    </xf>
    <xf numFmtId="0" fontId="8" fillId="0" borderId="2" xfId="0" applyFont="1" applyBorder="1" applyAlignment="1" applyProtection="1">
      <alignment horizontal="left" vertical="center" wrapText="1"/>
      <protection locked="0"/>
    </xf>
    <xf numFmtId="49" fontId="6" fillId="0" borderId="22" xfId="0" applyNumberFormat="1" applyFont="1" applyBorder="1" applyAlignment="1">
      <alignment horizontal="center" vertical="center" wrapText="1"/>
    </xf>
    <xf numFmtId="0" fontId="6" fillId="0" borderId="24" xfId="0" applyFont="1" applyBorder="1" applyAlignment="1">
      <alignment horizontal="left" vertical="center" wrapText="1"/>
    </xf>
    <xf numFmtId="0" fontId="14" fillId="2" borderId="25" xfId="0" applyFont="1" applyFill="1" applyBorder="1" applyAlignment="1">
      <alignment horizontal="center" vertical="center" wrapText="1" indent="1"/>
    </xf>
    <xf numFmtId="0" fontId="14" fillId="2" borderId="0" xfId="0" applyFont="1" applyFill="1" applyAlignment="1">
      <alignment horizontal="center" vertical="center" wrapText="1" indent="1"/>
    </xf>
    <xf numFmtId="0" fontId="14" fillId="2" borderId="26" xfId="0" applyFont="1" applyFill="1" applyBorder="1" applyAlignment="1">
      <alignment horizontal="center" vertical="center" wrapText="1" indent="1"/>
    </xf>
    <xf numFmtId="0" fontId="13" fillId="0" borderId="27" xfId="0" applyFont="1" applyBorder="1" applyAlignment="1">
      <alignment horizontal="center" vertical="center" indent="2"/>
    </xf>
    <xf numFmtId="0" fontId="7" fillId="0" borderId="28" xfId="0" applyFont="1" applyBorder="1" applyAlignment="1">
      <alignment horizontal="left" vertical="center" wrapText="1"/>
    </xf>
    <xf numFmtId="0" fontId="10" fillId="0" borderId="29" xfId="0" applyFont="1" applyBorder="1" applyAlignment="1">
      <alignment horizontal="left" vertical="center" wrapText="1"/>
    </xf>
    <xf numFmtId="0" fontId="14" fillId="0" borderId="0" xfId="0" applyFont="1" applyAlignment="1">
      <alignment horizontal="center" vertical="center" wrapText="1" indent="1"/>
    </xf>
    <xf numFmtId="0" fontId="14" fillId="0" borderId="0" xfId="0" applyFont="1" applyAlignment="1">
      <alignment horizontal="left" vertical="center" wrapText="1" indent="1"/>
    </xf>
    <xf numFmtId="0" fontId="13" fillId="0" borderId="0" xfId="0" applyFont="1" applyAlignment="1">
      <alignment horizontal="center" vertical="center" indent="2"/>
    </xf>
    <xf numFmtId="0" fontId="14" fillId="0" borderId="0" xfId="0" applyFont="1" applyAlignment="1">
      <alignment horizontal="left" vertical="center" wrapText="1" indent="2"/>
    </xf>
    <xf numFmtId="0" fontId="0" fillId="0" borderId="0" xfId="0" applyAlignment="1">
      <alignment horizontal="right"/>
    </xf>
    <xf numFmtId="0" fontId="6" fillId="0" borderId="1" xfId="0" applyFont="1" applyBorder="1" applyAlignment="1">
      <alignment horizontal="left" vertical="center" wrapText="1"/>
    </xf>
    <xf numFmtId="0" fontId="7" fillId="2" borderId="3" xfId="0" applyFont="1" applyFill="1" applyBorder="1" applyAlignment="1">
      <alignment horizontal="left" vertical="center" wrapText="1"/>
    </xf>
    <xf numFmtId="0" fontId="7" fillId="0" borderId="3" xfId="0" applyFont="1" applyBorder="1" applyAlignment="1">
      <alignment horizontal="left" vertical="center" wrapText="1"/>
    </xf>
    <xf numFmtId="0" fontId="29" fillId="0" borderId="0" xfId="0" applyFont="1"/>
    <xf numFmtId="0" fontId="7" fillId="0" borderId="5" xfId="0" applyFont="1" applyBorder="1" applyAlignment="1">
      <alignment horizontal="left" vertical="center" wrapText="1"/>
    </xf>
    <xf numFmtId="0" fontId="6" fillId="0" borderId="0" xfId="0" applyFont="1" applyAlignment="1">
      <alignment vertical="center" wrapText="1"/>
    </xf>
    <xf numFmtId="0" fontId="13" fillId="0" borderId="25" xfId="0" applyFont="1" applyBorder="1" applyAlignment="1">
      <alignment horizontal="center" vertical="center"/>
    </xf>
    <xf numFmtId="0" fontId="30" fillId="0" borderId="26" xfId="0" applyFont="1" applyBorder="1" applyAlignment="1">
      <alignment horizontal="left" vertical="center" wrapText="1"/>
    </xf>
    <xf numFmtId="0" fontId="13" fillId="2" borderId="25" xfId="0" applyFont="1" applyFill="1" applyBorder="1" applyAlignment="1">
      <alignment horizontal="center" vertical="center" wrapText="1" indent="1"/>
    </xf>
    <xf numFmtId="0" fontId="30" fillId="2" borderId="26" xfId="0" applyFont="1" applyFill="1" applyBorder="1" applyAlignment="1">
      <alignment horizontal="left" vertical="center" wrapText="1"/>
    </xf>
    <xf numFmtId="0" fontId="7" fillId="0" borderId="0" xfId="0" applyFont="1" applyAlignment="1">
      <alignment vertical="center" wrapText="1"/>
    </xf>
    <xf numFmtId="0" fontId="9" fillId="0" borderId="37" xfId="0" applyFont="1" applyBorder="1" applyAlignment="1">
      <alignment horizontal="center" vertical="center" wrapText="1"/>
    </xf>
    <xf numFmtId="49" fontId="10" fillId="0" borderId="35" xfId="0" applyNumberFormat="1" applyFont="1" applyBorder="1" applyAlignment="1">
      <alignment horizontal="left" vertical="center" wrapText="1"/>
    </xf>
    <xf numFmtId="0" fontId="10" fillId="0" borderId="37" xfId="0" applyFont="1" applyBorder="1" applyAlignment="1" applyProtection="1">
      <alignment horizontal="center" vertical="center" wrapText="1"/>
      <protection locked="0"/>
    </xf>
    <xf numFmtId="0" fontId="0" fillId="0" borderId="0" xfId="0" applyAlignment="1">
      <alignment vertical="center"/>
    </xf>
    <xf numFmtId="0" fontId="8" fillId="0" borderId="9" xfId="0" applyFont="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0" fillId="2" borderId="25" xfId="0" applyFill="1" applyBorder="1" applyAlignment="1">
      <alignment horizontal="center"/>
    </xf>
    <xf numFmtId="0" fontId="0" fillId="0" borderId="25" xfId="0" applyBorder="1" applyAlignment="1">
      <alignment horizontal="center"/>
    </xf>
    <xf numFmtId="0" fontId="0" fillId="2" borderId="25" xfId="0" applyFill="1" applyBorder="1" applyAlignment="1" applyProtection="1">
      <alignment horizontal="center"/>
      <protection locked="0"/>
    </xf>
    <xf numFmtId="0" fontId="0" fillId="0" borderId="25" xfId="0" applyBorder="1" applyAlignment="1" applyProtection="1">
      <alignment horizontal="center"/>
      <protection locked="0"/>
    </xf>
    <xf numFmtId="0" fontId="0" fillId="2" borderId="27" xfId="0" applyFill="1" applyBorder="1" applyAlignment="1" applyProtection="1">
      <alignment horizontal="center"/>
      <protection locked="0"/>
    </xf>
    <xf numFmtId="0" fontId="0" fillId="2" borderId="0" xfId="0" applyFill="1" applyAlignment="1">
      <alignment horizontal="center"/>
    </xf>
    <xf numFmtId="0" fontId="0" fillId="2" borderId="0" xfId="0" applyFill="1" applyAlignment="1" applyProtection="1">
      <alignment horizontal="center"/>
      <protection locked="0"/>
    </xf>
    <xf numFmtId="0" fontId="0" fillId="0" borderId="0" xfId="0" applyAlignment="1" applyProtection="1">
      <alignment horizontal="center"/>
      <protection locked="0"/>
    </xf>
    <xf numFmtId="0" fontId="0" fillId="2" borderId="28" xfId="0" applyFill="1" applyBorder="1" applyAlignment="1" applyProtection="1">
      <alignment horizontal="center"/>
      <protection locked="0"/>
    </xf>
    <xf numFmtId="0" fontId="0" fillId="2" borderId="26" xfId="0" applyFill="1" applyBorder="1" applyAlignment="1">
      <alignment horizontal="center"/>
    </xf>
    <xf numFmtId="0" fontId="0" fillId="0" borderId="26" xfId="0" applyBorder="1" applyAlignment="1" applyProtection="1">
      <alignment horizontal="center"/>
      <protection locked="0"/>
    </xf>
    <xf numFmtId="0" fontId="0" fillId="2" borderId="26" xfId="0" applyFill="1" applyBorder="1" applyAlignment="1" applyProtection="1">
      <alignment horizontal="center"/>
      <protection locked="0"/>
    </xf>
    <xf numFmtId="0" fontId="0" fillId="2" borderId="29" xfId="0" applyFill="1" applyBorder="1" applyAlignment="1" applyProtection="1">
      <alignment horizontal="center"/>
      <protection locked="0"/>
    </xf>
    <xf numFmtId="0" fontId="3" fillId="0" borderId="86" xfId="1" applyBorder="1"/>
    <xf numFmtId="0" fontId="0" fillId="0" borderId="0" xfId="0" applyAlignment="1">
      <alignment horizontal="right" vertical="center"/>
    </xf>
    <xf numFmtId="49" fontId="10" fillId="2" borderId="22" xfId="0" applyNumberFormat="1" applyFont="1" applyFill="1" applyBorder="1" applyAlignment="1">
      <alignment horizontal="left" vertical="center" wrapText="1"/>
    </xf>
    <xf numFmtId="49" fontId="10" fillId="2" borderId="23" xfId="0" applyNumberFormat="1" applyFont="1" applyFill="1" applyBorder="1" applyAlignment="1">
      <alignment horizontal="left" vertical="center" wrapText="1"/>
    </xf>
    <xf numFmtId="0" fontId="10" fillId="2" borderId="24" xfId="0" applyFont="1" applyFill="1" applyBorder="1" applyAlignment="1" applyProtection="1">
      <alignment horizontal="center" vertical="center" wrapText="1"/>
      <protection locked="0"/>
    </xf>
    <xf numFmtId="0" fontId="30" fillId="2" borderId="10" xfId="0" applyFont="1" applyFill="1" applyBorder="1" applyAlignment="1">
      <alignment vertical="center" wrapText="1"/>
    </xf>
    <xf numFmtId="0" fontId="30" fillId="2" borderId="10" xfId="0" applyFont="1" applyFill="1" applyBorder="1" applyAlignment="1">
      <alignment horizontal="center" vertical="center" wrapText="1"/>
    </xf>
    <xf numFmtId="0" fontId="30" fillId="0" borderId="10" xfId="0" applyFont="1" applyBorder="1" applyAlignment="1">
      <alignment vertical="center" wrapText="1"/>
    </xf>
    <xf numFmtId="0" fontId="30" fillId="0" borderId="10" xfId="0" applyFont="1" applyBorder="1" applyAlignment="1">
      <alignment horizontal="center" vertical="center" wrapText="1"/>
    </xf>
    <xf numFmtId="0" fontId="30" fillId="0" borderId="32" xfId="0" applyFont="1" applyBorder="1" applyAlignment="1">
      <alignment vertical="center" wrapText="1"/>
    </xf>
    <xf numFmtId="0" fontId="30" fillId="0" borderId="32" xfId="0" applyFont="1" applyBorder="1" applyAlignment="1">
      <alignment horizontal="center" vertical="center" wrapText="1"/>
    </xf>
    <xf numFmtId="0" fontId="1" fillId="0" borderId="75" xfId="1" applyFont="1" applyBorder="1" applyAlignment="1" applyProtection="1">
      <alignment vertical="center"/>
      <protection locked="0"/>
    </xf>
    <xf numFmtId="0" fontId="3" fillId="0" borderId="53" xfId="1" applyBorder="1"/>
    <xf numFmtId="0" fontId="3" fillId="0" borderId="54" xfId="1" applyBorder="1"/>
    <xf numFmtId="0" fontId="3" fillId="0" borderId="55" xfId="1" applyBorder="1"/>
    <xf numFmtId="0" fontId="3" fillId="0" borderId="87" xfId="1" applyBorder="1"/>
    <xf numFmtId="0" fontId="3" fillId="0" borderId="56" xfId="1" applyBorder="1"/>
    <xf numFmtId="0" fontId="22" fillId="0" borderId="0" xfId="0" applyFont="1" applyAlignment="1">
      <alignment horizontal="center"/>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49" fontId="22" fillId="0" borderId="0" xfId="0" applyNumberFormat="1" applyFont="1" applyAlignment="1">
      <alignment horizontal="center"/>
    </xf>
    <xf numFmtId="0" fontId="23" fillId="0" borderId="0" xfId="0" applyFont="1" applyAlignment="1">
      <alignment horizontal="center" vertical="center"/>
    </xf>
    <xf numFmtId="0" fontId="8" fillId="0" borderId="0" xfId="0" applyFont="1" applyAlignment="1">
      <alignment vertical="center" wrapText="1"/>
    </xf>
    <xf numFmtId="0" fontId="28" fillId="0" borderId="80" xfId="0" applyFont="1" applyBorder="1" applyAlignment="1">
      <alignment vertical="center" wrapText="1"/>
    </xf>
    <xf numFmtId="0" fontId="23" fillId="0" borderId="0" xfId="0" applyFont="1" applyAlignment="1">
      <alignment horizontal="center" vertical="center" wrapText="1"/>
    </xf>
    <xf numFmtId="0" fontId="6" fillId="3" borderId="8" xfId="0" applyFont="1" applyFill="1" applyBorder="1" applyAlignment="1">
      <alignment vertical="center" wrapText="1"/>
    </xf>
    <xf numFmtId="0" fontId="8" fillId="5" borderId="83" xfId="0" applyFont="1" applyFill="1" applyBorder="1" applyAlignment="1">
      <alignment vertical="center" wrapText="1"/>
    </xf>
    <xf numFmtId="0" fontId="8" fillId="5" borderId="84" xfId="0" applyFont="1" applyFill="1" applyBorder="1" applyAlignment="1">
      <alignment vertical="center" wrapText="1"/>
    </xf>
    <xf numFmtId="0" fontId="8" fillId="5" borderId="85" xfId="0" applyFont="1" applyFill="1" applyBorder="1" applyAlignment="1">
      <alignment vertical="center" wrapText="1"/>
    </xf>
    <xf numFmtId="0" fontId="8" fillId="0" borderId="62" xfId="0" applyFont="1" applyBorder="1" applyAlignment="1">
      <alignment vertical="center" wrapText="1"/>
    </xf>
    <xf numFmtId="0" fontId="8" fillId="0" borderId="63" xfId="0" applyFont="1" applyBorder="1" applyAlignment="1">
      <alignment vertical="center" wrapText="1"/>
    </xf>
    <xf numFmtId="0" fontId="8" fillId="0" borderId="64" xfId="0" applyFont="1" applyBorder="1" applyAlignment="1">
      <alignment vertical="center" wrapText="1"/>
    </xf>
    <xf numFmtId="0" fontId="8" fillId="5" borderId="59" xfId="0" applyFont="1" applyFill="1" applyBorder="1" applyAlignment="1">
      <alignment vertical="center" wrapText="1"/>
    </xf>
    <xf numFmtId="0" fontId="8" fillId="5" borderId="60" xfId="0" applyFont="1" applyFill="1" applyBorder="1" applyAlignment="1">
      <alignment vertical="center" wrapText="1"/>
    </xf>
    <xf numFmtId="0" fontId="8" fillId="5" borderId="61" xfId="0" applyFont="1" applyFill="1" applyBorder="1" applyAlignment="1">
      <alignment vertical="center" wrapText="1"/>
    </xf>
    <xf numFmtId="0" fontId="8" fillId="0" borderId="0" xfId="0" applyFont="1" applyAlignment="1">
      <alignment horizontal="left" vertical="center" wrapText="1"/>
    </xf>
    <xf numFmtId="0" fontId="35" fillId="4" borderId="88" xfId="1" applyFont="1" applyFill="1" applyBorder="1" applyAlignment="1">
      <alignment horizontal="center" vertical="center"/>
    </xf>
    <xf numFmtId="0" fontId="35" fillId="4" borderId="89" xfId="1" applyFont="1" applyFill="1" applyBorder="1" applyAlignment="1">
      <alignment horizontal="center" vertical="center"/>
    </xf>
    <xf numFmtId="0" fontId="35" fillId="4" borderId="90" xfId="1" applyFont="1" applyFill="1" applyBorder="1" applyAlignment="1">
      <alignment horizontal="center" vertical="center"/>
    </xf>
    <xf numFmtId="0" fontId="27" fillId="4" borderId="38" xfId="1" applyFont="1" applyFill="1" applyBorder="1" applyAlignment="1">
      <alignment horizontal="left" vertical="center"/>
    </xf>
    <xf numFmtId="0" fontId="27" fillId="4" borderId="39" xfId="1" applyFont="1" applyFill="1" applyBorder="1" applyAlignment="1">
      <alignment horizontal="left" vertical="center"/>
    </xf>
    <xf numFmtId="0" fontId="27" fillId="4" borderId="71" xfId="1" applyFont="1" applyFill="1" applyBorder="1" applyAlignment="1">
      <alignment horizontal="left" vertical="center"/>
    </xf>
    <xf numFmtId="0" fontId="27" fillId="4" borderId="72" xfId="1" applyFont="1" applyFill="1" applyBorder="1" applyAlignment="1">
      <alignment horizontal="left" vertical="center"/>
    </xf>
    <xf numFmtId="0" fontId="3" fillId="0" borderId="53" xfId="1" applyBorder="1" applyAlignment="1" applyProtection="1">
      <alignment horizontal="center"/>
      <protection locked="0"/>
    </xf>
    <xf numFmtId="0" fontId="3" fillId="0" borderId="54" xfId="1" applyBorder="1" applyAlignment="1" applyProtection="1">
      <alignment horizontal="center"/>
      <protection locked="0"/>
    </xf>
    <xf numFmtId="0" fontId="3" fillId="0" borderId="55" xfId="1" applyBorder="1" applyAlignment="1" applyProtection="1">
      <alignment horizontal="center"/>
      <protection locked="0"/>
    </xf>
    <xf numFmtId="0" fontId="3" fillId="0" borderId="56" xfId="1" applyBorder="1" applyAlignment="1" applyProtection="1">
      <alignment horizontal="center"/>
      <protection locked="0"/>
    </xf>
    <xf numFmtId="0" fontId="3" fillId="0" borderId="53" xfId="1" applyBorder="1" applyAlignment="1" applyProtection="1">
      <alignment horizontal="center" vertical="center"/>
      <protection locked="0"/>
    </xf>
    <xf numFmtId="0" fontId="3" fillId="0" borderId="54" xfId="1" applyBorder="1" applyAlignment="1" applyProtection="1">
      <alignment horizontal="center" vertical="center"/>
      <protection locked="0"/>
    </xf>
    <xf numFmtId="0" fontId="3" fillId="0" borderId="55" xfId="1" applyBorder="1" applyAlignment="1" applyProtection="1">
      <alignment horizontal="center" vertical="center"/>
      <protection locked="0"/>
    </xf>
    <xf numFmtId="0" fontId="3" fillId="0" borderId="56" xfId="1" applyBorder="1" applyAlignment="1" applyProtection="1">
      <alignment horizontal="center" vertical="center"/>
      <protection locked="0"/>
    </xf>
  </cellXfs>
  <cellStyles count="2">
    <cellStyle name="Normal" xfId="0" builtinId="0"/>
    <cellStyle name="Normal 2" xfId="1" xr:uid="{32107AFE-C5A6-4933-9185-2909303881BF}"/>
  </cellStyles>
  <dxfs count="12">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57150</xdr:rowOff>
    </xdr:from>
    <xdr:to>
      <xdr:col>1</xdr:col>
      <xdr:colOff>398145</xdr:colOff>
      <xdr:row>2</xdr:row>
      <xdr:rowOff>381000</xdr:rowOff>
    </xdr:to>
    <xdr:pic>
      <xdr:nvPicPr>
        <xdr:cNvPr id="2" name="Picture 1">
          <a:extLst>
            <a:ext uri="{FF2B5EF4-FFF2-40B4-BE49-F238E27FC236}">
              <a16:creationId xmlns:a16="http://schemas.microsoft.com/office/drawing/2014/main" id="{5CBD6711-EF21-A1F2-E0DC-0E507699C141}"/>
            </a:ext>
          </a:extLst>
        </xdr:cNvPr>
        <xdr:cNvPicPr>
          <a:picLocks noChangeAspect="1"/>
        </xdr:cNvPicPr>
      </xdr:nvPicPr>
      <xdr:blipFill>
        <a:blip xmlns:r="http://schemas.openxmlformats.org/officeDocument/2006/relationships" r:embed="rId1"/>
        <a:stretch>
          <a:fillRect/>
        </a:stretch>
      </xdr:blipFill>
      <xdr:spPr>
        <a:xfrm>
          <a:off x="133350" y="57150"/>
          <a:ext cx="962025" cy="704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701040</xdr:colOff>
      <xdr:row>2</xdr:row>
      <xdr:rowOff>114300</xdr:rowOff>
    </xdr:to>
    <xdr:pic>
      <xdr:nvPicPr>
        <xdr:cNvPr id="8" name="Picture 1">
          <a:extLst>
            <a:ext uri="{FF2B5EF4-FFF2-40B4-BE49-F238E27FC236}">
              <a16:creationId xmlns:a16="http://schemas.microsoft.com/office/drawing/2014/main" id="{5183FD30-7A3E-469C-893D-BC68CEEFB765}"/>
            </a:ext>
          </a:extLst>
        </xdr:cNvPr>
        <xdr:cNvPicPr>
          <a:picLocks noChangeAspect="1"/>
        </xdr:cNvPicPr>
      </xdr:nvPicPr>
      <xdr:blipFill>
        <a:blip xmlns:r="http://schemas.openxmlformats.org/officeDocument/2006/relationships" r:embed="rId1"/>
        <a:stretch>
          <a:fillRect/>
        </a:stretch>
      </xdr:blipFill>
      <xdr:spPr>
        <a:xfrm>
          <a:off x="0" y="0"/>
          <a:ext cx="962025" cy="7048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285750</xdr:colOff>
      <xdr:row>1</xdr:row>
      <xdr:rowOff>323850</xdr:rowOff>
    </xdr:to>
    <xdr:pic>
      <xdr:nvPicPr>
        <xdr:cNvPr id="3" name="Picture 1">
          <a:extLst>
            <a:ext uri="{FF2B5EF4-FFF2-40B4-BE49-F238E27FC236}">
              <a16:creationId xmlns:a16="http://schemas.microsoft.com/office/drawing/2014/main" id="{59AE21A7-3A90-4DE6-AFF9-A2110104583B}"/>
            </a:ext>
          </a:extLst>
        </xdr:cNvPr>
        <xdr:cNvPicPr>
          <a:picLocks noChangeAspect="1"/>
        </xdr:cNvPicPr>
      </xdr:nvPicPr>
      <xdr:blipFill>
        <a:blip xmlns:r="http://schemas.openxmlformats.org/officeDocument/2006/relationships" r:embed="rId1"/>
        <a:stretch>
          <a:fillRect/>
        </a:stretch>
      </xdr:blipFill>
      <xdr:spPr>
        <a:xfrm>
          <a:off x="0" y="0"/>
          <a:ext cx="962025" cy="7048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971550</xdr:colOff>
      <xdr:row>2</xdr:row>
      <xdr:rowOff>15309</xdr:rowOff>
    </xdr:to>
    <xdr:pic>
      <xdr:nvPicPr>
        <xdr:cNvPr id="3" name="Picture 1">
          <a:extLst>
            <a:ext uri="{FF2B5EF4-FFF2-40B4-BE49-F238E27FC236}">
              <a16:creationId xmlns:a16="http://schemas.microsoft.com/office/drawing/2014/main" id="{E2706624-041D-43A2-ACA8-6C91225CDFBF}"/>
            </a:ext>
          </a:extLst>
        </xdr:cNvPr>
        <xdr:cNvPicPr>
          <a:picLocks noChangeAspect="1"/>
        </xdr:cNvPicPr>
      </xdr:nvPicPr>
      <xdr:blipFill>
        <a:blip xmlns:r="http://schemas.openxmlformats.org/officeDocument/2006/relationships" r:embed="rId1"/>
        <a:stretch>
          <a:fillRect/>
        </a:stretch>
      </xdr:blipFill>
      <xdr:spPr>
        <a:xfrm>
          <a:off x="0" y="0"/>
          <a:ext cx="962025" cy="7048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76200</xdr:colOff>
      <xdr:row>0</xdr:row>
      <xdr:rowOff>708548</xdr:rowOff>
    </xdr:to>
    <xdr:pic>
      <xdr:nvPicPr>
        <xdr:cNvPr id="2" name="Picture 1">
          <a:extLst>
            <a:ext uri="{FF2B5EF4-FFF2-40B4-BE49-F238E27FC236}">
              <a16:creationId xmlns:a16="http://schemas.microsoft.com/office/drawing/2014/main" id="{385DC840-BAC5-41A3-B363-494F7D3193CF}"/>
            </a:ext>
          </a:extLst>
        </xdr:cNvPr>
        <xdr:cNvPicPr>
          <a:picLocks noChangeAspect="1"/>
        </xdr:cNvPicPr>
      </xdr:nvPicPr>
      <xdr:blipFill>
        <a:blip xmlns:r="http://schemas.openxmlformats.org/officeDocument/2006/relationships" r:embed="rId1"/>
        <a:stretch>
          <a:fillRect/>
        </a:stretch>
      </xdr:blipFill>
      <xdr:spPr>
        <a:xfrm>
          <a:off x="0" y="0"/>
          <a:ext cx="962025" cy="70092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963930</xdr:colOff>
      <xdr:row>1</xdr:row>
      <xdr:rowOff>248883</xdr:rowOff>
    </xdr:to>
    <xdr:pic>
      <xdr:nvPicPr>
        <xdr:cNvPr id="3" name="Picture 1">
          <a:extLst>
            <a:ext uri="{FF2B5EF4-FFF2-40B4-BE49-F238E27FC236}">
              <a16:creationId xmlns:a16="http://schemas.microsoft.com/office/drawing/2014/main" id="{71F137CD-8168-44EC-9E94-02A3BD1477B2}"/>
            </a:ext>
          </a:extLst>
        </xdr:cNvPr>
        <xdr:cNvPicPr>
          <a:picLocks noChangeAspect="1"/>
        </xdr:cNvPicPr>
      </xdr:nvPicPr>
      <xdr:blipFill>
        <a:blip xmlns:r="http://schemas.openxmlformats.org/officeDocument/2006/relationships" r:embed="rId1"/>
        <a:stretch>
          <a:fillRect/>
        </a:stretch>
      </xdr:blipFill>
      <xdr:spPr>
        <a:xfrm>
          <a:off x="0" y="0"/>
          <a:ext cx="962025" cy="704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960120</xdr:colOff>
      <xdr:row>1</xdr:row>
      <xdr:rowOff>516255</xdr:rowOff>
    </xdr:to>
    <xdr:pic>
      <xdr:nvPicPr>
        <xdr:cNvPr id="2" name="Picture 1">
          <a:extLst>
            <a:ext uri="{FF2B5EF4-FFF2-40B4-BE49-F238E27FC236}">
              <a16:creationId xmlns:a16="http://schemas.microsoft.com/office/drawing/2014/main" id="{24941836-F1D9-478D-9470-4303AEC40225}"/>
            </a:ext>
          </a:extLst>
        </xdr:cNvPr>
        <xdr:cNvPicPr>
          <a:picLocks noChangeAspect="1"/>
        </xdr:cNvPicPr>
      </xdr:nvPicPr>
      <xdr:blipFill>
        <a:blip xmlns:r="http://schemas.openxmlformats.org/officeDocument/2006/relationships" r:embed="rId1"/>
        <a:stretch>
          <a:fillRect/>
        </a:stretch>
      </xdr:blipFill>
      <xdr:spPr>
        <a:xfrm>
          <a:off x="0" y="0"/>
          <a:ext cx="960120" cy="71628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67236</xdr:colOff>
      <xdr:row>0</xdr:row>
      <xdr:rowOff>100853</xdr:rowOff>
    </xdr:from>
    <xdr:to>
      <xdr:col>0</xdr:col>
      <xdr:colOff>1006401</xdr:colOff>
      <xdr:row>0</xdr:row>
      <xdr:rowOff>820943</xdr:rowOff>
    </xdr:to>
    <xdr:pic>
      <xdr:nvPicPr>
        <xdr:cNvPr id="2" name="Picture 1">
          <a:extLst>
            <a:ext uri="{FF2B5EF4-FFF2-40B4-BE49-F238E27FC236}">
              <a16:creationId xmlns:a16="http://schemas.microsoft.com/office/drawing/2014/main" id="{212488FC-7ADD-4F00-A22D-B3F523386B36}"/>
            </a:ext>
          </a:extLst>
        </xdr:cNvPr>
        <xdr:cNvPicPr>
          <a:picLocks noChangeAspect="1"/>
        </xdr:cNvPicPr>
      </xdr:nvPicPr>
      <xdr:blipFill>
        <a:blip xmlns:r="http://schemas.openxmlformats.org/officeDocument/2006/relationships" r:embed="rId1"/>
        <a:stretch>
          <a:fillRect/>
        </a:stretch>
      </xdr:blipFill>
      <xdr:spPr>
        <a:xfrm>
          <a:off x="67236" y="100853"/>
          <a:ext cx="935355" cy="71628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oneCellAnchor>
    <xdr:from>
      <xdr:col>1</xdr:col>
      <xdr:colOff>0</xdr:colOff>
      <xdr:row>0</xdr:row>
      <xdr:rowOff>0</xdr:rowOff>
    </xdr:from>
    <xdr:ext cx="960120" cy="719455"/>
    <xdr:pic>
      <xdr:nvPicPr>
        <xdr:cNvPr id="3" name="Picture 2">
          <a:extLst>
            <a:ext uri="{FF2B5EF4-FFF2-40B4-BE49-F238E27FC236}">
              <a16:creationId xmlns:a16="http://schemas.microsoft.com/office/drawing/2014/main" id="{5726B02A-B7EE-6048-A93E-6A4AAFC23179}"/>
            </a:ext>
          </a:extLst>
        </xdr:cNvPr>
        <xdr:cNvPicPr>
          <a:picLocks noChangeAspect="1"/>
        </xdr:cNvPicPr>
      </xdr:nvPicPr>
      <xdr:blipFill>
        <a:blip xmlns:r="http://schemas.openxmlformats.org/officeDocument/2006/relationships" r:embed="rId1"/>
        <a:stretch>
          <a:fillRect/>
        </a:stretch>
      </xdr:blipFill>
      <xdr:spPr>
        <a:xfrm>
          <a:off x="177800" y="0"/>
          <a:ext cx="960120" cy="719455"/>
        </a:xfrm>
        <a:prstGeom prst="rect">
          <a:avLst/>
        </a:prstGeom>
      </xdr:spPr>
    </xdr:pic>
    <xdr:clientData/>
  </xdr:one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testresults" connectionId="1" xr16:uid="{9A1D5199-9191-6742-B6BC-85C5C6FCE6A0}" autoFormatId="16" applyNumberFormats="0" applyBorderFormats="0" applyFontFormats="1" applyPatternFormats="1" applyAlignmentFormats="0" applyWidthHeightFormats="0"/>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C46F2-8B40-4AD7-ACA7-4A71245440B3}">
  <dimension ref="C3:E40"/>
  <sheetViews>
    <sheetView showGridLines="0" tabSelected="1" workbookViewId="0"/>
  </sheetViews>
  <sheetFormatPr defaultColWidth="8.875" defaultRowHeight="15.75" x14ac:dyDescent="0.25"/>
  <cols>
    <col min="3" max="3" width="18.375" customWidth="1"/>
    <col min="4" max="4" width="94.625" customWidth="1"/>
  </cols>
  <sheetData>
    <row r="3" spans="3:4" ht="36" x14ac:dyDescent="0.55000000000000004">
      <c r="C3" s="41" t="s">
        <v>0</v>
      </c>
      <c r="D3" s="35"/>
    </row>
    <row r="5" spans="3:4" ht="21" x14ac:dyDescent="0.35">
      <c r="C5" s="40" t="s">
        <v>1</v>
      </c>
      <c r="D5" s="34"/>
    </row>
    <row r="6" spans="3:4" x14ac:dyDescent="0.25">
      <c r="C6" s="36" t="s">
        <v>1287</v>
      </c>
      <c r="D6" s="114" t="s">
        <v>1492</v>
      </c>
    </row>
    <row r="7" spans="3:4" x14ac:dyDescent="0.25">
      <c r="C7" s="36" t="s">
        <v>2</v>
      </c>
      <c r="D7" s="115">
        <v>45561</v>
      </c>
    </row>
    <row r="8" spans="3:4" x14ac:dyDescent="0.25">
      <c r="D8" s="38" t="s">
        <v>3</v>
      </c>
    </row>
    <row r="9" spans="3:4" x14ac:dyDescent="0.25">
      <c r="C9" s="36" t="s">
        <v>1289</v>
      </c>
      <c r="D9" s="38" t="s">
        <v>1485</v>
      </c>
    </row>
    <row r="10" spans="3:4" x14ac:dyDescent="0.25">
      <c r="C10" s="36" t="s">
        <v>1288</v>
      </c>
      <c r="D10" s="38" t="s">
        <v>1490</v>
      </c>
    </row>
    <row r="12" spans="3:4" x14ac:dyDescent="0.25">
      <c r="D12" s="36" t="s">
        <v>4</v>
      </c>
    </row>
    <row r="13" spans="3:4" ht="236.25" x14ac:dyDescent="0.25">
      <c r="D13" s="39" t="s">
        <v>1336</v>
      </c>
    </row>
    <row r="15" spans="3:4" x14ac:dyDescent="0.25">
      <c r="D15" s="1" t="s">
        <v>5</v>
      </c>
    </row>
    <row r="16" spans="3:4" x14ac:dyDescent="0.25">
      <c r="C16" s="37">
        <v>1</v>
      </c>
      <c r="D16" s="75" t="s">
        <v>6</v>
      </c>
    </row>
    <row r="17" spans="3:5" ht="31.5" x14ac:dyDescent="0.25">
      <c r="C17" s="37">
        <v>2</v>
      </c>
      <c r="D17" s="75" t="s">
        <v>7</v>
      </c>
    </row>
    <row r="18" spans="3:5" ht="31.5" x14ac:dyDescent="0.25">
      <c r="C18" s="37">
        <v>3</v>
      </c>
      <c r="D18" s="75" t="s">
        <v>1360</v>
      </c>
    </row>
    <row r="19" spans="3:5" x14ac:dyDescent="0.25">
      <c r="C19" s="37">
        <v>4</v>
      </c>
      <c r="D19" s="2" t="s">
        <v>8</v>
      </c>
      <c r="E19" s="2"/>
    </row>
    <row r="20" spans="3:5" x14ac:dyDescent="0.25">
      <c r="C20" s="37">
        <v>5</v>
      </c>
      <c r="D20" s="75" t="s">
        <v>9</v>
      </c>
    </row>
    <row r="21" spans="3:5" ht="31.5" x14ac:dyDescent="0.25">
      <c r="C21" s="37">
        <v>6</v>
      </c>
      <c r="D21" s="75" t="s">
        <v>1298</v>
      </c>
    </row>
    <row r="22" spans="3:5" ht="31.5" x14ac:dyDescent="0.25">
      <c r="C22" s="37">
        <v>7</v>
      </c>
      <c r="D22" s="75" t="s">
        <v>1365</v>
      </c>
    </row>
    <row r="24" spans="3:5" x14ac:dyDescent="0.25">
      <c r="D24" s="1" t="s">
        <v>1361</v>
      </c>
    </row>
    <row r="25" spans="3:5" ht="36" customHeight="1" x14ac:dyDescent="0.25">
      <c r="C25" s="37">
        <v>8</v>
      </c>
      <c r="D25" s="39" t="s">
        <v>1368</v>
      </c>
    </row>
    <row r="26" spans="3:5" ht="31.5" x14ac:dyDescent="0.25">
      <c r="C26" s="37">
        <v>9</v>
      </c>
      <c r="D26" s="2" t="s">
        <v>1362</v>
      </c>
    </row>
    <row r="27" spans="3:5" x14ac:dyDescent="0.25">
      <c r="C27" s="37">
        <v>10</v>
      </c>
      <c r="D27" t="s">
        <v>1363</v>
      </c>
    </row>
    <row r="30" spans="3:5" x14ac:dyDescent="0.25">
      <c r="C30" s="36" t="s">
        <v>1383</v>
      </c>
      <c r="D30" s="1"/>
    </row>
    <row r="31" spans="3:5" x14ac:dyDescent="0.25">
      <c r="C31" s="231" t="s">
        <v>1492</v>
      </c>
      <c r="D31" t="s">
        <v>1493</v>
      </c>
    </row>
    <row r="32" spans="3:5" x14ac:dyDescent="0.25">
      <c r="C32" s="231" t="s">
        <v>1487</v>
      </c>
      <c r="D32" t="s">
        <v>1491</v>
      </c>
    </row>
    <row r="33" spans="3:4" x14ac:dyDescent="0.25">
      <c r="C33" s="231" t="s">
        <v>1483</v>
      </c>
      <c r="D33" t="s">
        <v>1486</v>
      </c>
    </row>
    <row r="34" spans="3:4" x14ac:dyDescent="0.25">
      <c r="C34" s="231" t="s">
        <v>1482</v>
      </c>
      <c r="D34" t="s">
        <v>1384</v>
      </c>
    </row>
    <row r="35" spans="3:4" x14ac:dyDescent="0.25">
      <c r="C35" s="231" t="s">
        <v>1406</v>
      </c>
      <c r="D35" t="s">
        <v>1407</v>
      </c>
    </row>
    <row r="36" spans="3:4" x14ac:dyDescent="0.25">
      <c r="C36" s="231" t="s">
        <v>1397</v>
      </c>
      <c r="D36" s="2" t="s">
        <v>1398</v>
      </c>
    </row>
    <row r="37" spans="3:4" ht="31.5" x14ac:dyDescent="0.25">
      <c r="C37" s="231" t="s">
        <v>1386</v>
      </c>
      <c r="D37" s="2" t="s">
        <v>1396</v>
      </c>
    </row>
    <row r="38" spans="3:4" x14ac:dyDescent="0.25">
      <c r="C38" s="199" t="s">
        <v>1378</v>
      </c>
      <c r="D38" t="s">
        <v>1382</v>
      </c>
    </row>
    <row r="39" spans="3:4" x14ac:dyDescent="0.25">
      <c r="C39" s="199" t="s">
        <v>1379</v>
      </c>
      <c r="D39" t="s">
        <v>1384</v>
      </c>
    </row>
    <row r="40" spans="3:4" x14ac:dyDescent="0.25">
      <c r="C40" s="199" t="s">
        <v>1380</v>
      </c>
      <c r="D40" t="s">
        <v>1381</v>
      </c>
    </row>
  </sheetData>
  <sheetProtection algorithmName="SHA-512" hashValue="lqkqDXi1gmx1csbqueJY8RacTN/JnWYt6wVK6FRCx3oe5+LuhYHlMraZtR43LDrxipHuUNFPviKvzZ6+HS7ppA==" saltValue="3ogN+tnQlT7Sll4iMJGksA==" spinCount="100000" sheet="1" objects="1" scenarios="1"/>
  <pageMargins left="0.7" right="0.7" top="0.75" bottom="0.75" header="0.3" footer="0.3"/>
  <pageSetup paperSize="9" orientation="portrait" r:id="rId1"/>
  <headerFooter>
    <oddFooter>&amp;C_x000D_&amp;1#&amp;"Arial"&amp;9&amp;K000000 Internal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17A6A-5D6F-B74B-ADB0-2B9158C6E629}">
  <sheetPr>
    <outlinePr summaryBelow="0" summaryRight="0"/>
  </sheetPr>
  <dimension ref="A1:L445"/>
  <sheetViews>
    <sheetView zoomScale="85" zoomScaleNormal="85" workbookViewId="0">
      <pane xSplit="4" ySplit="1" topLeftCell="E2" activePane="bottomRight" state="frozen"/>
      <selection pane="topRight" activeCell="E1" sqref="E1"/>
      <selection pane="bottomLeft" activeCell="A2" sqref="A2"/>
      <selection pane="bottomRight"/>
    </sheetView>
  </sheetViews>
  <sheetFormatPr defaultColWidth="11.125" defaultRowHeight="15.75" customHeight="1" outlineLevelCol="1" x14ac:dyDescent="0.25"/>
  <cols>
    <col min="1" max="1" width="16.125" bestFit="1" customWidth="1"/>
    <col min="2" max="2" width="32.625" customWidth="1"/>
    <col min="3" max="3" width="72.125" customWidth="1"/>
    <col min="4" max="4" width="42.125" customWidth="1"/>
    <col min="5" max="5" width="120.5" customWidth="1"/>
    <col min="6" max="6" width="71.625" customWidth="1"/>
    <col min="7" max="7" width="10" style="11" customWidth="1"/>
    <col min="8" max="8" width="42.5" style="11" bestFit="1" customWidth="1" collapsed="1"/>
    <col min="9" max="10" width="42.5" style="11" hidden="1" customWidth="1" outlineLevel="1"/>
    <col min="11" max="11" width="13.25" bestFit="1" customWidth="1"/>
    <col min="12" max="12" width="43.75" customWidth="1"/>
  </cols>
  <sheetData>
    <row r="1" spans="1:12" ht="15.75" customHeight="1" x14ac:dyDescent="0.25">
      <c r="A1" s="44" t="s">
        <v>230</v>
      </c>
      <c r="B1" s="44" t="s">
        <v>141</v>
      </c>
      <c r="C1" s="44" t="s">
        <v>231</v>
      </c>
      <c r="D1" s="44" t="s">
        <v>232</v>
      </c>
      <c r="E1" s="44" t="s">
        <v>233</v>
      </c>
      <c r="F1" s="44" t="s">
        <v>234</v>
      </c>
      <c r="G1" s="45" t="s">
        <v>235</v>
      </c>
      <c r="H1" s="45" t="s">
        <v>236</v>
      </c>
      <c r="I1" s="45" t="s">
        <v>237</v>
      </c>
      <c r="J1" s="45" t="s">
        <v>238</v>
      </c>
      <c r="K1" s="45" t="s">
        <v>1409</v>
      </c>
      <c r="L1" s="45" t="s">
        <v>1410</v>
      </c>
    </row>
    <row r="2" spans="1:12" ht="15.75" customHeight="1" x14ac:dyDescent="0.25">
      <c r="A2" t="str">
        <f>'HIDDEN import'!B2</f>
        <v>TC_A_01_CS</v>
      </c>
      <c r="B2" t="str">
        <f>'HIDDEN import'!C2</f>
        <v>Core</v>
      </c>
      <c r="C2" t="str">
        <f>'HIDDEN import'!D2</f>
        <v>Basic Authentication - Valid username/password combination</v>
      </c>
      <c r="D2" t="str">
        <f>IF(VLOOKUP(A2&amp;" "&amp;B2,'HIDDEN import'!A:G,5,FALSE)="M",MD!$A$1,(IF(AND(VLOOKUP(A2,'HIDDEN import'!B:E,4,FALSE)="C",OR(NOT(ISERROR(VLOOKUP(E2,'Optional features'!B:D,1,FALSE)=E2)),NOT(ISERROR(VLOOKUP(E2,'HIDDEN calc sheet'!A:C,1,FALSE)=E2)))),MD!$A$3,MD!$A$2)))</f>
        <v>Mandatory test for a mandatory feature</v>
      </c>
      <c r="E2" t="str">
        <f>IF('HIDDEN import'!F2=0,"",'HIDDEN import'!F2)</f>
        <v/>
      </c>
      <c r="F2" t="str">
        <f>IF('HIDDEN import'!G2=0,"",'HIDDEN import'!G2)</f>
        <v/>
      </c>
      <c r="G2" s="181" t="str">
        <f>IFERROR(VLOOKUP($A2,'HIDDEN Testrun Results'!$A:$B,2,FALSE),"")</f>
        <v/>
      </c>
      <c r="H2" s="11" t="b">
        <f>IF(NOT(J2),FALSE,IF(NOT(ISLOGICAL(I2)),I2,AND(I2,J2)))</f>
        <v>1</v>
      </c>
      <c r="I2" s="11" t="b">
        <f>IF(VLOOKUP(A2&amp;" "&amp;B2,'HIDDEN import'!A:G,5,FALSE)="M",TRUE,IFERROR(VLOOKUP(E2,'Optional features'!B:D,3,FALSE)="Yes",IFERROR(VLOOKUP(E2,'HIDDEN calc sheet'!A:B,2,FALSE),IFERROR(VLOOKUP(E2,'Additional questions'!B:D,3,FALSE)="Yes",VLOOKUP(E2,'Hardware Feature set'!B:D,3,FALSE)="No"))))</f>
        <v>1</v>
      </c>
      <c r="J2" s="11" t="b">
        <f>IF(VLOOKUP(B2,'Profile selection'!B:C,2,FALSE)="Yes",TRUE,FALSE)</f>
        <v>1</v>
      </c>
      <c r="K2" s="53"/>
      <c r="L2" s="53"/>
    </row>
    <row r="3" spans="1:12" ht="15.75" customHeight="1" x14ac:dyDescent="0.25">
      <c r="A3" t="str">
        <f>'HIDDEN import'!B3</f>
        <v>TC_A_09_CS</v>
      </c>
      <c r="B3" t="str">
        <f>'HIDDEN import'!C3</f>
        <v>Core</v>
      </c>
      <c r="C3" t="str">
        <f>'HIDDEN import'!D3</f>
        <v>Update Charging Station Password for HTTP Basic Authentication - Accepted</v>
      </c>
      <c r="D3" t="str">
        <f>IF(VLOOKUP(A3&amp;" "&amp;B3,'HIDDEN import'!A:G,5,FALSE)="M",MD!$A$1,(IF(AND(VLOOKUP(A3,'HIDDEN import'!B:E,4,FALSE)="C",OR(NOT(ISERROR(VLOOKUP(E3,'Optional features'!B:D,1,FALSE)=E3)),NOT(ISERROR(VLOOKUP(E3,'HIDDEN calc sheet'!A:C,1,FALSE)=E3)))),MD!$A$3,MD!$A$2)))</f>
        <v>Mandatory test for a mandatory feature</v>
      </c>
      <c r="E3" t="str">
        <f>IF('HIDDEN import'!F3=0,"",'HIDDEN import'!F3)</f>
        <v/>
      </c>
      <c r="F3" t="str">
        <f>IF('HIDDEN import'!G3=0,"",'HIDDEN import'!G3)</f>
        <v/>
      </c>
      <c r="G3" s="181" t="str">
        <f>IFERROR(VLOOKUP($A3,'HIDDEN Testrun Results'!$A:$B,2,FALSE),"")</f>
        <v/>
      </c>
      <c r="H3" s="11" t="b">
        <f t="shared" ref="H3:H66" si="0">IF(NOT(J3),FALSE,IF(NOT(ISLOGICAL(I3)),I3,AND(I3,J3)))</f>
        <v>1</v>
      </c>
      <c r="I3" s="11" t="b">
        <f>IF(VLOOKUP(A3&amp;" "&amp;B3,'HIDDEN import'!A:G,5,FALSE)="M",TRUE,IFERROR(VLOOKUP(E3,'Optional features'!B:D,3,FALSE)="Yes",IFERROR(VLOOKUP(E3,'HIDDEN calc sheet'!A:B,2,FALSE),IFERROR(VLOOKUP(E3,'Additional questions'!B:D,3,FALSE)="Yes",VLOOKUP(E3,'Hardware Feature set'!B:D,3,FALSE)="No"))))</f>
        <v>1</v>
      </c>
      <c r="J3" s="11" t="b">
        <f>IF(VLOOKUP(B3,'Profile selection'!B:C,2,FALSE)="Yes",TRUE,FALSE)</f>
        <v>1</v>
      </c>
      <c r="K3" s="53"/>
      <c r="L3" s="53"/>
    </row>
    <row r="4" spans="1:12" ht="15.75" customHeight="1" x14ac:dyDescent="0.25">
      <c r="A4" t="str">
        <f>'HIDDEN import'!B4</f>
        <v>TC_A_10_CS</v>
      </c>
      <c r="B4" t="str">
        <f>'HIDDEN import'!C4</f>
        <v>Core</v>
      </c>
      <c r="C4" t="str">
        <f>'HIDDEN import'!D4</f>
        <v>Update Charging Station Password for HTTP Basic Authentication - Rejected</v>
      </c>
      <c r="D4" t="str">
        <f>IF(VLOOKUP(A4&amp;" "&amp;B4,'HIDDEN import'!A:G,5,FALSE)="M",MD!$A$1,(IF(AND(VLOOKUP(A4,'HIDDEN import'!B:E,4,FALSE)="C",OR(NOT(ISERROR(VLOOKUP(E4,'Optional features'!B:D,1,FALSE)=E4)),NOT(ISERROR(VLOOKUP(E4,'HIDDEN calc sheet'!A:C,1,FALSE)=E4)))),MD!$A$3,MD!$A$2)))</f>
        <v>Mandatory test for a mandatory feature</v>
      </c>
      <c r="E4" t="str">
        <f>IF('HIDDEN import'!F4=0,"",'HIDDEN import'!F4)</f>
        <v/>
      </c>
      <c r="F4" t="str">
        <f>IF('HIDDEN import'!G4=0,"",'HIDDEN import'!G4)</f>
        <v/>
      </c>
      <c r="G4" s="181" t="str">
        <f>IFERROR(VLOOKUP($A4,'HIDDEN Testrun Results'!$A:$B,2,FALSE),"")</f>
        <v/>
      </c>
      <c r="H4" s="11" t="b">
        <f t="shared" si="0"/>
        <v>1</v>
      </c>
      <c r="I4" s="11" t="b">
        <f>IF(VLOOKUP(A4&amp;" "&amp;B4,'HIDDEN import'!A:G,5,FALSE)="M",TRUE,IFERROR(VLOOKUP(E4,'Optional features'!B:D,3,FALSE)="Yes",IFERROR(VLOOKUP(E4,'HIDDEN calc sheet'!A:B,2,FALSE),IFERROR(VLOOKUP(E4,'Additional questions'!B:D,3,FALSE)="Yes",VLOOKUP(E4,'Hardware Feature set'!B:D,3,FALSE)="No"))))</f>
        <v>1</v>
      </c>
      <c r="J4" s="11" t="b">
        <f>IF(VLOOKUP(B4,'Profile selection'!B:C,2,FALSE)="Yes",TRUE,FALSE)</f>
        <v>1</v>
      </c>
      <c r="K4" s="53"/>
      <c r="L4" s="53"/>
    </row>
    <row r="5" spans="1:12" ht="15.75" customHeight="1" x14ac:dyDescent="0.25">
      <c r="A5" t="str">
        <f>'HIDDEN import'!B5</f>
        <v>TC_A_04_CS</v>
      </c>
      <c r="B5" t="str">
        <f>'HIDDEN import'!C5</f>
        <v>Core</v>
      </c>
      <c r="C5" t="str">
        <f>'HIDDEN import'!D5</f>
        <v>TLS - server-side certificate - Valid certificate</v>
      </c>
      <c r="D5" t="str">
        <f>IF(VLOOKUP(A5&amp;" "&amp;B5,'HIDDEN import'!A:G,5,FALSE)="M",MD!$A$1,(IF(AND(VLOOKUP(A5,'HIDDEN import'!B:E,4,FALSE)="C",OR(NOT(ISERROR(VLOOKUP(E5,'Optional features'!B:D,1,FALSE)=E5)),NOT(ISERROR(VLOOKUP(E5,'HIDDEN calc sheet'!A:C,1,FALSE)=E5)))),MD!$A$3,MD!$A$2)))</f>
        <v>Mandatory test for a mandatory feature</v>
      </c>
      <c r="E5" t="str">
        <f>IF('HIDDEN import'!F5=0,"",'HIDDEN import'!F5)</f>
        <v/>
      </c>
      <c r="F5" t="str">
        <f>IF('HIDDEN import'!G5=0,"",'HIDDEN import'!G5)</f>
        <v/>
      </c>
      <c r="G5" s="181" t="str">
        <f>IFERROR(VLOOKUP($A5,'HIDDEN Testrun Results'!$A:$B,2,FALSE),"")</f>
        <v/>
      </c>
      <c r="H5" s="11" t="b">
        <f t="shared" si="0"/>
        <v>1</v>
      </c>
      <c r="I5" s="11" t="b">
        <f>IF(VLOOKUP(A5&amp;" "&amp;B5,'HIDDEN import'!A:G,5,FALSE)="M",TRUE,IFERROR(VLOOKUP(E5,'Optional features'!B:D,3,FALSE)="Yes",IFERROR(VLOOKUP(E5,'HIDDEN calc sheet'!A:B,2,FALSE),IFERROR(VLOOKUP(E5,'Additional questions'!B:D,3,FALSE)="Yes",VLOOKUP(E5,'Hardware Feature set'!B:D,3,FALSE)="No"))))</f>
        <v>1</v>
      </c>
      <c r="J5" s="11" t="b">
        <f>IF(VLOOKUP(B5,'Profile selection'!B:C,2,FALSE)="Yes",TRUE,FALSE)</f>
        <v>1</v>
      </c>
      <c r="K5" s="53"/>
      <c r="L5" s="53"/>
    </row>
    <row r="6" spans="1:12" ht="15.75" customHeight="1" x14ac:dyDescent="0.25">
      <c r="A6" t="str">
        <f>'HIDDEN import'!B6</f>
        <v>TC_A_05_CS</v>
      </c>
      <c r="B6" t="str">
        <f>'HIDDEN import'!C6</f>
        <v>Core</v>
      </c>
      <c r="C6" t="str">
        <f>'HIDDEN import'!D6</f>
        <v>TLS - server-side certificate - Invalid certificate</v>
      </c>
      <c r="D6" t="str">
        <f>IF(VLOOKUP(A6&amp;" "&amp;B6,'HIDDEN import'!A:G,5,FALSE)="M",MD!$A$1,(IF(AND(VLOOKUP(A6,'HIDDEN import'!B:E,4,FALSE)="C",OR(NOT(ISERROR(VLOOKUP(E6,'Optional features'!B:D,1,FALSE)=E6)),NOT(ISERROR(VLOOKUP(E6,'HIDDEN calc sheet'!A:C,1,FALSE)=E6)))),MD!$A$3,MD!$A$2)))</f>
        <v>Mandatory test for a mandatory feature</v>
      </c>
      <c r="E6" t="str">
        <f>IF('HIDDEN import'!F6=0,"",'HIDDEN import'!F6)</f>
        <v/>
      </c>
      <c r="F6" t="str">
        <f>IF('HIDDEN import'!G6=0,"",'HIDDEN import'!G6)</f>
        <v/>
      </c>
      <c r="G6" s="181" t="str">
        <f>IFERROR(VLOOKUP($A6,'HIDDEN Testrun Results'!$A:$B,2,FALSE),"")</f>
        <v/>
      </c>
      <c r="H6" s="11" t="b">
        <f t="shared" si="0"/>
        <v>1</v>
      </c>
      <c r="I6" s="11" t="b">
        <f>IF(VLOOKUP(A6&amp;" "&amp;B6,'HIDDEN import'!A:G,5,FALSE)="M",TRUE,IFERROR(VLOOKUP(E6,'Optional features'!B:D,3,FALSE)="Yes",IFERROR(VLOOKUP(E6,'HIDDEN calc sheet'!A:B,2,FALSE),IFERROR(VLOOKUP(E6,'Additional questions'!B:D,3,FALSE)="Yes",VLOOKUP(E6,'Hardware Feature set'!B:D,3,FALSE)="No"))))</f>
        <v>1</v>
      </c>
      <c r="J6" s="11" t="b">
        <f>IF(VLOOKUP(B6,'Profile selection'!B:C,2,FALSE)="Yes",TRUE,FALSE)</f>
        <v>1</v>
      </c>
      <c r="K6" s="53"/>
      <c r="L6" s="53"/>
    </row>
    <row r="7" spans="1:12" ht="15.75" customHeight="1" x14ac:dyDescent="0.25">
      <c r="A7" t="str">
        <f>'HIDDEN import'!B7</f>
        <v>TC_A_06_CS</v>
      </c>
      <c r="B7" t="str">
        <f>'HIDDEN import'!C7</f>
        <v>Core</v>
      </c>
      <c r="C7" t="str">
        <f>'HIDDEN import'!D7</f>
        <v>TLS - server-side certificate - TLS version too low</v>
      </c>
      <c r="D7" t="str">
        <f>IF(VLOOKUP(A7&amp;" "&amp;B7,'HIDDEN import'!A:G,5,FALSE)="M",MD!$A$1,(IF(AND(VLOOKUP(A7,'HIDDEN import'!B:E,4,FALSE)="C",OR(NOT(ISERROR(VLOOKUP(E7,'Optional features'!B:D,1,FALSE)=E7)),NOT(ISERROR(VLOOKUP(E7,'HIDDEN calc sheet'!A:C,1,FALSE)=E7)))),MD!$A$3,MD!$A$2)))</f>
        <v>Mandatory test for a mandatory feature</v>
      </c>
      <c r="E7" t="str">
        <f>IF('HIDDEN import'!F7=0,"",'HIDDEN import'!F7)</f>
        <v/>
      </c>
      <c r="F7" t="str">
        <f>IF('HIDDEN import'!G7=0,"",'HIDDEN import'!G7)</f>
        <v/>
      </c>
      <c r="G7" s="181" t="str">
        <f>IFERROR(VLOOKUP($A7,'HIDDEN Testrun Results'!$A:$B,2,FALSE),"")</f>
        <v/>
      </c>
      <c r="H7" s="11" t="b">
        <f t="shared" si="0"/>
        <v>1</v>
      </c>
      <c r="I7" s="11" t="b">
        <f>IF(VLOOKUP(A7&amp;" "&amp;B7,'HIDDEN import'!A:G,5,FALSE)="M",TRUE,IFERROR(VLOOKUP(E7,'Optional features'!B:D,3,FALSE)="Yes",IFERROR(VLOOKUP(E7,'HIDDEN calc sheet'!A:B,2,FALSE),IFERROR(VLOOKUP(E7,'Additional questions'!B:D,3,FALSE)="Yes",VLOOKUP(E7,'Hardware Feature set'!B:D,3,FALSE)="No"))))</f>
        <v>1</v>
      </c>
      <c r="J7" s="11" t="b">
        <f>IF(VLOOKUP(B7,'Profile selection'!B:C,2,FALSE)="Yes",TRUE,FALSE)</f>
        <v>1</v>
      </c>
      <c r="K7" s="53"/>
      <c r="L7" s="53"/>
    </row>
    <row r="8" spans="1:12" ht="15.75" customHeight="1" x14ac:dyDescent="0.25">
      <c r="A8" t="str">
        <f>'HIDDEN import'!B8</f>
        <v>TC_A_19_CS</v>
      </c>
      <c r="B8" t="str">
        <f>'HIDDEN import'!C8</f>
        <v>Core</v>
      </c>
      <c r="C8" t="str">
        <f>'HIDDEN import'!D8</f>
        <v>Upgrade Charging Station Security Profile - Accepted</v>
      </c>
      <c r="D8" t="str">
        <f>IF(VLOOKUP(A8&amp;" "&amp;B8,'HIDDEN import'!A:G,5,FALSE)="M",MD!$A$1,(IF(AND(VLOOKUP(A8,'HIDDEN import'!B:E,4,FALSE)="C",OR(NOT(ISERROR(VLOOKUP(E8,'Optional features'!B:D,1,FALSE)=E8)),NOT(ISERROR(VLOOKUP(E8,'HIDDEN calc sheet'!A:C,1,FALSE)=E8)))),MD!$A$3,MD!$A$2)))</f>
        <v>Mandatory test for a mandatory feature</v>
      </c>
      <c r="E8" t="str">
        <f>IF('HIDDEN import'!F8=0,"",'HIDDEN import'!F8)</f>
        <v/>
      </c>
      <c r="F8" t="str">
        <f>IF('HIDDEN import'!G8=0,"",'HIDDEN import'!G8)</f>
        <v/>
      </c>
      <c r="G8" s="181" t="str">
        <f>IFERROR(VLOOKUP($A8,'HIDDEN Testrun Results'!$A:$B,2,FALSE),"")</f>
        <v/>
      </c>
      <c r="H8" s="11" t="b">
        <f t="shared" si="0"/>
        <v>1</v>
      </c>
      <c r="I8" s="11" t="b">
        <f>IF(VLOOKUP(A8&amp;" "&amp;B8,'HIDDEN import'!A:G,5,FALSE)="M",TRUE,IFERROR(VLOOKUP(E8,'Optional features'!B:D,3,FALSE)="Yes",IFERROR(VLOOKUP(E8,'HIDDEN calc sheet'!A:B,2,FALSE),IFERROR(VLOOKUP(E8,'Additional questions'!B:D,3,FALSE)="Yes",VLOOKUP(E8,'Hardware Feature set'!B:D,3,FALSE)="No"))))</f>
        <v>1</v>
      </c>
      <c r="J8" s="11" t="b">
        <f>IF(VLOOKUP(B8,'Profile selection'!B:C,2,FALSE)="Yes",TRUE,FALSE)</f>
        <v>1</v>
      </c>
      <c r="K8" s="53"/>
      <c r="L8" s="53"/>
    </row>
    <row r="9" spans="1:12" ht="15.75" customHeight="1" x14ac:dyDescent="0.25">
      <c r="A9" t="str">
        <f>'HIDDEN import'!B9</f>
        <v>TC_A_20_CS</v>
      </c>
      <c r="B9" t="str">
        <f>'HIDDEN import'!C9</f>
        <v>Core</v>
      </c>
      <c r="C9" t="str">
        <f>'HIDDEN import'!D9</f>
        <v>Upgrade Charging Station Security Profile - No valid CSMSRootCertificate installed</v>
      </c>
      <c r="D9" t="str">
        <f>IF(VLOOKUP(A9&amp;" "&amp;B9,'HIDDEN import'!A:G,5,FALSE)="M",MD!$A$1,(IF(AND(VLOOKUP(A9,'HIDDEN import'!B:E,4,FALSE)="C",OR(NOT(ISERROR(VLOOKUP(E9,'Optional features'!B:D,1,FALSE)=E9)),NOT(ISERROR(VLOOKUP(E9,'HIDDEN calc sheet'!A:C,1,FALSE)=E9)))),MD!$A$3,MD!$A$2)))</f>
        <v>Possibly mandatory, depending on your system</v>
      </c>
      <c r="E9" t="str">
        <f>IF('HIDDEN import'!F9=0,"",'HIDDEN import'!F9)</f>
        <v>AQ-1</v>
      </c>
      <c r="F9" t="str">
        <f>IF('HIDDEN import'!G9=0,"",'HIDDEN import'!G9)</f>
        <v>Can the last CSMSRootCertificate be removed?</v>
      </c>
      <c r="G9" s="181" t="str">
        <f>IFERROR(VLOOKUP($A9,'HIDDEN Testrun Results'!$A:$B,2,FALSE),"")</f>
        <v/>
      </c>
      <c r="H9" s="11" t="b">
        <f t="shared" si="0"/>
        <v>0</v>
      </c>
      <c r="I9" s="11" t="b">
        <f>IF(VLOOKUP(A9&amp;" "&amp;B9,'HIDDEN import'!A:G,5,FALSE)="M",TRUE,IFERROR(VLOOKUP(E9,'Optional features'!B:D,3,FALSE)="Yes",IFERROR(VLOOKUP(E9,'HIDDEN calc sheet'!A:B,2,FALSE),IFERROR(VLOOKUP(E9,'Additional questions'!B:D,3,FALSE)="Yes",VLOOKUP(E9,'Hardware Feature set'!B:D,3,FALSE)="No"))))</f>
        <v>0</v>
      </c>
      <c r="J9" s="11" t="b">
        <f>IF(VLOOKUP(B9,'Profile selection'!B:C,2,FALSE)="Yes",TRUE,FALSE)</f>
        <v>1</v>
      </c>
      <c r="K9" s="53"/>
      <c r="L9" s="53"/>
    </row>
    <row r="10" spans="1:12" ht="15.75" customHeight="1" x14ac:dyDescent="0.25">
      <c r="A10" t="str">
        <f>'HIDDEN import'!B10</f>
        <v>TC_A_22_CS</v>
      </c>
      <c r="B10" t="str">
        <f>'HIDDEN import'!C10</f>
        <v>Core</v>
      </c>
      <c r="C10" t="str">
        <f>'HIDDEN import'!D10</f>
        <v>Upgrade Charging Station Security Profile - Downgrade security profile - Rejected</v>
      </c>
      <c r="D10" t="str">
        <f>IF(VLOOKUP(A10&amp;" "&amp;B10,'HIDDEN import'!A:G,5,FALSE)="M",MD!$A$1,(IF(AND(VLOOKUP(A10,'HIDDEN import'!B:E,4,FALSE)="C",OR(NOT(ISERROR(VLOOKUP(E10,'Optional features'!B:D,1,FALSE)=E10)),NOT(ISERROR(VLOOKUP(E10,'HIDDEN calc sheet'!A:C,1,FALSE)=E10)))),MD!$A$3,MD!$A$2)))</f>
        <v>Mandatory test for a mandatory feature</v>
      </c>
      <c r="E10" t="str">
        <f>IF('HIDDEN import'!F10=0,"",'HIDDEN import'!F10)</f>
        <v/>
      </c>
      <c r="F10" t="str">
        <f>IF('HIDDEN import'!G10=0,"",'HIDDEN import'!G10)</f>
        <v/>
      </c>
      <c r="G10" s="181" t="str">
        <f>IFERROR(VLOOKUP($A10,'HIDDEN Testrun Results'!$A:$B,2,FALSE),"")</f>
        <v/>
      </c>
      <c r="H10" s="11" t="b">
        <f t="shared" si="0"/>
        <v>1</v>
      </c>
      <c r="I10" s="11" t="b">
        <f>IF(VLOOKUP(A10&amp;" "&amp;B10,'HIDDEN import'!A:G,5,FALSE)="M",TRUE,IFERROR(VLOOKUP(E10,'Optional features'!B:D,3,FALSE)="Yes",IFERROR(VLOOKUP(E10,'HIDDEN calc sheet'!A:B,2,FALSE),IFERROR(VLOOKUP(E10,'Additional questions'!B:D,3,FALSE)="Yes",VLOOKUP(E10,'Hardware Feature set'!B:D,3,FALSE)="No"))))</f>
        <v>1</v>
      </c>
      <c r="J10" s="11" t="b">
        <f>IF(VLOOKUP(B10,'Profile selection'!B:C,2,FALSE)="Yes",TRUE,FALSE)</f>
        <v>1</v>
      </c>
      <c r="K10" s="53"/>
      <c r="L10" s="53"/>
    </row>
    <row r="11" spans="1:12" ht="15.75" customHeight="1" x14ac:dyDescent="0.25">
      <c r="A11" t="str">
        <f>'HIDDEN import'!B11</f>
        <v>TC_B_01_CS</v>
      </c>
      <c r="B11" t="str">
        <f>'HIDDEN import'!C11</f>
        <v>Core</v>
      </c>
      <c r="C11" t="str">
        <f>'HIDDEN import'!D11</f>
        <v>Cold Boot Charging Station - Accepted</v>
      </c>
      <c r="D11" t="str">
        <f>IF(VLOOKUP(A11&amp;" "&amp;B11,'HIDDEN import'!A:G,5,FALSE)="M",MD!$A$1,(IF(AND(VLOOKUP(A11,'HIDDEN import'!B:E,4,FALSE)="C",OR(NOT(ISERROR(VLOOKUP(E11,'Optional features'!B:D,1,FALSE)=E11)),NOT(ISERROR(VLOOKUP(E11,'HIDDEN calc sheet'!A:C,1,FALSE)=E11)))),MD!$A$3,MD!$A$2)))</f>
        <v>Mandatory test for a mandatory feature</v>
      </c>
      <c r="E11" t="str">
        <f>IF('HIDDEN import'!F11=0,"",'HIDDEN import'!F11)</f>
        <v/>
      </c>
      <c r="F11" t="str">
        <f>IF('HIDDEN import'!G11=0,"",'HIDDEN import'!G11)</f>
        <v/>
      </c>
      <c r="G11" s="181" t="str">
        <f>IFERROR(VLOOKUP($A11,'HIDDEN Testrun Results'!$A:$B,2,FALSE),"")</f>
        <v/>
      </c>
      <c r="H11" s="11" t="b">
        <f t="shared" si="0"/>
        <v>1</v>
      </c>
      <c r="I11" s="11" t="b">
        <f>IF(VLOOKUP(A11&amp;" "&amp;B11,'HIDDEN import'!A:G,5,FALSE)="M",TRUE,IFERROR(VLOOKUP(E11,'Optional features'!B:D,3,FALSE)="Yes",IFERROR(VLOOKUP(E11,'HIDDEN calc sheet'!A:B,2,FALSE),IFERROR(VLOOKUP(E11,'Additional questions'!B:D,3,FALSE)="Yes",VLOOKUP(E11,'Hardware Feature set'!B:D,3,FALSE)="No"))))</f>
        <v>1</v>
      </c>
      <c r="J11" s="11" t="b">
        <f>IF(VLOOKUP(B11,'Profile selection'!B:C,2,FALSE)="Yes",TRUE,FALSE)</f>
        <v>1</v>
      </c>
      <c r="K11" s="53"/>
      <c r="L11" s="53"/>
    </row>
    <row r="12" spans="1:12" ht="15.75" customHeight="1" x14ac:dyDescent="0.25">
      <c r="A12" t="str">
        <f>'HIDDEN import'!B12</f>
        <v>TC_B_02_CS</v>
      </c>
      <c r="B12" t="str">
        <f>'HIDDEN import'!C12</f>
        <v>Core</v>
      </c>
      <c r="C12" t="str">
        <f>'HIDDEN import'!D12</f>
        <v>Cold Boot Charging Station - Pending</v>
      </c>
      <c r="D12" t="str">
        <f>IF(VLOOKUP(A12&amp;" "&amp;B12,'HIDDEN import'!A:G,5,FALSE)="M",MD!$A$1,(IF(AND(VLOOKUP(A12,'HIDDEN import'!B:E,4,FALSE)="C",OR(NOT(ISERROR(VLOOKUP(E12,'Optional features'!B:D,1,FALSE)=E12)),NOT(ISERROR(VLOOKUP(E12,'HIDDEN calc sheet'!A:C,1,FALSE)=E12)))),MD!$A$3,MD!$A$2)))</f>
        <v>Mandatory test for a mandatory feature</v>
      </c>
      <c r="E12" t="str">
        <f>IF('HIDDEN import'!F12=0,"",'HIDDEN import'!F12)</f>
        <v>C-44</v>
      </c>
      <c r="F12" t="str">
        <f>IF('HIDDEN import'!G12=0,"",'HIDDEN import'!G12)</f>
        <v>BootNotification Pending</v>
      </c>
      <c r="G12" s="181" t="str">
        <f>IFERROR(VLOOKUP($A12,'HIDDEN Testrun Results'!$A:$B,2,FALSE),"")</f>
        <v/>
      </c>
      <c r="H12" s="11" t="b">
        <f t="shared" si="0"/>
        <v>1</v>
      </c>
      <c r="I12" s="11" t="b">
        <f>IF(VLOOKUP(A12&amp;" "&amp;B12,'HIDDEN import'!A:G,5,FALSE)="M",TRUE,IFERROR(VLOOKUP(E12,'Optional features'!B:D,3,FALSE)="Yes",IFERROR(VLOOKUP(E12,'HIDDEN calc sheet'!A:B,2,FALSE),IFERROR(VLOOKUP(E12,'Additional questions'!B:D,3,FALSE)="Yes",VLOOKUP(E12,'Hardware Feature set'!B:D,3,FALSE)="No"))))</f>
        <v>1</v>
      </c>
      <c r="J12" s="11" t="b">
        <f>IF(VLOOKUP(B12,'Profile selection'!B:C,2,FALSE)="Yes",TRUE,FALSE)</f>
        <v>1</v>
      </c>
      <c r="K12" s="53"/>
      <c r="L12" s="53"/>
    </row>
    <row r="13" spans="1:12" ht="15.75" customHeight="1" x14ac:dyDescent="0.25">
      <c r="A13" t="str">
        <f>'HIDDEN import'!B13</f>
        <v>TC_B_03_CS</v>
      </c>
      <c r="B13" t="str">
        <f>'HIDDEN import'!C13</f>
        <v>Core</v>
      </c>
      <c r="C13" t="str">
        <f>'HIDDEN import'!D13</f>
        <v>Cold Boot Charging Station - Rejected</v>
      </c>
      <c r="D13" t="str">
        <f>IF(VLOOKUP(A13&amp;" "&amp;B13,'HIDDEN import'!A:G,5,FALSE)="M",MD!$A$1,(IF(AND(VLOOKUP(A13,'HIDDEN import'!B:E,4,FALSE)="C",OR(NOT(ISERROR(VLOOKUP(E13,'Optional features'!B:D,1,FALSE)=E13)),NOT(ISERROR(VLOOKUP(E13,'HIDDEN calc sheet'!A:C,1,FALSE)=E13)))),MD!$A$3,MD!$A$2)))</f>
        <v>Mandatory test for a mandatory feature</v>
      </c>
      <c r="E13" t="str">
        <f>IF('HIDDEN import'!F13=0,"",'HIDDEN import'!F13)</f>
        <v/>
      </c>
      <c r="F13" t="str">
        <f>IF('HIDDEN import'!G13=0,"",'HIDDEN import'!G13)</f>
        <v/>
      </c>
      <c r="G13" s="181" t="str">
        <f>IFERROR(VLOOKUP($A13,'HIDDEN Testrun Results'!$A:$B,2,FALSE),"")</f>
        <v/>
      </c>
      <c r="H13" s="11" t="b">
        <f t="shared" si="0"/>
        <v>1</v>
      </c>
      <c r="I13" s="11" t="b">
        <f>IF(VLOOKUP(A13&amp;" "&amp;B13,'HIDDEN import'!A:G,5,FALSE)="M",TRUE,IFERROR(VLOOKUP(E13,'Optional features'!B:D,3,FALSE)="Yes",IFERROR(VLOOKUP(E13,'HIDDEN calc sheet'!A:B,2,FALSE),IFERROR(VLOOKUP(E13,'Additional questions'!B:D,3,FALSE)="Yes",VLOOKUP(E13,'Hardware Feature set'!B:D,3,FALSE)="No"))))</f>
        <v>1</v>
      </c>
      <c r="J13" s="11" t="b">
        <f>IF(VLOOKUP(B13,'Profile selection'!B:C,2,FALSE)="Yes",TRUE,FALSE)</f>
        <v>1</v>
      </c>
      <c r="K13" s="53"/>
      <c r="L13" s="53"/>
    </row>
    <row r="14" spans="1:12" ht="15.75" customHeight="1" x14ac:dyDescent="0.25">
      <c r="A14" t="str">
        <f>'HIDDEN import'!B14</f>
        <v>TC_B_30_CS</v>
      </c>
      <c r="B14" t="str">
        <f>'HIDDEN import'!C14</f>
        <v>Core</v>
      </c>
      <c r="C14" t="str">
        <f>'HIDDEN import'!D14</f>
        <v>Cold Boot Charging Station - Pending/Rejected - SecurityError</v>
      </c>
      <c r="D14" t="str">
        <f>IF(VLOOKUP(A14&amp;" "&amp;B14,'HIDDEN import'!A:G,5,FALSE)="M",MD!$A$1,(IF(AND(VLOOKUP(A14,'HIDDEN import'!B:E,4,FALSE)="C",OR(NOT(ISERROR(VLOOKUP(E14,'Optional features'!B:D,1,FALSE)=E14)),NOT(ISERROR(VLOOKUP(E14,'HIDDEN calc sheet'!A:C,1,FALSE)=E14)))),MD!$A$3,MD!$A$2)))</f>
        <v>Mandatory test for a mandatory feature</v>
      </c>
      <c r="E14" t="str">
        <f>IF('HIDDEN import'!F14=0,"",'HIDDEN import'!F14)</f>
        <v>C-44 or NOT AQ-6</v>
      </c>
      <c r="F14" t="str">
        <f>IF('HIDDEN import'!G14=0,"",'HIDDEN import'!G14)</f>
        <v>BootNotification Pending or + Does the CSMS reject unknown Charging Stations during websocket connection setup?</v>
      </c>
      <c r="G14" s="181" t="str">
        <f>IFERROR(VLOOKUP($A14,'HIDDEN Testrun Results'!$A:$B,2,FALSE),"")</f>
        <v/>
      </c>
      <c r="H14" s="11" t="b">
        <f t="shared" si="0"/>
        <v>1</v>
      </c>
      <c r="I14" s="11" t="b">
        <f>IF(VLOOKUP(A14&amp;" "&amp;B14,'HIDDEN import'!A:G,5,FALSE)="M",TRUE,IFERROR(VLOOKUP(E14,'Optional features'!B:D,3,FALSE)="Yes",IFERROR(VLOOKUP(E14,'HIDDEN calc sheet'!A:B,2,FALSE),IFERROR(VLOOKUP(E14,'Additional questions'!B:D,3,FALSE)="Yes",VLOOKUP(E14,'Hardware Feature set'!B:D,3,FALSE)="No"))))</f>
        <v>1</v>
      </c>
      <c r="J14" s="11" t="b">
        <f>IF(VLOOKUP(B14,'Profile selection'!B:C,2,FALSE)="Yes",TRUE,FALSE)</f>
        <v>1</v>
      </c>
      <c r="K14" s="53"/>
      <c r="L14" s="53"/>
    </row>
    <row r="15" spans="1:12" ht="15.75" customHeight="1" x14ac:dyDescent="0.25">
      <c r="A15" t="str">
        <f>'HIDDEN import'!B15</f>
        <v>TC_B_51_CS</v>
      </c>
      <c r="B15" t="str">
        <f>'HIDDEN import'!C15</f>
        <v>Core</v>
      </c>
      <c r="C15" t="str">
        <f>'HIDDEN import'!D15</f>
        <v>Status change during offline period - &gt; Offline Threshold</v>
      </c>
      <c r="D15" t="str">
        <f>IF(VLOOKUP(A15&amp;" "&amp;B15,'HIDDEN import'!A:G,5,FALSE)="M",MD!$A$1,(IF(AND(VLOOKUP(A15,'HIDDEN import'!B:E,4,FALSE)="C",OR(NOT(ISERROR(VLOOKUP(E15,'Optional features'!B:D,1,FALSE)=E15)),NOT(ISERROR(VLOOKUP(E15,'HIDDEN calc sheet'!A:C,1,FALSE)=E15)))),MD!$A$3,MD!$A$2)))</f>
        <v>Mandatory test for a mandatory feature</v>
      </c>
      <c r="E15" t="str">
        <f>IF('HIDDEN import'!F15=0,"",'HIDDEN import'!F15)</f>
        <v/>
      </c>
      <c r="F15" t="str">
        <f>IF('HIDDEN import'!G15=0,"",'HIDDEN import'!G15)</f>
        <v/>
      </c>
      <c r="G15" s="181" t="str">
        <f>IFERROR(VLOOKUP($A15,'HIDDEN Testrun Results'!$A:$B,2,FALSE),"")</f>
        <v/>
      </c>
      <c r="H15" s="11" t="b">
        <f t="shared" si="0"/>
        <v>1</v>
      </c>
      <c r="I15" s="11" t="b">
        <f>IF(VLOOKUP(A15&amp;" "&amp;B15,'HIDDEN import'!A:G,5,FALSE)="M",TRUE,IFERROR(VLOOKUP(E15,'Optional features'!B:D,3,FALSE)="Yes",IFERROR(VLOOKUP(E15,'HIDDEN calc sheet'!A:B,2,FALSE),IFERROR(VLOOKUP(E15,'Additional questions'!B:D,3,FALSE)="Yes",VLOOKUP(E15,'Hardware Feature set'!B:D,3,FALSE)="No"))))</f>
        <v>1</v>
      </c>
      <c r="J15" s="11" t="b">
        <f>IF(VLOOKUP(B15,'Profile selection'!B:C,2,FALSE)="Yes",TRUE,FALSE)</f>
        <v>1</v>
      </c>
      <c r="K15" s="53"/>
      <c r="L15" s="53"/>
    </row>
    <row r="16" spans="1:12" ht="15.75" customHeight="1" x14ac:dyDescent="0.25">
      <c r="A16" t="str">
        <f>'HIDDEN import'!B16</f>
        <v>TC_B_52_CS</v>
      </c>
      <c r="B16" t="str">
        <f>'HIDDEN import'!C16</f>
        <v>Core</v>
      </c>
      <c r="C16" t="str">
        <f>'HIDDEN import'!D16</f>
        <v>Status change during offline period - &lt; Offline Threshold</v>
      </c>
      <c r="D16" t="str">
        <f>IF(VLOOKUP(A16&amp;" "&amp;B16,'HIDDEN import'!A:G,5,FALSE)="M",MD!$A$1,(IF(AND(VLOOKUP(A16,'HIDDEN import'!B:E,4,FALSE)="C",OR(NOT(ISERROR(VLOOKUP(E16,'Optional features'!B:D,1,FALSE)=E16)),NOT(ISERROR(VLOOKUP(E16,'HIDDEN calc sheet'!A:C,1,FALSE)=E16)))),MD!$A$3,MD!$A$2)))</f>
        <v>Mandatory test for a mandatory feature</v>
      </c>
      <c r="E16" t="str">
        <f>IF('HIDDEN import'!F16=0,"",'HIDDEN import'!F16)</f>
        <v/>
      </c>
      <c r="F16" t="str">
        <f>IF('HIDDEN import'!G16=0,"",'HIDDEN import'!G16)</f>
        <v/>
      </c>
      <c r="G16" s="181" t="str">
        <f>IFERROR(VLOOKUP($A16,'HIDDEN Testrun Results'!$A:$B,2,FALSE),"")</f>
        <v/>
      </c>
      <c r="H16" s="11" t="b">
        <f t="shared" si="0"/>
        <v>1</v>
      </c>
      <c r="I16" s="11" t="b">
        <f>IF(VLOOKUP(A16&amp;" "&amp;B16,'HIDDEN import'!A:G,5,FALSE)="M",TRUE,IFERROR(VLOOKUP(E16,'Optional features'!B:D,3,FALSE)="Yes",IFERROR(VLOOKUP(E16,'HIDDEN calc sheet'!A:B,2,FALSE),IFERROR(VLOOKUP(E16,'Additional questions'!B:D,3,FALSE)="Yes",VLOOKUP(E16,'Hardware Feature set'!B:D,3,FALSE)="No"))))</f>
        <v>1</v>
      </c>
      <c r="J16" s="11" t="b">
        <f>IF(VLOOKUP(B16,'Profile selection'!B:C,2,FALSE)="Yes",TRUE,FALSE)</f>
        <v>1</v>
      </c>
      <c r="K16" s="53"/>
      <c r="L16" s="53"/>
    </row>
    <row r="17" spans="1:12" ht="15.75" customHeight="1" x14ac:dyDescent="0.25">
      <c r="A17" t="str">
        <f>'HIDDEN import'!B17</f>
        <v>TC_B_06_CS</v>
      </c>
      <c r="B17" t="str">
        <f>'HIDDEN import'!C17</f>
        <v>Core</v>
      </c>
      <c r="C17" t="str">
        <f>'HIDDEN import'!D17</f>
        <v>Get Variables - single value</v>
      </c>
      <c r="D17" t="str">
        <f>IF(VLOOKUP(A17&amp;" "&amp;B17,'HIDDEN import'!A:G,5,FALSE)="M",MD!$A$1,(IF(AND(VLOOKUP(A17,'HIDDEN import'!B:E,4,FALSE)="C",OR(NOT(ISERROR(VLOOKUP(E17,'Optional features'!B:D,1,FALSE)=E17)),NOT(ISERROR(VLOOKUP(E17,'HIDDEN calc sheet'!A:C,1,FALSE)=E17)))),MD!$A$3,MD!$A$2)))</f>
        <v>Mandatory test for a mandatory feature</v>
      </c>
      <c r="E17" t="str">
        <f>IF('HIDDEN import'!F17=0,"",'HIDDEN import'!F17)</f>
        <v/>
      </c>
      <c r="F17" t="str">
        <f>IF('HIDDEN import'!G17=0,"",'HIDDEN import'!G17)</f>
        <v/>
      </c>
      <c r="G17" s="181" t="str">
        <f>IFERROR(VLOOKUP($A17,'HIDDEN Testrun Results'!$A:$B,2,FALSE),"")</f>
        <v/>
      </c>
      <c r="H17" s="11" t="b">
        <f t="shared" si="0"/>
        <v>1</v>
      </c>
      <c r="I17" s="11" t="b">
        <f>IF(VLOOKUP(A17&amp;" "&amp;B17,'HIDDEN import'!A:G,5,FALSE)="M",TRUE,IFERROR(VLOOKUP(E17,'Optional features'!B:D,3,FALSE)="Yes",IFERROR(VLOOKUP(E17,'HIDDEN calc sheet'!A:B,2,FALSE),IFERROR(VLOOKUP(E17,'Additional questions'!B:D,3,FALSE)="Yes",VLOOKUP(E17,'Hardware Feature set'!B:D,3,FALSE)="No"))))</f>
        <v>1</v>
      </c>
      <c r="J17" s="11" t="b">
        <f>IF(VLOOKUP(B17,'Profile selection'!B:C,2,FALSE)="Yes",TRUE,FALSE)</f>
        <v>1</v>
      </c>
      <c r="K17" s="53"/>
      <c r="L17" s="53"/>
    </row>
    <row r="18" spans="1:12" ht="15.75" customHeight="1" x14ac:dyDescent="0.25">
      <c r="A18" t="str">
        <f>'HIDDEN import'!B18</f>
        <v>TC_B_07_CS</v>
      </c>
      <c r="B18" t="str">
        <f>'HIDDEN import'!C18</f>
        <v>Core</v>
      </c>
      <c r="C18" t="str">
        <f>'HIDDEN import'!D18</f>
        <v>Get Variables - multiple values</v>
      </c>
      <c r="D18" t="str">
        <f>IF(VLOOKUP(A18&amp;" "&amp;B18,'HIDDEN import'!A:G,5,FALSE)="M",MD!$A$1,(IF(AND(VLOOKUP(A18,'HIDDEN import'!B:E,4,FALSE)="C",OR(NOT(ISERROR(VLOOKUP(E18,'Optional features'!B:D,1,FALSE)=E18)),NOT(ISERROR(VLOOKUP(E18,'HIDDEN calc sheet'!A:C,1,FALSE)=E18)))),MD!$A$3,MD!$A$2)))</f>
        <v>Mandatory test for a mandatory feature</v>
      </c>
      <c r="E18" t="str">
        <f>IF('HIDDEN import'!F18=0,"",'HIDDEN import'!F18)</f>
        <v>C-45</v>
      </c>
      <c r="F18" t="str">
        <f>IF('HIDDEN import'!G18=0,"",'HIDDEN import'!G18)</f>
        <v>multiple values elements GetVariablesRequest</v>
      </c>
      <c r="G18" s="181" t="str">
        <f>IFERROR(VLOOKUP($A18,'HIDDEN Testrun Results'!$A:$B,2,FALSE),"")</f>
        <v/>
      </c>
      <c r="H18" s="11" t="b">
        <f t="shared" si="0"/>
        <v>1</v>
      </c>
      <c r="I18" s="11" t="b">
        <f>IF(VLOOKUP(A18&amp;" "&amp;B18,'HIDDEN import'!A:G,5,FALSE)="M",TRUE,IFERROR(VLOOKUP(E18,'Optional features'!B:D,3,FALSE)="Yes",IFERROR(VLOOKUP(E18,'HIDDEN calc sheet'!A:B,2,FALSE),IFERROR(VLOOKUP(E18,'Additional questions'!B:D,3,FALSE)="Yes",VLOOKUP(E18,'Hardware Feature set'!B:D,3,FALSE)="No"))))</f>
        <v>1</v>
      </c>
      <c r="J18" s="11" t="b">
        <f>IF(VLOOKUP(B18,'Profile selection'!B:C,2,FALSE)="Yes",TRUE,FALSE)</f>
        <v>1</v>
      </c>
      <c r="K18" s="53"/>
      <c r="L18" s="53"/>
    </row>
    <row r="19" spans="1:12" ht="15.75" customHeight="1" x14ac:dyDescent="0.25">
      <c r="A19" t="str">
        <f>'HIDDEN import'!B19</f>
        <v>TC_B_32_CS</v>
      </c>
      <c r="B19" t="str">
        <f>'HIDDEN import'!C19</f>
        <v>Core</v>
      </c>
      <c r="C19" t="str">
        <f>'HIDDEN import'!D19</f>
        <v>Get Variables - Unknown component</v>
      </c>
      <c r="D19" t="str">
        <f>IF(VLOOKUP(A19&amp;" "&amp;B19,'HIDDEN import'!A:G,5,FALSE)="M",MD!$A$1,(IF(AND(VLOOKUP(A19,'HIDDEN import'!B:E,4,FALSE)="C",OR(NOT(ISERROR(VLOOKUP(E19,'Optional features'!B:D,1,FALSE)=E19)),NOT(ISERROR(VLOOKUP(E19,'HIDDEN calc sheet'!A:C,1,FALSE)=E19)))),MD!$A$3,MD!$A$2)))</f>
        <v>Mandatory test for a mandatory feature</v>
      </c>
      <c r="E19" t="str">
        <f>IF('HIDDEN import'!F19=0,"",'HIDDEN import'!F19)</f>
        <v/>
      </c>
      <c r="F19" t="str">
        <f>IF('HIDDEN import'!G19=0,"",'HIDDEN import'!G19)</f>
        <v/>
      </c>
      <c r="G19" s="181" t="str">
        <f>IFERROR(VLOOKUP($A19,'HIDDEN Testrun Results'!$A:$B,2,FALSE),"")</f>
        <v/>
      </c>
      <c r="H19" s="11" t="b">
        <f t="shared" si="0"/>
        <v>1</v>
      </c>
      <c r="I19" s="11" t="b">
        <f>IF(VLOOKUP(A19&amp;" "&amp;B19,'HIDDEN import'!A:G,5,FALSE)="M",TRUE,IFERROR(VLOOKUP(E19,'Optional features'!B:D,3,FALSE)="Yes",IFERROR(VLOOKUP(E19,'HIDDEN calc sheet'!A:B,2,FALSE),IFERROR(VLOOKUP(E19,'Additional questions'!B:D,3,FALSE)="Yes",VLOOKUP(E19,'Hardware Feature set'!B:D,3,FALSE)="No"))))</f>
        <v>1</v>
      </c>
      <c r="J19" s="11" t="b">
        <f>IF(VLOOKUP(B19,'Profile selection'!B:C,2,FALSE)="Yes",TRUE,FALSE)</f>
        <v>1</v>
      </c>
      <c r="K19" s="53"/>
      <c r="L19" s="53"/>
    </row>
    <row r="20" spans="1:12" ht="15.75" customHeight="1" x14ac:dyDescent="0.25">
      <c r="A20" t="str">
        <f>'HIDDEN import'!B20</f>
        <v>TC_B_33_CS</v>
      </c>
      <c r="B20" t="str">
        <f>'HIDDEN import'!C20</f>
        <v>Core</v>
      </c>
      <c r="C20" t="str">
        <f>'HIDDEN import'!D20</f>
        <v>Get Variables - Unknown variable</v>
      </c>
      <c r="D20" t="str">
        <f>IF(VLOOKUP(A20&amp;" "&amp;B20,'HIDDEN import'!A:G,5,FALSE)="M",MD!$A$1,(IF(AND(VLOOKUP(A20,'HIDDEN import'!B:E,4,FALSE)="C",OR(NOT(ISERROR(VLOOKUP(E20,'Optional features'!B:D,1,FALSE)=E20)),NOT(ISERROR(VLOOKUP(E20,'HIDDEN calc sheet'!A:C,1,FALSE)=E20)))),MD!$A$3,MD!$A$2)))</f>
        <v>Mandatory test for a mandatory feature</v>
      </c>
      <c r="E20" t="str">
        <f>IF('HIDDEN import'!F20=0,"",'HIDDEN import'!F20)</f>
        <v/>
      </c>
      <c r="F20" t="str">
        <f>IF('HIDDEN import'!G20=0,"",'HIDDEN import'!G20)</f>
        <v/>
      </c>
      <c r="G20" s="181" t="str">
        <f>IFERROR(VLOOKUP($A20,'HIDDEN Testrun Results'!$A:$B,2,FALSE),"")</f>
        <v/>
      </c>
      <c r="H20" s="11" t="b">
        <f t="shared" si="0"/>
        <v>1</v>
      </c>
      <c r="I20" s="11" t="b">
        <f>IF(VLOOKUP(A20&amp;" "&amp;B20,'HIDDEN import'!A:G,5,FALSE)="M",TRUE,IFERROR(VLOOKUP(E20,'Optional features'!B:D,3,FALSE)="Yes",IFERROR(VLOOKUP(E20,'HIDDEN calc sheet'!A:B,2,FALSE),IFERROR(VLOOKUP(E20,'Additional questions'!B:D,3,FALSE)="Yes",VLOOKUP(E20,'Hardware Feature set'!B:D,3,FALSE)="No"))))</f>
        <v>1</v>
      </c>
      <c r="J20" s="11" t="b">
        <f>IF(VLOOKUP(B20,'Profile selection'!B:C,2,FALSE)="Yes",TRUE,FALSE)</f>
        <v>1</v>
      </c>
      <c r="K20" s="53"/>
      <c r="L20" s="53"/>
    </row>
    <row r="21" spans="1:12" ht="15.75" customHeight="1" x14ac:dyDescent="0.25">
      <c r="A21" t="str">
        <f>'HIDDEN import'!B21</f>
        <v>TC_B_34_CS</v>
      </c>
      <c r="B21" t="str">
        <f>'HIDDEN import'!C21</f>
        <v>Core</v>
      </c>
      <c r="C21" t="str">
        <f>'HIDDEN import'!D21</f>
        <v>Get Variables - Not supported attribute type</v>
      </c>
      <c r="D21" t="str">
        <f>IF(VLOOKUP(A21&amp;" "&amp;B21,'HIDDEN import'!A:G,5,FALSE)="M",MD!$A$1,(IF(AND(VLOOKUP(A21,'HIDDEN import'!B:E,4,FALSE)="C",OR(NOT(ISERROR(VLOOKUP(E21,'Optional features'!B:D,1,FALSE)=E21)),NOT(ISERROR(VLOOKUP(E21,'HIDDEN calc sheet'!A:C,1,FALSE)=E21)))),MD!$A$3,MD!$A$2)))</f>
        <v>Mandatory test for a mandatory feature</v>
      </c>
      <c r="E21" t="str">
        <f>IF('HIDDEN import'!F21=0,"",'HIDDEN import'!F21)</f>
        <v/>
      </c>
      <c r="F21" t="str">
        <f>IF('HIDDEN import'!G21=0,"",'HIDDEN import'!G21)</f>
        <v/>
      </c>
      <c r="G21" s="181" t="str">
        <f>IFERROR(VLOOKUP($A21,'HIDDEN Testrun Results'!$A:$B,2,FALSE),"")</f>
        <v/>
      </c>
      <c r="H21" s="11" t="b">
        <f t="shared" si="0"/>
        <v>1</v>
      </c>
      <c r="I21" s="11" t="b">
        <f>IF(VLOOKUP(A21&amp;" "&amp;B21,'HIDDEN import'!A:G,5,FALSE)="M",TRUE,IFERROR(VLOOKUP(E21,'Optional features'!B:D,3,FALSE)="Yes",IFERROR(VLOOKUP(E21,'HIDDEN calc sheet'!A:B,2,FALSE),IFERROR(VLOOKUP(E21,'Additional questions'!B:D,3,FALSE)="Yes",VLOOKUP(E21,'Hardware Feature set'!B:D,3,FALSE)="No"))))</f>
        <v>1</v>
      </c>
      <c r="J21" s="11" t="b">
        <f>IF(VLOOKUP(B21,'Profile selection'!B:C,2,FALSE)="Yes",TRUE,FALSE)</f>
        <v>1</v>
      </c>
      <c r="K21" s="53"/>
      <c r="L21" s="53"/>
    </row>
    <row r="22" spans="1:12" ht="15.75" customHeight="1" x14ac:dyDescent="0.25">
      <c r="A22" t="str">
        <f>'HIDDEN import'!B22</f>
        <v>TC_B_09_CS</v>
      </c>
      <c r="B22" t="str">
        <f>'HIDDEN import'!C22</f>
        <v>Core</v>
      </c>
      <c r="C22" t="str">
        <f>'HIDDEN import'!D22</f>
        <v>Set Variables - single value</v>
      </c>
      <c r="D22" t="str">
        <f>IF(VLOOKUP(A22&amp;" "&amp;B22,'HIDDEN import'!A:G,5,FALSE)="M",MD!$A$1,(IF(AND(VLOOKUP(A22,'HIDDEN import'!B:E,4,FALSE)="C",OR(NOT(ISERROR(VLOOKUP(E22,'Optional features'!B:D,1,FALSE)=E22)),NOT(ISERROR(VLOOKUP(E22,'HIDDEN calc sheet'!A:C,1,FALSE)=E22)))),MD!$A$3,MD!$A$2)))</f>
        <v>Mandatory test for a mandatory feature</v>
      </c>
      <c r="E22" t="str">
        <f>IF('HIDDEN import'!F22=0,"",'HIDDEN import'!F22)</f>
        <v/>
      </c>
      <c r="F22" t="str">
        <f>IF('HIDDEN import'!G22=0,"",'HIDDEN import'!G22)</f>
        <v/>
      </c>
      <c r="G22" s="181" t="str">
        <f>IFERROR(VLOOKUP($A22,'HIDDEN Testrun Results'!$A:$B,2,FALSE),"")</f>
        <v/>
      </c>
      <c r="H22" s="11" t="b">
        <f t="shared" si="0"/>
        <v>1</v>
      </c>
      <c r="I22" s="11" t="b">
        <f>IF(VLOOKUP(A22&amp;" "&amp;B22,'HIDDEN import'!A:G,5,FALSE)="M",TRUE,IFERROR(VLOOKUP(E22,'Optional features'!B:D,3,FALSE)="Yes",IFERROR(VLOOKUP(E22,'HIDDEN calc sheet'!A:B,2,FALSE),IFERROR(VLOOKUP(E22,'Additional questions'!B:D,3,FALSE)="Yes",VLOOKUP(E22,'Hardware Feature set'!B:D,3,FALSE)="No"))))</f>
        <v>1</v>
      </c>
      <c r="J22" s="11" t="b">
        <f>IF(VLOOKUP(B22,'Profile selection'!B:C,2,FALSE)="Yes",TRUE,FALSE)</f>
        <v>1</v>
      </c>
      <c r="K22" s="53"/>
      <c r="L22" s="53"/>
    </row>
    <row r="23" spans="1:12" ht="15.75" customHeight="1" x14ac:dyDescent="0.25">
      <c r="A23" t="str">
        <f>'HIDDEN import'!B23</f>
        <v>TC_B_10_CS</v>
      </c>
      <c r="B23" t="str">
        <f>'HIDDEN import'!C23</f>
        <v>Core</v>
      </c>
      <c r="C23" t="str">
        <f>'HIDDEN import'!D23</f>
        <v>Set Variables - multiple values</v>
      </c>
      <c r="D23" t="str">
        <f>IF(VLOOKUP(A23&amp;" "&amp;B23,'HIDDEN import'!A:G,5,FALSE)="M",MD!$A$1,(IF(AND(VLOOKUP(A23,'HIDDEN import'!B:E,4,FALSE)="C",OR(NOT(ISERROR(VLOOKUP(E23,'Optional features'!B:D,1,FALSE)=E23)),NOT(ISERROR(VLOOKUP(E23,'HIDDEN calc sheet'!A:C,1,FALSE)=E23)))),MD!$A$3,MD!$A$2)))</f>
        <v>Mandatory test for a mandatory feature</v>
      </c>
      <c r="E23" t="str">
        <f>IF('HIDDEN import'!F23=0,"",'HIDDEN import'!F23)</f>
        <v>C-46</v>
      </c>
      <c r="F23" t="str">
        <f>IF('HIDDEN import'!G23=0,"",'HIDDEN import'!G23)</f>
        <v>multiple values elements SetVariablesRequest</v>
      </c>
      <c r="G23" s="181" t="str">
        <f>IFERROR(VLOOKUP($A23,'HIDDEN Testrun Results'!$A:$B,2,FALSE),"")</f>
        <v/>
      </c>
      <c r="H23" s="11" t="b">
        <f t="shared" si="0"/>
        <v>1</v>
      </c>
      <c r="I23" s="11" t="b">
        <f>IF(VLOOKUP(A23&amp;" "&amp;B23,'HIDDEN import'!A:G,5,FALSE)="M",TRUE,IFERROR(VLOOKUP(E23,'Optional features'!B:D,3,FALSE)="Yes",IFERROR(VLOOKUP(E23,'HIDDEN calc sheet'!A:B,2,FALSE),IFERROR(VLOOKUP(E23,'Additional questions'!B:D,3,FALSE)="Yes",VLOOKUP(E23,'Hardware Feature set'!B:D,3,FALSE)="No"))))</f>
        <v>1</v>
      </c>
      <c r="J23" s="11" t="b">
        <f>IF(VLOOKUP(B23,'Profile selection'!B:C,2,FALSE)="Yes",TRUE,FALSE)</f>
        <v>1</v>
      </c>
      <c r="K23" s="53"/>
      <c r="L23" s="53"/>
    </row>
    <row r="24" spans="1:12" ht="15.75" customHeight="1" x14ac:dyDescent="0.25">
      <c r="A24" t="str">
        <f>'HIDDEN import'!B24</f>
        <v>TC_B_35_CS</v>
      </c>
      <c r="B24" t="str">
        <f>'HIDDEN import'!C24</f>
        <v>Core</v>
      </c>
      <c r="C24" t="str">
        <f>'HIDDEN import'!D24</f>
        <v>Set Variables - Unknown component</v>
      </c>
      <c r="D24" t="str">
        <f>IF(VLOOKUP(A24&amp;" "&amp;B24,'HIDDEN import'!A:G,5,FALSE)="M",MD!$A$1,(IF(AND(VLOOKUP(A24,'HIDDEN import'!B:E,4,FALSE)="C",OR(NOT(ISERROR(VLOOKUP(E24,'Optional features'!B:D,1,FALSE)=E24)),NOT(ISERROR(VLOOKUP(E24,'HIDDEN calc sheet'!A:C,1,FALSE)=E24)))),MD!$A$3,MD!$A$2)))</f>
        <v>Mandatory test for a mandatory feature</v>
      </c>
      <c r="E24" t="str">
        <f>IF('HIDDEN import'!F24=0,"",'HIDDEN import'!F24)</f>
        <v/>
      </c>
      <c r="F24" t="str">
        <f>IF('HIDDEN import'!G24=0,"",'HIDDEN import'!G24)</f>
        <v/>
      </c>
      <c r="G24" s="181" t="str">
        <f>IFERROR(VLOOKUP($A24,'HIDDEN Testrun Results'!$A:$B,2,FALSE),"")</f>
        <v/>
      </c>
      <c r="H24" s="11" t="b">
        <f t="shared" si="0"/>
        <v>1</v>
      </c>
      <c r="I24" s="11" t="b">
        <f>IF(VLOOKUP(A24&amp;" "&amp;B24,'HIDDEN import'!A:G,5,FALSE)="M",TRUE,IFERROR(VLOOKUP(E24,'Optional features'!B:D,3,FALSE)="Yes",IFERROR(VLOOKUP(E24,'HIDDEN calc sheet'!A:B,2,FALSE),IFERROR(VLOOKUP(E24,'Additional questions'!B:D,3,FALSE)="Yes",VLOOKUP(E24,'Hardware Feature set'!B:D,3,FALSE)="No"))))</f>
        <v>1</v>
      </c>
      <c r="J24" s="11" t="b">
        <f>IF(VLOOKUP(B24,'Profile selection'!B:C,2,FALSE)="Yes",TRUE,FALSE)</f>
        <v>1</v>
      </c>
      <c r="K24" s="53"/>
      <c r="L24" s="53"/>
    </row>
    <row r="25" spans="1:12" ht="15.75" customHeight="1" x14ac:dyDescent="0.25">
      <c r="A25" t="str">
        <f>'HIDDEN import'!B25</f>
        <v>TC_B_36_CS</v>
      </c>
      <c r="B25" t="str">
        <f>'HIDDEN import'!C25</f>
        <v>Core</v>
      </c>
      <c r="C25" t="str">
        <f>'HIDDEN import'!D25</f>
        <v>Set Variables - Unknown variable</v>
      </c>
      <c r="D25" t="str">
        <f>IF(VLOOKUP(A25&amp;" "&amp;B25,'HIDDEN import'!A:G,5,FALSE)="M",MD!$A$1,(IF(AND(VLOOKUP(A25,'HIDDEN import'!B:E,4,FALSE)="C",OR(NOT(ISERROR(VLOOKUP(E25,'Optional features'!B:D,1,FALSE)=E25)),NOT(ISERROR(VLOOKUP(E25,'HIDDEN calc sheet'!A:C,1,FALSE)=E25)))),MD!$A$3,MD!$A$2)))</f>
        <v>Mandatory test for a mandatory feature</v>
      </c>
      <c r="E25" t="str">
        <f>IF('HIDDEN import'!F25=0,"",'HIDDEN import'!F25)</f>
        <v/>
      </c>
      <c r="F25" t="str">
        <f>IF('HIDDEN import'!G25=0,"",'HIDDEN import'!G25)</f>
        <v/>
      </c>
      <c r="G25" s="181" t="str">
        <f>IFERROR(VLOOKUP($A25,'HIDDEN Testrun Results'!$A:$B,2,FALSE),"")</f>
        <v/>
      </c>
      <c r="H25" s="11" t="b">
        <f t="shared" si="0"/>
        <v>1</v>
      </c>
      <c r="I25" s="11" t="b">
        <f>IF(VLOOKUP(A25&amp;" "&amp;B25,'HIDDEN import'!A:G,5,FALSE)="M",TRUE,IFERROR(VLOOKUP(E25,'Optional features'!B:D,3,FALSE)="Yes",IFERROR(VLOOKUP(E25,'HIDDEN calc sheet'!A:B,2,FALSE),IFERROR(VLOOKUP(E25,'Additional questions'!B:D,3,FALSE)="Yes",VLOOKUP(E25,'Hardware Feature set'!B:D,3,FALSE)="No"))))</f>
        <v>1</v>
      </c>
      <c r="J25" s="11" t="b">
        <f>IF(VLOOKUP(B25,'Profile selection'!B:C,2,FALSE)="Yes",TRUE,FALSE)</f>
        <v>1</v>
      </c>
      <c r="K25" s="53"/>
      <c r="L25" s="53"/>
    </row>
    <row r="26" spans="1:12" ht="15.75" customHeight="1" x14ac:dyDescent="0.25">
      <c r="A26" t="str">
        <f>'HIDDEN import'!B26</f>
        <v>TC_B_37_CS</v>
      </c>
      <c r="B26" t="str">
        <f>'HIDDEN import'!C26</f>
        <v>Core</v>
      </c>
      <c r="C26" t="str">
        <f>'HIDDEN import'!D26</f>
        <v>Set Variables - Not supported attribute type</v>
      </c>
      <c r="D26" t="str">
        <f>IF(VLOOKUP(A26&amp;" "&amp;B26,'HIDDEN import'!A:G,5,FALSE)="M",MD!$A$1,(IF(AND(VLOOKUP(A26,'HIDDEN import'!B:E,4,FALSE)="C",OR(NOT(ISERROR(VLOOKUP(E26,'Optional features'!B:D,1,FALSE)=E26)),NOT(ISERROR(VLOOKUP(E26,'HIDDEN calc sheet'!A:C,1,FALSE)=E26)))),MD!$A$3,MD!$A$2)))</f>
        <v>Mandatory test for a mandatory feature</v>
      </c>
      <c r="E26" t="str">
        <f>IF('HIDDEN import'!F26=0,"",'HIDDEN import'!F26)</f>
        <v/>
      </c>
      <c r="F26" t="str">
        <f>IF('HIDDEN import'!G26=0,"",'HIDDEN import'!G26)</f>
        <v/>
      </c>
      <c r="G26" s="181" t="str">
        <f>IFERROR(VLOOKUP($A26,'HIDDEN Testrun Results'!$A:$B,2,FALSE),"")</f>
        <v/>
      </c>
      <c r="H26" s="11" t="b">
        <f t="shared" si="0"/>
        <v>1</v>
      </c>
      <c r="I26" s="11" t="b">
        <f>IF(VLOOKUP(A26&amp;" "&amp;B26,'HIDDEN import'!A:G,5,FALSE)="M",TRUE,IFERROR(VLOOKUP(E26,'Optional features'!B:D,3,FALSE)="Yes",IFERROR(VLOOKUP(E26,'HIDDEN calc sheet'!A:B,2,FALSE),IFERROR(VLOOKUP(E26,'Additional questions'!B:D,3,FALSE)="Yes",VLOOKUP(E26,'Hardware Feature set'!B:D,3,FALSE)="No"))))</f>
        <v>1</v>
      </c>
      <c r="J26" s="11" t="b">
        <f>IF(VLOOKUP(B26,'Profile selection'!B:C,2,FALSE)="Yes",TRUE,FALSE)</f>
        <v>1</v>
      </c>
      <c r="K26" s="53"/>
      <c r="L26" s="53"/>
    </row>
    <row r="27" spans="1:12" ht="15.75" customHeight="1" x14ac:dyDescent="0.25">
      <c r="A27" t="str">
        <f>'HIDDEN import'!B27</f>
        <v>TC_B_11_CS</v>
      </c>
      <c r="B27" t="str">
        <f>'HIDDEN import'!C27</f>
        <v>Core</v>
      </c>
      <c r="C27" t="str">
        <f>'HIDDEN import'!D27</f>
        <v>Set Variables - invalidly formatted values</v>
      </c>
      <c r="D27" t="str">
        <f>IF(VLOOKUP(A27&amp;" "&amp;B27,'HIDDEN import'!A:G,5,FALSE)="M",MD!$A$1,(IF(AND(VLOOKUP(A27,'HIDDEN import'!B:E,4,FALSE)="C",OR(NOT(ISERROR(VLOOKUP(E27,'Optional features'!B:D,1,FALSE)=E27)),NOT(ISERROR(VLOOKUP(E27,'HIDDEN calc sheet'!A:C,1,FALSE)=E27)))),MD!$A$3,MD!$A$2)))</f>
        <v>Mandatory test for a mandatory feature</v>
      </c>
      <c r="E27" t="str">
        <f>IF('HIDDEN import'!F27=0,"",'HIDDEN import'!F27)</f>
        <v/>
      </c>
      <c r="F27" t="str">
        <f>IF('HIDDEN import'!G27=0,"",'HIDDEN import'!G27)</f>
        <v/>
      </c>
      <c r="G27" s="181" t="str">
        <f>IFERROR(VLOOKUP($A27,'HIDDEN Testrun Results'!$A:$B,2,FALSE),"")</f>
        <v/>
      </c>
      <c r="H27" s="11" t="b">
        <f t="shared" si="0"/>
        <v>1</v>
      </c>
      <c r="I27" s="11" t="b">
        <f>IF(VLOOKUP(A27&amp;" "&amp;B27,'HIDDEN import'!A:G,5,FALSE)="M",TRUE,IFERROR(VLOOKUP(E27,'Optional features'!B:D,3,FALSE)="Yes",IFERROR(VLOOKUP(E27,'HIDDEN calc sheet'!A:B,2,FALSE),IFERROR(VLOOKUP(E27,'Additional questions'!B:D,3,FALSE)="Yes",VLOOKUP(E27,'Hardware Feature set'!B:D,3,FALSE)="No"))))</f>
        <v>1</v>
      </c>
      <c r="J27" s="11" t="b">
        <f>IF(VLOOKUP(B27,'Profile selection'!B:C,2,FALSE)="Yes",TRUE,FALSE)</f>
        <v>1</v>
      </c>
      <c r="K27" s="53"/>
      <c r="L27" s="53"/>
    </row>
    <row r="28" spans="1:12" ht="15.75" customHeight="1" x14ac:dyDescent="0.25">
      <c r="A28" t="str">
        <f>'HIDDEN import'!B28</f>
        <v>TC_B_39_CS</v>
      </c>
      <c r="B28" t="str">
        <f>'HIDDEN import'!C28</f>
        <v>Core</v>
      </c>
      <c r="C28" t="str">
        <f>'HIDDEN import'!D28</f>
        <v>Set Variables - Read-only</v>
      </c>
      <c r="D28" t="str">
        <f>IF(VLOOKUP(A28&amp;" "&amp;B28,'HIDDEN import'!A:G,5,FALSE)="M",MD!$A$1,(IF(AND(VLOOKUP(A28,'HIDDEN import'!B:E,4,FALSE)="C",OR(NOT(ISERROR(VLOOKUP(E28,'Optional features'!B:D,1,FALSE)=E28)),NOT(ISERROR(VLOOKUP(E28,'HIDDEN calc sheet'!A:C,1,FALSE)=E28)))),MD!$A$3,MD!$A$2)))</f>
        <v>Mandatory test for a mandatory feature</v>
      </c>
      <c r="E28" t="str">
        <f>IF('HIDDEN import'!F28=0,"",'HIDDEN import'!F28)</f>
        <v/>
      </c>
      <c r="F28" t="str">
        <f>IF('HIDDEN import'!G28=0,"",'HIDDEN import'!G28)</f>
        <v/>
      </c>
      <c r="G28" s="181" t="str">
        <f>IFERROR(VLOOKUP($A28,'HIDDEN Testrun Results'!$A:$B,2,FALSE),"")</f>
        <v/>
      </c>
      <c r="H28" s="11" t="b">
        <f t="shared" si="0"/>
        <v>1</v>
      </c>
      <c r="I28" s="11" t="b">
        <f>IF(VLOOKUP(A28&amp;" "&amp;B28,'HIDDEN import'!A:G,5,FALSE)="M",TRUE,IFERROR(VLOOKUP(E28,'Optional features'!B:D,3,FALSE)="Yes",IFERROR(VLOOKUP(E28,'HIDDEN calc sheet'!A:B,2,FALSE),IFERROR(VLOOKUP(E28,'Additional questions'!B:D,3,FALSE)="Yes",VLOOKUP(E28,'Hardware Feature set'!B:D,3,FALSE)="No"))))</f>
        <v>1</v>
      </c>
      <c r="J28" s="11" t="b">
        <f>IF(VLOOKUP(B28,'Profile selection'!B:C,2,FALSE)="Yes",TRUE,FALSE)</f>
        <v>1</v>
      </c>
      <c r="K28" s="53"/>
      <c r="L28" s="53"/>
    </row>
    <row r="29" spans="1:12" ht="15.75" customHeight="1" x14ac:dyDescent="0.25">
      <c r="A29" t="str">
        <f>'HIDDEN import'!B29</f>
        <v>TC_B_12_CS</v>
      </c>
      <c r="B29" t="str">
        <f>'HIDDEN import'!C29</f>
        <v>Core</v>
      </c>
      <c r="C29" t="str">
        <f>'HIDDEN import'!D29</f>
        <v>Get Base Report - ConfigurationInventory</v>
      </c>
      <c r="D29" t="str">
        <f>IF(VLOOKUP(A29&amp;" "&amp;B29,'HIDDEN import'!A:G,5,FALSE)="M",MD!$A$1,(IF(AND(VLOOKUP(A29,'HIDDEN import'!B:E,4,FALSE)="C",OR(NOT(ISERROR(VLOOKUP(E29,'Optional features'!B:D,1,FALSE)=E29)),NOT(ISERROR(VLOOKUP(E29,'HIDDEN calc sheet'!A:C,1,FALSE)=E29)))),MD!$A$3,MD!$A$2)))</f>
        <v>Mandatory test for a mandatory feature</v>
      </c>
      <c r="E29" t="str">
        <f>IF('HIDDEN import'!F29=0,"",'HIDDEN import'!F29)</f>
        <v>C-17</v>
      </c>
      <c r="F29" t="str">
        <f>IF('HIDDEN import'!G29=0,"",'HIDDEN import'!G29)</f>
        <v>ConfigurationInventory</v>
      </c>
      <c r="G29" s="181" t="str">
        <f>IFERROR(VLOOKUP($A29,'HIDDEN Testrun Results'!$A:$B,2,FALSE),"")</f>
        <v/>
      </c>
      <c r="H29" s="11" t="b">
        <f t="shared" si="0"/>
        <v>1</v>
      </c>
      <c r="I29" s="11" t="b">
        <f>IF(VLOOKUP(A29&amp;" "&amp;B29,'HIDDEN import'!A:G,5,FALSE)="M",TRUE,IFERROR(VLOOKUP(E29,'Optional features'!B:D,3,FALSE)="Yes",IFERROR(VLOOKUP(E29,'HIDDEN calc sheet'!A:B,2,FALSE),IFERROR(VLOOKUP(E29,'Additional questions'!B:D,3,FALSE)="Yes",VLOOKUP(E29,'Hardware Feature set'!B:D,3,FALSE)="No"))))</f>
        <v>1</v>
      </c>
      <c r="J29" s="11" t="b">
        <f>IF(VLOOKUP(B29,'Profile selection'!B:C,2,FALSE)="Yes",TRUE,FALSE)</f>
        <v>1</v>
      </c>
      <c r="K29" s="53"/>
      <c r="L29" s="53"/>
    </row>
    <row r="30" spans="1:12" ht="15.75" customHeight="1" x14ac:dyDescent="0.25">
      <c r="A30" t="str">
        <f>'HIDDEN import'!B30</f>
        <v>TC_B_13_CS</v>
      </c>
      <c r="B30" t="str">
        <f>'HIDDEN import'!C30</f>
        <v>Core</v>
      </c>
      <c r="C30" t="str">
        <f>'HIDDEN import'!D30</f>
        <v>Get Base Report - FullInventory</v>
      </c>
      <c r="D30" t="str">
        <f>IF(VLOOKUP(A30&amp;" "&amp;B30,'HIDDEN import'!A:G,5,FALSE)="M",MD!$A$1,(IF(AND(VLOOKUP(A30,'HIDDEN import'!B:E,4,FALSE)="C",OR(NOT(ISERROR(VLOOKUP(E30,'Optional features'!B:D,1,FALSE)=E30)),NOT(ISERROR(VLOOKUP(E30,'HIDDEN calc sheet'!A:C,1,FALSE)=E30)))),MD!$A$3,MD!$A$2)))</f>
        <v>Mandatory test for a mandatory feature</v>
      </c>
      <c r="E30" t="str">
        <f>IF('HIDDEN import'!F30=0,"",'HIDDEN import'!F30)</f>
        <v>C-50.2</v>
      </c>
      <c r="F30" t="str">
        <f>IF('HIDDEN import'!G30=0,"",'HIDDEN import'!G30)</f>
        <v>GetBaseReport - FullInventory - Manual trigger</v>
      </c>
      <c r="G30" s="181" t="str">
        <f>IFERROR(VLOOKUP($A30,'HIDDEN Testrun Results'!$A:$B,2,FALSE),"")</f>
        <v/>
      </c>
      <c r="H30" s="11" t="b">
        <f t="shared" si="0"/>
        <v>1</v>
      </c>
      <c r="I30" s="11" t="b">
        <f>IF(VLOOKUP(A30&amp;" "&amp;B30,'HIDDEN import'!A:G,5,FALSE)="M",TRUE,IFERROR(VLOOKUP(E30,'Optional features'!B:D,3,FALSE)="Yes",IFERROR(VLOOKUP(E30,'HIDDEN calc sheet'!A:B,2,FALSE),IFERROR(VLOOKUP(E30,'Additional questions'!B:D,3,FALSE)="Yes",VLOOKUP(E30,'Hardware Feature set'!B:D,3,FALSE)="No"))))</f>
        <v>1</v>
      </c>
      <c r="J30" s="11" t="b">
        <f>IF(VLOOKUP(B30,'Profile selection'!B:C,2,FALSE)="Yes",TRUE,FALSE)</f>
        <v>1</v>
      </c>
      <c r="K30" s="53"/>
      <c r="L30" s="53"/>
    </row>
    <row r="31" spans="1:12" ht="15.75" customHeight="1" x14ac:dyDescent="0.25">
      <c r="A31" t="str">
        <f>'HIDDEN import'!B31</f>
        <v>TC_B_15_CS</v>
      </c>
      <c r="B31" t="str">
        <f>'HIDDEN import'!C31</f>
        <v>Core</v>
      </c>
      <c r="C31" t="str">
        <f>'HIDDEN import'!D31</f>
        <v>Get Base Report - Not Supported base report</v>
      </c>
      <c r="D31" t="str">
        <f>IF(VLOOKUP(A31&amp;" "&amp;B31,'HIDDEN import'!A:G,5,FALSE)="M",MD!$A$1,(IF(AND(VLOOKUP(A31,'HIDDEN import'!B:E,4,FALSE)="C",OR(NOT(ISERROR(VLOOKUP(E31,'Optional features'!B:D,1,FALSE)=E31)),NOT(ISERROR(VLOOKUP(E31,'HIDDEN calc sheet'!A:C,1,FALSE)=E31)))),MD!$A$3,MD!$A$2)))</f>
        <v>Mandatory for optional feature</v>
      </c>
      <c r="E31" t="str">
        <f>IF('HIDDEN import'!F31=0,"",'HIDDEN import'!F31)</f>
        <v>Not C-56</v>
      </c>
      <c r="F31" t="str">
        <f>IF('HIDDEN import'!G31=0,"",'HIDDEN import'!G31)</f>
        <v/>
      </c>
      <c r="G31" s="181" t="str">
        <f>IFERROR(VLOOKUP($A31,'HIDDEN Testrun Results'!$A:$B,2,FALSE),"")</f>
        <v/>
      </c>
      <c r="H31" s="11" t="b">
        <f t="shared" si="0"/>
        <v>1</v>
      </c>
      <c r="I31" s="11" t="b">
        <f>IF(VLOOKUP(A31&amp;" "&amp;B31,'HIDDEN import'!A:G,5,FALSE)="M",TRUE,IFERROR(VLOOKUP(E31,'Optional features'!B:D,3,FALSE)="Yes",IFERROR(VLOOKUP(E31,'HIDDEN calc sheet'!A:B,2,FALSE),IFERROR(VLOOKUP(E31,'Additional questions'!B:D,3,FALSE)="Yes",VLOOKUP(E31,'Hardware Feature set'!B:D,3,FALSE)="No"))))</f>
        <v>1</v>
      </c>
      <c r="J31" s="11" t="b">
        <f>IF(VLOOKUP(B31,'Profile selection'!B:C,2,FALSE)="Yes",TRUE,FALSE)</f>
        <v>1</v>
      </c>
      <c r="K31" s="53"/>
      <c r="L31" s="53"/>
    </row>
    <row r="32" spans="1:12" ht="15.75" customHeight="1" x14ac:dyDescent="0.25">
      <c r="A32" t="str">
        <f>'HIDDEN import'!B32</f>
        <v>TC_B_53_CS</v>
      </c>
      <c r="B32" t="str">
        <f>'HIDDEN import'!C32</f>
        <v>Core</v>
      </c>
      <c r="C32" t="str">
        <f>'HIDDEN import'!D32</f>
        <v>Get Base Report - Test mandatory DM variables via FullInventory</v>
      </c>
      <c r="D32" t="str">
        <f>IF(VLOOKUP(A32&amp;" "&amp;B32,'HIDDEN import'!A:G,5,FALSE)="M",MD!$A$1,(IF(AND(VLOOKUP(A32,'HIDDEN import'!B:E,4,FALSE)="C",OR(NOT(ISERROR(VLOOKUP(E32,'Optional features'!B:D,1,FALSE)=E32)),NOT(ISERROR(VLOOKUP(E32,'HIDDEN calc sheet'!A:C,1,FALSE)=E32)))),MD!$A$3,MD!$A$2)))</f>
        <v>Mandatory test for a mandatory feature</v>
      </c>
      <c r="E32" t="str">
        <f>IF('HIDDEN import'!F32=0,"",'HIDDEN import'!F32)</f>
        <v/>
      </c>
      <c r="F32" t="str">
        <f>IF('HIDDEN import'!G32=0,"",'HIDDEN import'!G32)</f>
        <v/>
      </c>
      <c r="G32" s="181" t="str">
        <f>IFERROR(VLOOKUP($A32,'HIDDEN Testrun Results'!$A:$B,2,FALSE),"")</f>
        <v/>
      </c>
      <c r="H32" s="11" t="b">
        <f t="shared" si="0"/>
        <v>1</v>
      </c>
      <c r="I32" s="11" t="b">
        <f>IF(VLOOKUP(A32&amp;" "&amp;B32,'HIDDEN import'!A:G,5,FALSE)="M",TRUE,IFERROR(VLOOKUP(E32,'Optional features'!B:D,3,FALSE)="Yes",IFERROR(VLOOKUP(E32,'HIDDEN calc sheet'!A:B,2,FALSE),IFERROR(VLOOKUP(E32,'Additional questions'!B:D,3,FALSE)="Yes",VLOOKUP(E32,'Hardware Feature set'!B:D,3,FALSE)="No"))))</f>
        <v>1</v>
      </c>
      <c r="J32" s="11" t="b">
        <f>IF(VLOOKUP(B32,'Profile selection'!B:C,2,FALSE)="Yes",TRUE,FALSE)</f>
        <v>1</v>
      </c>
      <c r="K32" s="53"/>
      <c r="L32" s="53"/>
    </row>
    <row r="33" spans="1:12" ht="15.75" customHeight="1" x14ac:dyDescent="0.25">
      <c r="A33" t="str">
        <f>'HIDDEN import'!B33</f>
        <v>TC_B_20_CS</v>
      </c>
      <c r="B33" t="str">
        <f>'HIDDEN import'!C33</f>
        <v>Core</v>
      </c>
      <c r="C33" t="str">
        <f>'HIDDEN import'!D33</f>
        <v>Reset Charging Station - Without ongoing transaction - OnIdle</v>
      </c>
      <c r="D33" t="str">
        <f>IF(VLOOKUP(A33&amp;" "&amp;B33,'HIDDEN import'!A:G,5,FALSE)="M",MD!$A$1,(IF(AND(VLOOKUP(A33,'HIDDEN import'!B:E,4,FALSE)="C",OR(NOT(ISERROR(VLOOKUP(E33,'Optional features'!B:D,1,FALSE)=E33)),NOT(ISERROR(VLOOKUP(E33,'HIDDEN calc sheet'!A:C,1,FALSE)=E33)))),MD!$A$3,MD!$A$2)))</f>
        <v>Mandatory test for a mandatory feature</v>
      </c>
      <c r="E33" t="str">
        <f>IF('HIDDEN import'!F33=0,"",'HIDDEN import'!F33)</f>
        <v/>
      </c>
      <c r="F33" t="str">
        <f>IF('HIDDEN import'!G33=0,"",'HIDDEN import'!G33)</f>
        <v/>
      </c>
      <c r="G33" s="181" t="str">
        <f>IFERROR(VLOOKUP($A33,'HIDDEN Testrun Results'!$A:$B,2,FALSE),"")</f>
        <v/>
      </c>
      <c r="H33" s="11" t="b">
        <f t="shared" si="0"/>
        <v>1</v>
      </c>
      <c r="I33" s="11" t="b">
        <f>IF(VLOOKUP(A33&amp;" "&amp;B33,'HIDDEN import'!A:G,5,FALSE)="M",TRUE,IFERROR(VLOOKUP(E33,'Optional features'!B:D,3,FALSE)="Yes",IFERROR(VLOOKUP(E33,'HIDDEN calc sheet'!A:B,2,FALSE),IFERROR(VLOOKUP(E33,'Additional questions'!B:D,3,FALSE)="Yes",VLOOKUP(E33,'Hardware Feature set'!B:D,3,FALSE)="No"))))</f>
        <v>1</v>
      </c>
      <c r="J33" s="11" t="b">
        <f>IF(VLOOKUP(B33,'Profile selection'!B:C,2,FALSE)="Yes",TRUE,FALSE)</f>
        <v>1</v>
      </c>
      <c r="K33" s="53"/>
      <c r="L33" s="53"/>
    </row>
    <row r="34" spans="1:12" ht="15.75" customHeight="1" x14ac:dyDescent="0.25">
      <c r="A34" t="str">
        <f>'HIDDEN import'!B34</f>
        <v>TC_B_21_CS</v>
      </c>
      <c r="B34" t="str">
        <f>'HIDDEN import'!C34</f>
        <v>Core</v>
      </c>
      <c r="C34" t="str">
        <f>'HIDDEN import'!D34</f>
        <v>Reset Charging Station - With Ongoing Transaction - OnIdle</v>
      </c>
      <c r="D34" t="str">
        <f>IF(VLOOKUP(A34&amp;" "&amp;B34,'HIDDEN import'!A:G,5,FALSE)="M",MD!$A$1,(IF(AND(VLOOKUP(A34,'HIDDEN import'!B:E,4,FALSE)="C",OR(NOT(ISERROR(VLOOKUP(E34,'Optional features'!B:D,1,FALSE)=E34)),NOT(ISERROR(VLOOKUP(E34,'HIDDEN calc sheet'!A:C,1,FALSE)=E34)))),MD!$A$3,MD!$A$2)))</f>
        <v>Mandatory test for a mandatory feature</v>
      </c>
      <c r="E34" t="str">
        <f>IF('HIDDEN import'!F34=0,"",'HIDDEN import'!F34)</f>
        <v/>
      </c>
      <c r="F34" t="str">
        <f>IF('HIDDEN import'!G34=0,"",'HIDDEN import'!G34)</f>
        <v/>
      </c>
      <c r="G34" s="181" t="str">
        <f>IFERROR(VLOOKUP($A34,'HIDDEN Testrun Results'!$A:$B,2,FALSE),"")</f>
        <v/>
      </c>
      <c r="H34" s="11" t="b">
        <f t="shared" si="0"/>
        <v>1</v>
      </c>
      <c r="I34" s="11" t="b">
        <f>IF(VLOOKUP(A34&amp;" "&amp;B34,'HIDDEN import'!A:G,5,FALSE)="M",TRUE,IFERROR(VLOOKUP(E34,'Optional features'!B:D,3,FALSE)="Yes",IFERROR(VLOOKUP(E34,'HIDDEN calc sheet'!A:B,2,FALSE),IFERROR(VLOOKUP(E34,'Additional questions'!B:D,3,FALSE)="Yes",VLOOKUP(E34,'Hardware Feature set'!B:D,3,FALSE)="No"))))</f>
        <v>1</v>
      </c>
      <c r="J34" s="11" t="b">
        <f>IF(VLOOKUP(B34,'Profile selection'!B:C,2,FALSE)="Yes",TRUE,FALSE)</f>
        <v>1</v>
      </c>
      <c r="K34" s="53"/>
      <c r="L34" s="53"/>
    </row>
    <row r="35" spans="1:12" ht="15.75" customHeight="1" x14ac:dyDescent="0.25">
      <c r="A35" t="str">
        <f>'HIDDEN import'!B35</f>
        <v>TC_B_22_CS</v>
      </c>
      <c r="B35" t="str">
        <f>'HIDDEN import'!C35</f>
        <v>Core</v>
      </c>
      <c r="C35" t="str">
        <f>'HIDDEN import'!D35</f>
        <v>Reset Charging Station - With Ongoing Transaction - Immediate</v>
      </c>
      <c r="D35" t="str">
        <f>IF(VLOOKUP(A35&amp;" "&amp;B35,'HIDDEN import'!A:G,5,FALSE)="M",MD!$A$1,(IF(AND(VLOOKUP(A35,'HIDDEN import'!B:E,4,FALSE)="C",OR(NOT(ISERROR(VLOOKUP(E35,'Optional features'!B:D,1,FALSE)=E35)),NOT(ISERROR(VLOOKUP(E35,'HIDDEN calc sheet'!A:C,1,FALSE)=E35)))),MD!$A$3,MD!$A$2)))</f>
        <v>Mandatory test for a mandatory feature</v>
      </c>
      <c r="E35" t="str">
        <f>IF('HIDDEN import'!F35=0,"",'HIDDEN import'!F35)</f>
        <v/>
      </c>
      <c r="F35" t="str">
        <f>IF('HIDDEN import'!G35=0,"",'HIDDEN import'!G35)</f>
        <v/>
      </c>
      <c r="G35" s="181" t="str">
        <f>IFERROR(VLOOKUP($A35,'HIDDEN Testrun Results'!$A:$B,2,FALSE),"")</f>
        <v/>
      </c>
      <c r="H35" s="11" t="b">
        <f t="shared" si="0"/>
        <v>1</v>
      </c>
      <c r="I35" s="11" t="b">
        <f>IF(VLOOKUP(A35&amp;" "&amp;B35,'HIDDEN import'!A:G,5,FALSE)="M",TRUE,IFERROR(VLOOKUP(E35,'Optional features'!B:D,3,FALSE)="Yes",IFERROR(VLOOKUP(E35,'HIDDEN calc sheet'!A:B,2,FALSE),IFERROR(VLOOKUP(E35,'Additional questions'!B:D,3,FALSE)="Yes",VLOOKUP(E35,'Hardware Feature set'!B:D,3,FALSE)="No"))))</f>
        <v>1</v>
      </c>
      <c r="J35" s="11" t="b">
        <f>IF(VLOOKUP(B35,'Profile selection'!B:C,2,FALSE)="Yes",TRUE,FALSE)</f>
        <v>1</v>
      </c>
      <c r="K35" s="53"/>
      <c r="L35" s="53"/>
    </row>
    <row r="36" spans="1:12" ht="15.75" customHeight="1" x14ac:dyDescent="0.25">
      <c r="A36" t="str">
        <f>'HIDDEN import'!B36</f>
        <v>TC_B_23_CS</v>
      </c>
      <c r="B36" t="str">
        <f>'HIDDEN import'!C36</f>
        <v>Core</v>
      </c>
      <c r="C36" t="str">
        <f>'HIDDEN import'!D36</f>
        <v>Reset Charging Station - Unavailable persists reset</v>
      </c>
      <c r="D36" t="str">
        <f>IF(VLOOKUP(A36&amp;" "&amp;B36,'HIDDEN import'!A:G,5,FALSE)="M",MD!$A$1,(IF(AND(VLOOKUP(A36,'HIDDEN import'!B:E,4,FALSE)="C",OR(NOT(ISERROR(VLOOKUP(E36,'Optional features'!B:D,1,FALSE)=E36)),NOT(ISERROR(VLOOKUP(E36,'HIDDEN calc sheet'!A:C,1,FALSE)=E36)))),MD!$A$3,MD!$A$2)))</f>
        <v>Mandatory test for a mandatory feature</v>
      </c>
      <c r="E36" t="str">
        <f>IF('HIDDEN import'!F36=0,"",'HIDDEN import'!F36)</f>
        <v/>
      </c>
      <c r="F36" t="str">
        <f>IF('HIDDEN import'!G36=0,"",'HIDDEN import'!G36)</f>
        <v/>
      </c>
      <c r="G36" s="181" t="str">
        <f>IFERROR(VLOOKUP($A36,'HIDDEN Testrun Results'!$A:$B,2,FALSE),"")</f>
        <v/>
      </c>
      <c r="H36" s="11" t="b">
        <f t="shared" si="0"/>
        <v>1</v>
      </c>
      <c r="I36" s="11" t="b">
        <f>IF(VLOOKUP(A36&amp;" "&amp;B36,'HIDDEN import'!A:G,5,FALSE)="M",TRUE,IFERROR(VLOOKUP(E36,'Optional features'!B:D,3,FALSE)="Yes",IFERROR(VLOOKUP(E36,'HIDDEN calc sheet'!A:B,2,FALSE),IFERROR(VLOOKUP(E36,'Additional questions'!B:D,3,FALSE)="Yes",VLOOKUP(E36,'Hardware Feature set'!B:D,3,FALSE)="No"))))</f>
        <v>1</v>
      </c>
      <c r="J36" s="11" t="b">
        <f>IF(VLOOKUP(B36,'Profile selection'!B:C,2,FALSE)="Yes",TRUE,FALSE)</f>
        <v>1</v>
      </c>
      <c r="K36" s="53"/>
      <c r="L36" s="53"/>
    </row>
    <row r="37" spans="1:12" ht="15.75" customHeight="1" x14ac:dyDescent="0.25">
      <c r="A37" t="str">
        <f>'HIDDEN import'!B37</f>
        <v>TC_B_41_CS</v>
      </c>
      <c r="B37" t="str">
        <f>'HIDDEN import'!C37</f>
        <v>Core</v>
      </c>
      <c r="C37" t="str">
        <f>'HIDDEN import'!D37</f>
        <v>Reset Charging Station - With multiple ongoing transactions - OnIdle</v>
      </c>
      <c r="D37" t="str">
        <f>IF(VLOOKUP(A37&amp;" "&amp;B37,'HIDDEN import'!A:G,5,FALSE)="M",MD!$A$1,(IF(AND(VLOOKUP(A37,'HIDDEN import'!B:E,4,FALSE)="C",OR(NOT(ISERROR(VLOOKUP(E37,'Optional features'!B:D,1,FALSE)=E37)),NOT(ISERROR(VLOOKUP(E37,'HIDDEN calc sheet'!A:C,1,FALSE)=E37)))),MD!$A$3,MD!$A$2)))</f>
        <v>Mandatory for optional feature</v>
      </c>
      <c r="E37" t="str">
        <f>IF('HIDDEN import'!F37=0,"",'HIDDEN import'!F37)</f>
        <v>HFS-8 &gt; 1</v>
      </c>
      <c r="F37" t="str">
        <f>IF('HIDDEN import'!G37=0,"",'HIDDEN import'!G37)</f>
        <v/>
      </c>
      <c r="G37" s="181" t="str">
        <f>IFERROR(VLOOKUP($A37,'HIDDEN Testrun Results'!$A:$B,2,FALSE),"")</f>
        <v/>
      </c>
      <c r="H37" s="11" t="b">
        <f t="shared" si="0"/>
        <v>0</v>
      </c>
      <c r="I37" s="11" t="b">
        <f>IF(VLOOKUP(A37&amp;" "&amp;B37,'HIDDEN import'!A:G,5,FALSE)="M",TRUE,IFERROR(VLOOKUP(E37,'Optional features'!B:D,3,FALSE)="Yes",IFERROR(VLOOKUP(E37,'HIDDEN calc sheet'!A:B,2,FALSE),IFERROR(VLOOKUP(E37,'Additional questions'!B:D,3,FALSE)="Yes",VLOOKUP(E37,'Hardware Feature set'!B:D,3,FALSE)="No"))))</f>
        <v>0</v>
      </c>
      <c r="J37" s="11" t="b">
        <f>IF(VLOOKUP(B37,'Profile selection'!B:C,2,FALSE)="Yes",TRUE,FALSE)</f>
        <v>1</v>
      </c>
      <c r="K37" s="53"/>
      <c r="L37" s="53"/>
    </row>
    <row r="38" spans="1:12" ht="15.75" customHeight="1" x14ac:dyDescent="0.25">
      <c r="A38" t="str">
        <f>'HIDDEN import'!B38</f>
        <v>TC_B_25_CS</v>
      </c>
      <c r="B38" t="str">
        <f>'HIDDEN import'!C38</f>
        <v>Core</v>
      </c>
      <c r="C38" t="str">
        <f>'HIDDEN import'!D38</f>
        <v>Reset EVSE - Without ongoing transaction</v>
      </c>
      <c r="D38" t="str">
        <f>IF(VLOOKUP(A38&amp;" "&amp;B38,'HIDDEN import'!A:G,5,FALSE)="M",MD!$A$1,(IF(AND(VLOOKUP(A38,'HIDDEN import'!B:E,4,FALSE)="C",OR(NOT(ISERROR(VLOOKUP(E38,'Optional features'!B:D,1,FALSE)=E38)),NOT(ISERROR(VLOOKUP(E38,'HIDDEN calc sheet'!A:C,1,FALSE)=E38)))),MD!$A$3,MD!$A$2)))</f>
        <v>Mandatory for optional feature</v>
      </c>
      <c r="E38" t="str">
        <f>IF('HIDDEN import'!F38=0,"",'HIDDEN import'!F38)</f>
        <v>C-13</v>
      </c>
      <c r="F38" t="str">
        <f>IF('HIDDEN import'!G38=0,"",'HIDDEN import'!G38)</f>
        <v>Reset per EVSE</v>
      </c>
      <c r="G38" s="181" t="str">
        <f>IFERROR(VLOOKUP($A38,'HIDDEN Testrun Results'!$A:$B,2,FALSE),"")</f>
        <v/>
      </c>
      <c r="H38" s="11" t="b">
        <f t="shared" si="0"/>
        <v>0</v>
      </c>
      <c r="I38" s="11" t="b">
        <f>IF(VLOOKUP(A38&amp;" "&amp;B38,'HIDDEN import'!A:G,5,FALSE)="M",TRUE,IFERROR(VLOOKUP(E38,'Optional features'!B:D,3,FALSE)="Yes",IFERROR(VLOOKUP(E38,'HIDDEN calc sheet'!A:B,2,FALSE),IFERROR(VLOOKUP(E38,'Additional questions'!B:D,3,FALSE)="Yes",VLOOKUP(E38,'Hardware Feature set'!B:D,3,FALSE)="No"))))</f>
        <v>0</v>
      </c>
      <c r="J38" s="11" t="b">
        <f>IF(VLOOKUP(B38,'Profile selection'!B:C,2,FALSE)="Yes",TRUE,FALSE)</f>
        <v>1</v>
      </c>
      <c r="K38" s="53"/>
      <c r="L38" s="53"/>
    </row>
    <row r="39" spans="1:12" ht="15.75" customHeight="1" x14ac:dyDescent="0.25">
      <c r="A39" t="str">
        <f>'HIDDEN import'!B39</f>
        <v>TC_B_26_CS</v>
      </c>
      <c r="B39" t="str">
        <f>'HIDDEN import'!C39</f>
        <v>Core</v>
      </c>
      <c r="C39" t="str">
        <f>'HIDDEN import'!D39</f>
        <v>Reset EVSE - With Ongoing Transaction - OnIdle</v>
      </c>
      <c r="D39" t="str">
        <f>IF(VLOOKUP(A39&amp;" "&amp;B39,'HIDDEN import'!A:G,5,FALSE)="M",MD!$A$1,(IF(AND(VLOOKUP(A39,'HIDDEN import'!B:E,4,FALSE)="C",OR(NOT(ISERROR(VLOOKUP(E39,'Optional features'!B:D,1,FALSE)=E39)),NOT(ISERROR(VLOOKUP(E39,'HIDDEN calc sheet'!A:C,1,FALSE)=E39)))),MD!$A$3,MD!$A$2)))</f>
        <v>Mandatory for optional feature</v>
      </c>
      <c r="E39" t="str">
        <f>IF('HIDDEN import'!F39=0,"",'HIDDEN import'!F39)</f>
        <v>C-13</v>
      </c>
      <c r="F39" t="str">
        <f>IF('HIDDEN import'!G39=0,"",'HIDDEN import'!G39)</f>
        <v>Reset per EVSE</v>
      </c>
      <c r="G39" s="181" t="str">
        <f>IFERROR(VLOOKUP($A39,'HIDDEN Testrun Results'!$A:$B,2,FALSE),"")</f>
        <v/>
      </c>
      <c r="H39" s="11" t="b">
        <f t="shared" si="0"/>
        <v>0</v>
      </c>
      <c r="I39" s="11" t="b">
        <f>IF(VLOOKUP(A39&amp;" "&amp;B39,'HIDDEN import'!A:G,5,FALSE)="M",TRUE,IFERROR(VLOOKUP(E39,'Optional features'!B:D,3,FALSE)="Yes",IFERROR(VLOOKUP(E39,'HIDDEN calc sheet'!A:B,2,FALSE),IFERROR(VLOOKUP(E39,'Additional questions'!B:D,3,FALSE)="Yes",VLOOKUP(E39,'Hardware Feature set'!B:D,3,FALSE)="No"))))</f>
        <v>0</v>
      </c>
      <c r="J39" s="11" t="b">
        <f>IF(VLOOKUP(B39,'Profile selection'!B:C,2,FALSE)="Yes",TRUE,FALSE)</f>
        <v>1</v>
      </c>
      <c r="K39" s="53"/>
      <c r="L39" s="53"/>
    </row>
    <row r="40" spans="1:12" ht="15.75" customHeight="1" x14ac:dyDescent="0.25">
      <c r="A40" t="str">
        <f>'HIDDEN import'!B40</f>
        <v>TC_B_27_CS</v>
      </c>
      <c r="B40" t="str">
        <f>'HIDDEN import'!C40</f>
        <v>Core</v>
      </c>
      <c r="C40" t="str">
        <f>'HIDDEN import'!D40</f>
        <v>Reset EVSE - With Ongoing Transaction - Immediate</v>
      </c>
      <c r="D40" t="str">
        <f>IF(VLOOKUP(A40&amp;" "&amp;B40,'HIDDEN import'!A:G,5,FALSE)="M",MD!$A$1,(IF(AND(VLOOKUP(A40,'HIDDEN import'!B:E,4,FALSE)="C",OR(NOT(ISERROR(VLOOKUP(E40,'Optional features'!B:D,1,FALSE)=E40)),NOT(ISERROR(VLOOKUP(E40,'HIDDEN calc sheet'!A:C,1,FALSE)=E40)))),MD!$A$3,MD!$A$2)))</f>
        <v>Mandatory for optional feature</v>
      </c>
      <c r="E40" t="str">
        <f>IF('HIDDEN import'!F40=0,"",'HIDDEN import'!F40)</f>
        <v>C-13</v>
      </c>
      <c r="F40" t="str">
        <f>IF('HIDDEN import'!G40=0,"",'HIDDEN import'!G40)</f>
        <v>Reset per EVSE</v>
      </c>
      <c r="G40" s="181" t="str">
        <f>IFERROR(VLOOKUP($A40,'HIDDEN Testrun Results'!$A:$B,2,FALSE),"")</f>
        <v/>
      </c>
      <c r="H40" s="11" t="b">
        <f t="shared" si="0"/>
        <v>0</v>
      </c>
      <c r="I40" s="11" t="b">
        <f>IF(VLOOKUP(A40&amp;" "&amp;B40,'HIDDEN import'!A:G,5,FALSE)="M",TRUE,IFERROR(VLOOKUP(E40,'Optional features'!B:D,3,FALSE)="Yes",IFERROR(VLOOKUP(E40,'HIDDEN calc sheet'!A:B,2,FALSE),IFERROR(VLOOKUP(E40,'Additional questions'!B:D,3,FALSE)="Yes",VLOOKUP(E40,'Hardware Feature set'!B:D,3,FALSE)="No"))))</f>
        <v>0</v>
      </c>
      <c r="J40" s="11" t="b">
        <f>IF(VLOOKUP(B40,'Profile selection'!B:C,2,FALSE)="Yes",TRUE,FALSE)</f>
        <v>1</v>
      </c>
      <c r="K40" s="53"/>
      <c r="L40" s="53"/>
    </row>
    <row r="41" spans="1:12" ht="15.75" customHeight="1" x14ac:dyDescent="0.25">
      <c r="A41" t="str">
        <f>'HIDDEN import'!B41</f>
        <v>TC_B_28_CS</v>
      </c>
      <c r="B41" t="str">
        <f>'HIDDEN import'!C41</f>
        <v>Core</v>
      </c>
      <c r="C41" t="str">
        <f>'HIDDEN import'!D41</f>
        <v>Reset EVSE - Not Supported</v>
      </c>
      <c r="D41" t="str">
        <f>IF(VLOOKUP(A41&amp;" "&amp;B41,'HIDDEN import'!A:G,5,FALSE)="M",MD!$A$1,(IF(AND(VLOOKUP(A41,'HIDDEN import'!B:E,4,FALSE)="C",OR(NOT(ISERROR(VLOOKUP(E41,'Optional features'!B:D,1,FALSE)=E41)),NOT(ISERROR(VLOOKUP(E41,'HIDDEN calc sheet'!A:C,1,FALSE)=E41)))),MD!$A$3,MD!$A$2)))</f>
        <v>Mandatory for optional feature</v>
      </c>
      <c r="E41" t="str">
        <f>IF('HIDDEN import'!F41=0,"",'HIDDEN import'!F41)</f>
        <v>NOT C-13</v>
      </c>
      <c r="F41" t="str">
        <f>IF('HIDDEN import'!G41=0,"",'HIDDEN import'!G41)</f>
        <v>Reset per EVSE</v>
      </c>
      <c r="G41" s="181" t="str">
        <f>IFERROR(VLOOKUP($A41,'HIDDEN Testrun Results'!$A:$B,2,FALSE),"")</f>
        <v/>
      </c>
      <c r="H41" s="11" t="b">
        <f t="shared" si="0"/>
        <v>1</v>
      </c>
      <c r="I41" s="11" t="b">
        <f>IF(VLOOKUP(A41&amp;" "&amp;B41,'HIDDEN import'!A:G,5,FALSE)="M",TRUE,IFERROR(VLOOKUP(E41,'Optional features'!B:D,3,FALSE)="Yes",IFERROR(VLOOKUP(E41,'HIDDEN calc sheet'!A:B,2,FALSE),IFERROR(VLOOKUP(E41,'Additional questions'!B:D,3,FALSE)="Yes",VLOOKUP(E41,'Hardware Feature set'!B:D,3,FALSE)="No"))))</f>
        <v>1</v>
      </c>
      <c r="J41" s="11" t="b">
        <f>IF(VLOOKUP(B41,'Profile selection'!B:C,2,FALSE)="Yes",TRUE,FALSE)</f>
        <v>1</v>
      </c>
      <c r="K41" s="53"/>
      <c r="L41" s="53"/>
    </row>
    <row r="42" spans="1:12" ht="15.75" customHeight="1" x14ac:dyDescent="0.25">
      <c r="A42" t="str">
        <f>'HIDDEN import'!B42</f>
        <v>TC_B_29_CS</v>
      </c>
      <c r="B42" t="str">
        <f>'HIDDEN import'!C42</f>
        <v>Core</v>
      </c>
      <c r="C42" t="str">
        <f>'HIDDEN import'!D42</f>
        <v>Reset EVSE - With ongoing transaction - Not Supported</v>
      </c>
      <c r="D42" t="str">
        <f>IF(VLOOKUP(A42&amp;" "&amp;B42,'HIDDEN import'!A:G,5,FALSE)="M",MD!$A$1,(IF(AND(VLOOKUP(A42,'HIDDEN import'!B:E,4,FALSE)="C",OR(NOT(ISERROR(VLOOKUP(E42,'Optional features'!B:D,1,FALSE)=E42)),NOT(ISERROR(VLOOKUP(E42,'HIDDEN calc sheet'!A:C,1,FALSE)=E42)))),MD!$A$3,MD!$A$2)))</f>
        <v>Mandatory for optional feature</v>
      </c>
      <c r="E42" t="str">
        <f>IF('HIDDEN import'!F42=0,"",'HIDDEN import'!F42)</f>
        <v>NOT C-13</v>
      </c>
      <c r="F42" t="str">
        <f>IF('HIDDEN import'!G42=0,"",'HIDDEN import'!G42)</f>
        <v>Reset per EVSE</v>
      </c>
      <c r="G42" s="181" t="str">
        <f>IFERROR(VLOOKUP($A42,'HIDDEN Testrun Results'!$A:$B,2,FALSE),"")</f>
        <v/>
      </c>
      <c r="H42" s="11" t="b">
        <f t="shared" si="0"/>
        <v>1</v>
      </c>
      <c r="I42" s="11" t="b">
        <f>IF(VLOOKUP(A42&amp;" "&amp;B42,'HIDDEN import'!A:G,5,FALSE)="M",TRUE,IFERROR(VLOOKUP(E42,'Optional features'!B:D,3,FALSE)="Yes",IFERROR(VLOOKUP(E42,'HIDDEN calc sheet'!A:B,2,FALSE),IFERROR(VLOOKUP(E42,'Additional questions'!B:D,3,FALSE)="Yes",VLOOKUP(E42,'Hardware Feature set'!B:D,3,FALSE)="No"))))</f>
        <v>1</v>
      </c>
      <c r="J42" s="11" t="b">
        <f>IF(VLOOKUP(B42,'Profile selection'!B:C,2,FALSE)="Yes",TRUE,FALSE)</f>
        <v>1</v>
      </c>
      <c r="K42" s="53"/>
      <c r="L42" s="53"/>
    </row>
    <row r="43" spans="1:12" ht="15.75" customHeight="1" x14ac:dyDescent="0.25">
      <c r="A43" t="str">
        <f>'HIDDEN import'!B43</f>
        <v>TC_B_43_CS</v>
      </c>
      <c r="B43" t="str">
        <f>'HIDDEN import'!C43</f>
        <v>Core</v>
      </c>
      <c r="C43" t="str">
        <f>'HIDDEN import'!D43</f>
        <v>Set new NetworkConnectionProfile - Rejected</v>
      </c>
      <c r="D43" t="str">
        <f>IF(VLOOKUP(A43&amp;" "&amp;B43,'HIDDEN import'!A:G,5,FALSE)="M",MD!$A$1,(IF(AND(VLOOKUP(A43,'HIDDEN import'!B:E,4,FALSE)="C",OR(NOT(ISERROR(VLOOKUP(E43,'Optional features'!B:D,1,FALSE)=E43)),NOT(ISERROR(VLOOKUP(E43,'HIDDEN calc sheet'!A:C,1,FALSE)=E43)))),MD!$A$3,MD!$A$2)))</f>
        <v>Mandatory test for a mandatory feature</v>
      </c>
      <c r="E43" t="str">
        <f>IF('HIDDEN import'!F43=0,"",'HIDDEN import'!F43)</f>
        <v/>
      </c>
      <c r="F43" t="str">
        <f>IF('HIDDEN import'!G43=0,"",'HIDDEN import'!G43)</f>
        <v/>
      </c>
      <c r="G43" s="181" t="str">
        <f>IFERROR(VLOOKUP($A43,'HIDDEN Testrun Results'!$A:$B,2,FALSE),"")</f>
        <v/>
      </c>
      <c r="H43" s="11" t="b">
        <f t="shared" si="0"/>
        <v>1</v>
      </c>
      <c r="I43" s="11" t="b">
        <f>IF(VLOOKUP(A43&amp;" "&amp;B43,'HIDDEN import'!A:G,5,FALSE)="M",TRUE,IFERROR(VLOOKUP(E43,'Optional features'!B:D,3,FALSE)="Yes",IFERROR(VLOOKUP(E43,'HIDDEN calc sheet'!A:B,2,FALSE),IFERROR(VLOOKUP(E43,'Additional questions'!B:D,3,FALSE)="Yes",VLOOKUP(E43,'Hardware Feature set'!B:D,3,FALSE)="No"))))</f>
        <v>1</v>
      </c>
      <c r="J43" s="11" t="b">
        <f>IF(VLOOKUP(B43,'Profile selection'!B:C,2,FALSE)="Yes",TRUE,FALSE)</f>
        <v>1</v>
      </c>
      <c r="K43" s="53"/>
      <c r="L43" s="53"/>
    </row>
    <row r="44" spans="1:12" ht="15.75" customHeight="1" x14ac:dyDescent="0.25">
      <c r="A44" t="str">
        <f>'HIDDEN import'!B44</f>
        <v>TC_B_45_CS</v>
      </c>
      <c r="B44" t="str">
        <f>'HIDDEN import'!C44</f>
        <v>Core</v>
      </c>
      <c r="C44" t="str">
        <f>'HIDDEN import'!D44</f>
        <v>Migrate to new ConnectionProfile - Success - Same CSMS Root</v>
      </c>
      <c r="D44" t="str">
        <f>IF(VLOOKUP(A44&amp;" "&amp;B44,'HIDDEN import'!A:G,5,FALSE)="M",MD!$A$1,(IF(AND(VLOOKUP(A44,'HIDDEN import'!B:E,4,FALSE)="C",OR(NOT(ISERROR(VLOOKUP(E44,'Optional features'!B:D,1,FALSE)=E44)),NOT(ISERROR(VLOOKUP(E44,'HIDDEN calc sheet'!A:C,1,FALSE)=E44)))),MD!$A$3,MD!$A$2)))</f>
        <v>Mandatory test for a mandatory feature</v>
      </c>
      <c r="E44" t="str">
        <f>IF('HIDDEN import'!F44=0,"",'HIDDEN import'!F44)</f>
        <v/>
      </c>
      <c r="F44" t="str">
        <f>IF('HIDDEN import'!G44=0,"",'HIDDEN import'!G44)</f>
        <v/>
      </c>
      <c r="G44" s="181" t="str">
        <f>IFERROR(VLOOKUP($A44,'HIDDEN Testrun Results'!$A:$B,2,FALSE),"")</f>
        <v/>
      </c>
      <c r="H44" s="11" t="b">
        <f t="shared" si="0"/>
        <v>1</v>
      </c>
      <c r="I44" s="11" t="b">
        <f>IF(VLOOKUP(A44&amp;" "&amp;B44,'HIDDEN import'!A:G,5,FALSE)="M",TRUE,IFERROR(VLOOKUP(E44,'Optional features'!B:D,3,FALSE)="Yes",IFERROR(VLOOKUP(E44,'HIDDEN calc sheet'!A:B,2,FALSE),IFERROR(VLOOKUP(E44,'Additional questions'!B:D,3,FALSE)="Yes",VLOOKUP(E44,'Hardware Feature set'!B:D,3,FALSE)="No"))))</f>
        <v>1</v>
      </c>
      <c r="J44" s="11" t="b">
        <f>IF(VLOOKUP(B44,'Profile selection'!B:C,2,FALSE)="Yes",TRUE,FALSE)</f>
        <v>1</v>
      </c>
      <c r="K44" s="53"/>
      <c r="L44" s="53"/>
    </row>
    <row r="45" spans="1:12" ht="15.75" customHeight="1" x14ac:dyDescent="0.25">
      <c r="A45" t="str">
        <f>'HIDDEN import'!B45</f>
        <v>TC_B_46_CS</v>
      </c>
      <c r="B45" t="str">
        <f>'HIDDEN import'!C45</f>
        <v>Core</v>
      </c>
      <c r="C45" t="str">
        <f>'HIDDEN import'!D45</f>
        <v>Migrate to new ConnectionProfile - Fallback mechanism - Same CSMS Root</v>
      </c>
      <c r="D45" t="str">
        <f>IF(VLOOKUP(A45&amp;" "&amp;B45,'HIDDEN import'!A:G,5,FALSE)="M",MD!$A$1,(IF(AND(VLOOKUP(A45,'HIDDEN import'!B:E,4,FALSE)="C",OR(NOT(ISERROR(VLOOKUP(E45,'Optional features'!B:D,1,FALSE)=E45)),NOT(ISERROR(VLOOKUP(E45,'HIDDEN calc sheet'!A:C,1,FALSE)=E45)))),MD!$A$3,MD!$A$2)))</f>
        <v>Mandatory test for a mandatory feature</v>
      </c>
      <c r="E45" t="str">
        <f>IF('HIDDEN import'!F45=0,"",'HIDDEN import'!F45)</f>
        <v/>
      </c>
      <c r="F45" t="str">
        <f>IF('HIDDEN import'!G45=0,"",'HIDDEN import'!G45)</f>
        <v/>
      </c>
      <c r="G45" s="181" t="str">
        <f>IFERROR(VLOOKUP($A45,'HIDDEN Testrun Results'!$A:$B,2,FALSE),"")</f>
        <v/>
      </c>
      <c r="H45" s="11" t="b">
        <f t="shared" si="0"/>
        <v>1</v>
      </c>
      <c r="I45" s="11" t="b">
        <f>IF(VLOOKUP(A45&amp;" "&amp;B45,'HIDDEN import'!A:G,5,FALSE)="M",TRUE,IFERROR(VLOOKUP(E45,'Optional features'!B:D,3,FALSE)="Yes",IFERROR(VLOOKUP(E45,'HIDDEN calc sheet'!A:B,2,FALSE),IFERROR(VLOOKUP(E45,'Additional questions'!B:D,3,FALSE)="Yes",VLOOKUP(E45,'Hardware Feature set'!B:D,3,FALSE)="No"))))</f>
        <v>1</v>
      </c>
      <c r="J45" s="11" t="b">
        <f>IF(VLOOKUP(B45,'Profile selection'!B:C,2,FALSE)="Yes",TRUE,FALSE)</f>
        <v>1</v>
      </c>
      <c r="K45" s="53"/>
      <c r="L45" s="53"/>
    </row>
    <row r="46" spans="1:12" ht="15.75" customHeight="1" x14ac:dyDescent="0.25">
      <c r="A46" t="str">
        <f>'HIDDEN import'!B46</f>
        <v>TC_B_47_CS</v>
      </c>
      <c r="B46" t="str">
        <f>'HIDDEN import'!C46</f>
        <v>Core</v>
      </c>
      <c r="C46" t="str">
        <f>'HIDDEN import'!D46</f>
        <v>Migrate to new ConnectionProfile - Fallback after NetworkProfileConnectionAttempts per NetworkConfigurationPriority failed - New CSMS Root - New CSMS</v>
      </c>
      <c r="D46" t="str">
        <f>IF(VLOOKUP(A46&amp;" "&amp;B46,'HIDDEN import'!A:G,5,FALSE)="M",MD!$A$1,(IF(AND(VLOOKUP(A46,'HIDDEN import'!B:E,4,FALSE)="C",OR(NOT(ISERROR(VLOOKUP(E46,'Optional features'!B:D,1,FALSE)=E46)),NOT(ISERROR(VLOOKUP(E46,'HIDDEN calc sheet'!A:C,1,FALSE)=E46)))),MD!$A$3,MD!$A$2)))</f>
        <v>Mandatory for optional feature</v>
      </c>
      <c r="E46" t="str">
        <f>IF('HIDDEN import'!F46=0,"",'HIDDEN import'!F46)</f>
        <v>AS-2 and C-47</v>
      </c>
      <c r="F46" t="str">
        <f>IF('HIDDEN import'!G46=0,"",'HIDDEN import'!G46)</f>
        <v>Additional Root Certificate check mechanism implemented &amp; Reconnect after NetworkProfileConnectionAttempts</v>
      </c>
      <c r="G46" s="181" t="str">
        <f>IFERROR(VLOOKUP($A46,'HIDDEN Testrun Results'!$A:$B,2,FALSE),"")</f>
        <v/>
      </c>
      <c r="H46" s="11" t="b">
        <f t="shared" si="0"/>
        <v>0</v>
      </c>
      <c r="I46" s="11" t="b">
        <f>IF(VLOOKUP(A46&amp;" "&amp;B46,'HIDDEN import'!A:G,5,FALSE)="M",TRUE,IFERROR(VLOOKUP(E46,'Optional features'!B:D,3,FALSE)="Yes",IFERROR(VLOOKUP(E46,'HIDDEN calc sheet'!A:B,2,FALSE),IFERROR(VLOOKUP(E46,'Additional questions'!B:D,3,FALSE)="Yes",VLOOKUP(E46,'Hardware Feature set'!B:D,3,FALSE)="No"))))</f>
        <v>0</v>
      </c>
      <c r="J46" s="11" t="b">
        <f>IF(VLOOKUP(B46,'Profile selection'!B:C,2,FALSE)="Yes",TRUE,FALSE)</f>
        <v>1</v>
      </c>
      <c r="K46" s="53"/>
      <c r="L46" s="53"/>
    </row>
    <row r="47" spans="1:12" ht="15.75" customHeight="1" x14ac:dyDescent="0.25">
      <c r="A47" t="str">
        <f>'HIDDEN import'!B47</f>
        <v>TC_B_49_CS</v>
      </c>
      <c r="B47" t="str">
        <f>'HIDDEN import'!C47</f>
        <v>Core</v>
      </c>
      <c r="C47" t="str">
        <f>'HIDDEN import'!D47</f>
        <v>Migrate to new ConnectionProfile - Fallback after NetworkProfileConnectionAttempts per NetworkConfigurationPriority failed - Same CSMS Root</v>
      </c>
      <c r="D47" t="str">
        <f>IF(VLOOKUP(A47&amp;" "&amp;B47,'HIDDEN import'!A:G,5,FALSE)="M",MD!$A$1,(IF(AND(VLOOKUP(A47,'HIDDEN import'!B:E,4,FALSE)="C",OR(NOT(ISERROR(VLOOKUP(E47,'Optional features'!B:D,1,FALSE)=E47)),NOT(ISERROR(VLOOKUP(E47,'HIDDEN calc sheet'!A:C,1,FALSE)=E47)))),MD!$A$3,MD!$A$2)))</f>
        <v>Mandatory for optional feature</v>
      </c>
      <c r="E47" t="str">
        <f>IF('HIDDEN import'!F47=0,"",'HIDDEN import'!F47)</f>
        <v>C-47</v>
      </c>
      <c r="F47" t="str">
        <f>IF('HIDDEN import'!G47=0,"",'HIDDEN import'!G47)</f>
        <v>Reconnect after NetworkProfileConnectionAttempts</v>
      </c>
      <c r="G47" s="181" t="str">
        <f>IFERROR(VLOOKUP($A47,'HIDDEN Testrun Results'!$A:$B,2,FALSE),"")</f>
        <v/>
      </c>
      <c r="H47" s="11" t="b">
        <f t="shared" si="0"/>
        <v>0</v>
      </c>
      <c r="I47" s="11" t="b">
        <f>IF(VLOOKUP(A47&amp;" "&amp;B47,'HIDDEN import'!A:G,5,FALSE)="M",TRUE,IFERROR(VLOOKUP(E47,'Optional features'!B:D,3,FALSE)="Yes",IFERROR(VLOOKUP(E47,'HIDDEN calc sheet'!A:B,2,FALSE),IFERROR(VLOOKUP(E47,'Additional questions'!B:D,3,FALSE)="Yes",VLOOKUP(E47,'Hardware Feature set'!B:D,3,FALSE)="No"))))</f>
        <v>0</v>
      </c>
      <c r="J47" s="11" t="b">
        <f>IF(VLOOKUP(B47,'Profile selection'!B:C,2,FALSE)="Yes",TRUE,FALSE)</f>
        <v>1</v>
      </c>
      <c r="K47" s="53"/>
      <c r="L47" s="53"/>
    </row>
    <row r="48" spans="1:12" ht="15.75" customHeight="1" x14ac:dyDescent="0.25">
      <c r="A48" t="str">
        <f>'HIDDEN import'!B48</f>
        <v>TC_B_50_CS</v>
      </c>
      <c r="B48" t="str">
        <f>'HIDDEN import'!C48</f>
        <v>Core</v>
      </c>
      <c r="C48" t="str">
        <f>'HIDDEN import'!D48</f>
        <v>Migrate to new ConnectionProfile - Success - New CSMS Root - New CSMS</v>
      </c>
      <c r="D48" t="str">
        <f>IF(VLOOKUP(A48&amp;" "&amp;B48,'HIDDEN import'!A:G,5,FALSE)="M",MD!$A$1,(IF(AND(VLOOKUP(A48,'HIDDEN import'!B:E,4,FALSE)="C",OR(NOT(ISERROR(VLOOKUP(E48,'Optional features'!B:D,1,FALSE)=E48)),NOT(ISERROR(VLOOKUP(E48,'HIDDEN calc sheet'!A:C,1,FALSE)=E48)))),MD!$A$3,MD!$A$2)))</f>
        <v>Mandatory test for a mandatory feature</v>
      </c>
      <c r="E48" t="str">
        <f>IF('HIDDEN import'!F48=0,"",'HIDDEN import'!F48)</f>
        <v/>
      </c>
      <c r="F48" t="str">
        <f>IF('HIDDEN import'!G48=0,"",'HIDDEN import'!G48)</f>
        <v/>
      </c>
      <c r="G48" s="181" t="str">
        <f>IFERROR(VLOOKUP($A48,'HIDDEN Testrun Results'!$A:$B,2,FALSE),"")</f>
        <v/>
      </c>
      <c r="H48" s="11" t="b">
        <f t="shared" si="0"/>
        <v>1</v>
      </c>
      <c r="I48" s="11" t="b">
        <f>IF(VLOOKUP(A48&amp;" "&amp;B48,'HIDDEN import'!A:G,5,FALSE)="M",TRUE,IFERROR(VLOOKUP(E48,'Optional features'!B:D,3,FALSE)="Yes",IFERROR(VLOOKUP(E48,'HIDDEN calc sheet'!A:B,2,FALSE),IFERROR(VLOOKUP(E48,'Additional questions'!B:D,3,FALSE)="Yes",VLOOKUP(E48,'Hardware Feature set'!B:D,3,FALSE)="No"))))</f>
        <v>1</v>
      </c>
      <c r="J48" s="11" t="b">
        <f>IF(VLOOKUP(B48,'Profile selection'!B:C,2,FALSE)="Yes",TRUE,FALSE)</f>
        <v>1</v>
      </c>
      <c r="K48" s="53"/>
      <c r="L48" s="53"/>
    </row>
    <row r="49" spans="1:12" ht="15.75" customHeight="1" x14ac:dyDescent="0.25">
      <c r="A49" t="str">
        <f>'HIDDEN import'!B49</f>
        <v>TC_B_57_CS</v>
      </c>
      <c r="B49" t="str">
        <f>'HIDDEN import'!C49</f>
        <v>Core</v>
      </c>
      <c r="C49" t="str">
        <f>'HIDDEN import'!D49</f>
        <v>Network Reconnection - After connection loss</v>
      </c>
      <c r="D49" t="str">
        <f>IF(VLOOKUP(A49&amp;" "&amp;B49,'HIDDEN import'!A:G,5,FALSE)="M",MD!$A$1,(IF(AND(VLOOKUP(A49,'HIDDEN import'!B:E,4,FALSE)="C",OR(NOT(ISERROR(VLOOKUP(E49,'Optional features'!B:D,1,FALSE)=E49)),NOT(ISERROR(VLOOKUP(E49,'HIDDEN calc sheet'!A:C,1,FALSE)=E49)))),MD!$A$3,MD!$A$2)))</f>
        <v>Mandatory test for a mandatory feature</v>
      </c>
      <c r="E49" t="str">
        <f>IF('HIDDEN import'!F49=0,"",'HIDDEN import'!F49)</f>
        <v/>
      </c>
      <c r="F49" t="str">
        <f>IF('HIDDEN import'!G49=0,"",'HIDDEN import'!G49)</f>
        <v/>
      </c>
      <c r="G49" s="181" t="str">
        <f>IFERROR(VLOOKUP($A49,'HIDDEN Testrun Results'!$A:$B,2,FALSE),"")</f>
        <v/>
      </c>
      <c r="H49" s="11" t="b">
        <f t="shared" si="0"/>
        <v>1</v>
      </c>
      <c r="I49" s="11" t="b">
        <f>IF(VLOOKUP(A49&amp;" "&amp;B49,'HIDDEN import'!A:G,5,FALSE)="M",TRUE,IFERROR(VLOOKUP(E49,'Optional features'!B:D,3,FALSE)="Yes",IFERROR(VLOOKUP(E49,'HIDDEN calc sheet'!A:B,2,FALSE),IFERROR(VLOOKUP(E49,'Additional questions'!B:D,3,FALSE)="Yes",VLOOKUP(E49,'Hardware Feature set'!B:D,3,FALSE)="No"))))</f>
        <v>1</v>
      </c>
      <c r="J49" s="11" t="b">
        <f>IF(VLOOKUP(B49,'Profile selection'!B:C,2,FALSE)="Yes",TRUE,FALSE)</f>
        <v>1</v>
      </c>
      <c r="K49" s="53"/>
      <c r="L49" s="53"/>
    </row>
    <row r="50" spans="1:12" ht="15.75" customHeight="1" x14ac:dyDescent="0.25">
      <c r="A50" t="str">
        <f>'HIDDEN import'!B50</f>
        <v>TC_C_02_CS</v>
      </c>
      <c r="B50" t="str">
        <f>'HIDDEN import'!C50</f>
        <v>Core</v>
      </c>
      <c r="C50" t="str">
        <f>'HIDDEN import'!D50</f>
        <v>Local start transaction - Authorization Invalid/Unknown</v>
      </c>
      <c r="D50" t="str">
        <f>IF(VLOOKUP(A50&amp;" "&amp;B50,'HIDDEN import'!A:G,5,FALSE)="M",MD!$A$1,(IF(AND(VLOOKUP(A50,'HIDDEN import'!B:E,4,FALSE)="C",OR(NOT(ISERROR(VLOOKUP(E50,'Optional features'!B:D,1,FALSE)=E50)),NOT(ISERROR(VLOOKUP(E50,'HIDDEN calc sheet'!A:C,1,FALSE)=E50)))),MD!$A$3,MD!$A$2)))</f>
        <v>Mandatory for optional feature</v>
      </c>
      <c r="E50" t="str">
        <f>IF('HIDDEN import'!F50=0,"",'HIDDEN import'!F50)</f>
        <v>(C-30 or C-31 or C-32) and NOT AQ-2</v>
      </c>
      <c r="F50" t="str">
        <f>IF('HIDDEN import'!G50=0,"",'HIDDEN import'!G50)</f>
        <v>Local Authorization - using RFID ISO14443 / RFID ISO15693 / KeyCode and + Does the Charging Station have a cable lock, which prevents the EV driver to connect the EV and EVSE before authorization?</v>
      </c>
      <c r="G50" s="181" t="str">
        <f>IFERROR(VLOOKUP($A50,'HIDDEN Testrun Results'!$A:$B,2,FALSE),"")</f>
        <v/>
      </c>
      <c r="H50" s="11" t="b">
        <f t="shared" si="0"/>
        <v>1</v>
      </c>
      <c r="I50" s="11" t="b">
        <f>IF(VLOOKUP(A50&amp;" "&amp;B50,'HIDDEN import'!A:G,5,FALSE)="M",TRUE,IFERROR(VLOOKUP(E50,'Optional features'!B:D,3,FALSE)="Yes",IFERROR(VLOOKUP(E50,'HIDDEN calc sheet'!A:B,2,FALSE),IFERROR(VLOOKUP(E50,'Additional questions'!B:D,3,FALSE)="Yes",VLOOKUP(E50,'Hardware Feature set'!B:D,3,FALSE)="No"))))</f>
        <v>1</v>
      </c>
      <c r="J50" s="11" t="b">
        <f>IF(VLOOKUP(B50,'Profile selection'!B:C,2,FALSE)="Yes",TRUE,FALSE)</f>
        <v>1</v>
      </c>
      <c r="K50" s="53"/>
      <c r="L50" s="53"/>
    </row>
    <row r="51" spans="1:12" ht="15.75" customHeight="1" x14ac:dyDescent="0.25">
      <c r="A51" t="str">
        <f>'HIDDEN import'!B51</f>
        <v>TC_C_06_CS</v>
      </c>
      <c r="B51" t="str">
        <f>'HIDDEN import'!C51</f>
        <v>Core</v>
      </c>
      <c r="C51" t="str">
        <f>'HIDDEN import'!D51</f>
        <v>Local start transaction - Authorization Blocked</v>
      </c>
      <c r="D51" t="str">
        <f>IF(VLOOKUP(A51&amp;" "&amp;B51,'HIDDEN import'!A:G,5,FALSE)="M",MD!$A$1,(IF(AND(VLOOKUP(A51,'HIDDEN import'!B:E,4,FALSE)="C",OR(NOT(ISERROR(VLOOKUP(E51,'Optional features'!B:D,1,FALSE)=E51)),NOT(ISERROR(VLOOKUP(E51,'HIDDEN calc sheet'!A:C,1,FALSE)=E51)))),MD!$A$3,MD!$A$2)))</f>
        <v>Mandatory for optional feature</v>
      </c>
      <c r="E51" t="str">
        <f>IF('HIDDEN import'!F51=0,"",'HIDDEN import'!F51)</f>
        <v>NOT AQ-2 and (C-30 or C-31 or C-32)</v>
      </c>
      <c r="F51" t="str">
        <f>IF('HIDDEN import'!G51=0,"",'HIDDEN import'!G51)</f>
        <v>Local Authorization - using RFID ISO14443 / RFID ISO15693 / KeyCode</v>
      </c>
      <c r="G51" s="181" t="str">
        <f>IFERROR(VLOOKUP($A51,'HIDDEN Testrun Results'!$A:$B,2,FALSE),"")</f>
        <v/>
      </c>
      <c r="H51" s="11" t="b">
        <f t="shared" si="0"/>
        <v>1</v>
      </c>
      <c r="I51" s="11" t="b">
        <f>IF(VLOOKUP(A51&amp;" "&amp;B51,'HIDDEN import'!A:G,5,FALSE)="M",TRUE,IFERROR(VLOOKUP(E51,'Optional features'!B:D,3,FALSE)="Yes",IFERROR(VLOOKUP(E51,'HIDDEN calc sheet'!A:B,2,FALSE),IFERROR(VLOOKUP(E51,'Additional questions'!B:D,3,FALSE)="Yes",VLOOKUP(E51,'Hardware Feature set'!B:D,3,FALSE)="No"))))</f>
        <v>1</v>
      </c>
      <c r="J51" s="11" t="b">
        <f>IF(VLOOKUP(B51,'Profile selection'!B:C,2,FALSE)="Yes",TRUE,FALSE)</f>
        <v>1</v>
      </c>
      <c r="K51" s="53"/>
      <c r="L51" s="53"/>
    </row>
    <row r="52" spans="1:12" ht="15.75" customHeight="1" x14ac:dyDescent="0.25">
      <c r="A52" t="str">
        <f>'HIDDEN import'!B52</f>
        <v>TC_C_07_CS</v>
      </c>
      <c r="B52" t="str">
        <f>'HIDDEN import'!C52</f>
        <v>Core</v>
      </c>
      <c r="C52" t="str">
        <f>'HIDDEN import'!D52</f>
        <v>Local start transaction - Authorization Expired</v>
      </c>
      <c r="D52" t="str">
        <f>IF(VLOOKUP(A52&amp;" "&amp;B52,'HIDDEN import'!A:G,5,FALSE)="M",MD!$A$1,(IF(AND(VLOOKUP(A52,'HIDDEN import'!B:E,4,FALSE)="C",OR(NOT(ISERROR(VLOOKUP(E52,'Optional features'!B:D,1,FALSE)=E52)),NOT(ISERROR(VLOOKUP(E52,'HIDDEN calc sheet'!A:C,1,FALSE)=E52)))),MD!$A$3,MD!$A$2)))</f>
        <v>Mandatory for optional feature</v>
      </c>
      <c r="E52" t="str">
        <f>IF('HIDDEN import'!F52=0,"",'HIDDEN import'!F52)</f>
        <v>NOT AQ-2 and (C-30 or C-31 or C-32)</v>
      </c>
      <c r="F52" t="str">
        <f>IF('HIDDEN import'!G52=0,"",'HIDDEN import'!G52)</f>
        <v>Local Authorization - using RFID ISO14443 / RFID ISO15693 / KeyCode</v>
      </c>
      <c r="G52" s="181" t="str">
        <f>IFERROR(VLOOKUP($A52,'HIDDEN Testrun Results'!$A:$B,2,FALSE),"")</f>
        <v/>
      </c>
      <c r="H52" s="11" t="b">
        <f t="shared" si="0"/>
        <v>1</v>
      </c>
      <c r="I52" s="11" t="b">
        <f>IF(VLOOKUP(A52&amp;" "&amp;B52,'HIDDEN import'!A:G,5,FALSE)="M",TRUE,IFERROR(VLOOKUP(E52,'Optional features'!B:D,3,FALSE)="Yes",IFERROR(VLOOKUP(E52,'HIDDEN calc sheet'!A:B,2,FALSE),IFERROR(VLOOKUP(E52,'Additional questions'!B:D,3,FALSE)="Yes",VLOOKUP(E52,'Hardware Feature set'!B:D,3,FALSE)="No"))))</f>
        <v>1</v>
      </c>
      <c r="J52" s="11" t="b">
        <f>IF(VLOOKUP(B52,'Profile selection'!B:C,2,FALSE)="Yes",TRUE,FALSE)</f>
        <v>1</v>
      </c>
      <c r="K52" s="53"/>
      <c r="L52" s="53"/>
    </row>
    <row r="53" spans="1:12" ht="15.75" customHeight="1" x14ac:dyDescent="0.25">
      <c r="A53" t="str">
        <f>'HIDDEN import'!B53</f>
        <v>TC_E_38_CS</v>
      </c>
      <c r="B53" t="str">
        <f>'HIDDEN import'!C53</f>
        <v>Core</v>
      </c>
      <c r="C53" t="str">
        <f>'HIDDEN import'!D53</f>
        <v>Local start transaction - EV not ready</v>
      </c>
      <c r="D53" t="str">
        <f>IF(VLOOKUP(A53&amp;" "&amp;B53,'HIDDEN import'!A:G,5,FALSE)="M",MD!$A$1,(IF(AND(VLOOKUP(A53,'HIDDEN import'!B:E,4,FALSE)="C",OR(NOT(ISERROR(VLOOKUP(E53,'Optional features'!B:D,1,FALSE)=E53)),NOT(ISERROR(VLOOKUP(E53,'HIDDEN calc sheet'!A:C,1,FALSE)=E53)))),MD!$A$3,MD!$A$2)))</f>
        <v>Mandatory for optional feature</v>
      </c>
      <c r="E53" t="str">
        <f>IF('HIDDEN import'!F53=0,"",'HIDDEN import'!F53)</f>
        <v>NOT C-09.5 and NOT Product Subtype "Mode 1/2-only Charging Station"</v>
      </c>
      <c r="F53" t="str">
        <f>IF('HIDDEN import'!G53=0,"",'HIDDEN import'!G53)</f>
        <v>Start transaction options - EnergyTransfer</v>
      </c>
      <c r="G53" s="181" t="str">
        <f>IFERROR(VLOOKUP($A53,'HIDDEN Testrun Results'!$A:$B,2,FALSE),"")</f>
        <v/>
      </c>
      <c r="H53" s="11" t="b">
        <f t="shared" si="0"/>
        <v>1</v>
      </c>
      <c r="I53" s="11" t="b">
        <f>IF(VLOOKUP(A53&amp;" "&amp;B53,'HIDDEN import'!A:G,5,FALSE)="M",TRUE,IFERROR(VLOOKUP(E53,'Optional features'!B:D,3,FALSE)="Yes",IFERROR(VLOOKUP(E53,'HIDDEN calc sheet'!A:B,2,FALSE),IFERROR(VLOOKUP(E53,'Additional questions'!B:D,3,FALSE)="Yes",VLOOKUP(E53,'Hardware Feature set'!B:D,3,FALSE)="No"))))</f>
        <v>1</v>
      </c>
      <c r="J53" s="11" t="b">
        <f>IF(VLOOKUP(B53,'Profile selection'!B:C,2,FALSE)="Yes",TRUE,FALSE)</f>
        <v>1</v>
      </c>
      <c r="K53" s="53"/>
      <c r="L53" s="53"/>
    </row>
    <row r="54" spans="1:12" ht="15.75" customHeight="1" x14ac:dyDescent="0.25">
      <c r="A54" t="str">
        <f>'HIDDEN import'!B54</f>
        <v>TC_C_56_CS</v>
      </c>
      <c r="B54" t="str">
        <f>'HIDDEN import'!C54</f>
        <v>Core</v>
      </c>
      <c r="C54" t="str">
        <f>'HIDDEN import'!D54</f>
        <v>Local start transaction - Authorization Unknown</v>
      </c>
      <c r="D54" t="str">
        <f>IF(VLOOKUP(A54&amp;" "&amp;B54,'HIDDEN import'!A:G,5,FALSE)="M",MD!$A$1,(IF(AND(VLOOKUP(A54,'HIDDEN import'!B:E,4,FALSE)="C",OR(NOT(ISERROR(VLOOKUP(E54,'Optional features'!B:D,1,FALSE)=E54)),NOT(ISERROR(VLOOKUP(E54,'HIDDEN calc sheet'!A:C,1,FALSE)=E54)))),MD!$A$3,MD!$A$2)))</f>
        <v>Mandatory for optional feature</v>
      </c>
      <c r="E54" t="str">
        <f>IF('HIDDEN import'!F54=0,"",'HIDDEN import'!F54)</f>
        <v>C-30 or C-31 or C-32</v>
      </c>
      <c r="F54" t="str">
        <f>IF('HIDDEN import'!G54=0,"",'HIDDEN import'!G54)</f>
        <v>Local Authorization - using RFID ISO14443 / RFID ISO15693 / KeyCode</v>
      </c>
      <c r="G54" s="181" t="str">
        <f>IFERROR(VLOOKUP($A54,'HIDDEN Testrun Results'!$A:$B,2,FALSE),"")</f>
        <v/>
      </c>
      <c r="H54" s="11" t="b">
        <f t="shared" si="0"/>
        <v>1</v>
      </c>
      <c r="I54" s="11" t="b">
        <f>IF(VLOOKUP(A54&amp;" "&amp;B54,'HIDDEN import'!A:G,5,FALSE)="M",TRUE,IFERROR(VLOOKUP(E54,'Optional features'!B:D,3,FALSE)="Yes",IFERROR(VLOOKUP(E54,'HIDDEN calc sheet'!A:B,2,FALSE),IFERROR(VLOOKUP(E54,'Additional questions'!B:D,3,FALSE)="Yes",VLOOKUP(E54,'Hardware Feature set'!B:D,3,FALSE)="No"))))</f>
        <v>1</v>
      </c>
      <c r="J54" s="11" t="b">
        <f>IF(VLOOKUP(B54,'Profile selection'!B:C,2,FALSE)="Yes",TRUE,FALSE)</f>
        <v>1</v>
      </c>
      <c r="K54" s="53"/>
      <c r="L54" s="53"/>
    </row>
    <row r="55" spans="1:12" ht="15.75" customHeight="1" x14ac:dyDescent="0.25">
      <c r="A55" t="str">
        <f>'HIDDEN import'!B55</f>
        <v>TC_C_05_CS</v>
      </c>
      <c r="B55" t="str">
        <f>'HIDDEN import'!C55</f>
        <v>Core</v>
      </c>
      <c r="C55" t="str">
        <f>'HIDDEN import'!D55</f>
        <v>Local start transaction - Authorization invalid - Cable lock</v>
      </c>
      <c r="D55" t="str">
        <f>IF(VLOOKUP(A55&amp;" "&amp;B55,'HIDDEN import'!A:G,5,FALSE)="M",MD!$A$1,(IF(AND(VLOOKUP(A55,'HIDDEN import'!B:E,4,FALSE)="C",OR(NOT(ISERROR(VLOOKUP(E55,'Optional features'!B:D,1,FALSE)=E55)),NOT(ISERROR(VLOOKUP(E55,'HIDDEN calc sheet'!A:C,1,FALSE)=E55)))),MD!$A$3,MD!$A$2)))</f>
        <v>Mandatory for optional feature</v>
      </c>
      <c r="E55" t="str">
        <f>IF('HIDDEN import'!F55=0,"",'HIDDEN import'!F55)</f>
        <v>(C-30 or C-31 or C-32) and AQ-2</v>
      </c>
      <c r="F55" t="str">
        <f>IF('HIDDEN import'!G55=0,"",'HIDDEN import'!G55)</f>
        <v>Local Authorization - using RFID ISO14443 / RFID ISO15693 / KeyCode</v>
      </c>
      <c r="G55" s="181" t="str">
        <f>IFERROR(VLOOKUP($A55,'HIDDEN Testrun Results'!$A:$B,2,FALSE),"")</f>
        <v/>
      </c>
      <c r="H55" s="11" t="b">
        <f t="shared" si="0"/>
        <v>0</v>
      </c>
      <c r="I55" s="11" t="b">
        <f>IF(VLOOKUP(A55&amp;" "&amp;B55,'HIDDEN import'!A:G,5,FALSE)="M",TRUE,IFERROR(VLOOKUP(E55,'Optional features'!B:D,3,FALSE)="Yes",IFERROR(VLOOKUP(E55,'HIDDEN calc sheet'!A:B,2,FALSE),IFERROR(VLOOKUP(E55,'Additional questions'!B:D,3,FALSE)="Yes",VLOOKUP(E55,'Hardware Feature set'!B:D,3,FALSE)="No"))))</f>
        <v>0</v>
      </c>
      <c r="J55" s="11" t="b">
        <f>IF(VLOOKUP(B55,'Profile selection'!B:C,2,FALSE)="Yes",TRUE,FALSE)</f>
        <v>1</v>
      </c>
      <c r="K55" s="53"/>
      <c r="L55" s="53"/>
    </row>
    <row r="56" spans="1:12" ht="15.75" customHeight="1" x14ac:dyDescent="0.25">
      <c r="A56" t="str">
        <f>'HIDDEN import'!B56</f>
        <v>TC_C_04_CS</v>
      </c>
      <c r="B56" t="str">
        <f>'HIDDEN import'!C56</f>
        <v>Core</v>
      </c>
      <c r="C56" t="str">
        <f>'HIDDEN import'!D56</f>
        <v>Local Stop Transaction - Different idToken</v>
      </c>
      <c r="D56" t="str">
        <f>IF(VLOOKUP(A56&amp;" "&amp;B56,'HIDDEN import'!A:G,5,FALSE)="M",MD!$A$1,(IF(AND(VLOOKUP(A56,'HIDDEN import'!B:E,4,FALSE)="C",OR(NOT(ISERROR(VLOOKUP(E56,'Optional features'!B:D,1,FALSE)=E56)),NOT(ISERROR(VLOOKUP(E56,'HIDDEN calc sheet'!A:C,1,FALSE)=E56)))),MD!$A$3,MD!$A$2)))</f>
        <v>Mandatory for optional feature</v>
      </c>
      <c r="E56" t="str">
        <f>IF('HIDDEN import'!F56=0,"",'HIDDEN import'!F56)</f>
        <v>C-30 or C-31 or C-32</v>
      </c>
      <c r="F56" t="str">
        <f>IF('HIDDEN import'!G56=0,"",'HIDDEN import'!G56)</f>
        <v>Local Authorization - using RFID ISO14443 / RFID ISO15693 / KeyCode</v>
      </c>
      <c r="G56" s="181" t="str">
        <f>IFERROR(VLOOKUP($A56,'HIDDEN Testrun Results'!$A:$B,2,FALSE),"")</f>
        <v/>
      </c>
      <c r="H56" s="11" t="b">
        <f t="shared" si="0"/>
        <v>1</v>
      </c>
      <c r="I56" s="11" t="b">
        <f>IF(VLOOKUP(A56&amp;" "&amp;B56,'HIDDEN import'!A:G,5,FALSE)="M",TRUE,IFERROR(VLOOKUP(E56,'Optional features'!B:D,3,FALSE)="Yes",IFERROR(VLOOKUP(E56,'HIDDEN calc sheet'!A:B,2,FALSE),IFERROR(VLOOKUP(E56,'Additional questions'!B:D,3,FALSE)="Yes",VLOOKUP(E56,'Hardware Feature set'!B:D,3,FALSE)="No"))))</f>
        <v>1</v>
      </c>
      <c r="J56" s="11" t="b">
        <f>IF(VLOOKUP(B56,'Profile selection'!B:C,2,FALSE)="Yes",TRUE,FALSE)</f>
        <v>1</v>
      </c>
      <c r="K56" s="53"/>
      <c r="L56" s="53"/>
    </row>
    <row r="57" spans="1:12" ht="15.75" customHeight="1" x14ac:dyDescent="0.25">
      <c r="A57" t="str">
        <f>'HIDDEN import'!B57</f>
        <v>TC_E_06_CS</v>
      </c>
      <c r="B57" t="str">
        <f>'HIDDEN import'!C57</f>
        <v>Core</v>
      </c>
      <c r="C57" t="str">
        <f>'HIDDEN import'!D57</f>
        <v>Local Stop Transaction - Accepted</v>
      </c>
      <c r="D57" t="str">
        <f>IF(VLOOKUP(A57&amp;" "&amp;B57,'HIDDEN import'!A:G,5,FALSE)="M",MD!$A$1,(IF(AND(VLOOKUP(A57,'HIDDEN import'!B:E,4,FALSE)="C",OR(NOT(ISERROR(VLOOKUP(E57,'Optional features'!B:D,1,FALSE)=E57)),NOT(ISERROR(VLOOKUP(E57,'HIDDEN calc sheet'!A:C,1,FALSE)=E57)))),MD!$A$3,MD!$A$2)))</f>
        <v>Mandatory for optional feature</v>
      </c>
      <c r="E57" t="str">
        <f>IF('HIDDEN import'!F57=0,"",'HIDDEN import'!F57)</f>
        <v>C-30 or C-31 or C-32 or C35</v>
      </c>
      <c r="F57" t="str">
        <f>IF('HIDDEN import'!G57=0,"",'HIDDEN import'!G57)</f>
        <v>Local Authorization - using RFID ISO14443 / RFID ISO15693 / KeyCode / NoAuthorization</v>
      </c>
      <c r="G57" s="181" t="str">
        <f>IFERROR(VLOOKUP($A57,'HIDDEN Testrun Results'!$A:$B,2,FALSE),"")</f>
        <v/>
      </c>
      <c r="H57" s="11" t="b">
        <f t="shared" si="0"/>
        <v>1</v>
      </c>
      <c r="I57" s="11" t="b">
        <f>IF(VLOOKUP(A57&amp;" "&amp;B57,'HIDDEN import'!A:G,5,FALSE)="M",TRUE,IFERROR(VLOOKUP(E57,'Optional features'!B:D,3,FALSE)="Yes",IFERROR(VLOOKUP(E57,'HIDDEN calc sheet'!A:B,2,FALSE),IFERROR(VLOOKUP(E57,'Additional questions'!B:D,3,FALSE)="Yes",VLOOKUP(E57,'Hardware Feature set'!B:D,3,FALSE)="No"))))</f>
        <v>1</v>
      </c>
      <c r="J57" s="11" t="b">
        <f>IF(VLOOKUP(B57,'Profile selection'!B:C,2,FALSE)="Yes",TRUE,FALSE)</f>
        <v>1</v>
      </c>
      <c r="K57" s="53"/>
      <c r="L57" s="53"/>
    </row>
    <row r="58" spans="1:12" ht="15.75" customHeight="1" x14ac:dyDescent="0.25">
      <c r="A58" t="str">
        <f>'HIDDEN import'!B58</f>
        <v>TC_C_39_CS</v>
      </c>
      <c r="B58" t="str">
        <f>'HIDDEN import'!C58</f>
        <v>Core</v>
      </c>
      <c r="C58" t="str">
        <f>'HIDDEN import'!D58</f>
        <v>Authorization by GroupId - Success</v>
      </c>
      <c r="D58" t="str">
        <f>IF(VLOOKUP(A58&amp;" "&amp;B58,'HIDDEN import'!A:G,5,FALSE)="M",MD!$A$1,(IF(AND(VLOOKUP(A58,'HIDDEN import'!B:E,4,FALSE)="C",OR(NOT(ISERROR(VLOOKUP(E58,'Optional features'!B:D,1,FALSE)=E58)),NOT(ISERROR(VLOOKUP(E58,'HIDDEN calc sheet'!A:C,1,FALSE)=E58)))),MD!$A$3,MD!$A$2)))</f>
        <v>Mandatory for optional feature</v>
      </c>
      <c r="E58" t="str">
        <f>IF('HIDDEN import'!F58=0,"",'HIDDEN import'!F58)</f>
        <v>C-30 or C-31 or C-32</v>
      </c>
      <c r="F58" t="str">
        <f>IF('HIDDEN import'!G58=0,"",'HIDDEN import'!G58)</f>
        <v>Local Authorization - using RFID ISO14443 / RFID ISO15693 / KeyCode</v>
      </c>
      <c r="G58" s="181" t="str">
        <f>IFERROR(VLOOKUP($A58,'HIDDEN Testrun Results'!$A:$B,2,FALSE),"")</f>
        <v/>
      </c>
      <c r="H58" s="11" t="b">
        <f t="shared" si="0"/>
        <v>1</v>
      </c>
      <c r="I58" s="11" t="b">
        <f>IF(VLOOKUP(A58&amp;" "&amp;B58,'HIDDEN import'!A:G,5,FALSE)="M",TRUE,IFERROR(VLOOKUP(E58,'Optional features'!B:D,3,FALSE)="Yes",IFERROR(VLOOKUP(E58,'HIDDEN calc sheet'!A:B,2,FALSE),IFERROR(VLOOKUP(E58,'Additional questions'!B:D,3,FALSE)="Yes",VLOOKUP(E58,'Hardware Feature set'!B:D,3,FALSE)="No"))))</f>
        <v>1</v>
      </c>
      <c r="J58" s="11" t="b">
        <f>IF(VLOOKUP(B58,'Profile selection'!B:C,2,FALSE)="Yes",TRUE,FALSE)</f>
        <v>1</v>
      </c>
      <c r="K58" s="53"/>
      <c r="L58" s="53"/>
    </row>
    <row r="59" spans="1:12" ht="15.75" customHeight="1" x14ac:dyDescent="0.25">
      <c r="A59" t="str">
        <f>'HIDDEN import'!B59</f>
        <v>TC_C_45_CS</v>
      </c>
      <c r="B59" t="str">
        <f>'HIDDEN import'!C59</f>
        <v>Core</v>
      </c>
      <c r="C59" t="str">
        <f>'HIDDEN import'!D59</f>
        <v>Authorization by GroupId - Master pass - Not able to start transaction + groupId</v>
      </c>
      <c r="D59" t="str">
        <f>IF(VLOOKUP(A59&amp;" "&amp;B59,'HIDDEN import'!A:G,5,FALSE)="M",MD!$A$1,(IF(AND(VLOOKUP(A59,'HIDDEN import'!B:E,4,FALSE)="C",OR(NOT(ISERROR(VLOOKUP(E59,'Optional features'!B:D,1,FALSE)=E59)),NOT(ISERROR(VLOOKUP(E59,'HIDDEN calc sheet'!A:C,1,FALSE)=E59)))),MD!$A$3,MD!$A$2)))</f>
        <v>Mandatory for optional feature</v>
      </c>
      <c r="E59" t="str">
        <f>IF('HIDDEN import'!F59=0,"",'HIDDEN import'!F59)</f>
        <v>(C-30 or C-31 or C-32) AND (C-07 OR C-08)</v>
      </c>
      <c r="F59" t="str">
        <f>IF('HIDDEN import'!G59=0,"",'HIDDEN import'!G59)</f>
        <v>Local Authorization - using RFID ISO14443 / RFID ISO15693 / KeyCode and Master Pass</v>
      </c>
      <c r="G59" s="181" t="str">
        <f>IFERROR(VLOOKUP($A59,'HIDDEN Testrun Results'!$A:$B,2,FALSE),"")</f>
        <v/>
      </c>
      <c r="H59" s="11" t="b">
        <f t="shared" si="0"/>
        <v>1</v>
      </c>
      <c r="I59" s="11" t="b">
        <f>IF(VLOOKUP(A59&amp;" "&amp;B59,'HIDDEN import'!A:G,5,FALSE)="M",TRUE,IFERROR(VLOOKUP(E59,'Optional features'!B:D,3,FALSE)="Yes",IFERROR(VLOOKUP(E59,'HIDDEN calc sheet'!A:B,2,FALSE),IFERROR(VLOOKUP(E59,'Additional questions'!B:D,3,FALSE)="Yes",VLOOKUP(E59,'Hardware Feature set'!B:D,3,FALSE)="No"))))</f>
        <v>1</v>
      </c>
      <c r="J59" s="11" t="b">
        <f>IF(VLOOKUP(B59,'Profile selection'!B:C,2,FALSE)="Yes",TRUE,FALSE)</f>
        <v>1</v>
      </c>
      <c r="K59" s="53"/>
      <c r="L59" s="53"/>
    </row>
    <row r="60" spans="1:12" ht="15.75" customHeight="1" x14ac:dyDescent="0.25">
      <c r="A60" t="str">
        <f>'HIDDEN import'!B60</f>
        <v>TC_C_42_CS</v>
      </c>
      <c r="B60" t="str">
        <f>'HIDDEN import'!C60</f>
        <v>Core</v>
      </c>
      <c r="C60" t="str">
        <f>'HIDDEN import'!D60</f>
        <v>Authorization by GroupId - Not stopped by GroupId</v>
      </c>
      <c r="D60" t="str">
        <f>IF(VLOOKUP(A60&amp;" "&amp;B60,'HIDDEN import'!A:G,5,FALSE)="M",MD!$A$1,(IF(AND(VLOOKUP(A60,'HIDDEN import'!B:E,4,FALSE)="C",OR(NOT(ISERROR(VLOOKUP(E60,'Optional features'!B:D,1,FALSE)=E60)),NOT(ISERROR(VLOOKUP(E60,'HIDDEN calc sheet'!A:C,1,FALSE)=E60)))),MD!$A$3,MD!$A$2)))</f>
        <v>Mandatory for optional feature</v>
      </c>
      <c r="E60" t="str">
        <f>IF('HIDDEN import'!F60=0,"",'HIDDEN import'!F60)</f>
        <v>C-30 or C-31 or C-32</v>
      </c>
      <c r="F60" t="str">
        <f>IF('HIDDEN import'!G60=0,"",'HIDDEN import'!G60)</f>
        <v>Local Authorization - using RFID ISO14443 / RFID ISO15693 / KeyCode</v>
      </c>
      <c r="G60" s="181" t="str">
        <f>IFERROR(VLOOKUP($A60,'HIDDEN Testrun Results'!$A:$B,2,FALSE),"")</f>
        <v/>
      </c>
      <c r="H60" s="11" t="b">
        <f t="shared" si="0"/>
        <v>1</v>
      </c>
      <c r="I60" s="11" t="b">
        <f>IF(VLOOKUP(A60&amp;" "&amp;B60,'HIDDEN import'!A:G,5,FALSE)="M",TRUE,IFERROR(VLOOKUP(E60,'Optional features'!B:D,3,FALSE)="Yes",IFERROR(VLOOKUP(E60,'HIDDEN calc sheet'!A:B,2,FALSE),IFERROR(VLOOKUP(E60,'Additional questions'!B:D,3,FALSE)="Yes",VLOOKUP(E60,'Hardware Feature set'!B:D,3,FALSE)="No"))))</f>
        <v>1</v>
      </c>
      <c r="J60" s="11" t="b">
        <f>IF(VLOOKUP(B60,'Profile selection'!B:C,2,FALSE)="Yes",TRUE,FALSE)</f>
        <v>1</v>
      </c>
      <c r="K60" s="53"/>
      <c r="L60" s="53"/>
    </row>
    <row r="61" spans="1:12" ht="15.75" customHeight="1" x14ac:dyDescent="0.25">
      <c r="A61" t="str">
        <f>'HIDDEN import'!B61</f>
        <v>TC_C_26_CS</v>
      </c>
      <c r="B61" t="str">
        <f>'HIDDEN import'!C61</f>
        <v>Core</v>
      </c>
      <c r="C61" t="str">
        <f>'HIDDEN import'!D61</f>
        <v>Offline Authorization - Unknown Id</v>
      </c>
      <c r="D61" t="str">
        <f>IF(VLOOKUP(A61&amp;" "&amp;B61,'HIDDEN import'!A:G,5,FALSE)="M",MD!$A$1,(IF(AND(VLOOKUP(A61,'HIDDEN import'!B:E,4,FALSE)="C",OR(NOT(ISERROR(VLOOKUP(E61,'Optional features'!B:D,1,FALSE)=E61)),NOT(ISERROR(VLOOKUP(E61,'HIDDEN calc sheet'!A:C,1,FALSE)=E61)))),MD!$A$3,MD!$A$2)))</f>
        <v>Mandatory for optional feature</v>
      </c>
      <c r="E61" t="str">
        <f>IF('HIDDEN import'!F61=0,"",'HIDDEN import'!F61)</f>
        <v>C-02 and (C-30 or C-31 or C-32)</v>
      </c>
      <c r="F61" t="str">
        <f>IF('HIDDEN import'!G61=0,"",'HIDDEN import'!G61)</f>
        <v>Unknown Offline Authorization</v>
      </c>
      <c r="G61" s="181" t="str">
        <f>IFERROR(VLOOKUP($A61,'HIDDEN Testrun Results'!$A:$B,2,FALSE),"")</f>
        <v/>
      </c>
      <c r="H61" s="11" t="b">
        <f t="shared" si="0"/>
        <v>0</v>
      </c>
      <c r="I61" s="11" t="b">
        <f>IF(VLOOKUP(A61&amp;" "&amp;B61,'HIDDEN import'!A:G,5,FALSE)="M",TRUE,IFERROR(VLOOKUP(E61,'Optional features'!B:D,3,FALSE)="Yes",IFERROR(VLOOKUP(E61,'HIDDEN calc sheet'!A:B,2,FALSE),IFERROR(VLOOKUP(E61,'Additional questions'!B:D,3,FALSE)="Yes",VLOOKUP(E61,'Hardware Feature set'!B:D,3,FALSE)="No"))))</f>
        <v>0</v>
      </c>
      <c r="J61" s="11" t="b">
        <f>IF(VLOOKUP(B61,'Profile selection'!B:C,2,FALSE)="Yes",TRUE,FALSE)</f>
        <v>1</v>
      </c>
      <c r="K61" s="53"/>
      <c r="L61" s="53"/>
    </row>
    <row r="62" spans="1:12" ht="15.75" customHeight="1" x14ac:dyDescent="0.25">
      <c r="A62" t="str">
        <f>'HIDDEN import'!B62</f>
        <v>TC_C_47_CS</v>
      </c>
      <c r="B62" t="str">
        <f>'HIDDEN import'!C62</f>
        <v>Core</v>
      </c>
      <c r="C62" t="str">
        <f>'HIDDEN import'!D62</f>
        <v>Stop Transaction with a Master Pass - With UI - All transactions</v>
      </c>
      <c r="D62" t="str">
        <f>IF(VLOOKUP(A62&amp;" "&amp;B62,'HIDDEN import'!A:G,5,FALSE)="M",MD!$A$1,(IF(AND(VLOOKUP(A62,'HIDDEN import'!B:E,4,FALSE)="C",OR(NOT(ISERROR(VLOOKUP(E62,'Optional features'!B:D,1,FALSE)=E62)),NOT(ISERROR(VLOOKUP(E62,'HIDDEN calc sheet'!A:C,1,FALSE)=E62)))),MD!$A$3,MD!$A$2)))</f>
        <v>Mandatory for optional feature</v>
      </c>
      <c r="E62" t="str">
        <f>IF('HIDDEN import'!F62=0,"",'HIDDEN import'!F62)</f>
        <v>C-07 and (C-30 or C-31 or C-32)</v>
      </c>
      <c r="F62" t="str">
        <f>IF('HIDDEN import'!G62=0,"",'HIDDEN import'!G62)</f>
        <v>Master Pass - With UI</v>
      </c>
      <c r="G62" s="181" t="str">
        <f>IFERROR(VLOOKUP($A62,'HIDDEN Testrun Results'!$A:$B,2,FALSE),"")</f>
        <v/>
      </c>
      <c r="H62" s="11" t="b">
        <f t="shared" si="0"/>
        <v>1</v>
      </c>
      <c r="I62" s="11" t="b">
        <f>IF(VLOOKUP(A62&amp;" "&amp;B62,'HIDDEN import'!A:G,5,FALSE)="M",TRUE,IFERROR(VLOOKUP(E62,'Optional features'!B:D,3,FALSE)="Yes",IFERROR(VLOOKUP(E62,'HIDDEN calc sheet'!A:B,2,FALSE),IFERROR(VLOOKUP(E62,'Additional questions'!B:D,3,FALSE)="Yes",VLOOKUP(E62,'Hardware Feature set'!B:D,3,FALSE)="No"))))</f>
        <v>1</v>
      </c>
      <c r="J62" s="11" t="b">
        <f>IF(VLOOKUP(B62,'Profile selection'!B:C,2,FALSE)="Yes",TRUE,FALSE)</f>
        <v>1</v>
      </c>
      <c r="K62" s="53"/>
      <c r="L62" s="53"/>
    </row>
    <row r="63" spans="1:12" ht="15.75" customHeight="1" x14ac:dyDescent="0.25">
      <c r="A63" t="str">
        <f>'HIDDEN import'!B63</f>
        <v>TC_C_48_CS</v>
      </c>
      <c r="B63" t="str">
        <f>'HIDDEN import'!C63</f>
        <v>Core</v>
      </c>
      <c r="C63" t="str">
        <f>'HIDDEN import'!D63</f>
        <v>Stop Transaction with a Master Pass - With UI - With UI - Specific transactions</v>
      </c>
      <c r="D63" t="str">
        <f>IF(VLOOKUP(A63&amp;" "&amp;B63,'HIDDEN import'!A:G,5,FALSE)="M",MD!$A$1,(IF(AND(VLOOKUP(A63,'HIDDEN import'!B:E,4,FALSE)="C",OR(NOT(ISERROR(VLOOKUP(E63,'Optional features'!B:D,1,FALSE)=E63)),NOT(ISERROR(VLOOKUP(E63,'HIDDEN calc sheet'!A:C,1,FALSE)=E63)))),MD!$A$3,MD!$A$2)))</f>
        <v>Mandatory for optional feature</v>
      </c>
      <c r="E63" t="str">
        <f>IF('HIDDEN import'!F63=0,"",'HIDDEN import'!F63)</f>
        <v>C-07 and (C-30 or C-31 or C-32)</v>
      </c>
      <c r="F63" t="str">
        <f>IF('HIDDEN import'!G63=0,"",'HIDDEN import'!G63)</f>
        <v>Master Pass - With UI</v>
      </c>
      <c r="G63" s="181" t="str">
        <f>IFERROR(VLOOKUP($A63,'HIDDEN Testrun Results'!$A:$B,2,FALSE),"")</f>
        <v/>
      </c>
      <c r="H63" s="11" t="b">
        <f t="shared" si="0"/>
        <v>1</v>
      </c>
      <c r="I63" s="11" t="b">
        <f>IF(VLOOKUP(A63&amp;" "&amp;B63,'HIDDEN import'!A:G,5,FALSE)="M",TRUE,IFERROR(VLOOKUP(E63,'Optional features'!B:D,3,FALSE)="Yes",IFERROR(VLOOKUP(E63,'HIDDEN calc sheet'!A:B,2,FALSE),IFERROR(VLOOKUP(E63,'Additional questions'!B:D,3,FALSE)="Yes",VLOOKUP(E63,'Hardware Feature set'!B:D,3,FALSE)="No"))))</f>
        <v>1</v>
      </c>
      <c r="J63" s="11" t="b">
        <f>IF(VLOOKUP(B63,'Profile selection'!B:C,2,FALSE)="Yes",TRUE,FALSE)</f>
        <v>1</v>
      </c>
      <c r="K63" s="53"/>
      <c r="L63" s="53"/>
    </row>
    <row r="64" spans="1:12" ht="15.75" customHeight="1" x14ac:dyDescent="0.25">
      <c r="A64" t="str">
        <f>'HIDDEN import'!B64</f>
        <v>TC_C_49_CS</v>
      </c>
      <c r="B64" t="str">
        <f>'HIDDEN import'!C64</f>
        <v>Core</v>
      </c>
      <c r="C64" t="str">
        <f>'HIDDEN import'!D64</f>
        <v>Stop Transaction with a Master Pass - Without UI</v>
      </c>
      <c r="D64" t="str">
        <f>IF(VLOOKUP(A64&amp;" "&amp;B64,'HIDDEN import'!A:G,5,FALSE)="M",MD!$A$1,(IF(AND(VLOOKUP(A64,'HIDDEN import'!B:E,4,FALSE)="C",OR(NOT(ISERROR(VLOOKUP(E64,'Optional features'!B:D,1,FALSE)=E64)),NOT(ISERROR(VLOOKUP(E64,'HIDDEN calc sheet'!A:C,1,FALSE)=E64)))),MD!$A$3,MD!$A$2)))</f>
        <v>Mandatory for optional feature</v>
      </c>
      <c r="E64" t="str">
        <f>IF('HIDDEN import'!F64=0,"",'HIDDEN import'!F64)</f>
        <v>C-08 and (C-30 or C-31 or C-32)</v>
      </c>
      <c r="F64" t="str">
        <f>IF('HIDDEN import'!G64=0,"",'HIDDEN import'!G64)</f>
        <v>Master Pass - Without UI</v>
      </c>
      <c r="G64" s="181" t="str">
        <f>IFERROR(VLOOKUP($A64,'HIDDEN Testrun Results'!$A:$B,2,FALSE),"")</f>
        <v/>
      </c>
      <c r="H64" s="11" t="b">
        <f t="shared" si="0"/>
        <v>0</v>
      </c>
      <c r="I64" s="11" t="b">
        <f>IF(VLOOKUP(A64&amp;" "&amp;B64,'HIDDEN import'!A:G,5,FALSE)="M",TRUE,IFERROR(VLOOKUP(E64,'Optional features'!B:D,3,FALSE)="Yes",IFERROR(VLOOKUP(E64,'HIDDEN calc sheet'!A:B,2,FALSE),IFERROR(VLOOKUP(E64,'Additional questions'!B:D,3,FALSE)="Yes",VLOOKUP(E64,'Hardware Feature set'!B:D,3,FALSE)="No"))))</f>
        <v>0</v>
      </c>
      <c r="J64" s="11" t="b">
        <f>IF(VLOOKUP(B64,'Profile selection'!B:C,2,FALSE)="Yes",TRUE,FALSE)</f>
        <v>1</v>
      </c>
      <c r="K64" s="53"/>
      <c r="L64" s="53"/>
    </row>
    <row r="65" spans="1:12" ht="15.75" customHeight="1" x14ac:dyDescent="0.25">
      <c r="A65" t="str">
        <f>'HIDDEN import'!B65</f>
        <v>TC_C_32_CS</v>
      </c>
      <c r="B65" t="str">
        <f>'HIDDEN import'!C65</f>
        <v>Core</v>
      </c>
      <c r="C65" t="str">
        <f>'HIDDEN import'!D65</f>
        <v>Store Authorization Data in the Authorization Cache - Persistent over reboot</v>
      </c>
      <c r="D65" t="str">
        <f>IF(VLOOKUP(A65&amp;" "&amp;B65,'HIDDEN import'!A:G,5,FALSE)="M",MD!$A$1,(IF(AND(VLOOKUP(A65,'HIDDEN import'!B:E,4,FALSE)="C",OR(NOT(ISERROR(VLOOKUP(E65,'Optional features'!B:D,1,FALSE)=E65)),NOT(ISERROR(VLOOKUP(E65,'HIDDEN calc sheet'!A:C,1,FALSE)=E65)))),MD!$A$3,MD!$A$2)))</f>
        <v>Mandatory for optional feature</v>
      </c>
      <c r="E65" t="str">
        <f>IF('HIDDEN import'!F65=0,"",'HIDDEN import'!F65)</f>
        <v>C-49 and (C-30 or C-31 or C-32)</v>
      </c>
      <c r="F65" t="str">
        <f>IF('HIDDEN import'!G65=0,"",'HIDDEN import'!G65)</f>
        <v>Authorization Cache</v>
      </c>
      <c r="G65" s="181" t="str">
        <f>IFERROR(VLOOKUP($A65,'HIDDEN Testrun Results'!$A:$B,2,FALSE),"")</f>
        <v/>
      </c>
      <c r="H65" s="11" t="b">
        <f t="shared" si="0"/>
        <v>1</v>
      </c>
      <c r="I65" s="11" t="b">
        <f>IF(VLOOKUP(A65&amp;" "&amp;B65,'HIDDEN import'!A:G,5,FALSE)="M",TRUE,IFERROR(VLOOKUP(E65,'Optional features'!B:D,3,FALSE)="Yes",IFERROR(VLOOKUP(E65,'HIDDEN calc sheet'!A:B,2,FALSE),IFERROR(VLOOKUP(E65,'Additional questions'!B:D,3,FALSE)="Yes",VLOOKUP(E65,'Hardware Feature set'!B:D,3,FALSE)="No"))))</f>
        <v>1</v>
      </c>
      <c r="J65" s="11" t="b">
        <f>IF(VLOOKUP(B65,'Profile selection'!B:C,2,FALSE)="Yes",TRUE,FALSE)</f>
        <v>1</v>
      </c>
      <c r="K65" s="53"/>
      <c r="L65" s="53"/>
    </row>
    <row r="66" spans="1:12" ht="15.75" customHeight="1" x14ac:dyDescent="0.25">
      <c r="A66" t="str">
        <f>'HIDDEN import'!B66</f>
        <v>TC_C_33_CS</v>
      </c>
      <c r="B66" t="str">
        <f>'HIDDEN import'!C66</f>
        <v>Core</v>
      </c>
      <c r="C66" t="str">
        <f>'HIDDEN import'!D66</f>
        <v>Store Authorization Data in the Authorization Cache - Update on AuthorizeResponse</v>
      </c>
      <c r="D66" t="str">
        <f>IF(VLOOKUP(A66&amp;" "&amp;B66,'HIDDEN import'!A:G,5,FALSE)="M",MD!$A$1,(IF(AND(VLOOKUP(A66,'HIDDEN import'!B:E,4,FALSE)="C",OR(NOT(ISERROR(VLOOKUP(E66,'Optional features'!B:D,1,FALSE)=E66)),NOT(ISERROR(VLOOKUP(E66,'HIDDEN calc sheet'!A:C,1,FALSE)=E66)))),MD!$A$3,MD!$A$2)))</f>
        <v>Mandatory for optional feature</v>
      </c>
      <c r="E66" t="str">
        <f>IF('HIDDEN import'!F66=0,"",'HIDDEN import'!F66)</f>
        <v>C-49 and (C-30 or C-31 or C-32)</v>
      </c>
      <c r="F66" t="str">
        <f>IF('HIDDEN import'!G66=0,"",'HIDDEN import'!G66)</f>
        <v>Authorization Cache</v>
      </c>
      <c r="G66" s="181" t="str">
        <f>IFERROR(VLOOKUP($A66,'HIDDEN Testrun Results'!$A:$B,2,FALSE),"")</f>
        <v/>
      </c>
      <c r="H66" s="11" t="b">
        <f t="shared" si="0"/>
        <v>1</v>
      </c>
      <c r="I66" s="11" t="b">
        <f>IF(VLOOKUP(A66&amp;" "&amp;B66,'HIDDEN import'!A:G,5,FALSE)="M",TRUE,IFERROR(VLOOKUP(E66,'Optional features'!B:D,3,FALSE)="Yes",IFERROR(VLOOKUP(E66,'HIDDEN calc sheet'!A:B,2,FALSE),IFERROR(VLOOKUP(E66,'Additional questions'!B:D,3,FALSE)="Yes",VLOOKUP(E66,'Hardware Feature set'!B:D,3,FALSE)="No"))))</f>
        <v>1</v>
      </c>
      <c r="J66" s="11" t="b">
        <f>IF(VLOOKUP(B66,'Profile selection'!B:C,2,FALSE)="Yes",TRUE,FALSE)</f>
        <v>1</v>
      </c>
      <c r="K66" s="53"/>
      <c r="L66" s="53"/>
    </row>
    <row r="67" spans="1:12" ht="15.75" customHeight="1" x14ac:dyDescent="0.25">
      <c r="A67" t="str">
        <f>'HIDDEN import'!B67</f>
        <v>TC_C_34_CS</v>
      </c>
      <c r="B67" t="str">
        <f>'HIDDEN import'!C67</f>
        <v>Core</v>
      </c>
      <c r="C67" t="str">
        <f>'HIDDEN import'!D67</f>
        <v>Store Authorization Data in the Authorization Cache - Update on TransactionResponse</v>
      </c>
      <c r="D67" t="str">
        <f>IF(VLOOKUP(A67&amp;" "&amp;B67,'HIDDEN import'!A:G,5,FALSE)="M",MD!$A$1,(IF(AND(VLOOKUP(A67,'HIDDEN import'!B:E,4,FALSE)="C",OR(NOT(ISERROR(VLOOKUP(E67,'Optional features'!B:D,1,FALSE)=E67)),NOT(ISERROR(VLOOKUP(E67,'HIDDEN calc sheet'!A:C,1,FALSE)=E67)))),MD!$A$3,MD!$A$2)))</f>
        <v>Mandatory for optional feature</v>
      </c>
      <c r="E67" t="str">
        <f>IF('HIDDEN import'!F67=0,"",'HIDDEN import'!F67)</f>
        <v>C-49 and (C-30 or C-31 or C-32)</v>
      </c>
      <c r="F67" t="str">
        <f>IF('HIDDEN import'!G67=0,"",'HIDDEN import'!G67)</f>
        <v>Authorization Cache</v>
      </c>
      <c r="G67" s="181" t="str">
        <f>IFERROR(VLOOKUP($A67,'HIDDEN Testrun Results'!$A:$B,2,FALSE),"")</f>
        <v/>
      </c>
      <c r="H67" s="11" t="b">
        <f t="shared" ref="H67:H130" si="1">IF(NOT(J67),FALSE,IF(NOT(ISLOGICAL(I67)),I67,AND(I67,J67)))</f>
        <v>1</v>
      </c>
      <c r="I67" s="11" t="b">
        <f>IF(VLOOKUP(A67&amp;" "&amp;B67,'HIDDEN import'!A:G,5,FALSE)="M",TRUE,IFERROR(VLOOKUP(E67,'Optional features'!B:D,3,FALSE)="Yes",IFERROR(VLOOKUP(E67,'HIDDEN calc sheet'!A:B,2,FALSE),IFERROR(VLOOKUP(E67,'Additional questions'!B:D,3,FALSE)="Yes",VLOOKUP(E67,'Hardware Feature set'!B:D,3,FALSE)="No"))))</f>
        <v>1</v>
      </c>
      <c r="J67" s="11" t="b">
        <f>IF(VLOOKUP(B67,'Profile selection'!B:C,2,FALSE)="Yes",TRUE,FALSE)</f>
        <v>1</v>
      </c>
      <c r="K67" s="53"/>
      <c r="L67" s="53"/>
    </row>
    <row r="68" spans="1:12" ht="15.75" customHeight="1" x14ac:dyDescent="0.25">
      <c r="A68" t="str">
        <f>'HIDDEN import'!B68</f>
        <v>TC_C_36_CS</v>
      </c>
      <c r="B68" t="str">
        <f>'HIDDEN import'!C68</f>
        <v>Core</v>
      </c>
      <c r="C68" t="str">
        <f>'HIDDEN import'!D68</f>
        <v>Store Authorization Data in the Authorization Cache - AuthCacheCtrlr.LocalPreAuthorize = false</v>
      </c>
      <c r="D68" t="str">
        <f>IF(VLOOKUP(A68&amp;" "&amp;B68,'HIDDEN import'!A:G,5,FALSE)="M",MD!$A$1,(IF(AND(VLOOKUP(A68,'HIDDEN import'!B:E,4,FALSE)="C",OR(NOT(ISERROR(VLOOKUP(E68,'Optional features'!B:D,1,FALSE)=E68)),NOT(ISERROR(VLOOKUP(E68,'HIDDEN calc sheet'!A:C,1,FALSE)=E68)))),MD!$A$3,MD!$A$2)))</f>
        <v>Mandatory for optional feature</v>
      </c>
      <c r="E68" t="str">
        <f>IF('HIDDEN import'!F68=0,"",'HIDDEN import'!F68)</f>
        <v>C-49 and (C-30 or C-31 or C-32)</v>
      </c>
      <c r="F68" t="str">
        <f>IF('HIDDEN import'!G68=0,"",'HIDDEN import'!G68)</f>
        <v>Authorization Cache</v>
      </c>
      <c r="G68" s="181" t="str">
        <f>IFERROR(VLOOKUP($A68,'HIDDEN Testrun Results'!$A:$B,2,FALSE),"")</f>
        <v/>
      </c>
      <c r="H68" s="11" t="b">
        <f t="shared" si="1"/>
        <v>1</v>
      </c>
      <c r="I68" s="11" t="b">
        <f>IF(VLOOKUP(A68&amp;" "&amp;B68,'HIDDEN import'!A:G,5,FALSE)="M",TRUE,IFERROR(VLOOKUP(E68,'Optional features'!B:D,3,FALSE)="Yes",IFERROR(VLOOKUP(E68,'HIDDEN calc sheet'!A:B,2,FALSE),IFERROR(VLOOKUP(E68,'Additional questions'!B:D,3,FALSE)="Yes",VLOOKUP(E68,'Hardware Feature set'!B:D,3,FALSE)="No"))))</f>
        <v>1</v>
      </c>
      <c r="J68" s="11" t="b">
        <f>IF(VLOOKUP(B68,'Profile selection'!B:C,2,FALSE)="Yes",TRUE,FALSE)</f>
        <v>1</v>
      </c>
      <c r="K68" s="53"/>
      <c r="L68" s="53"/>
    </row>
    <row r="69" spans="1:12" ht="15.75" customHeight="1" x14ac:dyDescent="0.25">
      <c r="A69" t="str">
        <f>'HIDDEN import'!B69</f>
        <v>TC_C_46_CS</v>
      </c>
      <c r="B69" t="str">
        <f>'HIDDEN import'!C69</f>
        <v>Core</v>
      </c>
      <c r="C69" t="str">
        <f>'HIDDEN import'!D69</f>
        <v>Store Authorization Data in the Authorization Cache - AuthCacheLifeTime</v>
      </c>
      <c r="D69" t="str">
        <f>IF(VLOOKUP(A69&amp;" "&amp;B69,'HIDDEN import'!A:G,5,FALSE)="M",MD!$A$1,(IF(AND(VLOOKUP(A69,'HIDDEN import'!B:E,4,FALSE)="C",OR(NOT(ISERROR(VLOOKUP(E69,'Optional features'!B:D,1,FALSE)=E69)),NOT(ISERROR(VLOOKUP(E69,'HIDDEN calc sheet'!A:C,1,FALSE)=E69)))),MD!$A$3,MD!$A$2)))</f>
        <v>Mandatory for optional feature</v>
      </c>
      <c r="E69" t="str">
        <f>IF('HIDDEN import'!F69=0,"",'HIDDEN import'!F69)</f>
        <v>C-53 and (C-30 or C-31 or C-32)</v>
      </c>
      <c r="F69" t="str">
        <f>IF('HIDDEN import'!G69=0,"",'HIDDEN import'!G69)</f>
        <v>AuthCacheLifeTime</v>
      </c>
      <c r="G69" s="181" t="str">
        <f>IFERROR(VLOOKUP($A69,'HIDDEN Testrun Results'!$A:$B,2,FALSE),"")</f>
        <v/>
      </c>
      <c r="H69" s="11" t="b">
        <f t="shared" si="1"/>
        <v>0</v>
      </c>
      <c r="I69" s="11" t="b">
        <f>IF(VLOOKUP(A69&amp;" "&amp;B69,'HIDDEN import'!A:G,5,FALSE)="M",TRUE,IFERROR(VLOOKUP(E69,'Optional features'!B:D,3,FALSE)="Yes",IFERROR(VLOOKUP(E69,'HIDDEN calc sheet'!A:B,2,FALSE),IFERROR(VLOOKUP(E69,'Additional questions'!B:D,3,FALSE)="Yes",VLOOKUP(E69,'Hardware Feature set'!B:D,3,FALSE)="No"))))</f>
        <v>0</v>
      </c>
      <c r="J69" s="11" t="b">
        <f>IF(VLOOKUP(B69,'Profile selection'!B:C,2,FALSE)="Yes",TRUE,FALSE)</f>
        <v>1</v>
      </c>
      <c r="K69" s="53"/>
      <c r="L69" s="53"/>
    </row>
    <row r="70" spans="1:12" ht="15.75" customHeight="1" x14ac:dyDescent="0.25">
      <c r="A70" t="str">
        <f>'HIDDEN import'!B70</f>
        <v>TC_C_37_CS</v>
      </c>
      <c r="B70" t="str">
        <f>'HIDDEN import'!C70</f>
        <v>Core</v>
      </c>
      <c r="C70" t="str">
        <f>'HIDDEN import'!D70</f>
        <v>Clear Authorization Data in Authorization Cache - Accepted</v>
      </c>
      <c r="D70" t="str">
        <f>IF(VLOOKUP(A70&amp;" "&amp;B70,'HIDDEN import'!A:G,5,FALSE)="M",MD!$A$1,(IF(AND(VLOOKUP(A70,'HIDDEN import'!B:E,4,FALSE)="C",OR(NOT(ISERROR(VLOOKUP(E70,'Optional features'!B:D,1,FALSE)=E70)),NOT(ISERROR(VLOOKUP(E70,'HIDDEN calc sheet'!A:C,1,FALSE)=E70)))),MD!$A$3,MD!$A$2)))</f>
        <v>Mandatory for optional feature</v>
      </c>
      <c r="E70" t="str">
        <f>IF('HIDDEN import'!F70=0,"",'HIDDEN import'!F70)</f>
        <v>C-49 and (C-30 or C-31 or C-32)</v>
      </c>
      <c r="F70" t="str">
        <f>IF('HIDDEN import'!G70=0,"",'HIDDEN import'!G70)</f>
        <v>Authorization Cache</v>
      </c>
      <c r="G70" s="181" t="str">
        <f>IFERROR(VLOOKUP($A70,'HIDDEN Testrun Results'!$A:$B,2,FALSE),"")</f>
        <v/>
      </c>
      <c r="H70" s="11" t="b">
        <f t="shared" si="1"/>
        <v>1</v>
      </c>
      <c r="I70" s="11" t="b">
        <f>IF(VLOOKUP(A70&amp;" "&amp;B70,'HIDDEN import'!A:G,5,FALSE)="M",TRUE,IFERROR(VLOOKUP(E70,'Optional features'!B:D,3,FALSE)="Yes",IFERROR(VLOOKUP(E70,'HIDDEN calc sheet'!A:B,2,FALSE),IFERROR(VLOOKUP(E70,'Additional questions'!B:D,3,FALSE)="Yes",VLOOKUP(E70,'Hardware Feature set'!B:D,3,FALSE)="No"))))</f>
        <v>1</v>
      </c>
      <c r="J70" s="11" t="b">
        <f>IF(VLOOKUP(B70,'Profile selection'!B:C,2,FALSE)="Yes",TRUE,FALSE)</f>
        <v>1</v>
      </c>
      <c r="K70" s="53"/>
      <c r="L70" s="53"/>
    </row>
    <row r="71" spans="1:12" ht="15.75" customHeight="1" x14ac:dyDescent="0.25">
      <c r="A71" t="str">
        <f>'HIDDEN import'!B71</f>
        <v>TC_C_38_CS</v>
      </c>
      <c r="B71" t="str">
        <f>'HIDDEN import'!C71</f>
        <v>Core</v>
      </c>
      <c r="C71" t="str">
        <f>'HIDDEN import'!D71</f>
        <v>Clear Authorization Data in Authorization Cache - Rejected</v>
      </c>
      <c r="D71" t="str">
        <f>IF(VLOOKUP(A71&amp;" "&amp;B71,'HIDDEN import'!A:G,5,FALSE)="M",MD!$A$1,(IF(AND(VLOOKUP(A71,'HIDDEN import'!B:E,4,FALSE)="C",OR(NOT(ISERROR(VLOOKUP(E71,'Optional features'!B:D,1,FALSE)=E71)),NOT(ISERROR(VLOOKUP(E71,'HIDDEN calc sheet'!A:C,1,FALSE)=E71)))),MD!$A$3,MD!$A$2)))</f>
        <v>Mandatory for optional feature</v>
      </c>
      <c r="E71" t="str">
        <f>IF('HIDDEN import'!F71=0,"",'HIDDEN import'!F71)</f>
        <v>C-49 and (C-30 or C-31 or C-32)</v>
      </c>
      <c r="F71" t="str">
        <f>IF('HIDDEN import'!G71=0,"",'HIDDEN import'!G71)</f>
        <v>Authorization Cache</v>
      </c>
      <c r="G71" s="181" t="str">
        <f>IFERROR(VLOOKUP($A71,'HIDDEN Testrun Results'!$A:$B,2,FALSE),"")</f>
        <v/>
      </c>
      <c r="H71" s="11" t="b">
        <f t="shared" si="1"/>
        <v>1</v>
      </c>
      <c r="I71" s="11" t="b">
        <f>IF(VLOOKUP(A71&amp;" "&amp;B71,'HIDDEN import'!A:G,5,FALSE)="M",TRUE,IFERROR(VLOOKUP(E71,'Optional features'!B:D,3,FALSE)="Yes",IFERROR(VLOOKUP(E71,'HIDDEN calc sheet'!A:B,2,FALSE),IFERROR(VLOOKUP(E71,'Additional questions'!B:D,3,FALSE)="Yes",VLOOKUP(E71,'Hardware Feature set'!B:D,3,FALSE)="No"))))</f>
        <v>1</v>
      </c>
      <c r="J71" s="11" t="b">
        <f>IF(VLOOKUP(B71,'Profile selection'!B:C,2,FALSE)="Yes",TRUE,FALSE)</f>
        <v>1</v>
      </c>
      <c r="K71" s="53"/>
      <c r="L71" s="53"/>
    </row>
    <row r="72" spans="1:12" ht="15.75" customHeight="1" x14ac:dyDescent="0.25">
      <c r="A72" t="str">
        <f>'HIDDEN import'!B72</f>
        <v>TC_C_41_CS</v>
      </c>
      <c r="B72" t="str">
        <f>'HIDDEN import'!C72</f>
        <v>Core</v>
      </c>
      <c r="C72" t="str">
        <f>'HIDDEN import'!D72</f>
        <v>Authorization by GroupId - Success with Authorization Cache</v>
      </c>
      <c r="D72" t="str">
        <f>IF(VLOOKUP(A72&amp;" "&amp;B72,'HIDDEN import'!A:G,5,FALSE)="M",MD!$A$1,(IF(AND(VLOOKUP(A72,'HIDDEN import'!B:E,4,FALSE)="C",OR(NOT(ISERROR(VLOOKUP(E72,'Optional features'!B:D,1,FALSE)=E72)),NOT(ISERROR(VLOOKUP(E72,'HIDDEN calc sheet'!A:C,1,FALSE)=E72)))),MD!$A$3,MD!$A$2)))</f>
        <v>Mandatory for optional feature</v>
      </c>
      <c r="E72" t="str">
        <f>IF('HIDDEN import'!F72=0,"",'HIDDEN import'!F72)</f>
        <v>C-49 and (C-30 or C-31 or C-32)</v>
      </c>
      <c r="F72" t="str">
        <f>IF('HIDDEN import'!G72=0,"",'HIDDEN import'!G72)</f>
        <v>Authorization Cache</v>
      </c>
      <c r="G72" s="181" t="str">
        <f>IFERROR(VLOOKUP($A72,'HIDDEN Testrun Results'!$A:$B,2,FALSE),"")</f>
        <v/>
      </c>
      <c r="H72" s="11" t="b">
        <f t="shared" si="1"/>
        <v>1</v>
      </c>
      <c r="I72" s="11" t="b">
        <f>IF(VLOOKUP(A72&amp;" "&amp;B72,'HIDDEN import'!A:G,5,FALSE)="M",TRUE,IFERROR(VLOOKUP(E72,'Optional features'!B:D,3,FALSE)="Yes",IFERROR(VLOOKUP(E72,'HIDDEN calc sheet'!A:B,2,FALSE),IFERROR(VLOOKUP(E72,'Additional questions'!B:D,3,FALSE)="Yes",VLOOKUP(E72,'Hardware Feature set'!B:D,3,FALSE)="No"))))</f>
        <v>1</v>
      </c>
      <c r="J72" s="11" t="b">
        <f>IF(VLOOKUP(B72,'Profile selection'!B:C,2,FALSE)="Yes",TRUE,FALSE)</f>
        <v>1</v>
      </c>
      <c r="K72" s="53"/>
      <c r="L72" s="53"/>
    </row>
    <row r="73" spans="1:12" ht="15.75" customHeight="1" x14ac:dyDescent="0.25">
      <c r="A73" t="str">
        <f>'HIDDEN import'!B73</f>
        <v>TC_C_44_CS</v>
      </c>
      <c r="B73" t="str">
        <f>'HIDDEN import'!C73</f>
        <v>Core</v>
      </c>
      <c r="C73" t="str">
        <f>'HIDDEN import'!D73</f>
        <v>Authorization by GroupId - Invalid status with Authorization Cache</v>
      </c>
      <c r="D73" t="str">
        <f>IF(VLOOKUP(A73&amp;" "&amp;B73,'HIDDEN import'!A:G,5,FALSE)="M",MD!$A$1,(IF(AND(VLOOKUP(A73,'HIDDEN import'!B:E,4,FALSE)="C",OR(NOT(ISERROR(VLOOKUP(E73,'Optional features'!B:D,1,FALSE)=E73)),NOT(ISERROR(VLOOKUP(E73,'HIDDEN calc sheet'!A:C,1,FALSE)=E73)))),MD!$A$3,MD!$A$2)))</f>
        <v>Mandatory for optional feature</v>
      </c>
      <c r="E73" t="str">
        <f>IF('HIDDEN import'!F73=0,"",'HIDDEN import'!F73)</f>
        <v>C-49 and (C-30 or C-31 or C-32)</v>
      </c>
      <c r="F73" t="str">
        <f>IF('HIDDEN import'!G73=0,"",'HIDDEN import'!G73)</f>
        <v>Authorization Cache</v>
      </c>
      <c r="G73" s="181" t="str">
        <f>IFERROR(VLOOKUP($A73,'HIDDEN Testrun Results'!$A:$B,2,FALSE),"")</f>
        <v/>
      </c>
      <c r="H73" s="11" t="b">
        <f t="shared" si="1"/>
        <v>1</v>
      </c>
      <c r="I73" s="11" t="b">
        <f>IF(VLOOKUP(A73&amp;" "&amp;B73,'HIDDEN import'!A:G,5,FALSE)="M",TRUE,IFERROR(VLOOKUP(E73,'Optional features'!B:D,3,FALSE)="Yes",IFERROR(VLOOKUP(E73,'HIDDEN calc sheet'!A:B,2,FALSE),IFERROR(VLOOKUP(E73,'Additional questions'!B:D,3,FALSE)="Yes",VLOOKUP(E73,'Hardware Feature set'!B:D,3,FALSE)="No"))))</f>
        <v>1</v>
      </c>
      <c r="J73" s="11" t="b">
        <f>IF(VLOOKUP(B73,'Profile selection'!B:C,2,FALSE)="Yes",TRUE,FALSE)</f>
        <v>1</v>
      </c>
      <c r="K73" s="53"/>
      <c r="L73" s="53"/>
    </row>
    <row r="74" spans="1:12" ht="15.75" customHeight="1" x14ac:dyDescent="0.25">
      <c r="A74" t="str">
        <f>'HIDDEN import'!B74</f>
        <v>TC_C_08_CS</v>
      </c>
      <c r="B74" t="str">
        <f>'HIDDEN import'!C74</f>
        <v>Core</v>
      </c>
      <c r="C74" t="str">
        <f>'HIDDEN import'!D74</f>
        <v>Authorization through authorization cache - Accepted</v>
      </c>
      <c r="D74" t="str">
        <f>IF(VLOOKUP(A74&amp;" "&amp;B74,'HIDDEN import'!A:G,5,FALSE)="M",MD!$A$1,(IF(AND(VLOOKUP(A74,'HIDDEN import'!B:E,4,FALSE)="C",OR(NOT(ISERROR(VLOOKUP(E74,'Optional features'!B:D,1,FALSE)=E74)),NOT(ISERROR(VLOOKUP(E74,'HIDDEN calc sheet'!A:C,1,FALSE)=E74)))),MD!$A$3,MD!$A$2)))</f>
        <v>Mandatory for optional feature</v>
      </c>
      <c r="E74" t="str">
        <f>IF('HIDDEN import'!F74=0,"",'HIDDEN import'!F74)</f>
        <v>C-49 and (C-30 or C-31 or C-32)</v>
      </c>
      <c r="F74" t="str">
        <f>IF('HIDDEN import'!G74=0,"",'HIDDEN import'!G74)</f>
        <v>Authorization Cache</v>
      </c>
      <c r="G74" s="181" t="str">
        <f>IFERROR(VLOOKUP($A74,'HIDDEN Testrun Results'!$A:$B,2,FALSE),"")</f>
        <v/>
      </c>
      <c r="H74" s="11" t="b">
        <f t="shared" si="1"/>
        <v>1</v>
      </c>
      <c r="I74" s="11" t="b">
        <f>IF(VLOOKUP(A74&amp;" "&amp;B74,'HIDDEN import'!A:G,5,FALSE)="M",TRUE,IFERROR(VLOOKUP(E74,'Optional features'!B:D,3,FALSE)="Yes",IFERROR(VLOOKUP(E74,'HIDDEN calc sheet'!A:B,2,FALSE),IFERROR(VLOOKUP(E74,'Additional questions'!B:D,3,FALSE)="Yes",VLOOKUP(E74,'Hardware Feature set'!B:D,3,FALSE)="No"))))</f>
        <v>1</v>
      </c>
      <c r="J74" s="11" t="b">
        <f>IF(VLOOKUP(B74,'Profile selection'!B:C,2,FALSE)="Yes",TRUE,FALSE)</f>
        <v>1</v>
      </c>
      <c r="K74" s="53"/>
      <c r="L74" s="53"/>
    </row>
    <row r="75" spans="1:12" ht="15.75" customHeight="1" x14ac:dyDescent="0.25">
      <c r="A75" t="str">
        <f>'HIDDEN import'!B75</f>
        <v>TC_C_09_CS</v>
      </c>
      <c r="B75" t="str">
        <f>'HIDDEN import'!C75</f>
        <v>Core</v>
      </c>
      <c r="C75" t="str">
        <f>'HIDDEN import'!D75</f>
        <v>Authorization through authorization cache - Invalid &amp; Not Accepted</v>
      </c>
      <c r="D75" t="str">
        <f>IF(VLOOKUP(A75&amp;" "&amp;B75,'HIDDEN import'!A:G,5,FALSE)="M",MD!$A$1,(IF(AND(VLOOKUP(A75,'HIDDEN import'!B:E,4,FALSE)="C",OR(NOT(ISERROR(VLOOKUP(E75,'Optional features'!B:D,1,FALSE)=E75)),NOT(ISERROR(VLOOKUP(E75,'HIDDEN calc sheet'!A:C,1,FALSE)=E75)))),MD!$A$3,MD!$A$2)))</f>
        <v>Mandatory for optional feature</v>
      </c>
      <c r="E75" t="str">
        <f>IF('HIDDEN import'!F75=0,"",'HIDDEN import'!F75)</f>
        <v>C-49 and (C-30 or C-31 or C-32)</v>
      </c>
      <c r="F75" t="str">
        <f>IF('HIDDEN import'!G75=0,"",'HIDDEN import'!G75)</f>
        <v>Authorization Cache</v>
      </c>
      <c r="G75" s="181" t="str">
        <f>IFERROR(VLOOKUP($A75,'HIDDEN Testrun Results'!$A:$B,2,FALSE),"")</f>
        <v/>
      </c>
      <c r="H75" s="11" t="b">
        <f t="shared" si="1"/>
        <v>1</v>
      </c>
      <c r="I75" s="11" t="b">
        <f>IF(VLOOKUP(A75&amp;" "&amp;B75,'HIDDEN import'!A:G,5,FALSE)="M",TRUE,IFERROR(VLOOKUP(E75,'Optional features'!B:D,3,FALSE)="Yes",IFERROR(VLOOKUP(E75,'HIDDEN calc sheet'!A:B,2,FALSE),IFERROR(VLOOKUP(E75,'Additional questions'!B:D,3,FALSE)="Yes",VLOOKUP(E75,'Hardware Feature set'!B:D,3,FALSE)="No"))))</f>
        <v>1</v>
      </c>
      <c r="J75" s="11" t="b">
        <f>IF(VLOOKUP(B75,'Profile selection'!B:C,2,FALSE)="Yes",TRUE,FALSE)</f>
        <v>1</v>
      </c>
      <c r="K75" s="53"/>
      <c r="L75" s="53"/>
    </row>
    <row r="76" spans="1:12" ht="15.75" customHeight="1" x14ac:dyDescent="0.25">
      <c r="A76" t="str">
        <f>'HIDDEN import'!B76</f>
        <v>TC_C_12_CS</v>
      </c>
      <c r="B76" t="str">
        <f>'HIDDEN import'!C76</f>
        <v>Core</v>
      </c>
      <c r="C76" t="str">
        <f>'HIDDEN import'!D76</f>
        <v>Authorization through authorization cache - Invalid &amp; Accepted</v>
      </c>
      <c r="D76" t="str">
        <f>IF(VLOOKUP(A76&amp;" "&amp;B76,'HIDDEN import'!A:G,5,FALSE)="M",MD!$A$1,(IF(AND(VLOOKUP(A76,'HIDDEN import'!B:E,4,FALSE)="C",OR(NOT(ISERROR(VLOOKUP(E76,'Optional features'!B:D,1,FALSE)=E76)),NOT(ISERROR(VLOOKUP(E76,'HIDDEN calc sheet'!A:C,1,FALSE)=E76)))),MD!$A$3,MD!$A$2)))</f>
        <v>Mandatory for optional feature</v>
      </c>
      <c r="E76" t="str">
        <f>IF('HIDDEN import'!F76=0,"",'HIDDEN import'!F76)</f>
        <v>C-49 and (C-30 or C-31 or C-32)</v>
      </c>
      <c r="F76" t="str">
        <f>IF('HIDDEN import'!G76=0,"",'HIDDEN import'!G76)</f>
        <v>Authorization Cache</v>
      </c>
      <c r="G76" s="181" t="str">
        <f>IFERROR(VLOOKUP($A76,'HIDDEN Testrun Results'!$A:$B,2,FALSE),"")</f>
        <v/>
      </c>
      <c r="H76" s="11" t="b">
        <f t="shared" si="1"/>
        <v>1</v>
      </c>
      <c r="I76" s="11" t="b">
        <f>IF(VLOOKUP(A76&amp;" "&amp;B76,'HIDDEN import'!A:G,5,FALSE)="M",TRUE,IFERROR(VLOOKUP(E76,'Optional features'!B:D,3,FALSE)="Yes",IFERROR(VLOOKUP(E76,'HIDDEN calc sheet'!A:B,2,FALSE),IFERROR(VLOOKUP(E76,'Additional questions'!B:D,3,FALSE)="Yes",VLOOKUP(E76,'Hardware Feature set'!B:D,3,FALSE)="No"))))</f>
        <v>1</v>
      </c>
      <c r="J76" s="11" t="b">
        <f>IF(VLOOKUP(B76,'Profile selection'!B:C,2,FALSE)="Yes",TRUE,FALSE)</f>
        <v>1</v>
      </c>
      <c r="K76" s="53"/>
      <c r="L76" s="53"/>
    </row>
    <row r="77" spans="1:12" x14ac:dyDescent="0.25">
      <c r="A77" t="str">
        <f>'HIDDEN import'!B77</f>
        <v>TC_C_10_CS</v>
      </c>
      <c r="B77" t="str">
        <f>'HIDDEN import'!C77</f>
        <v>Core</v>
      </c>
      <c r="C77" t="str">
        <f>'HIDDEN import'!D77</f>
        <v>Authorization through authorization cache - Blocked</v>
      </c>
      <c r="D77" t="str">
        <f>IF(VLOOKUP(A77&amp;" "&amp;B77,'HIDDEN import'!A:G,5,FALSE)="M",MD!$A$1,(IF(AND(VLOOKUP(A77,'HIDDEN import'!B:E,4,FALSE)="C",OR(NOT(ISERROR(VLOOKUP(E77,'Optional features'!B:D,1,FALSE)=E77)),NOT(ISERROR(VLOOKUP(E77,'HIDDEN calc sheet'!A:C,1,FALSE)=E77)))),MD!$A$3,MD!$A$2)))</f>
        <v>Mandatory for optional feature</v>
      </c>
      <c r="E77" t="str">
        <f>IF('HIDDEN import'!F77=0,"",'HIDDEN import'!F77)</f>
        <v>C-49 and (C-30 or C-31 or C-32)</v>
      </c>
      <c r="F77" t="str">
        <f>IF('HIDDEN import'!G77=0,"",'HIDDEN import'!G77)</f>
        <v>Authorization Cache</v>
      </c>
      <c r="G77" s="181" t="str">
        <f>IFERROR(VLOOKUP($A77,'HIDDEN Testrun Results'!$A:$B,2,FALSE),"")</f>
        <v/>
      </c>
      <c r="H77" s="11" t="b">
        <f t="shared" si="1"/>
        <v>1</v>
      </c>
      <c r="I77" s="11" t="b">
        <f>IF(VLOOKUP(A77&amp;" "&amp;B77,'HIDDEN import'!A:G,5,FALSE)="M",TRUE,IFERROR(VLOOKUP(E77,'Optional features'!B:D,3,FALSE)="Yes",IFERROR(VLOOKUP(E77,'HIDDEN calc sheet'!A:B,2,FALSE),IFERROR(VLOOKUP(E77,'Additional questions'!B:D,3,FALSE)="Yes",VLOOKUP(E77,'Hardware Feature set'!B:D,3,FALSE)="No"))))</f>
        <v>1</v>
      </c>
      <c r="J77" s="11" t="b">
        <f>IF(VLOOKUP(B77,'Profile selection'!B:C,2,FALSE)="Yes",TRUE,FALSE)</f>
        <v>1</v>
      </c>
      <c r="K77" s="53"/>
      <c r="L77" s="53"/>
    </row>
    <row r="78" spans="1:12" x14ac:dyDescent="0.25">
      <c r="A78" t="str">
        <f>'HIDDEN import'!B78</f>
        <v>TC_C_11_CS</v>
      </c>
      <c r="B78" t="str">
        <f>'HIDDEN import'!C78</f>
        <v>Core</v>
      </c>
      <c r="C78" t="str">
        <f>'HIDDEN import'!D78</f>
        <v>Authorization through authorization cache - Expired</v>
      </c>
      <c r="D78" t="str">
        <f>IF(VLOOKUP(A78&amp;" "&amp;B78,'HIDDEN import'!A:G,5,FALSE)="M",MD!$A$1,(IF(AND(VLOOKUP(A78,'HIDDEN import'!B:E,4,FALSE)="C",OR(NOT(ISERROR(VLOOKUP(E78,'Optional features'!B:D,1,FALSE)=E78)),NOT(ISERROR(VLOOKUP(E78,'HIDDEN calc sheet'!A:C,1,FALSE)=E78)))),MD!$A$3,MD!$A$2)))</f>
        <v>Mandatory for optional feature</v>
      </c>
      <c r="E78" t="str">
        <f>IF('HIDDEN import'!F78=0,"",'HIDDEN import'!F78)</f>
        <v>C-49 and (C-30 or C-31 or C-32)</v>
      </c>
      <c r="F78" t="str">
        <f>IF('HIDDEN import'!G78=0,"",'HIDDEN import'!G78)</f>
        <v>Authorization Cache</v>
      </c>
      <c r="G78" s="181" t="str">
        <f>IFERROR(VLOOKUP($A78,'HIDDEN Testrun Results'!$A:$B,2,FALSE),"")</f>
        <v/>
      </c>
      <c r="H78" s="11" t="b">
        <f t="shared" si="1"/>
        <v>1</v>
      </c>
      <c r="I78" s="11" t="b">
        <f>IF(VLOOKUP(A78&amp;" "&amp;B78,'HIDDEN import'!A:G,5,FALSE)="M",TRUE,IFERROR(VLOOKUP(E78,'Optional features'!B:D,3,FALSE)="Yes",IFERROR(VLOOKUP(E78,'HIDDEN calc sheet'!A:B,2,FALSE),IFERROR(VLOOKUP(E78,'Additional questions'!B:D,3,FALSE)="Yes",VLOOKUP(E78,'Hardware Feature set'!B:D,3,FALSE)="No"))))</f>
        <v>1</v>
      </c>
      <c r="J78" s="11" t="b">
        <f>IF(VLOOKUP(B78,'Profile selection'!B:C,2,FALSE)="Yes",TRUE,FALSE)</f>
        <v>1</v>
      </c>
      <c r="K78" s="53"/>
      <c r="L78" s="53"/>
    </row>
    <row r="79" spans="1:12" x14ac:dyDescent="0.25">
      <c r="A79" t="str">
        <f>'HIDDEN import'!B79</f>
        <v>TC_C_13_CS</v>
      </c>
      <c r="B79" t="str">
        <f>'HIDDEN import'!C79</f>
        <v>Core</v>
      </c>
      <c r="C79" t="str">
        <f>'HIDDEN import'!D79</f>
        <v>Authorization through authorization cache - Accepted but cable not connected yet.</v>
      </c>
      <c r="D79" t="str">
        <f>IF(VLOOKUP(A79&amp;" "&amp;B79,'HIDDEN import'!A:G,5,FALSE)="M",MD!$A$1,(IF(AND(VLOOKUP(A79,'HIDDEN import'!B:E,4,FALSE)="C",OR(NOT(ISERROR(VLOOKUP(E79,'Optional features'!B:D,1,FALSE)=E79)),NOT(ISERROR(VLOOKUP(E79,'HIDDEN calc sheet'!A:C,1,FALSE)=E79)))),MD!$A$3,MD!$A$2)))</f>
        <v>Mandatory for optional feature</v>
      </c>
      <c r="E79" t="str">
        <f>IF('HIDDEN import'!F79=0,"",'HIDDEN import'!F79)</f>
        <v>C-49 and (C-30 or C-31 or C-32)</v>
      </c>
      <c r="F79" t="str">
        <f>IF('HIDDEN import'!G79=0,"",'HIDDEN import'!G79)</f>
        <v>Authorization Cache</v>
      </c>
      <c r="G79" s="181" t="str">
        <f>IFERROR(VLOOKUP($A79,'HIDDEN Testrun Results'!$A:$B,2,FALSE),"")</f>
        <v/>
      </c>
      <c r="H79" s="11" t="b">
        <f t="shared" si="1"/>
        <v>1</v>
      </c>
      <c r="I79" s="11" t="b">
        <f>IF(VLOOKUP(A79&amp;" "&amp;B79,'HIDDEN import'!A:G,5,FALSE)="M",TRUE,IFERROR(VLOOKUP(E79,'Optional features'!B:D,3,FALSE)="Yes",IFERROR(VLOOKUP(E79,'HIDDEN calc sheet'!A:B,2,FALSE),IFERROR(VLOOKUP(E79,'Additional questions'!B:D,3,FALSE)="Yes",VLOOKUP(E79,'Hardware Feature set'!B:D,3,FALSE)="No"))))</f>
        <v>1</v>
      </c>
      <c r="J79" s="11" t="b">
        <f>IF(VLOOKUP(B79,'Profile selection'!B:C,2,FALSE)="Yes",TRUE,FALSE)</f>
        <v>1</v>
      </c>
      <c r="K79" s="53"/>
      <c r="L79" s="53"/>
    </row>
    <row r="80" spans="1:12" x14ac:dyDescent="0.25">
      <c r="A80" t="str">
        <f>'HIDDEN import'!B80</f>
        <v>TC_C_15_CS</v>
      </c>
      <c r="B80" t="str">
        <f>'HIDDEN import'!C80</f>
        <v>Core</v>
      </c>
      <c r="C80" t="str">
        <f>'HIDDEN import'!D80</f>
        <v>Authorization through authorization cache - StopTxOnInvalidId = false, MaxEnergyOnInvalidId &gt; 0</v>
      </c>
      <c r="D80" t="str">
        <f>IF(VLOOKUP(A80&amp;" "&amp;B80,'HIDDEN import'!A:G,5,FALSE)="M",MD!$A$1,(IF(AND(VLOOKUP(A80,'HIDDEN import'!B:E,4,FALSE)="C",OR(NOT(ISERROR(VLOOKUP(E80,'Optional features'!B:D,1,FALSE)=E80)),NOT(ISERROR(VLOOKUP(E80,'HIDDEN calc sheet'!A:C,1,FALSE)=E80)))),MD!$A$3,MD!$A$2)))</f>
        <v>Mandatory for optional feature</v>
      </c>
      <c r="E80" t="str">
        <f>IF('HIDDEN import'!F80=0,"",'HIDDEN import'!F80)</f>
        <v>C-49 and C-03 and (C-30 or C-31 or C-32)</v>
      </c>
      <c r="F80" t="str">
        <f>IF('HIDDEN import'!G80=0,"",'HIDDEN import'!G80)</f>
        <v>Authorization Cache &amp; MaxEnergyOnInvalidId</v>
      </c>
      <c r="G80" s="181" t="str">
        <f>IFERROR(VLOOKUP($A80,'HIDDEN Testrun Results'!$A:$B,2,FALSE),"")</f>
        <v/>
      </c>
      <c r="H80" s="11" t="b">
        <f t="shared" si="1"/>
        <v>0</v>
      </c>
      <c r="I80" s="11" t="b">
        <f>IF(VLOOKUP(A80&amp;" "&amp;B80,'HIDDEN import'!A:G,5,FALSE)="M",TRUE,IFERROR(VLOOKUP(E80,'Optional features'!B:D,3,FALSE)="Yes",IFERROR(VLOOKUP(E80,'HIDDEN calc sheet'!A:B,2,FALSE),IFERROR(VLOOKUP(E80,'Additional questions'!B:D,3,FALSE)="Yes",VLOOKUP(E80,'Hardware Feature set'!B:D,3,FALSE)="No"))))</f>
        <v>0</v>
      </c>
      <c r="J80" s="11" t="b">
        <f>IF(VLOOKUP(B80,'Profile selection'!B:C,2,FALSE)="Yes",TRUE,FALSE)</f>
        <v>1</v>
      </c>
      <c r="K80" s="53"/>
      <c r="L80" s="53"/>
    </row>
    <row r="81" spans="1:12" x14ac:dyDescent="0.25">
      <c r="A81" t="str">
        <f>'HIDDEN import'!B81</f>
        <v>TC_C_16_CS</v>
      </c>
      <c r="B81" t="str">
        <f>'HIDDEN import'!C81</f>
        <v>Core</v>
      </c>
      <c r="C81" t="str">
        <f>'HIDDEN import'!D81</f>
        <v>Authorization through authorization cache - StopTxOnInvalidId = true</v>
      </c>
      <c r="D81" t="str">
        <f>IF(VLOOKUP(A81&amp;" "&amp;B81,'HIDDEN import'!A:G,5,FALSE)="M",MD!$A$1,(IF(AND(VLOOKUP(A81,'HIDDEN import'!B:E,4,FALSE)="C",OR(NOT(ISERROR(VLOOKUP(E81,'Optional features'!B:D,1,FALSE)=E81)),NOT(ISERROR(VLOOKUP(E81,'HIDDEN calc sheet'!A:C,1,FALSE)=E81)))),MD!$A$3,MD!$A$2)))</f>
        <v>Mandatory for optional feature</v>
      </c>
      <c r="E81" t="str">
        <f>IF('HIDDEN import'!F81=0,"",'HIDDEN import'!F81)</f>
        <v>C-49 and (C-30 or C-31 or C-32)</v>
      </c>
      <c r="F81" t="str">
        <f>IF('HIDDEN import'!G81=0,"",'HIDDEN import'!G81)</f>
        <v>Authorization Cache</v>
      </c>
      <c r="G81" s="181" t="str">
        <f>IFERROR(VLOOKUP($A81,'HIDDEN Testrun Results'!$A:$B,2,FALSE),"")</f>
        <v/>
      </c>
      <c r="H81" s="11" t="b">
        <f t="shared" si="1"/>
        <v>1</v>
      </c>
      <c r="I81" s="11" t="b">
        <f>IF(VLOOKUP(A81&amp;" "&amp;B81,'HIDDEN import'!A:G,5,FALSE)="M",TRUE,IFERROR(VLOOKUP(E81,'Optional features'!B:D,3,FALSE)="Yes",IFERROR(VLOOKUP(E81,'HIDDEN calc sheet'!A:B,2,FALSE),IFERROR(VLOOKUP(E81,'Additional questions'!B:D,3,FALSE)="Yes",VLOOKUP(E81,'Hardware Feature set'!B:D,3,FALSE)="No"))))</f>
        <v>1</v>
      </c>
      <c r="J81" s="11" t="b">
        <f>IF(VLOOKUP(B81,'Profile selection'!B:C,2,FALSE)="Yes",TRUE,FALSE)</f>
        <v>1</v>
      </c>
      <c r="K81" s="53"/>
      <c r="L81" s="53"/>
    </row>
    <row r="82" spans="1:12" x14ac:dyDescent="0.25">
      <c r="A82" t="str">
        <f>'HIDDEN import'!B82</f>
        <v>TC_C_17_CS</v>
      </c>
      <c r="B82" t="str">
        <f>'HIDDEN import'!C82</f>
        <v>Core</v>
      </c>
      <c r="C82" t="str">
        <f>'HIDDEN import'!D82</f>
        <v>Authorization through authorization cache - StopTxOnInvalidId = false</v>
      </c>
      <c r="D82" t="str">
        <f>IF(VLOOKUP(A82&amp;" "&amp;B82,'HIDDEN import'!A:G,5,FALSE)="M",MD!$A$1,(IF(AND(VLOOKUP(A82,'HIDDEN import'!B:E,4,FALSE)="C",OR(NOT(ISERROR(VLOOKUP(E82,'Optional features'!B:D,1,FALSE)=E82)),NOT(ISERROR(VLOOKUP(E82,'HIDDEN calc sheet'!A:C,1,FALSE)=E82)))),MD!$A$3,MD!$A$2)))</f>
        <v>Mandatory for optional feature</v>
      </c>
      <c r="E82" t="str">
        <f>IF('HIDDEN import'!F82=0,"",'HIDDEN import'!F82)</f>
        <v>C-49 and (C-30 or C-31 or C-32)</v>
      </c>
      <c r="F82" t="str">
        <f>IF('HIDDEN import'!G82=0,"",'HIDDEN import'!G82)</f>
        <v>Authorization Cache</v>
      </c>
      <c r="G82" s="181" t="str">
        <f>IFERROR(VLOOKUP($A82,'HIDDEN Testrun Results'!$A:$B,2,FALSE),"")</f>
        <v/>
      </c>
      <c r="H82" s="11" t="b">
        <f t="shared" si="1"/>
        <v>1</v>
      </c>
      <c r="I82" s="11" t="b">
        <f>IF(VLOOKUP(A82&amp;" "&amp;B82,'HIDDEN import'!A:G,5,FALSE)="M",TRUE,IFERROR(VLOOKUP(E82,'Optional features'!B:D,3,FALSE)="Yes",IFERROR(VLOOKUP(E82,'HIDDEN calc sheet'!A:B,2,FALSE),IFERROR(VLOOKUP(E82,'Additional questions'!B:D,3,FALSE)="Yes",VLOOKUP(E82,'Hardware Feature set'!B:D,3,FALSE)="No"))))</f>
        <v>1</v>
      </c>
      <c r="J82" s="11" t="b">
        <f>IF(VLOOKUP(B82,'Profile selection'!B:C,2,FALSE)="Yes",TRUE,FALSE)</f>
        <v>1</v>
      </c>
      <c r="K82" s="53"/>
      <c r="L82" s="53"/>
    </row>
    <row r="83" spans="1:12" x14ac:dyDescent="0.25">
      <c r="A83" t="str">
        <f>'HIDDEN import'!B83</f>
        <v>TC_C_18_CS</v>
      </c>
      <c r="B83" t="str">
        <f>'HIDDEN import'!C83</f>
        <v>Core</v>
      </c>
      <c r="C83" t="str">
        <f>'HIDDEN import'!D83</f>
        <v>Authorization through authorization cache - StopTxOnInvalidId = true, MaxEnergyOnInvalidId &gt; 0</v>
      </c>
      <c r="D83" t="str">
        <f>IF(VLOOKUP(A83&amp;" "&amp;B83,'HIDDEN import'!A:G,5,FALSE)="M",MD!$A$1,(IF(AND(VLOOKUP(A83,'HIDDEN import'!B:E,4,FALSE)="C",OR(NOT(ISERROR(VLOOKUP(E83,'Optional features'!B:D,1,FALSE)=E83)),NOT(ISERROR(VLOOKUP(E83,'HIDDEN calc sheet'!A:C,1,FALSE)=E83)))),MD!$A$3,MD!$A$2)))</f>
        <v>Mandatory for optional feature</v>
      </c>
      <c r="E83" t="str">
        <f>IF('HIDDEN import'!F83=0,"",'HIDDEN import'!F83)</f>
        <v>C-49 and C-03 and (C-30 or C-31 or C-32)</v>
      </c>
      <c r="F83" t="str">
        <f>IF('HIDDEN import'!G83=0,"",'HIDDEN import'!G83)</f>
        <v>Authorization Cache &amp; MaxEnergyOnInvalidId</v>
      </c>
      <c r="G83" s="181" t="str">
        <f>IFERROR(VLOOKUP($A83,'HIDDEN Testrun Results'!$A:$B,2,FALSE),"")</f>
        <v/>
      </c>
      <c r="H83" s="11" t="b">
        <f t="shared" si="1"/>
        <v>0</v>
      </c>
      <c r="I83" s="11" t="b">
        <f>IF(VLOOKUP(A83&amp;" "&amp;B83,'HIDDEN import'!A:G,5,FALSE)="M",TRUE,IFERROR(VLOOKUP(E83,'Optional features'!B:D,3,FALSE)="Yes",IFERROR(VLOOKUP(E83,'HIDDEN calc sheet'!A:B,2,FALSE),IFERROR(VLOOKUP(E83,'Additional questions'!B:D,3,FALSE)="Yes",VLOOKUP(E83,'Hardware Feature set'!B:D,3,FALSE)="No"))))</f>
        <v>0</v>
      </c>
      <c r="J83" s="11" t="b">
        <f>IF(VLOOKUP(B83,'Profile selection'!B:C,2,FALSE)="Yes",TRUE,FALSE)</f>
        <v>1</v>
      </c>
      <c r="K83" s="53"/>
      <c r="L83" s="53"/>
    </row>
    <row r="84" spans="1:12" x14ac:dyDescent="0.25">
      <c r="A84" t="str">
        <f>'HIDDEN import'!B84</f>
        <v>TC_C_57_CS</v>
      </c>
      <c r="B84" t="str">
        <f>'HIDDEN import'!C84</f>
        <v>Core</v>
      </c>
      <c r="C84" t="str">
        <f>'HIDDEN import'!D84</f>
        <v>Authorization through authorization cache - AuthCacheDisablePostAuthorize</v>
      </c>
      <c r="D84" t="str">
        <f>IF(VLOOKUP(A84&amp;" "&amp;B84,'HIDDEN import'!A:G,5,FALSE)="M",MD!$A$1,(IF(AND(VLOOKUP(A84,'HIDDEN import'!B:E,4,FALSE)="C",OR(NOT(ISERROR(VLOOKUP(E84,'Optional features'!B:D,1,FALSE)=E84)),NOT(ISERROR(VLOOKUP(E84,'HIDDEN calc sheet'!A:C,1,FALSE)=E84)))),MD!$A$3,MD!$A$2)))</f>
        <v>Mandatory for optional feature</v>
      </c>
      <c r="E84" t="str">
        <f>IF('HIDDEN import'!F84=0,"",'HIDDEN import'!F84)</f>
        <v>C-59 and C-49 and (C-30 or C-31 or C-32)</v>
      </c>
      <c r="F84" t="str">
        <f>IF('HIDDEN import'!G84=0,"",'HIDDEN import'!G84)</f>
        <v/>
      </c>
      <c r="G84" s="181" t="str">
        <f>IFERROR(VLOOKUP($A84,'HIDDEN Testrun Results'!$A:$B,2,FALSE),"")</f>
        <v/>
      </c>
      <c r="H84" s="11" t="b">
        <f t="shared" si="1"/>
        <v>0</v>
      </c>
      <c r="I84" s="11" t="b">
        <f>IF(VLOOKUP(A84&amp;" "&amp;B84,'HIDDEN import'!A:G,5,FALSE)="M",TRUE,IFERROR(VLOOKUP(E84,'Optional features'!B:D,3,FALSE)="Yes",IFERROR(VLOOKUP(E84,'HIDDEN calc sheet'!A:B,2,FALSE),IFERROR(VLOOKUP(E84,'Additional questions'!B:D,3,FALSE)="Yes",VLOOKUP(E84,'Hardware Feature set'!B:D,3,FALSE)="No"))))</f>
        <v>0</v>
      </c>
      <c r="J84" s="11" t="b">
        <f>IF(VLOOKUP(B84,'Profile selection'!B:C,2,FALSE)="Yes",TRUE,FALSE)</f>
        <v>1</v>
      </c>
      <c r="K84" s="53"/>
      <c r="L84" s="53"/>
    </row>
    <row r="85" spans="1:12" x14ac:dyDescent="0.25">
      <c r="A85" t="str">
        <f>'HIDDEN import'!B85</f>
        <v>TC_E_03_CS</v>
      </c>
      <c r="B85" t="str">
        <f>'HIDDEN import'!C85</f>
        <v>Core</v>
      </c>
      <c r="C85" t="str">
        <f>'HIDDEN import'!D85</f>
        <v>Local start transaction - Cable plugin first - Success</v>
      </c>
      <c r="D85" t="str">
        <f>IF(VLOOKUP(A85&amp;" "&amp;B85,'HIDDEN import'!A:G,5,FALSE)="M",MD!$A$1,(IF(AND(VLOOKUP(A85,'HIDDEN import'!B:E,4,FALSE)="C",OR(NOT(ISERROR(VLOOKUP(E85,'Optional features'!B:D,1,FALSE)=E85)),NOT(ISERROR(VLOOKUP(E85,'HIDDEN calc sheet'!A:C,1,FALSE)=E85)))),MD!$A$3,MD!$A$2)))</f>
        <v>Mandatory for optional feature</v>
      </c>
      <c r="E85" t="str">
        <f>IF('HIDDEN import'!F85=0,"",'HIDDEN import'!F85)</f>
        <v>NOT AQ-2 and (C-30 - C-35 or ISO 15118 support)</v>
      </c>
      <c r="F85" t="str">
        <f>IF('HIDDEN import'!G85=0,"",'HIDDEN import'!G85)</f>
        <v>Authorization options for local start</v>
      </c>
      <c r="G85" s="181" t="str">
        <f>IFERROR(VLOOKUP($A85,'HIDDEN Testrun Results'!$A:$B,2,FALSE),"")</f>
        <v/>
      </c>
      <c r="H85" s="11" t="b">
        <f t="shared" si="1"/>
        <v>1</v>
      </c>
      <c r="I85" s="11" t="b">
        <f>IF(VLOOKUP(A85&amp;" "&amp;B85,'HIDDEN import'!A:G,5,FALSE)="M",TRUE,IFERROR(VLOOKUP(E85,'Optional features'!B:D,3,FALSE)="Yes",IFERROR(VLOOKUP(E85,'HIDDEN calc sheet'!A:B,2,FALSE),IFERROR(VLOOKUP(E85,'Additional questions'!B:D,3,FALSE)="Yes",VLOOKUP(E85,'Hardware Feature set'!B:D,3,FALSE)="No"))))</f>
        <v>1</v>
      </c>
      <c r="J85" s="11" t="b">
        <f>IF(VLOOKUP(B85,'Profile selection'!B:C,2,FALSE)="Yes",TRUE,FALSE)</f>
        <v>1</v>
      </c>
      <c r="K85" s="53"/>
      <c r="L85" s="53"/>
    </row>
    <row r="86" spans="1:12" x14ac:dyDescent="0.25">
      <c r="A86" t="str">
        <f>'HIDDEN import'!B86</f>
        <v>TC_E_04_CS</v>
      </c>
      <c r="B86" t="str">
        <f>'HIDDEN import'!C86</f>
        <v>Core</v>
      </c>
      <c r="C86" t="str">
        <f>'HIDDEN import'!D86</f>
        <v>Local start transaction - Authorization first - Success</v>
      </c>
      <c r="D86" t="str">
        <f>IF(VLOOKUP(A86&amp;" "&amp;B86,'HIDDEN import'!A:G,5,FALSE)="M",MD!$A$1,(IF(AND(VLOOKUP(A86,'HIDDEN import'!B:E,4,FALSE)="C",OR(NOT(ISERROR(VLOOKUP(E86,'Optional features'!B:D,1,FALSE)=E86)),NOT(ISERROR(VLOOKUP(E86,'HIDDEN calc sheet'!A:C,1,FALSE)=E86)))),MD!$A$3,MD!$A$2)))</f>
        <v>Mandatory for optional feature</v>
      </c>
      <c r="E86" t="str">
        <f>IF('HIDDEN import'!F86=0,"",'HIDDEN import'!F86)</f>
        <v>(C-30 or C-31 or C-32 or C-33 or C-35)</v>
      </c>
      <c r="F86" t="str">
        <f>IF('HIDDEN import'!G86=0,"",'HIDDEN import'!G86)</f>
        <v>Authorization options for local start</v>
      </c>
      <c r="G86" s="181" t="str">
        <f>IFERROR(VLOOKUP($A86,'HIDDEN Testrun Results'!$A:$B,2,FALSE),"")</f>
        <v/>
      </c>
      <c r="H86" s="11" t="b">
        <f t="shared" si="1"/>
        <v>1</v>
      </c>
      <c r="I86" s="11" t="b">
        <f>IF(VLOOKUP(A86&amp;" "&amp;B86,'HIDDEN import'!A:G,5,FALSE)="M",TRUE,IFERROR(VLOOKUP(E86,'Optional features'!B:D,3,FALSE)="Yes",IFERROR(VLOOKUP(E86,'HIDDEN calc sheet'!A:B,2,FALSE),IFERROR(VLOOKUP(E86,'Additional questions'!B:D,3,FALSE)="Yes",VLOOKUP(E86,'Hardware Feature set'!B:D,3,FALSE)="No"))))</f>
        <v>1</v>
      </c>
      <c r="J86" s="11" t="b">
        <f>IF(VLOOKUP(B86,'Profile selection'!B:C,2,FALSE)="Yes",TRUE,FALSE)</f>
        <v>1</v>
      </c>
      <c r="K86" s="53"/>
      <c r="L86" s="53"/>
    </row>
    <row r="87" spans="1:12" x14ac:dyDescent="0.25">
      <c r="A87" t="str">
        <f>'HIDDEN import'!B87</f>
        <v>TC_E_05_CS</v>
      </c>
      <c r="B87" t="str">
        <f>'HIDDEN import'!C87</f>
        <v>Core</v>
      </c>
      <c r="C87" t="str">
        <f>'HIDDEN import'!D87</f>
        <v>Local start transaction - Authorization first - Cable plugin timeout</v>
      </c>
      <c r="D87" t="str">
        <f>IF(VLOOKUP(A87&amp;" "&amp;B87,'HIDDEN import'!A:G,5,FALSE)="M",MD!$A$1,(IF(AND(VLOOKUP(A87,'HIDDEN import'!B:E,4,FALSE)="C",OR(NOT(ISERROR(VLOOKUP(E87,'Optional features'!B:D,1,FALSE)=E87)),NOT(ISERROR(VLOOKUP(E87,'HIDDEN calc sheet'!A:C,1,FALSE)=E87)))),MD!$A$3,MD!$A$2)))</f>
        <v>Mandatory for optional feature</v>
      </c>
      <c r="E87" t="str">
        <f>IF('HIDDEN import'!F87=0,"",'HIDDEN import'!F87)</f>
        <v>C-30 - C-35 or ISO 15118 support</v>
      </c>
      <c r="F87" t="str">
        <f>IF('HIDDEN import'!G87=0,"",'HIDDEN import'!G87)</f>
        <v>Authorization options for local start</v>
      </c>
      <c r="G87" s="181" t="str">
        <f>IFERROR(VLOOKUP($A87,'HIDDEN Testrun Results'!$A:$B,2,FALSE),"")</f>
        <v/>
      </c>
      <c r="H87" s="11" t="b">
        <f t="shared" si="1"/>
        <v>1</v>
      </c>
      <c r="I87" s="11" t="b">
        <f>IF(VLOOKUP(A87&amp;" "&amp;B87,'HIDDEN import'!A:G,5,FALSE)="M",TRUE,IFERROR(VLOOKUP(E87,'Optional features'!B:D,3,FALSE)="Yes",IFERROR(VLOOKUP(E87,'HIDDEN calc sheet'!A:B,2,FALSE),IFERROR(VLOOKUP(E87,'Additional questions'!B:D,3,FALSE)="Yes",VLOOKUP(E87,'Hardware Feature set'!B:D,3,FALSE)="No"))))</f>
        <v>1</v>
      </c>
      <c r="J87" s="11" t="b">
        <f>IF(VLOOKUP(B87,'Profile selection'!B:C,2,FALSE)="Yes",TRUE,FALSE)</f>
        <v>1</v>
      </c>
      <c r="K87" s="53"/>
      <c r="L87" s="53"/>
    </row>
    <row r="88" spans="1:12" x14ac:dyDescent="0.25">
      <c r="A88" t="str">
        <f>'HIDDEN import'!B88</f>
        <v>TC_E_52_CS</v>
      </c>
      <c r="B88" t="str">
        <f>'HIDDEN import'!C88</f>
        <v>Core</v>
      </c>
      <c r="C88" t="str">
        <f>'HIDDEN import'!D88</f>
        <v>Local start transaction - Authorization first - DisableRemoteAuthorization</v>
      </c>
      <c r="D88" t="str">
        <f>IF(VLOOKUP(A88&amp;" "&amp;B88,'HIDDEN import'!A:G,5,FALSE)="M",MD!$A$1,(IF(AND(VLOOKUP(A88,'HIDDEN import'!B:E,4,FALSE)="C",OR(NOT(ISERROR(VLOOKUP(E88,'Optional features'!B:D,1,FALSE)=E88)),NOT(ISERROR(VLOOKUP(E88,'HIDDEN calc sheet'!A:C,1,FALSE)=E88)))),MD!$A$3,MD!$A$2)))</f>
        <v>Mandatory for optional feature</v>
      </c>
      <c r="E88" t="str">
        <f>IF('HIDDEN import'!F88=0,"",'HIDDEN import'!F88)</f>
        <v>C-58 and (C-30 or C-31 or C-32) and (C-49 or Local Authorization List Management)</v>
      </c>
      <c r="F88" t="str">
        <f>IF('HIDDEN import'!G88=0,"",'HIDDEN import'!G88)</f>
        <v>Local Authorization - using RFID ISO14443 / RFID ISO15693 / KeyCode &amp;</v>
      </c>
      <c r="G88" s="181" t="str">
        <f>IFERROR(VLOOKUP($A88,'HIDDEN Testrun Results'!$A:$B,2,FALSE),"")</f>
        <v/>
      </c>
      <c r="H88" s="11" t="b">
        <f t="shared" si="1"/>
        <v>0</v>
      </c>
      <c r="I88" s="11" t="b">
        <f>IF(VLOOKUP(A88&amp;" "&amp;B88,'HIDDEN import'!A:G,5,FALSE)="M",TRUE,IFERROR(VLOOKUP(E88,'Optional features'!B:D,3,FALSE)="Yes",IFERROR(VLOOKUP(E88,'HIDDEN calc sheet'!A:B,2,FALSE),IFERROR(VLOOKUP(E88,'Additional questions'!B:D,3,FALSE)="Yes",VLOOKUP(E88,'Hardware Feature set'!B:D,3,FALSE)="No"))))</f>
        <v>0</v>
      </c>
      <c r="J88" s="11" t="b">
        <f>IF(VLOOKUP(B88,'Profile selection'!B:C,2,FALSE)="Yes",TRUE,FALSE)</f>
        <v>1</v>
      </c>
      <c r="K88" s="53"/>
      <c r="L88" s="53"/>
    </row>
    <row r="89" spans="1:12" x14ac:dyDescent="0.25">
      <c r="A89" t="str">
        <f>'HIDDEN import'!B89</f>
        <v>TC_E_09_CS</v>
      </c>
      <c r="B89" t="str">
        <f>'HIDDEN import'!C89</f>
        <v>Core</v>
      </c>
      <c r="C89" t="str">
        <f>'HIDDEN import'!D89</f>
        <v>Start transaction options - EVConnected</v>
      </c>
      <c r="D89" t="str">
        <f>IF(VLOOKUP(A89&amp;" "&amp;B89,'HIDDEN import'!A:G,5,FALSE)="M",MD!$A$1,(IF(AND(VLOOKUP(A89,'HIDDEN import'!B:E,4,FALSE)="C",OR(NOT(ISERROR(VLOOKUP(E89,'Optional features'!B:D,1,FALSE)=E89)),NOT(ISERROR(VLOOKUP(E89,'HIDDEN calc sheet'!A:C,1,FALSE)=E89)))),MD!$A$3,MD!$A$2)))</f>
        <v>Mandatory for optional feature</v>
      </c>
      <c r="E89" t="str">
        <f>IF('HIDDEN import'!F89=0,"",'HIDDEN import'!F89)</f>
        <v>C-09.1 and (C-51 or NOT C-09.6)</v>
      </c>
      <c r="F89" t="str">
        <f>IF('HIDDEN import'!G89=0,"",'HIDDEN import'!G89)</f>
        <v/>
      </c>
      <c r="G89" s="181" t="str">
        <f>IFERROR(VLOOKUP($A89,'HIDDEN Testrun Results'!$A:$B,2,FALSE),"")</f>
        <v/>
      </c>
      <c r="H89" s="11" t="b">
        <f t="shared" si="1"/>
        <v>0</v>
      </c>
      <c r="I89" s="11" t="b">
        <f>IF(VLOOKUP(A89&amp;" "&amp;B89,'HIDDEN import'!A:G,5,FALSE)="M",TRUE,IFERROR(VLOOKUP(E89,'Optional features'!B:D,3,FALSE)="Yes",IFERROR(VLOOKUP(E89,'HIDDEN calc sheet'!A:B,2,FALSE),IFERROR(VLOOKUP(E89,'Additional questions'!B:D,3,FALSE)="Yes",VLOOKUP(E89,'Hardware Feature set'!B:D,3,FALSE)="No"))))</f>
        <v>0</v>
      </c>
      <c r="J89" s="11" t="b">
        <f>IF(VLOOKUP(B89,'Profile selection'!B:C,2,FALSE)="Yes",TRUE,FALSE)</f>
        <v>1</v>
      </c>
      <c r="K89" s="53"/>
      <c r="L89" s="53"/>
    </row>
    <row r="90" spans="1:12" x14ac:dyDescent="0.25">
      <c r="A90" t="str">
        <f>'HIDDEN import'!B90</f>
        <v>TC_E_10_CS</v>
      </c>
      <c r="B90" t="str">
        <f>'HIDDEN import'!C90</f>
        <v>Core</v>
      </c>
      <c r="C90" t="str">
        <f>'HIDDEN import'!D90</f>
        <v>Start transaction options - Authorized - Local</v>
      </c>
      <c r="D90" t="str">
        <f>IF(VLOOKUP(A90&amp;" "&amp;B90,'HIDDEN import'!A:G,5,FALSE)="M",MD!$A$1,(IF(AND(VLOOKUP(A90,'HIDDEN import'!B:E,4,FALSE)="C",OR(NOT(ISERROR(VLOOKUP(E90,'Optional features'!B:D,1,FALSE)=E90)),NOT(ISERROR(VLOOKUP(E90,'HIDDEN calc sheet'!A:C,1,FALSE)=E90)))),MD!$A$3,MD!$A$2)))</f>
        <v>Mandatory for optional feature</v>
      </c>
      <c r="E90" t="str">
        <f>IF('HIDDEN import'!F90=0,"",'HIDDEN import'!F90)</f>
        <v>C-09.2 and (C-30 - C-35 or ISO 15118 support)</v>
      </c>
      <c r="F90" t="str">
        <f>IF('HIDDEN import'!G90=0,"",'HIDDEN import'!G90)</f>
        <v>Supported Transaction Start Points &amp; Authorization options for local start &amp; Authorization - eMAID</v>
      </c>
      <c r="G90" s="181" t="str">
        <f>IFERROR(VLOOKUP($A90,'HIDDEN Testrun Results'!$A:$B,2,FALSE),"")</f>
        <v/>
      </c>
      <c r="H90" s="11" t="b">
        <f t="shared" si="1"/>
        <v>0</v>
      </c>
      <c r="I90" s="11" t="b">
        <f>IF(VLOOKUP(A90&amp;" "&amp;B90,'HIDDEN import'!A:G,5,FALSE)="M",TRUE,IFERROR(VLOOKUP(E90,'Optional features'!B:D,3,FALSE)="Yes",IFERROR(VLOOKUP(E90,'HIDDEN calc sheet'!A:B,2,FALSE),IFERROR(VLOOKUP(E90,'Additional questions'!B:D,3,FALSE)="Yes",VLOOKUP(E90,'Hardware Feature set'!B:D,3,FALSE)="No"))))</f>
        <v>0</v>
      </c>
      <c r="J90" s="11" t="b">
        <f>IF(VLOOKUP(B90,'Profile selection'!B:C,2,FALSE)="Yes",TRUE,FALSE)</f>
        <v>1</v>
      </c>
      <c r="K90" s="53"/>
      <c r="L90" s="53"/>
    </row>
    <row r="91" spans="1:12" x14ac:dyDescent="0.25">
      <c r="A91" t="str">
        <f>'HIDDEN import'!B91</f>
        <v>TC_E_13_CS</v>
      </c>
      <c r="B91" t="str">
        <f>'HIDDEN import'!C91</f>
        <v>Core</v>
      </c>
      <c r="C91" t="str">
        <f>'HIDDEN import'!D91</f>
        <v>Start transaction options - Authorized - Remote</v>
      </c>
      <c r="D91" t="str">
        <f>IF(VLOOKUP(A91&amp;" "&amp;B91,'HIDDEN import'!A:G,5,FALSE)="M",MD!$A$1,(IF(AND(VLOOKUP(A91,'HIDDEN import'!B:E,4,FALSE)="C",OR(NOT(ISERROR(VLOOKUP(E91,'Optional features'!B:D,1,FALSE)=E91)),NOT(ISERROR(VLOOKUP(E91,'HIDDEN calc sheet'!A:C,1,FALSE)=E91)))),MD!$A$3,MD!$A$2)))</f>
        <v>Mandatory for optional feature</v>
      </c>
      <c r="E91" t="str">
        <f>IF('HIDDEN import'!F91=0,"",'HIDDEN import'!F91)</f>
        <v>C-09.2</v>
      </c>
      <c r="F91" t="str">
        <f>IF('HIDDEN import'!G91=0,"",'HIDDEN import'!G91)</f>
        <v>Supported Transaction Start points</v>
      </c>
      <c r="G91" s="181" t="str">
        <f>IFERROR(VLOOKUP($A91,'HIDDEN Testrun Results'!$A:$B,2,FALSE),"")</f>
        <v/>
      </c>
      <c r="H91" s="11" t="b">
        <f t="shared" si="1"/>
        <v>0</v>
      </c>
      <c r="I91" s="11" t="b">
        <f>IF(VLOOKUP(A91&amp;" "&amp;B91,'HIDDEN import'!A:G,5,FALSE)="M",TRUE,IFERROR(VLOOKUP(E91,'Optional features'!B:D,3,FALSE)="Yes",IFERROR(VLOOKUP(E91,'HIDDEN calc sheet'!A:B,2,FALSE),IFERROR(VLOOKUP(E91,'Additional questions'!B:D,3,FALSE)="Yes",VLOOKUP(E91,'Hardware Feature set'!B:D,3,FALSE)="No"))))</f>
        <v>0</v>
      </c>
      <c r="J91" s="11" t="b">
        <f>IF(VLOOKUP(B91,'Profile selection'!B:C,2,FALSE)="Yes",TRUE,FALSE)</f>
        <v>1</v>
      </c>
      <c r="K91" s="53"/>
      <c r="L91" s="53"/>
    </row>
    <row r="92" spans="1:12" x14ac:dyDescent="0.25">
      <c r="A92" t="str">
        <f>'HIDDEN import'!B92</f>
        <v>TC_E_11_CS</v>
      </c>
      <c r="B92" t="str">
        <f>'HIDDEN import'!C92</f>
        <v>Core</v>
      </c>
      <c r="C92" t="str">
        <f>'HIDDEN import'!D92</f>
        <v>Start transaction options - DataSigned</v>
      </c>
      <c r="D92" t="str">
        <f>IF(VLOOKUP(A92&amp;" "&amp;B92,'HIDDEN import'!A:G,5,FALSE)="M",MD!$A$1,(IF(AND(VLOOKUP(A92,'HIDDEN import'!B:E,4,FALSE)="C",OR(NOT(ISERROR(VLOOKUP(E92,'Optional features'!B:D,1,FALSE)=E92)),NOT(ISERROR(VLOOKUP(E92,'HIDDEN calc sheet'!A:C,1,FALSE)=E92)))),MD!$A$3,MD!$A$2)))</f>
        <v>Mandatory for optional feature</v>
      </c>
      <c r="E92" t="str">
        <f>IF('HIDDEN import'!F92=0,"",'HIDDEN import'!F92)</f>
        <v>C-09.3 and (C-51 or NOT (C-09.1 or C-09.2 or C-09.6))</v>
      </c>
      <c r="F92" t="str">
        <f>IF('HIDDEN import'!G92=0,"",'HIDDEN import'!G92)</f>
        <v>Supported Transaction Start points</v>
      </c>
      <c r="G92" s="181" t="str">
        <f>IFERROR(VLOOKUP($A92,'HIDDEN Testrun Results'!$A:$B,2,FALSE),"")</f>
        <v/>
      </c>
      <c r="H92" s="11" t="b">
        <f t="shared" si="1"/>
        <v>0</v>
      </c>
      <c r="I92" s="11" t="b">
        <f>IF(VLOOKUP(A92&amp;" "&amp;B92,'HIDDEN import'!A:G,5,FALSE)="M",TRUE,IFERROR(VLOOKUP(E92,'Optional features'!B:D,3,FALSE)="Yes",IFERROR(VLOOKUP(E92,'HIDDEN calc sheet'!A:B,2,FALSE),IFERROR(VLOOKUP(E92,'Additional questions'!B:D,3,FALSE)="Yes",VLOOKUP(E92,'Hardware Feature set'!B:D,3,FALSE)="No"))))</f>
        <v>0</v>
      </c>
      <c r="J92" s="11" t="b">
        <f>IF(VLOOKUP(B92,'Profile selection'!B:C,2,FALSE)="Yes",TRUE,FALSE)</f>
        <v>1</v>
      </c>
      <c r="K92" s="53"/>
      <c r="L92" s="53"/>
    </row>
    <row r="93" spans="1:12" x14ac:dyDescent="0.25">
      <c r="A93" t="str">
        <f>'HIDDEN import'!B93</f>
        <v>TC_E_01_CS</v>
      </c>
      <c r="B93" t="str">
        <f>'HIDDEN import'!C93</f>
        <v>Core</v>
      </c>
      <c r="C93" t="str">
        <f>'HIDDEN import'!D93</f>
        <v>Start transaction options - PowerPathClosed</v>
      </c>
      <c r="D93" t="str">
        <f>IF(VLOOKUP(A93&amp;" "&amp;B93,'HIDDEN import'!A:G,5,FALSE)="M",MD!$A$1,(IF(AND(VLOOKUP(A93,'HIDDEN import'!B:E,4,FALSE)="C",OR(NOT(ISERROR(VLOOKUP(E93,'Optional features'!B:D,1,FALSE)=E93)),NOT(ISERROR(VLOOKUP(E93,'HIDDEN calc sheet'!A:C,1,FALSE)=E93)))),MD!$A$3,MD!$A$2)))</f>
        <v>Mandatory for optional feature</v>
      </c>
      <c r="E93" t="str">
        <f>IF('HIDDEN import'!F93=0,"",'HIDDEN import'!F93)</f>
        <v>C-09.4 and (C-51 or NOT (C-09.1 or C-09.2 or C-09.3 or C-09.6))</v>
      </c>
      <c r="F93" t="str">
        <f>IF('HIDDEN import'!G93=0,"",'HIDDEN import'!G93)</f>
        <v>Supported Transaction Start points</v>
      </c>
      <c r="G93" s="181" t="str">
        <f>IFERROR(VLOOKUP($A93,'HIDDEN Testrun Results'!$A:$B,2,FALSE),"")</f>
        <v/>
      </c>
      <c r="H93" s="11" t="b">
        <f t="shared" si="1"/>
        <v>1</v>
      </c>
      <c r="I93" s="11" t="b">
        <f>IF(VLOOKUP(A93&amp;" "&amp;B93,'HIDDEN import'!A:G,5,FALSE)="M",TRUE,IFERROR(VLOOKUP(E93,'Optional features'!B:D,3,FALSE)="Yes",IFERROR(VLOOKUP(E93,'HIDDEN calc sheet'!A:B,2,FALSE),IFERROR(VLOOKUP(E93,'Additional questions'!B:D,3,FALSE)="Yes",VLOOKUP(E93,'Hardware Feature set'!B:D,3,FALSE)="No"))))</f>
        <v>1</v>
      </c>
      <c r="J93" s="11" t="b">
        <f>IF(VLOOKUP(B93,'Profile selection'!B:C,2,FALSE)="Yes",TRUE,FALSE)</f>
        <v>1</v>
      </c>
      <c r="K93" s="53"/>
      <c r="L93" s="53"/>
    </row>
    <row r="94" spans="1:12" x14ac:dyDescent="0.25">
      <c r="A94" t="str">
        <f>'HIDDEN import'!B94</f>
        <v>TC_E_02_CS</v>
      </c>
      <c r="B94" t="str">
        <f>'HIDDEN import'!C94</f>
        <v>Core</v>
      </c>
      <c r="C94" t="str">
        <f>'HIDDEN import'!D94</f>
        <v>Start transaction options - EnergyTransfer</v>
      </c>
      <c r="D94" t="str">
        <f>IF(VLOOKUP(A94&amp;" "&amp;B94,'HIDDEN import'!A:G,5,FALSE)="M",MD!$A$1,(IF(AND(VLOOKUP(A94,'HIDDEN import'!B:E,4,FALSE)="C",OR(NOT(ISERROR(VLOOKUP(E94,'Optional features'!B:D,1,FALSE)=E94)),NOT(ISERROR(VLOOKUP(E94,'HIDDEN calc sheet'!A:C,1,FALSE)=E94)))),MD!$A$3,MD!$A$2)))</f>
        <v>Mandatory for optional feature</v>
      </c>
      <c r="E94" t="str">
        <f>IF('HIDDEN import'!F94=0,"",'HIDDEN import'!F94)</f>
        <v>C-09.5 and (C-51 or NOT (C-09.1 or C-09.2 or C-09.3 or C-09.4 or C-09.6))</v>
      </c>
      <c r="F94" t="str">
        <f>IF('HIDDEN import'!G94=0,"",'HIDDEN import'!G94)</f>
        <v>Supported Transaction Start points</v>
      </c>
      <c r="G94" s="181" t="str">
        <f>IFERROR(VLOOKUP($A94,'HIDDEN Testrun Results'!$A:$B,2,FALSE),"")</f>
        <v/>
      </c>
      <c r="H94" s="11" t="b">
        <f t="shared" si="1"/>
        <v>0</v>
      </c>
      <c r="I94" s="11" t="b">
        <f>IF(VLOOKUP(A94&amp;" "&amp;B94,'HIDDEN import'!A:G,5,FALSE)="M",TRUE,IFERROR(VLOOKUP(E94,'Optional features'!B:D,3,FALSE)="Yes",IFERROR(VLOOKUP(E94,'HIDDEN calc sheet'!A:B,2,FALSE),IFERROR(VLOOKUP(E94,'Additional questions'!B:D,3,FALSE)="Yes",VLOOKUP(E94,'Hardware Feature set'!B:D,3,FALSE)="No"))))</f>
        <v>0</v>
      </c>
      <c r="J94" s="11" t="b">
        <f>IF(VLOOKUP(B94,'Profile selection'!B:C,2,FALSE)="Yes",TRUE,FALSE)</f>
        <v>1</v>
      </c>
      <c r="K94" s="53"/>
      <c r="L94" s="53"/>
    </row>
    <row r="95" spans="1:12" x14ac:dyDescent="0.25">
      <c r="A95" t="str">
        <f>'HIDDEN import'!B95</f>
        <v>TC_E_12_CS</v>
      </c>
      <c r="B95" t="str">
        <f>'HIDDEN import'!C95</f>
        <v>Core</v>
      </c>
      <c r="C95" t="str">
        <f>'HIDDEN import'!D95</f>
        <v>Start transaction options - ParkingBayOccupied</v>
      </c>
      <c r="D95" t="str">
        <f>IF(VLOOKUP(A95&amp;" "&amp;B95,'HIDDEN import'!A:G,5,FALSE)="M",MD!$A$1,(IF(AND(VLOOKUP(A95,'HIDDEN import'!B:E,4,FALSE)="C",OR(NOT(ISERROR(VLOOKUP(E95,'Optional features'!B:D,1,FALSE)=E95)),NOT(ISERROR(VLOOKUP(E95,'HIDDEN calc sheet'!A:C,1,FALSE)=E95)))),MD!$A$3,MD!$A$2)))</f>
        <v>Mandatory for optional feature</v>
      </c>
      <c r="E95" t="str">
        <f>IF('HIDDEN import'!F95=0,"",'HIDDEN import'!F95)</f>
        <v>C-09.6</v>
      </c>
      <c r="F95" t="str">
        <f>IF('HIDDEN import'!G95=0,"",'HIDDEN import'!G95)</f>
        <v>Supported Transaction Start points</v>
      </c>
      <c r="G95" s="181" t="str">
        <f>IFERROR(VLOOKUP($A95,'HIDDEN Testrun Results'!$A:$B,2,FALSE),"")</f>
        <v/>
      </c>
      <c r="H95" s="11" t="b">
        <f t="shared" si="1"/>
        <v>0</v>
      </c>
      <c r="I95" s="11" t="b">
        <f>IF(VLOOKUP(A95&amp;" "&amp;B95,'HIDDEN import'!A:G,5,FALSE)="M",TRUE,IFERROR(VLOOKUP(E95,'Optional features'!B:D,3,FALSE)="Yes",IFERROR(VLOOKUP(E95,'HIDDEN calc sheet'!A:B,2,FALSE),IFERROR(VLOOKUP(E95,'Additional questions'!B:D,3,FALSE)="Yes",VLOOKUP(E95,'Hardware Feature set'!B:D,3,FALSE)="No"))))</f>
        <v>0</v>
      </c>
      <c r="J95" s="11" t="b">
        <f>IF(VLOOKUP(B95,'Profile selection'!B:C,2,FALSE)="Yes",TRUE,FALSE)</f>
        <v>1</v>
      </c>
      <c r="K95" s="53"/>
      <c r="L95" s="53"/>
    </row>
    <row r="96" spans="1:12" x14ac:dyDescent="0.25">
      <c r="A96" t="str">
        <f>'HIDDEN import'!B96</f>
        <v>TC_E_14_CS</v>
      </c>
      <c r="B96" t="str">
        <f>'HIDDEN import'!C96</f>
        <v>Core</v>
      </c>
      <c r="C96" t="str">
        <f>'HIDDEN import'!D96</f>
        <v>Stop transaction options - EVDisconnected - Charging Station side</v>
      </c>
      <c r="D96" t="str">
        <f>IF(VLOOKUP(A96&amp;" "&amp;B96,'HIDDEN import'!A:G,5,FALSE)="M",MD!$A$1,(IF(AND(VLOOKUP(A96,'HIDDEN import'!B:E,4,FALSE)="C",OR(NOT(ISERROR(VLOOKUP(E96,'Optional features'!B:D,1,FALSE)=E96)),NOT(ISERROR(VLOOKUP(E96,'HIDDEN calc sheet'!A:C,1,FALSE)=E96)))),MD!$A$3,MD!$A$2)))</f>
        <v>Mandatory for optional feature</v>
      </c>
      <c r="E96" t="str">
        <f>IF('HIDDEN import'!F96=0,"",'HIDDEN import'!F96)</f>
        <v>HFS-1 and C-10.1 and (C-52 or NOT (C-10.2 or C-10.3 or C-10.4))</v>
      </c>
      <c r="F96" t="str">
        <f>IF('HIDDEN import'!G96=0,"",'HIDDEN import'!G96)</f>
        <v>Supported Transaction Stop points</v>
      </c>
      <c r="G96" s="181" t="str">
        <f>IFERROR(VLOOKUP($A96,'HIDDEN Testrun Results'!$A:$B,2,FALSE),"")</f>
        <v/>
      </c>
      <c r="H96" s="11" t="b">
        <f t="shared" si="1"/>
        <v>0</v>
      </c>
      <c r="I96" s="11" t="b">
        <f>IF(VLOOKUP(A96&amp;" "&amp;B96,'HIDDEN import'!A:G,5,FALSE)="M",TRUE,IFERROR(VLOOKUP(E96,'Optional features'!B:D,3,FALSE)="Yes",IFERROR(VLOOKUP(E96,'HIDDEN calc sheet'!A:B,2,FALSE),IFERROR(VLOOKUP(E96,'Additional questions'!B:D,3,FALSE)="Yes",VLOOKUP(E96,'Hardware Feature set'!B:D,3,FALSE)="No"))))</f>
        <v>0</v>
      </c>
      <c r="J96" s="11" t="b">
        <f>IF(VLOOKUP(B96,'Profile selection'!B:C,2,FALSE)="Yes",TRUE,FALSE)</f>
        <v>1</v>
      </c>
      <c r="K96" s="53"/>
      <c r="L96" s="53"/>
    </row>
    <row r="97" spans="1:12" x14ac:dyDescent="0.25">
      <c r="A97" t="str">
        <f>'HIDDEN import'!B97</f>
        <v>TC_E_20_CS</v>
      </c>
      <c r="B97" t="str">
        <f>'HIDDEN import'!C97</f>
        <v>Core</v>
      </c>
      <c r="C97" t="str">
        <f>'HIDDEN import'!D97</f>
        <v>Stop transaction options - EVDisconnected - EV side (able to charge IEC 61851-1 EV)</v>
      </c>
      <c r="D97" t="str">
        <f>IF(VLOOKUP(A97&amp;" "&amp;B97,'HIDDEN import'!A:G,5,FALSE)="M",MD!$A$1,(IF(AND(VLOOKUP(A97,'HIDDEN import'!B:E,4,FALSE)="C",OR(NOT(ISERROR(VLOOKUP(E97,'Optional features'!B:D,1,FALSE)=E97)),NOT(ISERROR(VLOOKUP(E97,'HIDDEN calc sheet'!A:C,1,FALSE)=E97)))),MD!$A$3,MD!$A$2)))</f>
        <v>Mandatory for optional feature</v>
      </c>
      <c r="E97" t="str">
        <f>IF('HIDDEN import'!F97=0,"",'HIDDEN import'!F97)</f>
        <v>(C-10.1 AND (NOT (NOT C-52 AND (C-10.3 or C-10.4))) AND NOT (NOT C.06.1 AND NOT C-52 AND C-10.2)) AND (AQ-9 OR Product Subtype "Mode 1/2-only Charging Station")</v>
      </c>
      <c r="F97" t="str">
        <f>IF('HIDDEN import'!G97=0,"",'HIDDEN import'!G97)</f>
        <v>Supported Transaction Stop points</v>
      </c>
      <c r="G97" s="181" t="str">
        <f>IFERROR(VLOOKUP($A97,'HIDDEN Testrun Results'!$A:$B,2,FALSE),"")</f>
        <v/>
      </c>
      <c r="H97" s="11" t="b">
        <f t="shared" si="1"/>
        <v>0</v>
      </c>
      <c r="I97" s="11" t="b">
        <f>IF(VLOOKUP(A97&amp;" "&amp;B97,'HIDDEN import'!A:G,5,FALSE)="M",TRUE,IFERROR(VLOOKUP(E97,'Optional features'!B:D,3,FALSE)="Yes",IFERROR(VLOOKUP(E97,'HIDDEN calc sheet'!A:B,2,FALSE),IFERROR(VLOOKUP(E97,'Additional questions'!B:D,3,FALSE)="Yes",VLOOKUP(E97,'Hardware Feature set'!B:D,3,FALSE)="No"))))</f>
        <v>0</v>
      </c>
      <c r="J97" s="11" t="b">
        <f>IF(VLOOKUP(B97,'Profile selection'!B:C,2,FALSE)="Yes",TRUE,FALSE)</f>
        <v>1</v>
      </c>
      <c r="K97" s="53"/>
      <c r="L97" s="53"/>
    </row>
    <row r="98" spans="1:12" x14ac:dyDescent="0.25">
      <c r="A98" t="str">
        <f>'HIDDEN import'!B98</f>
        <v>TC_E_54_CS</v>
      </c>
      <c r="B98" t="str">
        <f>'HIDDEN import'!C98</f>
        <v>Core</v>
      </c>
      <c r="C98" t="str">
        <f>'HIDDEN import'!D98</f>
        <v>Stop transaction options - EVDisconnected - EV side (not able to charge IEC 61851-1 EV)</v>
      </c>
      <c r="D98" t="str">
        <f>IF(VLOOKUP(A98&amp;" "&amp;B98,'HIDDEN import'!A:G,5,FALSE)="M",MD!$A$1,(IF(AND(VLOOKUP(A98,'HIDDEN import'!B:E,4,FALSE)="C",OR(NOT(ISERROR(VLOOKUP(E98,'Optional features'!B:D,1,FALSE)=E98)),NOT(ISERROR(VLOOKUP(E98,'HIDDEN calc sheet'!A:C,1,FALSE)=E98)))),MD!$A$3,MD!$A$2)))</f>
        <v>Mandatory for optional feature</v>
      </c>
      <c r="E98" t="str">
        <f>IF('HIDDEN import'!F98=0,"",'HIDDEN import'!F98)</f>
        <v>C-10.1 AND (NOT (NOT C-52 AND (C-10.2 or C-10.3 or C-10.4))) AND (HFS-4 OR ISO15118 support) AND NOT Product Subtype "Mode 1/2-only Charging Station"</v>
      </c>
      <c r="F98" t="str">
        <f>IF('HIDDEN import'!G98=0,"",'HIDDEN import'!G98)</f>
        <v>Supported Transaction Stop points</v>
      </c>
      <c r="G98" s="181" t="str">
        <f>IFERROR(VLOOKUP($A98,'HIDDEN Testrun Results'!$A:$B,2,FALSE),"")</f>
        <v/>
      </c>
      <c r="H98" s="11" t="b">
        <f>IF(NOT(J98),FALSE,IF(NOT(ISLOGICAL(I98)),I98,AND(I98,J98)))</f>
        <v>0</v>
      </c>
      <c r="I98" s="11" t="b">
        <f>IF(VLOOKUP(A98&amp;" "&amp;B98,'HIDDEN import'!A:G,5,FALSE)="M",TRUE,IFERROR(VLOOKUP(E98,'Optional features'!B:D,3,FALSE)="Yes",IFERROR(VLOOKUP(E98,'HIDDEN calc sheet'!A:B,2,FALSE),IFERROR(VLOOKUP(E98,'Additional questions'!B:D,3,FALSE)="Yes",VLOOKUP(E98,'Hardware Feature set'!B:D,3,FALSE)="No"))))</f>
        <v>0</v>
      </c>
      <c r="J98" s="11" t="b">
        <f>IF(VLOOKUP(B98,'Profile selection'!B:C,2,FALSE)="Yes",TRUE,FALSE)</f>
        <v>1</v>
      </c>
      <c r="K98" s="53"/>
      <c r="L98" s="53"/>
    </row>
    <row r="99" spans="1:12" x14ac:dyDescent="0.25">
      <c r="A99" t="str">
        <f>'HIDDEN import'!B99</f>
        <v>TC_E_15_CS</v>
      </c>
      <c r="B99" t="str">
        <f>'HIDDEN import'!C99</f>
        <v>Core</v>
      </c>
      <c r="C99" t="str">
        <f>'HIDDEN import'!D99</f>
        <v>Stop transaction options - StopAuthorized - Local</v>
      </c>
      <c r="D99" t="str">
        <f>IF(VLOOKUP(A99&amp;" "&amp;B99,'HIDDEN import'!A:G,5,FALSE)="M",MD!$A$1,(IF(AND(VLOOKUP(A99,'HIDDEN import'!B:E,4,FALSE)="C",OR(NOT(ISERROR(VLOOKUP(E99,'Optional features'!B:D,1,FALSE)=E99)),NOT(ISERROR(VLOOKUP(E99,'HIDDEN calc sheet'!A:C,1,FALSE)=E99)))),MD!$A$3,MD!$A$2)))</f>
        <v>Mandatory for optional feature</v>
      </c>
      <c r="E99" t="str">
        <f>IF('HIDDEN import'!F99=0,"",'HIDDEN import'!F99)</f>
        <v>C-10.2 and (C-30 or C-31 or C-32 or C35)</v>
      </c>
      <c r="F99" t="str">
        <f>IF('HIDDEN import'!G99=0,"",'HIDDEN import'!G99)</f>
        <v>Supported Transaction Stop Points &amp; Local Authorization - using RFID ISO14443 / RFID ISO15693 / KeyCode / NoAuthorization</v>
      </c>
      <c r="G99" s="181" t="str">
        <f>IFERROR(VLOOKUP($A99,'HIDDEN Testrun Results'!$A:$B,2,FALSE),"")</f>
        <v/>
      </c>
      <c r="H99" s="11" t="b">
        <f t="shared" si="1"/>
        <v>1</v>
      </c>
      <c r="I99" s="11" t="b">
        <f>IF(VLOOKUP(A99&amp;" "&amp;B99,'HIDDEN import'!A:G,5,FALSE)="M",TRUE,IFERROR(VLOOKUP(E99,'Optional features'!B:D,3,FALSE)="Yes",IFERROR(VLOOKUP(E99,'HIDDEN calc sheet'!A:B,2,FALSE),IFERROR(VLOOKUP(E99,'Additional questions'!B:D,3,FALSE)="Yes",VLOOKUP(E99,'Hardware Feature set'!B:D,3,FALSE)="No"))))</f>
        <v>1</v>
      </c>
      <c r="J99" s="11" t="b">
        <f>IF(VLOOKUP(B99,'Profile selection'!B:C,2,FALSE)="Yes",TRUE,FALSE)</f>
        <v>1</v>
      </c>
      <c r="K99" s="53"/>
      <c r="L99" s="53"/>
    </row>
    <row r="100" spans="1:12" x14ac:dyDescent="0.25">
      <c r="A100" t="str">
        <f>'HIDDEN import'!B100</f>
        <v>TC_E_21_CS</v>
      </c>
      <c r="B100" t="str">
        <f>'HIDDEN import'!C100</f>
        <v>Core</v>
      </c>
      <c r="C100" t="str">
        <f>'HIDDEN import'!D100</f>
        <v>Stop transaction options - StopAuthorized - Remote</v>
      </c>
      <c r="D100" t="str">
        <f>IF(VLOOKUP(A100&amp;" "&amp;B100,'HIDDEN import'!A:G,5,FALSE)="M",MD!$A$1,(IF(AND(VLOOKUP(A100,'HIDDEN import'!B:E,4,FALSE)="C",OR(NOT(ISERROR(VLOOKUP(E100,'Optional features'!B:D,1,FALSE)=E100)),NOT(ISERROR(VLOOKUP(E100,'HIDDEN calc sheet'!A:C,1,FALSE)=E100)))),MD!$A$3,MD!$A$2)))</f>
        <v>Mandatory for optional feature</v>
      </c>
      <c r="E100" t="str">
        <f>IF('HIDDEN import'!F100=0,"",'HIDDEN import'!F100)</f>
        <v>C-10.2</v>
      </c>
      <c r="F100" t="str">
        <f>IF('HIDDEN import'!G100=0,"",'HIDDEN import'!G100)</f>
        <v>Supported Transaction Stop points</v>
      </c>
      <c r="G100" s="181" t="str">
        <f>IFERROR(VLOOKUP($A100,'HIDDEN Testrun Results'!$A:$B,2,FALSE),"")</f>
        <v/>
      </c>
      <c r="H100" s="11" t="b">
        <f t="shared" si="1"/>
        <v>1</v>
      </c>
      <c r="I100" s="11" t="b">
        <f>IF(VLOOKUP(A100&amp;" "&amp;B100,'HIDDEN import'!A:G,5,FALSE)="M",TRUE,IFERROR(VLOOKUP(E100,'Optional features'!B:D,3,FALSE)="Yes",IFERROR(VLOOKUP(E100,'HIDDEN calc sheet'!A:B,2,FALSE),IFERROR(VLOOKUP(E100,'Additional questions'!B:D,3,FALSE)="Yes",VLOOKUP(E100,'Hardware Feature set'!B:D,3,FALSE)="No"))))</f>
        <v>1</v>
      </c>
      <c r="J100" s="11" t="b">
        <f>IF(VLOOKUP(B100,'Profile selection'!B:C,2,FALSE)="Yes",TRUE,FALSE)</f>
        <v>1</v>
      </c>
      <c r="K100" s="53"/>
      <c r="L100" s="53"/>
    </row>
    <row r="101" spans="1:12" x14ac:dyDescent="0.25">
      <c r="A101" t="str">
        <f>'HIDDEN import'!B101</f>
        <v>TC_E_16_CS</v>
      </c>
      <c r="B101" t="str">
        <f>'HIDDEN import'!C101</f>
        <v>Core</v>
      </c>
      <c r="C101" t="str">
        <f>'HIDDEN import'!D101</f>
        <v>Stop transaction options - Deauthorized - Invalid idToken</v>
      </c>
      <c r="D101" t="str">
        <f>IF(VLOOKUP(A101&amp;" "&amp;B101,'HIDDEN import'!A:G,5,FALSE)="M",MD!$A$1,(IF(AND(VLOOKUP(A101,'HIDDEN import'!B:E,4,FALSE)="C",OR(NOT(ISERROR(VLOOKUP(E101,'Optional features'!B:D,1,FALSE)=E101)),NOT(ISERROR(VLOOKUP(E101,'HIDDEN calc sheet'!A:C,1,FALSE)=E101)))),MD!$A$3,MD!$A$2)))</f>
        <v>Mandatory for optional feature</v>
      </c>
      <c r="E101" t="str">
        <f>IF('HIDDEN import'!F101=0,"",'HIDDEN import'!F101)</f>
        <v>(C-10.2 or C-10.3) and (C-30 - C-32 or ISO 15118 support) and C-01</v>
      </c>
      <c r="F101" t="str">
        <f>IF('HIDDEN import'!G101=0,"",'HIDDEN import'!G101)</f>
        <v>Supported Transaction Stop Points &amp; Local Authorization options for local start &amp; Authorization - eMAID</v>
      </c>
      <c r="G101" s="181" t="str">
        <f>IFERROR(VLOOKUP($A101,'HIDDEN Testrun Results'!$A:$B,2,FALSE),"")</f>
        <v/>
      </c>
      <c r="H101" s="11" t="b">
        <f t="shared" si="1"/>
        <v>1</v>
      </c>
      <c r="I101" s="11" t="b">
        <f>IF(VLOOKUP(A101&amp;" "&amp;B101,'HIDDEN import'!A:G,5,FALSE)="M",TRUE,IFERROR(VLOOKUP(E101,'Optional features'!B:D,3,FALSE)="Yes",IFERROR(VLOOKUP(E101,'HIDDEN calc sheet'!A:B,2,FALSE),IFERROR(VLOOKUP(E101,'Additional questions'!B:D,3,FALSE)="Yes",VLOOKUP(E101,'Hardware Feature set'!B:D,3,FALSE)="No"))))</f>
        <v>1</v>
      </c>
      <c r="J101" s="11" t="b">
        <f>IF(VLOOKUP(B101,'Profile selection'!B:C,2,FALSE)="Yes",TRUE,FALSE)</f>
        <v>1</v>
      </c>
      <c r="K101" s="53"/>
      <c r="L101" s="53"/>
    </row>
    <row r="102" spans="1:12" x14ac:dyDescent="0.25">
      <c r="A102" t="str">
        <f>'HIDDEN import'!B102</f>
        <v>TC_E_17_CS</v>
      </c>
      <c r="B102" t="str">
        <f>'HIDDEN import'!C102</f>
        <v>Core</v>
      </c>
      <c r="C102" t="str">
        <f>'HIDDEN import'!D102</f>
        <v>Stop transaction options - Deauthorized - EV side disconnect</v>
      </c>
      <c r="D102" t="str">
        <f>IF(VLOOKUP(A102&amp;" "&amp;B102,'HIDDEN import'!A:G,5,FALSE)="M",MD!$A$1,(IF(AND(VLOOKUP(A102,'HIDDEN import'!B:E,4,FALSE)="C",OR(NOT(ISERROR(VLOOKUP(E102,'Optional features'!B:D,1,FALSE)=E102)),NOT(ISERROR(VLOOKUP(E102,'HIDDEN calc sheet'!A:C,1,FALSE)=E102)))),MD!$A$3,MD!$A$2)))</f>
        <v>Mandatory for optional feature</v>
      </c>
      <c r="E102" t="str">
        <f>IF('HIDDEN import'!F102=0,"",'HIDDEN import'!F102)</f>
        <v>C-10.2 and C-06.2 and AQ-9 and NOT (NOT C-52 AND (10.1 OR C-10.3 OR 10.4))</v>
      </c>
      <c r="F102" t="str">
        <f>IF('HIDDEN import'!G102=0,"",'HIDDEN import'!G102)</f>
        <v>Supported Transaction Stop points</v>
      </c>
      <c r="G102" s="181" t="str">
        <f>IFERROR(VLOOKUP($A102,'HIDDEN Testrun Results'!$A:$B,2,FALSE),"")</f>
        <v/>
      </c>
      <c r="H102" s="11" t="b">
        <f t="shared" si="1"/>
        <v>0</v>
      </c>
      <c r="I102" s="11" t="b">
        <f>IF(VLOOKUP(A102&amp;" "&amp;B102,'HIDDEN import'!A:G,5,FALSE)="M",TRUE,IFERROR(VLOOKUP(E102,'Optional features'!B:D,3,FALSE)="Yes",IFERROR(VLOOKUP(E102,'HIDDEN calc sheet'!A:B,2,FALSE),IFERROR(VLOOKUP(E102,'Additional questions'!B:D,3,FALSE)="Yes",VLOOKUP(E102,'Hardware Feature set'!B:D,3,FALSE)="No"))))</f>
        <v>0</v>
      </c>
      <c r="J102" s="11" t="b">
        <f>IF(VLOOKUP(B102,'Profile selection'!B:C,2,FALSE)="Yes",TRUE,FALSE)</f>
        <v>1</v>
      </c>
      <c r="K102" s="53"/>
      <c r="L102" s="53"/>
    </row>
    <row r="103" spans="1:12" x14ac:dyDescent="0.25">
      <c r="A103" t="str">
        <f>'HIDDEN import'!B103</f>
        <v>TC_E_39_CS</v>
      </c>
      <c r="B103" t="str">
        <f>'HIDDEN import'!C103</f>
        <v>Core</v>
      </c>
      <c r="C103" t="str">
        <f>'HIDDEN import'!D103</f>
        <v>Stop transaction options - Deauthorized - timeout</v>
      </c>
      <c r="D103" t="str">
        <f>IF(VLOOKUP(A103&amp;" "&amp;B103,'HIDDEN import'!A:G,5,FALSE)="M",MD!$A$1,(IF(AND(VLOOKUP(A103,'HIDDEN import'!B:E,4,FALSE)="C",OR(NOT(ISERROR(VLOOKUP(E103,'Optional features'!B:D,1,FALSE)=E103)),NOT(ISERROR(VLOOKUP(E103,'HIDDEN calc sheet'!A:C,1,FALSE)=E103)))),MD!$A$3,MD!$A$2)))</f>
        <v>Mandatory test for a mandatory feature</v>
      </c>
      <c r="E103" t="str">
        <f>IF('HIDDEN import'!F103=0,"",'HIDDEN import'!F103)</f>
        <v/>
      </c>
      <c r="F103" t="str">
        <f>IF('HIDDEN import'!G103=0,"",'HIDDEN import'!G103)</f>
        <v/>
      </c>
      <c r="G103" s="181" t="str">
        <f>IFERROR(VLOOKUP($A103,'HIDDEN Testrun Results'!$A:$B,2,FALSE),"")</f>
        <v/>
      </c>
      <c r="H103" s="11" t="b">
        <f t="shared" si="1"/>
        <v>1</v>
      </c>
      <c r="I103" s="11" t="b">
        <f>IF(VLOOKUP(A103&amp;" "&amp;B103,'HIDDEN import'!A:G,5,FALSE)="M",TRUE,IFERROR(VLOOKUP(E103,'Optional features'!B:D,3,FALSE)="Yes",IFERROR(VLOOKUP(E103,'HIDDEN calc sheet'!A:B,2,FALSE),IFERROR(VLOOKUP(E103,'Additional questions'!B:D,3,FALSE)="Yes",VLOOKUP(E103,'Hardware Feature set'!B:D,3,FALSE)="No"))))</f>
        <v>1</v>
      </c>
      <c r="J103" s="11" t="b">
        <f>IF(VLOOKUP(B103,'Profile selection'!B:C,2,FALSE)="Yes",TRUE,FALSE)</f>
        <v>1</v>
      </c>
      <c r="K103" s="53"/>
      <c r="L103" s="53"/>
    </row>
    <row r="104" spans="1:12" x14ac:dyDescent="0.25">
      <c r="A104" t="str">
        <f>'HIDDEN import'!B104</f>
        <v>TC_E_07_CS</v>
      </c>
      <c r="B104" t="str">
        <f>'HIDDEN import'!C104</f>
        <v>Core</v>
      </c>
      <c r="C104" t="str">
        <f>'HIDDEN import'!D104</f>
        <v>Stop transaction options - PowerPathClosed - Local stop</v>
      </c>
      <c r="D104" t="str">
        <f>IF(VLOOKUP(A104&amp;" "&amp;B104,'HIDDEN import'!A:G,5,FALSE)="M",MD!$A$1,(IF(AND(VLOOKUP(A104,'HIDDEN import'!B:E,4,FALSE)="C",OR(NOT(ISERROR(VLOOKUP(E104,'Optional features'!B:D,1,FALSE)=E104)),NOT(ISERROR(VLOOKUP(E104,'HIDDEN calc sheet'!A:C,1,FALSE)=E104)))),MD!$A$3,MD!$A$2)))</f>
        <v>Mandatory for optional feature</v>
      </c>
      <c r="E104" t="str">
        <f>IF('HIDDEN import'!F104=0,"",'HIDDEN import'!F104)</f>
        <v>C-10.3 and (C-52 or NOT C-10.2) and (C-30 or C-31 or C-32 or C35)</v>
      </c>
      <c r="F104" t="str">
        <f>IF('HIDDEN import'!G104=0,"",'HIDDEN import'!G104)</f>
        <v>Supported Transaction Stop Points &amp; Local Authorization - using RFID ISO14443 / RFID ISO15693 / KeyCode / NoAuthorization</v>
      </c>
      <c r="G104" s="181" t="str">
        <f>IFERROR(VLOOKUP($A104,'HIDDEN Testrun Results'!$A:$B,2,FALSE),"")</f>
        <v/>
      </c>
      <c r="H104" s="11" t="b">
        <f t="shared" si="1"/>
        <v>0</v>
      </c>
      <c r="I104" s="11" t="b">
        <f>IF(VLOOKUP(A104&amp;" "&amp;B104,'HIDDEN import'!A:G,5,FALSE)="M",TRUE,IFERROR(VLOOKUP(E104,'Optional features'!B:D,3,FALSE)="Yes",IFERROR(VLOOKUP(E104,'HIDDEN calc sheet'!A:B,2,FALSE),IFERROR(VLOOKUP(E104,'Additional questions'!B:D,3,FALSE)="Yes",VLOOKUP(E104,'Hardware Feature set'!B:D,3,FALSE)="No"))))</f>
        <v>0</v>
      </c>
      <c r="J104" s="11" t="b">
        <f>IF(VLOOKUP(B104,'Profile selection'!B:C,2,FALSE)="Yes",TRUE,FALSE)</f>
        <v>1</v>
      </c>
      <c r="K104" s="53"/>
      <c r="L104" s="53"/>
    </row>
    <row r="105" spans="1:12" x14ac:dyDescent="0.25">
      <c r="A105" t="str">
        <f>'HIDDEN import'!B105</f>
        <v>TC_E_35_CS</v>
      </c>
      <c r="B105" t="str">
        <f>'HIDDEN import'!C105</f>
        <v>Core</v>
      </c>
      <c r="C105" t="str">
        <f>'HIDDEN import'!D105</f>
        <v>Stop transaction options - PowerPathClosed - Remote stop</v>
      </c>
      <c r="D105" t="str">
        <f>IF(VLOOKUP(A105&amp;" "&amp;B105,'HIDDEN import'!A:G,5,FALSE)="M",MD!$A$1,(IF(AND(VLOOKUP(A105,'HIDDEN import'!B:E,4,FALSE)="C",OR(NOT(ISERROR(VLOOKUP(E105,'Optional features'!B:D,1,FALSE)=E105)),NOT(ISERROR(VLOOKUP(E105,'HIDDEN calc sheet'!A:C,1,FALSE)=E105)))),MD!$A$3,MD!$A$2)))</f>
        <v>Mandatory for optional feature</v>
      </c>
      <c r="E105" t="str">
        <f>IF('HIDDEN import'!F105=0,"",'HIDDEN import'!F105)</f>
        <v>C-10.3 and (C-52 or NOT C-10.2)</v>
      </c>
      <c r="F105" t="str">
        <f>IF('HIDDEN import'!G105=0,"",'HIDDEN import'!G105)</f>
        <v>Supported Transaction Stop points</v>
      </c>
      <c r="G105" s="181" t="str">
        <f>IFERROR(VLOOKUP($A105,'HIDDEN Testrun Results'!$A:$B,2,FALSE),"")</f>
        <v/>
      </c>
      <c r="H105" s="11" t="b">
        <f t="shared" si="1"/>
        <v>0</v>
      </c>
      <c r="I105" s="11" t="b">
        <f>IF(VLOOKUP(A105&amp;" "&amp;B105,'HIDDEN import'!A:G,5,FALSE)="M",TRUE,IFERROR(VLOOKUP(E105,'Optional features'!B:D,3,FALSE)="Yes",IFERROR(VLOOKUP(E105,'HIDDEN calc sheet'!A:B,2,FALSE),IFERROR(VLOOKUP(E105,'Additional questions'!B:D,3,FALSE)="Yes",VLOOKUP(E105,'Hardware Feature set'!B:D,3,FALSE)="No"))))</f>
        <v>0</v>
      </c>
      <c r="J105" s="11" t="b">
        <f>IF(VLOOKUP(B105,'Profile selection'!B:C,2,FALSE)="Yes",TRUE,FALSE)</f>
        <v>1</v>
      </c>
      <c r="K105" s="53"/>
      <c r="L105" s="53"/>
    </row>
    <row r="106" spans="1:12" x14ac:dyDescent="0.25">
      <c r="A106" t="str">
        <f>'HIDDEN import'!B106</f>
        <v>TC_E_37_CS</v>
      </c>
      <c r="B106" t="str">
        <f>'HIDDEN import'!C106</f>
        <v>Core</v>
      </c>
      <c r="C106" t="str">
        <f>'HIDDEN import'!D106</f>
        <v>Stop transaction options - PowerPathClosed - EV side disconnect</v>
      </c>
      <c r="D106" t="str">
        <f>IF(VLOOKUP(A106&amp;" "&amp;B106,'HIDDEN import'!A:G,5,FALSE)="M",MD!$A$1,(IF(AND(VLOOKUP(A106,'HIDDEN import'!B:E,4,FALSE)="C",OR(NOT(ISERROR(VLOOKUP(E106,'Optional features'!B:D,1,FALSE)=E106)),NOT(ISERROR(VLOOKUP(E106,'HIDDEN calc sheet'!A:C,1,FALSE)=E106)))),MD!$A$3,MD!$A$2)))</f>
        <v>Mandatory for optional feature</v>
      </c>
      <c r="E106" t="str">
        <f>IF('HIDDEN import'!F106=0,"",'HIDDEN import'!F106)</f>
        <v>C-10.3 and (C-52 or NOT (C-10.1 or C-10.4)) AND (AQ-9 OR Product Subtype "Mode 1/2-only Charging Station")</v>
      </c>
      <c r="F106" t="str">
        <f>IF('HIDDEN import'!G106=0,"",'HIDDEN import'!G106)</f>
        <v>Supported Transaction Stop points</v>
      </c>
      <c r="G106" s="181" t="str">
        <f>IFERROR(VLOOKUP($A106,'HIDDEN Testrun Results'!$A:$B,2,FALSE),"")</f>
        <v/>
      </c>
      <c r="H106" s="11" t="b">
        <f t="shared" si="1"/>
        <v>0</v>
      </c>
      <c r="I106" s="11" t="b">
        <f>IF(VLOOKUP(A106&amp;" "&amp;B106,'HIDDEN import'!A:G,5,FALSE)="M",TRUE,IFERROR(VLOOKUP(E106,'Optional features'!B:D,3,FALSE)="Yes",IFERROR(VLOOKUP(E106,'HIDDEN calc sheet'!A:B,2,FALSE),IFERROR(VLOOKUP(E106,'Additional questions'!B:D,3,FALSE)="Yes",VLOOKUP(E106,'Hardware Feature set'!B:D,3,FALSE)="No"))))</f>
        <v>0</v>
      </c>
      <c r="J106" s="11" t="b">
        <f>IF(VLOOKUP(B106,'Profile selection'!B:C,2,FALSE)="Yes",TRUE,FALSE)</f>
        <v>1</v>
      </c>
      <c r="K106" s="53"/>
      <c r="L106" s="53"/>
    </row>
    <row r="107" spans="1:12" x14ac:dyDescent="0.25">
      <c r="A107" t="str">
        <f>'HIDDEN import'!B107</f>
        <v>TC_E_08_CS</v>
      </c>
      <c r="B107" t="str">
        <f>'HIDDEN import'!C107</f>
        <v>Core</v>
      </c>
      <c r="C107" t="str">
        <f>'HIDDEN import'!D107</f>
        <v>Stop transaction options - EnergyTransfer stopped - StopAuthorized</v>
      </c>
      <c r="D107" t="str">
        <f>IF(VLOOKUP(A107&amp;" "&amp;B107,'HIDDEN import'!A:G,5,FALSE)="M",MD!$A$1,(IF(AND(VLOOKUP(A107,'HIDDEN import'!B:E,4,FALSE)="C",OR(NOT(ISERROR(VLOOKUP(E107,'Optional features'!B:D,1,FALSE)=E107)),NOT(ISERROR(VLOOKUP(E107,'HIDDEN calc sheet'!A:C,1,FALSE)=E107)))),MD!$A$3,MD!$A$2)))</f>
        <v>Mandatory for optional feature</v>
      </c>
      <c r="E107" t="str">
        <f>IF('HIDDEN import'!F107=0,"",'HIDDEN import'!F107)</f>
        <v>C-10.4 and (C-52 or NOT (C-10.2 or C-10.3))</v>
      </c>
      <c r="F107" t="str">
        <f>IF('HIDDEN import'!G107=0,"",'HIDDEN import'!G107)</f>
        <v>Supported Transaction Stop points</v>
      </c>
      <c r="G107" s="181" t="str">
        <f>IFERROR(VLOOKUP($A107,'HIDDEN Testrun Results'!$A:$B,2,FALSE),"")</f>
        <v/>
      </c>
      <c r="H107" s="11" t="b">
        <f t="shared" si="1"/>
        <v>0</v>
      </c>
      <c r="I107" s="11" t="b">
        <f>IF(VLOOKUP(A107&amp;" "&amp;B107,'HIDDEN import'!A:G,5,FALSE)="M",TRUE,IFERROR(VLOOKUP(E107,'Optional features'!B:D,3,FALSE)="Yes",IFERROR(VLOOKUP(E107,'HIDDEN calc sheet'!A:B,2,FALSE),IFERROR(VLOOKUP(E107,'Additional questions'!B:D,3,FALSE)="Yes",VLOOKUP(E107,'Hardware Feature set'!B:D,3,FALSE)="No"))))</f>
        <v>0</v>
      </c>
      <c r="J107" s="11" t="b">
        <f>IF(VLOOKUP(B107,'Profile selection'!B:C,2,FALSE)="Yes",TRUE,FALSE)</f>
        <v>1</v>
      </c>
      <c r="K107" s="53"/>
      <c r="L107" s="53"/>
    </row>
    <row r="108" spans="1:12" x14ac:dyDescent="0.25">
      <c r="A108" t="str">
        <f>'HIDDEN import'!B108</f>
        <v>TC_E_22_CS</v>
      </c>
      <c r="B108" t="str">
        <f>'HIDDEN import'!C108</f>
        <v>Core</v>
      </c>
      <c r="C108" t="str">
        <f>'HIDDEN import'!D108</f>
        <v>Stop transaction options - EnergyTransfer stopped - SuspendedEV</v>
      </c>
      <c r="D108" t="str">
        <f>IF(VLOOKUP(A108&amp;" "&amp;B108,'HIDDEN import'!A:G,5,FALSE)="M",MD!$A$1,(IF(AND(VLOOKUP(A108,'HIDDEN import'!B:E,4,FALSE)="C",OR(NOT(ISERROR(VLOOKUP(E108,'Optional features'!B:D,1,FALSE)=E108)),NOT(ISERROR(VLOOKUP(E108,'HIDDEN calc sheet'!A:C,1,FALSE)=E108)))),MD!$A$3,MD!$A$2)))</f>
        <v>Mandatory for optional feature</v>
      </c>
      <c r="E108" t="str">
        <f>IF('HIDDEN import'!F108=0,"",'HIDDEN import'!F108)</f>
        <v>C-10.4</v>
      </c>
      <c r="F108" t="str">
        <f>IF('HIDDEN import'!G108=0,"",'HIDDEN import'!G108)</f>
        <v>Supported Transaction Stop points</v>
      </c>
      <c r="G108" s="181" t="str">
        <f>IFERROR(VLOOKUP($A108,'HIDDEN Testrun Results'!$A:$B,2,FALSE),"")</f>
        <v/>
      </c>
      <c r="H108" s="11" t="b">
        <f t="shared" si="1"/>
        <v>0</v>
      </c>
      <c r="I108" s="11" t="b">
        <f>IF(VLOOKUP(A108&amp;" "&amp;B108,'HIDDEN import'!A:G,5,FALSE)="M",TRUE,IFERROR(VLOOKUP(E108,'Optional features'!B:D,3,FALSE)="Yes",IFERROR(VLOOKUP(E108,'HIDDEN calc sheet'!A:B,2,FALSE),IFERROR(VLOOKUP(E108,'Additional questions'!B:D,3,FALSE)="Yes",VLOOKUP(E108,'Hardware Feature set'!B:D,3,FALSE)="No"))))</f>
        <v>0</v>
      </c>
      <c r="J108" s="11" t="b">
        <f>IF(VLOOKUP(B108,'Profile selection'!B:C,2,FALSE)="Yes",TRUE,FALSE)</f>
        <v>1</v>
      </c>
      <c r="K108" s="53"/>
      <c r="L108" s="53"/>
    </row>
    <row r="109" spans="1:12" x14ac:dyDescent="0.25">
      <c r="A109" t="str">
        <f>'HIDDEN import'!B109</f>
        <v>TC_E_19_CS</v>
      </c>
      <c r="B109" t="str">
        <f>'HIDDEN import'!C109</f>
        <v>Core</v>
      </c>
      <c r="C109" t="str">
        <f>'HIDDEN import'!D109</f>
        <v>Stop transaction options - ParkingBayUnoccupied</v>
      </c>
      <c r="D109" t="str">
        <f>IF(VLOOKUP(A109&amp;" "&amp;B109,'HIDDEN import'!A:G,5,FALSE)="M",MD!$A$1,(IF(AND(VLOOKUP(A109,'HIDDEN import'!B:E,4,FALSE)="C",OR(NOT(ISERROR(VLOOKUP(E109,'Optional features'!B:D,1,FALSE)=E109)),NOT(ISERROR(VLOOKUP(E109,'HIDDEN calc sheet'!A:C,1,FALSE)=E109)))),MD!$A$3,MD!$A$2)))</f>
        <v>Mandatory for optional feature</v>
      </c>
      <c r="E109" t="str">
        <f>IF('HIDDEN import'!F109=0,"",'HIDDEN import'!F109)</f>
        <v>C-10.5 and (C-52 or NOT (C-10.1 or C-10.2 or C-10.3 or C-10.4))</v>
      </c>
      <c r="F109" t="str">
        <f>IF('HIDDEN import'!G109=0,"",'HIDDEN import'!G109)</f>
        <v>Supported Transaction Stop points</v>
      </c>
      <c r="G109" s="181" t="str">
        <f>IFERROR(VLOOKUP($A109,'HIDDEN Testrun Results'!$A:$B,2,FALSE),"")</f>
        <v/>
      </c>
      <c r="H109" s="11" t="b">
        <f t="shared" si="1"/>
        <v>0</v>
      </c>
      <c r="I109" s="11" t="b">
        <f>IF(VLOOKUP(A109&amp;" "&amp;B109,'HIDDEN import'!A:G,5,FALSE)="M",TRUE,IFERROR(VLOOKUP(E109,'Optional features'!B:D,3,FALSE)="Yes",IFERROR(VLOOKUP(E109,'HIDDEN calc sheet'!A:B,2,FALSE),IFERROR(VLOOKUP(E109,'Additional questions'!B:D,3,FALSE)="Yes",VLOOKUP(E109,'Hardware Feature set'!B:D,3,FALSE)="No"))))</f>
        <v>0</v>
      </c>
      <c r="J109" s="11" t="b">
        <f>IF(VLOOKUP(B109,'Profile selection'!B:C,2,FALSE)="Yes",TRUE,FALSE)</f>
        <v>1</v>
      </c>
      <c r="K109" s="53"/>
      <c r="L109" s="53"/>
    </row>
    <row r="110" spans="1:12" x14ac:dyDescent="0.25">
      <c r="A110" t="str">
        <f>'HIDDEN import'!B110</f>
        <v>TC_E_24_CS</v>
      </c>
      <c r="B110" t="str">
        <f>'HIDDEN import'!C110</f>
        <v>Core</v>
      </c>
      <c r="C110" t="str">
        <f>'HIDDEN import'!D110</f>
        <v>Disconnect cable on EV-side - Deauthorize transaction - UnlockOnEVSideDisconnect is true</v>
      </c>
      <c r="D110" t="str">
        <f>IF(VLOOKUP(A110&amp;" "&amp;B110,'HIDDEN import'!A:G,5,FALSE)="M",MD!$A$1,(IF(AND(VLOOKUP(A110,'HIDDEN import'!B:E,4,FALSE)="C",OR(NOT(ISERROR(VLOOKUP(E110,'Optional features'!B:D,1,FALSE)=E110)),NOT(ISERROR(VLOOKUP(E110,'HIDDEN calc sheet'!A:C,1,FALSE)=E110)))),MD!$A$3,MD!$A$2)))</f>
        <v>Mandatory for optional feature</v>
      </c>
      <c r="E110" t="str">
        <f>IF('HIDDEN import'!F110=0,"",'HIDDEN import'!F110)</f>
        <v>HFS-1 and C-06.2 and C-12.1 and AQ-9 and NOT Product Subtype "Mode 1/2-only Charging Station"</v>
      </c>
      <c r="F110" t="str">
        <f>IF('HIDDEN import'!G110=0,"",'HIDDEN import'!G110)</f>
        <v>Support for not maintaining authorization when cable disconnected on EV side &amp; Support for unlocking connector when cable disconnected on EV side</v>
      </c>
      <c r="G110" s="181" t="str">
        <f>IFERROR(VLOOKUP($A110,'HIDDEN Testrun Results'!$A:$B,2,FALSE),"")</f>
        <v/>
      </c>
      <c r="H110" s="11" t="b">
        <f t="shared" si="1"/>
        <v>0</v>
      </c>
      <c r="I110" s="11" t="b">
        <f>IF(VLOOKUP(A110&amp;" "&amp;B110,'HIDDEN import'!A:G,5,FALSE)="M",TRUE,IFERROR(VLOOKUP(E110,'Optional features'!B:D,3,FALSE)="Yes",IFERROR(VLOOKUP(E110,'HIDDEN calc sheet'!A:B,2,FALSE),IFERROR(VLOOKUP(E110,'Additional questions'!B:D,3,FALSE)="Yes",VLOOKUP(E110,'Hardware Feature set'!B:D,3,FALSE)="No"))))</f>
        <v>0</v>
      </c>
      <c r="J110" s="11" t="b">
        <f>IF(VLOOKUP(B110,'Profile selection'!B:C,2,FALSE)="Yes",TRUE,FALSE)</f>
        <v>1</v>
      </c>
      <c r="K110" s="53"/>
      <c r="L110" s="53"/>
    </row>
    <row r="111" spans="1:12" x14ac:dyDescent="0.25">
      <c r="A111" t="str">
        <f>'HIDDEN import'!B111</f>
        <v>TC_E_25_CS</v>
      </c>
      <c r="B111" t="str">
        <f>'HIDDEN import'!C111</f>
        <v>Core</v>
      </c>
      <c r="C111" t="str">
        <f>'HIDDEN import'!D111</f>
        <v>Disconnect cable on EV-side - Deauthorize transaction - UnlockOnEVSideDisconnect is false</v>
      </c>
      <c r="D111" t="str">
        <f>IF(VLOOKUP(A111&amp;" "&amp;B111,'HIDDEN import'!A:G,5,FALSE)="M",MD!$A$1,(IF(AND(VLOOKUP(A111,'HIDDEN import'!B:E,4,FALSE)="C",OR(NOT(ISERROR(VLOOKUP(E111,'Optional features'!B:D,1,FALSE)=E111)),NOT(ISERROR(VLOOKUP(E111,'HIDDEN calc sheet'!A:C,1,FALSE)=E111)))),MD!$A$3,MD!$A$2)))</f>
        <v>Mandatory for optional feature</v>
      </c>
      <c r="E111" t="str">
        <f>IF('HIDDEN import'!F111=0,"",'HIDDEN import'!F111)</f>
        <v>C-06.2 and C-12.2 and (AQ-9 OR Product Subtype "Mode 1/2-only Charging Station")</v>
      </c>
      <c r="F111" t="str">
        <f>IF('HIDDEN import'!G111=0,"",'HIDDEN import'!G111)</f>
        <v>Support for not maintaining authorization when cable disconnected on EV side &amp; Support for not unlocking connector when cable disconnected on EV side</v>
      </c>
      <c r="G111" s="181" t="str">
        <f>IFERROR(VLOOKUP($A111,'HIDDEN Testrun Results'!$A:$B,2,FALSE),"")</f>
        <v/>
      </c>
      <c r="H111" s="11" t="b">
        <f t="shared" si="1"/>
        <v>0</v>
      </c>
      <c r="I111" s="11" t="b">
        <f>IF(VLOOKUP(A111&amp;" "&amp;B111,'HIDDEN import'!A:G,5,FALSE)="M",TRUE,IFERROR(VLOOKUP(E111,'Optional features'!B:D,3,FALSE)="Yes",IFERROR(VLOOKUP(E111,'HIDDEN calc sheet'!A:B,2,FALSE),IFERROR(VLOOKUP(E111,'Additional questions'!B:D,3,FALSE)="Yes",VLOOKUP(E111,'Hardware Feature set'!B:D,3,FALSE)="No"))))</f>
        <v>0</v>
      </c>
      <c r="J111" s="11" t="b">
        <f>IF(VLOOKUP(B111,'Profile selection'!B:C,2,FALSE)="Yes",TRUE,FALSE)</f>
        <v>1</v>
      </c>
      <c r="K111" s="53"/>
      <c r="L111" s="53"/>
    </row>
    <row r="112" spans="1:12" x14ac:dyDescent="0.25">
      <c r="A112" t="str">
        <f>'HIDDEN import'!B112</f>
        <v>TC_E_26_CS</v>
      </c>
      <c r="B112" t="str">
        <f>'HIDDEN import'!C112</f>
        <v>Core</v>
      </c>
      <c r="C112" t="str">
        <f>'HIDDEN import'!D112</f>
        <v>Disconnect cable on EV-side - Suspend transaction</v>
      </c>
      <c r="D112" t="str">
        <f>IF(VLOOKUP(A112&amp;" "&amp;B112,'HIDDEN import'!A:G,5,FALSE)="M",MD!$A$1,(IF(AND(VLOOKUP(A112,'HIDDEN import'!B:E,4,FALSE)="C",OR(NOT(ISERROR(VLOOKUP(E112,'Optional features'!B:D,1,FALSE)=E112)),NOT(ISERROR(VLOOKUP(E112,'HIDDEN calc sheet'!A:C,1,FALSE)=E112)))),MD!$A$3,MD!$A$2)))</f>
        <v>Mandatory for optional feature</v>
      </c>
      <c r="E112" t="str">
        <f>IF('HIDDEN import'!F112=0,"",'HIDDEN import'!F112)</f>
        <v>(C-10.2 or C-10.5) and (C-52 or NOT (C-10.1 or C-10.3 or C-10.4)) and C-06.1 and C-12.2 and AQ-9 and NOT Product Subtype "Mode 1/2-only Charging Station"</v>
      </c>
      <c r="F112" t="str">
        <f>IF('HIDDEN import'!G112=0,"",'HIDDEN import'!G112)</f>
        <v/>
      </c>
      <c r="G112" s="181" t="str">
        <f>IFERROR(VLOOKUP($A112,'HIDDEN Testrun Results'!$A:$B,2,FALSE),"")</f>
        <v/>
      </c>
      <c r="H112" s="11" t="b">
        <f t="shared" si="1"/>
        <v>0</v>
      </c>
      <c r="I112" s="11" t="b">
        <f>IF(VLOOKUP(A112&amp;" "&amp;B112,'HIDDEN import'!A:G,5,FALSE)="M",TRUE,IFERROR(VLOOKUP(E112,'Optional features'!B:D,3,FALSE)="Yes",IFERROR(VLOOKUP(E112,'HIDDEN calc sheet'!A:B,2,FALSE),IFERROR(VLOOKUP(E112,'Additional questions'!B:D,3,FALSE)="Yes",VLOOKUP(E112,'Hardware Feature set'!B:D,3,FALSE)="No"))))</f>
        <v>0</v>
      </c>
      <c r="J112" s="11" t="b">
        <f>IF(VLOOKUP(B112,'Profile selection'!B:C,2,FALSE)="Yes",TRUE,FALSE)</f>
        <v>1</v>
      </c>
      <c r="K112" s="53"/>
      <c r="L112" s="53"/>
    </row>
    <row r="113" spans="1:12" x14ac:dyDescent="0.25">
      <c r="A113" t="str">
        <f>'HIDDEN import'!B113</f>
        <v>TC_E_27_CS</v>
      </c>
      <c r="B113" t="str">
        <f>'HIDDEN import'!C113</f>
        <v>Core</v>
      </c>
      <c r="C113" t="str">
        <f>'HIDDEN import'!D113</f>
        <v>Disconnect cable on EV-side - Suspend transaction - Fixed cable connection timeout</v>
      </c>
      <c r="D113" t="str">
        <f>IF(VLOOKUP(A113&amp;" "&amp;B113,'HIDDEN import'!A:G,5,FALSE)="M",MD!$A$1,(IF(AND(VLOOKUP(A113,'HIDDEN import'!B:E,4,FALSE)="C",OR(NOT(ISERROR(VLOOKUP(E113,'Optional features'!B:D,1,FALSE)=E113)),NOT(ISERROR(VLOOKUP(E113,'HIDDEN calc sheet'!A:C,1,FALSE)=E113)))),MD!$A$3,MD!$A$2)))</f>
        <v>Mandatory for optional feature</v>
      </c>
      <c r="E113" t="str">
        <f>IF('HIDDEN import'!F113=0,"",'HIDDEN import'!F113)</f>
        <v>(C-10.2 or C-10.5) and (C-52 or NOT (C-10.1 or C-10.3 or C-10.4)) and C-06.1 and C-12.2 and HFS-2 and AQ-9 and NOT Product Subtype "Mode 1/2-only Charging Station"</v>
      </c>
      <c r="F113" t="str">
        <f>IF('HIDDEN import'!G113=0,"",'HIDDEN import'!G113)</f>
        <v/>
      </c>
      <c r="G113" s="181" t="str">
        <f>IFERROR(VLOOKUP($A113,'HIDDEN Testrun Results'!$A:$B,2,FALSE),"")</f>
        <v/>
      </c>
      <c r="H113" s="11" t="b">
        <f t="shared" si="1"/>
        <v>0</v>
      </c>
      <c r="I113" s="11" t="b">
        <f>IF(VLOOKUP(A113&amp;" "&amp;B113,'HIDDEN import'!A:G,5,FALSE)="M",TRUE,IFERROR(VLOOKUP(E113,'Optional features'!B:D,3,FALSE)="Yes",IFERROR(VLOOKUP(E113,'HIDDEN calc sheet'!A:B,2,FALSE),IFERROR(VLOOKUP(E113,'Additional questions'!B:D,3,FALSE)="Yes",VLOOKUP(E113,'Hardware Feature set'!B:D,3,FALSE)="No"))))</f>
        <v>0</v>
      </c>
      <c r="J113" s="11" t="b">
        <f>IF(VLOOKUP(B113,'Profile selection'!B:C,2,FALSE)="Yes",TRUE,FALSE)</f>
        <v>1</v>
      </c>
      <c r="K113" s="53"/>
      <c r="L113" s="53"/>
    </row>
    <row r="114" spans="1:12" x14ac:dyDescent="0.25">
      <c r="A114" t="str">
        <f>'HIDDEN import'!B114</f>
        <v>TC_E_41_CS</v>
      </c>
      <c r="B114" t="str">
        <f>'HIDDEN import'!C114</f>
        <v>Core</v>
      </c>
      <c r="C114" t="str">
        <f>'HIDDEN import'!D114</f>
        <v>Retry sending transaction message when failed - Max retry count reached</v>
      </c>
      <c r="D114" t="str">
        <f>IF(VLOOKUP(A114&amp;" "&amp;B114,'HIDDEN import'!A:G,5,FALSE)="M",MD!$A$1,(IF(AND(VLOOKUP(A114,'HIDDEN import'!B:E,4,FALSE)="C",OR(NOT(ISERROR(VLOOKUP(E114,'Optional features'!B:D,1,FALSE)=E114)),NOT(ISERROR(VLOOKUP(E114,'HIDDEN calc sheet'!A:C,1,FALSE)=E114)))),MD!$A$3,MD!$A$2)))</f>
        <v>Mandatory test for a mandatory feature</v>
      </c>
      <c r="E114" t="str">
        <f>IF('HIDDEN import'!F114=0,"",'HIDDEN import'!F114)</f>
        <v/>
      </c>
      <c r="F114" t="str">
        <f>IF('HIDDEN import'!G114=0,"",'HIDDEN import'!G114)</f>
        <v/>
      </c>
      <c r="G114" s="181" t="str">
        <f>IFERROR(VLOOKUP($A114,'HIDDEN Testrun Results'!$A:$B,2,FALSE),"")</f>
        <v/>
      </c>
      <c r="H114" s="11" t="b">
        <f t="shared" si="1"/>
        <v>1</v>
      </c>
      <c r="I114" s="11" t="b">
        <f>IF(VLOOKUP(A114&amp;" "&amp;B114,'HIDDEN import'!A:G,5,FALSE)="M",TRUE,IFERROR(VLOOKUP(E114,'Optional features'!B:D,3,FALSE)="Yes",IFERROR(VLOOKUP(E114,'HIDDEN calc sheet'!A:B,2,FALSE),IFERROR(VLOOKUP(E114,'Additional questions'!B:D,3,FALSE)="Yes",VLOOKUP(E114,'Hardware Feature set'!B:D,3,FALSE)="No"))))</f>
        <v>1</v>
      </c>
      <c r="J114" s="11" t="b">
        <f>IF(VLOOKUP(B114,'Profile selection'!B:C,2,FALSE)="Yes",TRUE,FALSE)</f>
        <v>1</v>
      </c>
      <c r="K114" s="53"/>
      <c r="L114" s="53"/>
    </row>
    <row r="115" spans="1:12" x14ac:dyDescent="0.25">
      <c r="A115" t="str">
        <f>'HIDDEN import'!B115</f>
        <v>TC_E_42_CS</v>
      </c>
      <c r="B115" t="str">
        <f>'HIDDEN import'!C115</f>
        <v>Core</v>
      </c>
      <c r="C115" t="str">
        <f>'HIDDEN import'!D115</f>
        <v>Retry sending transaction message when failed - Success before reaching the max retry count</v>
      </c>
      <c r="D115" t="str">
        <f>IF(VLOOKUP(A115&amp;" "&amp;B115,'HIDDEN import'!A:G,5,FALSE)="M",MD!$A$1,(IF(AND(VLOOKUP(A115,'HIDDEN import'!B:E,4,FALSE)="C",OR(NOT(ISERROR(VLOOKUP(E115,'Optional features'!B:D,1,FALSE)=E115)),NOT(ISERROR(VLOOKUP(E115,'HIDDEN calc sheet'!A:C,1,FALSE)=E115)))),MD!$A$3,MD!$A$2)))</f>
        <v>Mandatory test for a mandatory feature</v>
      </c>
      <c r="E115" t="str">
        <f>IF('HIDDEN import'!F115=0,"",'HIDDEN import'!F115)</f>
        <v/>
      </c>
      <c r="F115" t="str">
        <f>IF('HIDDEN import'!G115=0,"",'HIDDEN import'!G115)</f>
        <v/>
      </c>
      <c r="G115" s="181" t="str">
        <f>IFERROR(VLOOKUP($A115,'HIDDEN Testrun Results'!$A:$B,2,FALSE),"")</f>
        <v/>
      </c>
      <c r="H115" s="11" t="b">
        <f t="shared" si="1"/>
        <v>1</v>
      </c>
      <c r="I115" s="11" t="b">
        <f>IF(VLOOKUP(A115&amp;" "&amp;B115,'HIDDEN import'!A:G,5,FALSE)="M",TRUE,IFERROR(VLOOKUP(E115,'Optional features'!B:D,3,FALSE)="Yes",IFERROR(VLOOKUP(E115,'HIDDEN calc sheet'!A:B,2,FALSE),IFERROR(VLOOKUP(E115,'Additional questions'!B:D,3,FALSE)="Yes",VLOOKUP(E115,'Hardware Feature set'!B:D,3,FALSE)="No"))))</f>
        <v>1</v>
      </c>
      <c r="J115" s="11" t="b">
        <f>IF(VLOOKUP(B115,'Profile selection'!B:C,2,FALSE)="Yes",TRUE,FALSE)</f>
        <v>1</v>
      </c>
      <c r="K115" s="53"/>
      <c r="L115" s="53"/>
    </row>
    <row r="116" spans="1:12" x14ac:dyDescent="0.25">
      <c r="A116" t="str">
        <f>'HIDDEN import'!B116</f>
        <v>TC_E_50_CS</v>
      </c>
      <c r="B116" t="str">
        <f>'HIDDEN import'!C116</f>
        <v>Core</v>
      </c>
      <c r="C116" t="str">
        <f>'HIDDEN import'!D116</f>
        <v>Retry sending transaction message when failed - Max retry count reached - CallError</v>
      </c>
      <c r="D116" t="str">
        <f>IF(VLOOKUP(A116&amp;" "&amp;B116,'HIDDEN import'!A:G,5,FALSE)="M",MD!$A$1,(IF(AND(VLOOKUP(A116,'HIDDEN import'!B:E,4,FALSE)="C",OR(NOT(ISERROR(VLOOKUP(E116,'Optional features'!B:D,1,FALSE)=E116)),NOT(ISERROR(VLOOKUP(E116,'HIDDEN calc sheet'!A:C,1,FALSE)=E116)))),MD!$A$3,MD!$A$2)))</f>
        <v>Mandatory test for a mandatory feature</v>
      </c>
      <c r="E116" t="str">
        <f>IF('HIDDEN import'!F116=0,"",'HIDDEN import'!F116)</f>
        <v/>
      </c>
      <c r="F116" t="str">
        <f>IF('HIDDEN import'!G116=0,"",'HIDDEN import'!G116)</f>
        <v/>
      </c>
      <c r="G116" s="181" t="str">
        <f>IFERROR(VLOOKUP($A116,'HIDDEN Testrun Results'!$A:$B,2,FALSE),"")</f>
        <v/>
      </c>
      <c r="H116" s="11" t="b">
        <f t="shared" si="1"/>
        <v>1</v>
      </c>
      <c r="I116" s="11" t="b">
        <f>IF(VLOOKUP(A116&amp;" "&amp;B116,'HIDDEN import'!A:G,5,FALSE)="M",TRUE,IFERROR(VLOOKUP(E116,'Optional features'!B:D,3,FALSE)="Yes",IFERROR(VLOOKUP(E116,'HIDDEN calc sheet'!A:B,2,FALSE),IFERROR(VLOOKUP(E116,'Additional questions'!B:D,3,FALSE)="Yes",VLOOKUP(E116,'Hardware Feature set'!B:D,3,FALSE)="No"))))</f>
        <v>1</v>
      </c>
      <c r="J116" s="11" t="b">
        <f>IF(VLOOKUP(B116,'Profile selection'!B:C,2,FALSE)="Yes",TRUE,FALSE)</f>
        <v>1</v>
      </c>
      <c r="K116" s="53"/>
      <c r="L116" s="53"/>
    </row>
    <row r="117" spans="1:12" x14ac:dyDescent="0.25">
      <c r="A117" t="str">
        <f>'HIDDEN import'!B117</f>
        <v>TC_E_51_CS</v>
      </c>
      <c r="B117" t="str">
        <f>'HIDDEN import'!C117</f>
        <v>Core</v>
      </c>
      <c r="C117" t="str">
        <f>'HIDDEN import'!D117</f>
        <v>Retry sending transaction message when failed - Success before reaching the max retry count - CallError</v>
      </c>
      <c r="D117" t="str">
        <f>IF(VLOOKUP(A117&amp;" "&amp;B117,'HIDDEN import'!A:G,5,FALSE)="M",MD!$A$1,(IF(AND(VLOOKUP(A117,'HIDDEN import'!B:E,4,FALSE)="C",OR(NOT(ISERROR(VLOOKUP(E117,'Optional features'!B:D,1,FALSE)=E117)),NOT(ISERROR(VLOOKUP(E117,'HIDDEN calc sheet'!A:C,1,FALSE)=E117)))),MD!$A$3,MD!$A$2)))</f>
        <v>Mandatory test for a mandatory feature</v>
      </c>
      <c r="E117" t="str">
        <f>IF('HIDDEN import'!F117=0,"",'HIDDEN import'!F117)</f>
        <v/>
      </c>
      <c r="F117" t="str">
        <f>IF('HIDDEN import'!G117=0,"",'HIDDEN import'!G117)</f>
        <v/>
      </c>
      <c r="G117" s="181" t="str">
        <f>IFERROR(VLOOKUP($A117,'HIDDEN Testrun Results'!$A:$B,2,FALSE),"")</f>
        <v/>
      </c>
      <c r="H117" s="11" t="b">
        <f t="shared" si="1"/>
        <v>1</v>
      </c>
      <c r="I117" s="11" t="b">
        <f>IF(VLOOKUP(A117&amp;" "&amp;B117,'HIDDEN import'!A:G,5,FALSE)="M",TRUE,IFERROR(VLOOKUP(E117,'Optional features'!B:D,3,FALSE)="Yes",IFERROR(VLOOKUP(E117,'HIDDEN calc sheet'!A:B,2,FALSE),IFERROR(VLOOKUP(E117,'Additional questions'!B:D,3,FALSE)="Yes",VLOOKUP(E117,'Hardware Feature set'!B:D,3,FALSE)="No"))))</f>
        <v>1</v>
      </c>
      <c r="J117" s="11" t="b">
        <f>IF(VLOOKUP(B117,'Profile selection'!B:C,2,FALSE)="Yes",TRUE,FALSE)</f>
        <v>1</v>
      </c>
      <c r="K117" s="53"/>
      <c r="L117" s="53"/>
    </row>
    <row r="118" spans="1:12" x14ac:dyDescent="0.25">
      <c r="A118" t="str">
        <f>'HIDDEN import'!B118</f>
        <v>TC_E_40_CS</v>
      </c>
      <c r="B118" t="str">
        <f>'HIDDEN import'!C118</f>
        <v>Core</v>
      </c>
      <c r="C118" t="str">
        <f>'HIDDEN import'!D118</f>
        <v>Offline Behaviour - Connection loss during transaction</v>
      </c>
      <c r="D118" t="str">
        <f>IF(VLOOKUP(A118&amp;" "&amp;B118,'HIDDEN import'!A:G,5,FALSE)="M",MD!$A$1,(IF(AND(VLOOKUP(A118,'HIDDEN import'!B:E,4,FALSE)="C",OR(NOT(ISERROR(VLOOKUP(E118,'Optional features'!B:D,1,FALSE)=E118)),NOT(ISERROR(VLOOKUP(E118,'HIDDEN calc sheet'!A:C,1,FALSE)=E118)))),MD!$A$3,MD!$A$2)))</f>
        <v>Mandatory test for a mandatory feature</v>
      </c>
      <c r="E118" t="str">
        <f>IF('HIDDEN import'!F118=0,"",'HIDDEN import'!F118)</f>
        <v/>
      </c>
      <c r="F118" t="str">
        <f>IF('HIDDEN import'!G118=0,"",'HIDDEN import'!G118)</f>
        <v/>
      </c>
      <c r="G118" s="181" t="str">
        <f>IFERROR(VLOOKUP($A118,'HIDDEN Testrun Results'!$A:$B,2,FALSE),"")</f>
        <v/>
      </c>
      <c r="H118" s="11" t="b">
        <f t="shared" si="1"/>
        <v>1</v>
      </c>
      <c r="I118" s="11" t="b">
        <f>IF(VLOOKUP(A118&amp;" "&amp;B118,'HIDDEN import'!A:G,5,FALSE)="M",TRUE,IFERROR(VLOOKUP(E118,'Optional features'!B:D,3,FALSE)="Yes",IFERROR(VLOOKUP(E118,'HIDDEN calc sheet'!A:B,2,FALSE),IFERROR(VLOOKUP(E118,'Additional questions'!B:D,3,FALSE)="Yes",VLOOKUP(E118,'Hardware Feature set'!B:D,3,FALSE)="No"))))</f>
        <v>1</v>
      </c>
      <c r="J118" s="11" t="b">
        <f>IF(VLOOKUP(B118,'Profile selection'!B:C,2,FALSE)="Yes",TRUE,FALSE)</f>
        <v>1</v>
      </c>
      <c r="K118" s="53"/>
      <c r="L118" s="53"/>
    </row>
    <row r="119" spans="1:12" x14ac:dyDescent="0.25">
      <c r="A119" t="str">
        <f>'HIDDEN import'!B119</f>
        <v>TC_E_43_CS</v>
      </c>
      <c r="B119" t="str">
        <f>'HIDDEN import'!C119</f>
        <v>Core</v>
      </c>
      <c r="C119" t="str">
        <f>'HIDDEN import'!D119</f>
        <v>Offline Behaviour - Transaction during offline period</v>
      </c>
      <c r="D119" t="str">
        <f>IF(VLOOKUP(A119&amp;" "&amp;B119,'HIDDEN import'!A:G,5,FALSE)="M",MD!$A$1,(IF(AND(VLOOKUP(A119,'HIDDEN import'!B:E,4,FALSE)="C",OR(NOT(ISERROR(VLOOKUP(E119,'Optional features'!B:D,1,FALSE)=E119)),NOT(ISERROR(VLOOKUP(E119,'HIDDEN calc sheet'!A:C,1,FALSE)=E119)))),MD!$A$3,MD!$A$2)))</f>
        <v>Mandatory for optional feature</v>
      </c>
      <c r="E119" t="str">
        <f>IF('HIDDEN import'!F119=0,"",'HIDDEN import'!F119)</f>
        <v>(C-01 and (C-30 - C-34 or ISO 15118 support)) or C-35</v>
      </c>
      <c r="F119" t="str">
        <f>IF('HIDDEN import'!G119=0,"",'HIDDEN import'!G119)</f>
        <v>Offline transaction support &amp; Local Authorization options for local start or NoAuthorization support</v>
      </c>
      <c r="G119" s="181" t="str">
        <f>IFERROR(VLOOKUP($A119,'HIDDEN Testrun Results'!$A:$B,2,FALSE),"")</f>
        <v/>
      </c>
      <c r="H119" s="11" t="b">
        <f t="shared" si="1"/>
        <v>1</v>
      </c>
      <c r="I119" s="11" t="b">
        <f>IF(VLOOKUP(A119&amp;" "&amp;B119,'HIDDEN import'!A:G,5,FALSE)="M",TRUE,IFERROR(VLOOKUP(E119,'Optional features'!B:D,3,FALSE)="Yes",IFERROR(VLOOKUP(E119,'HIDDEN calc sheet'!A:B,2,FALSE),IFERROR(VLOOKUP(E119,'Additional questions'!B:D,3,FALSE)="Yes",VLOOKUP(E119,'Hardware Feature set'!B:D,3,FALSE)="No"))))</f>
        <v>1</v>
      </c>
      <c r="J119" s="11" t="b">
        <f>IF(VLOOKUP(B119,'Profile selection'!B:C,2,FALSE)="Yes",TRUE,FALSE)</f>
        <v>1</v>
      </c>
      <c r="K119" s="53"/>
      <c r="L119" s="53"/>
    </row>
    <row r="120" spans="1:12" x14ac:dyDescent="0.25">
      <c r="A120" t="str">
        <f>'HIDDEN import'!B120</f>
        <v>TC_E_44_CS</v>
      </c>
      <c r="B120" t="str">
        <f>'HIDDEN import'!C120</f>
        <v>Core</v>
      </c>
      <c r="C120" t="str">
        <f>'HIDDEN import'!D120</f>
        <v>Offline Behaviour - Stop transaction during offline period</v>
      </c>
      <c r="D120" t="str">
        <f>IF(VLOOKUP(A120&amp;" "&amp;B120,'HIDDEN import'!A:G,5,FALSE)="M",MD!$A$1,(IF(AND(VLOOKUP(A120,'HIDDEN import'!B:E,4,FALSE)="C",OR(NOT(ISERROR(VLOOKUP(E120,'Optional features'!B:D,1,FALSE)=E120)),NOT(ISERROR(VLOOKUP(E120,'HIDDEN calc sheet'!A:C,1,FALSE)=E120)))),MD!$A$3,MD!$A$2)))</f>
        <v>Mandatory for optional feature</v>
      </c>
      <c r="E120" t="str">
        <f>IF('HIDDEN import'!F120=0,"",'HIDDEN import'!F120)</f>
        <v>C-30 - C-35 or ISO 15118 support</v>
      </c>
      <c r="F120" t="str">
        <f>IF('HIDDEN import'!G120=0,"",'HIDDEN import'!G120)</f>
        <v>Local Authorization options for local start &amp; Authorization - eMAID</v>
      </c>
      <c r="G120" s="181" t="str">
        <f>IFERROR(VLOOKUP($A120,'HIDDEN Testrun Results'!$A:$B,2,FALSE),"")</f>
        <v/>
      </c>
      <c r="H120" s="11" t="b">
        <f t="shared" si="1"/>
        <v>1</v>
      </c>
      <c r="I120" s="11" t="b">
        <f>IF(VLOOKUP(A120&amp;" "&amp;B120,'HIDDEN import'!A:G,5,FALSE)="M",TRUE,IFERROR(VLOOKUP(E120,'Optional features'!B:D,3,FALSE)="Yes",IFERROR(VLOOKUP(E120,'HIDDEN calc sheet'!A:B,2,FALSE),IFERROR(VLOOKUP(E120,'Additional questions'!B:D,3,FALSE)="Yes",VLOOKUP(E120,'Hardware Feature set'!B:D,3,FALSE)="No"))))</f>
        <v>1</v>
      </c>
      <c r="J120" s="11" t="b">
        <f>IF(VLOOKUP(B120,'Profile selection'!B:C,2,FALSE)="Yes",TRUE,FALSE)</f>
        <v>1</v>
      </c>
      <c r="K120" s="53"/>
      <c r="L120" s="53"/>
    </row>
    <row r="121" spans="1:12" x14ac:dyDescent="0.25">
      <c r="A121" t="str">
        <f>'HIDDEN import'!B121</f>
        <v>TC_E_45_CS</v>
      </c>
      <c r="B121" t="str">
        <f>'HIDDEN import'!C121</f>
        <v>Core</v>
      </c>
      <c r="C121" t="str">
        <f>'HIDDEN import'!D121</f>
        <v>Offline Behaviour - Stop transaction during offline period - Same GroupId</v>
      </c>
      <c r="D121" t="str">
        <f>IF(VLOOKUP(A121&amp;" "&amp;B121,'HIDDEN import'!A:G,5,FALSE)="M",MD!$A$1,(IF(AND(VLOOKUP(A121,'HIDDEN import'!B:E,4,FALSE)="C",OR(NOT(ISERROR(VLOOKUP(E121,'Optional features'!B:D,1,FALSE)=E121)),NOT(ISERROR(VLOOKUP(E121,'HIDDEN calc sheet'!A:C,1,FALSE)=E121)))),MD!$A$3,MD!$A$2)))</f>
        <v>Mandatory for optional feature</v>
      </c>
      <c r="E121" t="str">
        <f>IF('HIDDEN import'!F121=0,"",'HIDDEN import'!F121)</f>
        <v>(C-30 or C-31 or C-32) AND (Local Authorization List Management or C-49)</v>
      </c>
      <c r="F121" t="str">
        <f>IF('HIDDEN import'!G121=0,"",'HIDDEN import'!G121)</f>
        <v>Local Authorization - using RFID ISO14443 / RFID ISO15693 / KeyCode and Local Authorization List or Authorization Cache</v>
      </c>
      <c r="G121" s="181" t="str">
        <f>IFERROR(VLOOKUP($A121,'HIDDEN Testrun Results'!$A:$B,2,FALSE),"")</f>
        <v/>
      </c>
      <c r="H121" s="11" t="b">
        <f t="shared" si="1"/>
        <v>1</v>
      </c>
      <c r="I121" s="11" t="b">
        <f>IF(VLOOKUP(A121&amp;" "&amp;B121,'HIDDEN import'!A:G,5,FALSE)="M",TRUE,IFERROR(VLOOKUP(E121,'Optional features'!B:D,3,FALSE)="Yes",IFERROR(VLOOKUP(E121,'HIDDEN calc sheet'!A:B,2,FALSE),IFERROR(VLOOKUP(E121,'Additional questions'!B:D,3,FALSE)="Yes",VLOOKUP(E121,'Hardware Feature set'!B:D,3,FALSE)="No"))))</f>
        <v>1</v>
      </c>
      <c r="J121" s="11" t="b">
        <f>IF(VLOOKUP(B121,'Profile selection'!B:C,2,FALSE)="Yes",TRUE,FALSE)</f>
        <v>1</v>
      </c>
      <c r="K121" s="53"/>
      <c r="L121" s="53"/>
    </row>
    <row r="122" spans="1:12" x14ac:dyDescent="0.25">
      <c r="A122" t="str">
        <f>'HIDDEN import'!B122</f>
        <v>TC_E_28_CS</v>
      </c>
      <c r="B122" t="str">
        <f>'HIDDEN import'!C122</f>
        <v>Core</v>
      </c>
      <c r="C122" t="str">
        <f>'HIDDEN import'!D122</f>
        <v>Check Transaction status - TransactionId unknown</v>
      </c>
      <c r="D122" t="str">
        <f>IF(VLOOKUP(A122&amp;" "&amp;B122,'HIDDEN import'!A:G,5,FALSE)="M",MD!$A$1,(IF(AND(VLOOKUP(A122,'HIDDEN import'!B:E,4,FALSE)="C",OR(NOT(ISERROR(VLOOKUP(E122,'Optional features'!B:D,1,FALSE)=E122)),NOT(ISERROR(VLOOKUP(E122,'HIDDEN calc sheet'!A:C,1,FALSE)=E122)))),MD!$A$3,MD!$A$2)))</f>
        <v>Mandatory test for a mandatory feature</v>
      </c>
      <c r="E122" t="str">
        <f>IF('HIDDEN import'!F122=0,"",'HIDDEN import'!F122)</f>
        <v/>
      </c>
      <c r="F122" t="str">
        <f>IF('HIDDEN import'!G122=0,"",'HIDDEN import'!G122)</f>
        <v/>
      </c>
      <c r="G122" s="181" t="str">
        <f>IFERROR(VLOOKUP($A122,'HIDDEN Testrun Results'!$A:$B,2,FALSE),"")</f>
        <v/>
      </c>
      <c r="H122" s="11" t="b">
        <f t="shared" si="1"/>
        <v>1</v>
      </c>
      <c r="I122" s="11" t="b">
        <f>IF(VLOOKUP(A122&amp;" "&amp;B122,'HIDDEN import'!A:G,5,FALSE)="M",TRUE,IFERROR(VLOOKUP(E122,'Optional features'!B:D,3,FALSE)="Yes",IFERROR(VLOOKUP(E122,'HIDDEN calc sheet'!A:B,2,FALSE),IFERROR(VLOOKUP(E122,'Additional questions'!B:D,3,FALSE)="Yes",VLOOKUP(E122,'Hardware Feature set'!B:D,3,FALSE)="No"))))</f>
        <v>1</v>
      </c>
      <c r="J122" s="11" t="b">
        <f>IF(VLOOKUP(B122,'Profile selection'!B:C,2,FALSE)="Yes",TRUE,FALSE)</f>
        <v>1</v>
      </c>
      <c r="K122" s="53"/>
      <c r="L122" s="53"/>
    </row>
    <row r="123" spans="1:12" x14ac:dyDescent="0.25">
      <c r="A123" t="str">
        <f>'HIDDEN import'!B123</f>
        <v>TC_E_29_CS</v>
      </c>
      <c r="B123" t="str">
        <f>'HIDDEN import'!C123</f>
        <v>Core</v>
      </c>
      <c r="C123" t="str">
        <f>'HIDDEN import'!D123</f>
        <v>Check Transaction status - Transaction with id ongoing - with message in queue</v>
      </c>
      <c r="D123" t="str">
        <f>IF(VLOOKUP(A123&amp;" "&amp;B123,'HIDDEN import'!A:G,5,FALSE)="M",MD!$A$1,(IF(AND(VLOOKUP(A123,'HIDDEN import'!B:E,4,FALSE)="C",OR(NOT(ISERROR(VLOOKUP(E123,'Optional features'!B:D,1,FALSE)=E123)),NOT(ISERROR(VLOOKUP(E123,'HIDDEN calc sheet'!A:C,1,FALSE)=E123)))),MD!$A$3,MD!$A$2)))</f>
        <v>Mandatory test for a mandatory feature</v>
      </c>
      <c r="E123" t="str">
        <f>IF('HIDDEN import'!F123=0,"",'HIDDEN import'!F123)</f>
        <v>C-16</v>
      </c>
      <c r="F123" t="str">
        <f>IF('HIDDEN import'!G123=0,"",'HIDDEN import'!G123)</f>
        <v>Check TransactionStatus</v>
      </c>
      <c r="G123" s="181" t="str">
        <f>IFERROR(VLOOKUP($A123,'HIDDEN Testrun Results'!$A:$B,2,FALSE),"")</f>
        <v/>
      </c>
      <c r="H123" s="11" t="b">
        <f t="shared" si="1"/>
        <v>1</v>
      </c>
      <c r="I123" s="11" t="b">
        <f>IF(VLOOKUP(A123&amp;" "&amp;B123,'HIDDEN import'!A:G,5,FALSE)="M",TRUE,IFERROR(VLOOKUP(E123,'Optional features'!B:D,3,FALSE)="Yes",IFERROR(VLOOKUP(E123,'HIDDEN calc sheet'!A:B,2,FALSE),IFERROR(VLOOKUP(E123,'Additional questions'!B:D,3,FALSE)="Yes",VLOOKUP(E123,'Hardware Feature set'!B:D,3,FALSE)="No"))))</f>
        <v>1</v>
      </c>
      <c r="J123" s="11" t="b">
        <f>IF(VLOOKUP(B123,'Profile selection'!B:C,2,FALSE)="Yes",TRUE,FALSE)</f>
        <v>1</v>
      </c>
      <c r="K123" s="53"/>
      <c r="L123" s="53"/>
    </row>
    <row r="124" spans="1:12" x14ac:dyDescent="0.25">
      <c r="A124" t="str">
        <f>'HIDDEN import'!B124</f>
        <v>TC_E_30_CS</v>
      </c>
      <c r="B124" t="str">
        <f>'HIDDEN import'!C124</f>
        <v>Core</v>
      </c>
      <c r="C124" t="str">
        <f>'HIDDEN import'!D124</f>
        <v>Check Transaction status - Transaction with id ongoing - without message in queue</v>
      </c>
      <c r="D124" t="str">
        <f>IF(VLOOKUP(A124&amp;" "&amp;B124,'HIDDEN import'!A:G,5,FALSE)="M",MD!$A$1,(IF(AND(VLOOKUP(A124,'HIDDEN import'!B:E,4,FALSE)="C",OR(NOT(ISERROR(VLOOKUP(E124,'Optional features'!B:D,1,FALSE)=E124)),NOT(ISERROR(VLOOKUP(E124,'HIDDEN calc sheet'!A:C,1,FALSE)=E124)))),MD!$A$3,MD!$A$2)))</f>
        <v>Mandatory test for a mandatory feature</v>
      </c>
      <c r="E124" t="str">
        <f>IF('HIDDEN import'!F124=0,"",'HIDDEN import'!F124)</f>
        <v>C-16</v>
      </c>
      <c r="F124" t="str">
        <f>IF('HIDDEN import'!G124=0,"",'HIDDEN import'!G124)</f>
        <v>Check TransactionStatus</v>
      </c>
      <c r="G124" s="181" t="str">
        <f>IFERROR(VLOOKUP($A124,'HIDDEN Testrun Results'!$A:$B,2,FALSE),"")</f>
        <v/>
      </c>
      <c r="H124" s="11" t="b">
        <f t="shared" si="1"/>
        <v>1</v>
      </c>
      <c r="I124" s="11" t="b">
        <f>IF(VLOOKUP(A124&amp;" "&amp;B124,'HIDDEN import'!A:G,5,FALSE)="M",TRUE,IFERROR(VLOOKUP(E124,'Optional features'!B:D,3,FALSE)="Yes",IFERROR(VLOOKUP(E124,'HIDDEN calc sheet'!A:B,2,FALSE),IFERROR(VLOOKUP(E124,'Additional questions'!B:D,3,FALSE)="Yes",VLOOKUP(E124,'Hardware Feature set'!B:D,3,FALSE)="No"))))</f>
        <v>1</v>
      </c>
      <c r="J124" s="11" t="b">
        <f>IF(VLOOKUP(B124,'Profile selection'!B:C,2,FALSE)="Yes",TRUE,FALSE)</f>
        <v>1</v>
      </c>
      <c r="K124" s="53"/>
      <c r="L124" s="53"/>
    </row>
    <row r="125" spans="1:12" x14ac:dyDescent="0.25">
      <c r="A125" t="str">
        <f>'HIDDEN import'!B125</f>
        <v>TC_E_31_CS</v>
      </c>
      <c r="B125" t="str">
        <f>'HIDDEN import'!C125</f>
        <v>Core</v>
      </c>
      <c r="C125" t="str">
        <f>'HIDDEN import'!D125</f>
        <v>Check Transaction status - Transaction with id ended - with message in queue</v>
      </c>
      <c r="D125" t="str">
        <f>IF(VLOOKUP(A125&amp;" "&amp;B125,'HIDDEN import'!A:G,5,FALSE)="M",MD!$A$1,(IF(AND(VLOOKUP(A125,'HIDDEN import'!B:E,4,FALSE)="C",OR(NOT(ISERROR(VLOOKUP(E125,'Optional features'!B:D,1,FALSE)=E125)),NOT(ISERROR(VLOOKUP(E125,'HIDDEN calc sheet'!A:C,1,FALSE)=E125)))),MD!$A$3,MD!$A$2)))</f>
        <v>Mandatory for optional feature</v>
      </c>
      <c r="E125" t="str">
        <f>IF('HIDDEN import'!F125=0,"",'HIDDEN import'!F125)</f>
        <v>NOT ( NOT (C-30 - C-35) AND (NOT C-10.1 AND NOT C-10.3 AND NOT C-10.4 AND NOT C-10.5) AND NOT C-06.2)</v>
      </c>
      <c r="F125" t="str">
        <f>IF('HIDDEN import'!G125=0,"",'HIDDEN import'!G125)</f>
        <v/>
      </c>
      <c r="G125" s="181" t="str">
        <f>IFERROR(VLOOKUP($A125,'HIDDEN Testrun Results'!$A:$B,2,FALSE),"")</f>
        <v/>
      </c>
      <c r="H125" s="11" t="b">
        <f t="shared" si="1"/>
        <v>1</v>
      </c>
      <c r="I125" s="11" t="b">
        <f>IF(VLOOKUP(A125&amp;" "&amp;B125,'HIDDEN import'!A:G,5,FALSE)="M",TRUE,IFERROR(VLOOKUP(E125,'Optional features'!B:D,3,FALSE)="Yes",IFERROR(VLOOKUP(E125,'HIDDEN calc sheet'!A:B,2,FALSE),IFERROR(VLOOKUP(E125,'Additional questions'!B:D,3,FALSE)="Yes",VLOOKUP(E125,'Hardware Feature set'!B:D,3,FALSE)="No"))))</f>
        <v>1</v>
      </c>
      <c r="J125" s="11" t="b">
        <f>IF(VLOOKUP(B125,'Profile selection'!B:C,2,FALSE)="Yes",TRUE,FALSE)</f>
        <v>1</v>
      </c>
      <c r="K125" s="53"/>
      <c r="L125" s="53"/>
    </row>
    <row r="126" spans="1:12" x14ac:dyDescent="0.25">
      <c r="A126" t="str">
        <f>'HIDDEN import'!B126</f>
        <v>TC_E_32_CS</v>
      </c>
      <c r="B126" t="str">
        <f>'HIDDEN import'!C126</f>
        <v>Core</v>
      </c>
      <c r="C126" t="str">
        <f>'HIDDEN import'!D126</f>
        <v>Check Transaction status - Transaction with id ended - without message in queue</v>
      </c>
      <c r="D126" t="str">
        <f>IF(VLOOKUP(A126&amp;" "&amp;B126,'HIDDEN import'!A:G,5,FALSE)="M",MD!$A$1,(IF(AND(VLOOKUP(A126,'HIDDEN import'!B:E,4,FALSE)="C",OR(NOT(ISERROR(VLOOKUP(E126,'Optional features'!B:D,1,FALSE)=E126)),NOT(ISERROR(VLOOKUP(E126,'HIDDEN calc sheet'!A:C,1,FALSE)=E126)))),MD!$A$3,MD!$A$2)))</f>
        <v>Mandatory test for a mandatory feature</v>
      </c>
      <c r="E126" t="str">
        <f>IF('HIDDEN import'!F126=0,"",'HIDDEN import'!F126)</f>
        <v/>
      </c>
      <c r="F126" t="str">
        <f>IF('HIDDEN import'!G126=0,"",'HIDDEN import'!G126)</f>
        <v/>
      </c>
      <c r="G126" s="181" t="str">
        <f>IFERROR(VLOOKUP($A126,'HIDDEN Testrun Results'!$A:$B,2,FALSE),"")</f>
        <v/>
      </c>
      <c r="H126" s="11" t="b">
        <f t="shared" si="1"/>
        <v>1</v>
      </c>
      <c r="I126" s="11" t="b">
        <f>IF(VLOOKUP(A126&amp;" "&amp;B126,'HIDDEN import'!A:G,5,FALSE)="M",TRUE,IFERROR(VLOOKUP(E126,'Optional features'!B:D,3,FALSE)="Yes",IFERROR(VLOOKUP(E126,'HIDDEN calc sheet'!A:B,2,FALSE),IFERROR(VLOOKUP(E126,'Additional questions'!B:D,3,FALSE)="Yes",VLOOKUP(E126,'Hardware Feature set'!B:D,3,FALSE)="No"))))</f>
        <v>1</v>
      </c>
      <c r="J126" s="11" t="b">
        <f>IF(VLOOKUP(B126,'Profile selection'!B:C,2,FALSE)="Yes",TRUE,FALSE)</f>
        <v>1</v>
      </c>
      <c r="K126" s="53"/>
      <c r="L126" s="53"/>
    </row>
    <row r="127" spans="1:12" x14ac:dyDescent="0.25">
      <c r="A127" t="str">
        <f>'HIDDEN import'!B127</f>
        <v>TC_E_33_CS</v>
      </c>
      <c r="B127" t="str">
        <f>'HIDDEN import'!C127</f>
        <v>Core</v>
      </c>
      <c r="C127" t="str">
        <f>'HIDDEN import'!D127</f>
        <v>Check Transaction status - Without transactionId - with message in queue</v>
      </c>
      <c r="D127" t="str">
        <f>IF(VLOOKUP(A127&amp;" "&amp;B127,'HIDDEN import'!A:G,5,FALSE)="M",MD!$A$1,(IF(AND(VLOOKUP(A127,'HIDDEN import'!B:E,4,FALSE)="C",OR(NOT(ISERROR(VLOOKUP(E127,'Optional features'!B:D,1,FALSE)=E127)),NOT(ISERROR(VLOOKUP(E127,'HIDDEN calc sheet'!A:C,1,FALSE)=E127)))),MD!$A$3,MD!$A$2)))</f>
        <v>Mandatory test for a mandatory feature</v>
      </c>
      <c r="E127" t="str">
        <f>IF('HIDDEN import'!F127=0,"",'HIDDEN import'!F127)</f>
        <v>C-16</v>
      </c>
      <c r="F127" t="str">
        <f>IF('HIDDEN import'!G127=0,"",'HIDDEN import'!G127)</f>
        <v>Check TransactionStatus</v>
      </c>
      <c r="G127" s="181" t="str">
        <f>IFERROR(VLOOKUP($A127,'HIDDEN Testrun Results'!$A:$B,2,FALSE),"")</f>
        <v/>
      </c>
      <c r="H127" s="11" t="b">
        <f t="shared" si="1"/>
        <v>1</v>
      </c>
      <c r="I127" s="11" t="b">
        <f>IF(VLOOKUP(A127&amp;" "&amp;B127,'HIDDEN import'!A:G,5,FALSE)="M",TRUE,IFERROR(VLOOKUP(E127,'Optional features'!B:D,3,FALSE)="Yes",IFERROR(VLOOKUP(E127,'HIDDEN calc sheet'!A:B,2,FALSE),IFERROR(VLOOKUP(E127,'Additional questions'!B:D,3,FALSE)="Yes",VLOOKUP(E127,'Hardware Feature set'!B:D,3,FALSE)="No"))))</f>
        <v>1</v>
      </c>
      <c r="J127" s="11" t="b">
        <f>IF(VLOOKUP(B127,'Profile selection'!B:C,2,FALSE)="Yes",TRUE,FALSE)</f>
        <v>1</v>
      </c>
      <c r="K127" s="53"/>
      <c r="L127" s="53"/>
    </row>
    <row r="128" spans="1:12" x14ac:dyDescent="0.25">
      <c r="A128" t="str">
        <f>'HIDDEN import'!B128</f>
        <v>TC_E_34_CS</v>
      </c>
      <c r="B128" t="str">
        <f>'HIDDEN import'!C128</f>
        <v>Core</v>
      </c>
      <c r="C128" t="str">
        <f>'HIDDEN import'!D128</f>
        <v>Check Transaction status - Without transactionId - without message in queue</v>
      </c>
      <c r="D128" t="str">
        <f>IF(VLOOKUP(A128&amp;" "&amp;B128,'HIDDEN import'!A:G,5,FALSE)="M",MD!$A$1,(IF(AND(VLOOKUP(A128,'HIDDEN import'!B:E,4,FALSE)="C",OR(NOT(ISERROR(VLOOKUP(E128,'Optional features'!B:D,1,FALSE)=E128)),NOT(ISERROR(VLOOKUP(E128,'HIDDEN calc sheet'!A:C,1,FALSE)=E128)))),MD!$A$3,MD!$A$2)))</f>
        <v>Mandatory test for a mandatory feature</v>
      </c>
      <c r="E128" t="str">
        <f>IF('HIDDEN import'!F128=0,"",'HIDDEN import'!F128)</f>
        <v>C-16</v>
      </c>
      <c r="F128" t="str">
        <f>IF('HIDDEN import'!G128=0,"",'HIDDEN import'!G128)</f>
        <v>Check TransactionStatus</v>
      </c>
      <c r="G128" s="181" t="str">
        <f>IFERROR(VLOOKUP($A128,'HIDDEN Testrun Results'!$A:$B,2,FALSE),"")</f>
        <v/>
      </c>
      <c r="H128" s="11" t="b">
        <f t="shared" si="1"/>
        <v>1</v>
      </c>
      <c r="I128" s="11" t="b">
        <f>IF(VLOOKUP(A128&amp;" "&amp;B128,'HIDDEN import'!A:G,5,FALSE)="M",TRUE,IFERROR(VLOOKUP(E128,'Optional features'!B:D,3,FALSE)="Yes",IFERROR(VLOOKUP(E128,'HIDDEN calc sheet'!A:B,2,FALSE),IFERROR(VLOOKUP(E128,'Additional questions'!B:D,3,FALSE)="Yes",VLOOKUP(E128,'Hardware Feature set'!B:D,3,FALSE)="No"))))</f>
        <v>1</v>
      </c>
      <c r="J128" s="11" t="b">
        <f>IF(VLOOKUP(B128,'Profile selection'!B:C,2,FALSE)="Yes",TRUE,FALSE)</f>
        <v>1</v>
      </c>
      <c r="K128" s="53"/>
      <c r="L128" s="53"/>
    </row>
    <row r="129" spans="1:12" x14ac:dyDescent="0.25">
      <c r="A129" t="str">
        <f>'HIDDEN import'!B129</f>
        <v>TC_F_01_CS</v>
      </c>
      <c r="B129" t="str">
        <f>'HIDDEN import'!C129</f>
        <v>Core</v>
      </c>
      <c r="C129" t="str">
        <f>'HIDDEN import'!D129</f>
        <v>Remote start transaction - Cable plugin first</v>
      </c>
      <c r="D129" t="str">
        <f>IF(VLOOKUP(A129&amp;" "&amp;B129,'HIDDEN import'!A:G,5,FALSE)="M",MD!$A$1,(IF(AND(VLOOKUP(A129,'HIDDEN import'!B:E,4,FALSE)="C",OR(NOT(ISERROR(VLOOKUP(E129,'Optional features'!B:D,1,FALSE)=E129)),NOT(ISERROR(VLOOKUP(E129,'HIDDEN calc sheet'!A:C,1,FALSE)=E129)))),MD!$A$3,MD!$A$2)))</f>
        <v>Mandatory for optional feature</v>
      </c>
      <c r="E129" t="str">
        <f>IF('HIDDEN import'!F129=0,"",'HIDDEN import'!F129)</f>
        <v>NOT AQ-2 and (C-36 -(or) C-39)</v>
      </c>
      <c r="F129" t="str">
        <f>IF('HIDDEN import'!G129=0,"",'HIDDEN import'!G129)</f>
        <v>Authorization options for remote start</v>
      </c>
      <c r="G129" s="181" t="str">
        <f>IFERROR(VLOOKUP($A129,'HIDDEN Testrun Results'!$A:$B,2,FALSE),"")</f>
        <v/>
      </c>
      <c r="H129" s="11" t="b">
        <f t="shared" si="1"/>
        <v>1</v>
      </c>
      <c r="I129" s="11" t="b">
        <f>IF(VLOOKUP(A129&amp;" "&amp;B129,'HIDDEN import'!A:G,5,FALSE)="M",TRUE,IFERROR(VLOOKUP(E129,'Optional features'!B:D,3,FALSE)="Yes",IFERROR(VLOOKUP(E129,'HIDDEN calc sheet'!A:B,2,FALSE),IFERROR(VLOOKUP(E129,'Additional questions'!B:D,3,FALSE)="Yes",VLOOKUP(E129,'Hardware Feature set'!B:D,3,FALSE)="No"))))</f>
        <v>1</v>
      </c>
      <c r="J129" s="11" t="b">
        <f>IF(VLOOKUP(B129,'Profile selection'!B:C,2,FALSE)="Yes",TRUE,FALSE)</f>
        <v>1</v>
      </c>
      <c r="K129" s="53"/>
      <c r="L129" s="53"/>
    </row>
    <row r="130" spans="1:12" x14ac:dyDescent="0.25">
      <c r="A130" t="str">
        <f>'HIDDEN import'!B130</f>
        <v>TC_F_02_CS</v>
      </c>
      <c r="B130" t="str">
        <f>'HIDDEN import'!C130</f>
        <v>Core</v>
      </c>
      <c r="C130" t="str">
        <f>'HIDDEN import'!D130</f>
        <v>Remote start transaction - Remote start first - AuthorizeRemoteStart is true</v>
      </c>
      <c r="D130" t="str">
        <f>IF(VLOOKUP(A130&amp;" "&amp;B130,'HIDDEN import'!A:G,5,FALSE)="M",MD!$A$1,(IF(AND(VLOOKUP(A130,'HIDDEN import'!B:E,4,FALSE)="C",OR(NOT(ISERROR(VLOOKUP(E130,'Optional features'!B:D,1,FALSE)=E130)),NOT(ISERROR(VLOOKUP(E130,'HIDDEN calc sheet'!A:C,1,FALSE)=E130)))),MD!$A$3,MD!$A$2)))</f>
        <v>Mandatory for optional feature</v>
      </c>
      <c r="E130" t="str">
        <f>IF('HIDDEN import'!F130=0,"",'HIDDEN import'!F130)</f>
        <v>C-48.1 and (C-36 -(or) C-39)</v>
      </c>
      <c r="F130" t="str">
        <f>IF('HIDDEN import'!G130=0,"",'HIDDEN import'!G130)</f>
        <v>Authorization options for remote start</v>
      </c>
      <c r="G130" s="181" t="str">
        <f>IFERROR(VLOOKUP($A130,'HIDDEN Testrun Results'!$A:$B,2,FALSE),"")</f>
        <v/>
      </c>
      <c r="H130" s="11" t="b">
        <f t="shared" si="1"/>
        <v>0</v>
      </c>
      <c r="I130" s="11" t="b">
        <f>IF(VLOOKUP(A130&amp;" "&amp;B130,'HIDDEN import'!A:G,5,FALSE)="M",TRUE,IFERROR(VLOOKUP(E130,'Optional features'!B:D,3,FALSE)="Yes",IFERROR(VLOOKUP(E130,'HIDDEN calc sheet'!A:B,2,FALSE),IFERROR(VLOOKUP(E130,'Additional questions'!B:D,3,FALSE)="Yes",VLOOKUP(E130,'Hardware Feature set'!B:D,3,FALSE)="No"))))</f>
        <v>0</v>
      </c>
      <c r="J130" s="11" t="b">
        <f>IF(VLOOKUP(B130,'Profile selection'!B:C,2,FALSE)="Yes",TRUE,FALSE)</f>
        <v>1</v>
      </c>
      <c r="K130" s="53"/>
      <c r="L130" s="53"/>
    </row>
    <row r="131" spans="1:12" x14ac:dyDescent="0.25">
      <c r="A131" t="str">
        <f>'HIDDEN import'!B131</f>
        <v>TC_F_03_CS</v>
      </c>
      <c r="B131" t="str">
        <f>'HIDDEN import'!C131</f>
        <v>Core</v>
      </c>
      <c r="C131" t="str">
        <f>'HIDDEN import'!D131</f>
        <v>Remote start transaction - Remote start first - AuthorizeRemoteStart is false</v>
      </c>
      <c r="D131" t="str">
        <f>IF(VLOOKUP(A131&amp;" "&amp;B131,'HIDDEN import'!A:G,5,FALSE)="M",MD!$A$1,(IF(AND(VLOOKUP(A131,'HIDDEN import'!B:E,4,FALSE)="C",OR(NOT(ISERROR(VLOOKUP(E131,'Optional features'!B:D,1,FALSE)=E131)),NOT(ISERROR(VLOOKUP(E131,'HIDDEN calc sheet'!A:C,1,FALSE)=E131)))),MD!$A$3,MD!$A$2)))</f>
        <v>Mandatory for optional feature</v>
      </c>
      <c r="E131" t="str">
        <f>IF('HIDDEN import'!F131=0,"",'HIDDEN import'!F131)</f>
        <v>C-48.2 and (C-36 -(or) C-39)</v>
      </c>
      <c r="F131" t="str">
        <f>IF('HIDDEN import'!G131=0,"",'HIDDEN import'!G131)</f>
        <v>Authorization options for remote start</v>
      </c>
      <c r="G131" s="181" t="str">
        <f>IFERROR(VLOOKUP($A131,'HIDDEN Testrun Results'!$A:$B,2,FALSE),"")</f>
        <v/>
      </c>
      <c r="H131" s="11" t="b">
        <f t="shared" ref="H131:H176" si="2">IF(NOT(J131),FALSE,IF(NOT(ISLOGICAL(I131)),I131,AND(I131,J131)))</f>
        <v>1</v>
      </c>
      <c r="I131" s="11" t="b">
        <f>IF(VLOOKUP(A131&amp;" "&amp;B131,'HIDDEN import'!A:G,5,FALSE)="M",TRUE,IFERROR(VLOOKUP(E131,'Optional features'!B:D,3,FALSE)="Yes",IFERROR(VLOOKUP(E131,'HIDDEN calc sheet'!A:B,2,FALSE),IFERROR(VLOOKUP(E131,'Additional questions'!B:D,3,FALSE)="Yes",VLOOKUP(E131,'Hardware Feature set'!B:D,3,FALSE)="No"))))</f>
        <v>1</v>
      </c>
      <c r="J131" s="11" t="b">
        <f>IF(VLOOKUP(B131,'Profile selection'!B:C,2,FALSE)="Yes",TRUE,FALSE)</f>
        <v>1</v>
      </c>
      <c r="K131" s="53"/>
      <c r="L131" s="53"/>
    </row>
    <row r="132" spans="1:12" x14ac:dyDescent="0.25">
      <c r="A132" t="str">
        <f>'HIDDEN import'!B132</f>
        <v>TC_F_04_CS</v>
      </c>
      <c r="B132" t="str">
        <f>'HIDDEN import'!C132</f>
        <v>Core</v>
      </c>
      <c r="C132" t="str">
        <f>'HIDDEN import'!D132</f>
        <v>Remote start transaction - Remote start first - Cable plugin timeout</v>
      </c>
      <c r="D132" t="str">
        <f>IF(VLOOKUP(A132&amp;" "&amp;B132,'HIDDEN import'!A:G,5,FALSE)="M",MD!$A$1,(IF(AND(VLOOKUP(A132,'HIDDEN import'!B:E,4,FALSE)="C",OR(NOT(ISERROR(VLOOKUP(E132,'Optional features'!B:D,1,FALSE)=E132)),NOT(ISERROR(VLOOKUP(E132,'HIDDEN calc sheet'!A:C,1,FALSE)=E132)))),MD!$A$3,MD!$A$2)))</f>
        <v>Mandatory test for a mandatory feature</v>
      </c>
      <c r="E132" t="str">
        <f>IF('HIDDEN import'!F132=0,"",'HIDDEN import'!F132)</f>
        <v/>
      </c>
      <c r="F132" t="str">
        <f>IF('HIDDEN import'!G132=0,"",'HIDDEN import'!G132)</f>
        <v/>
      </c>
      <c r="G132" s="181" t="str">
        <f>IFERROR(VLOOKUP($A132,'HIDDEN Testrun Results'!$A:$B,2,FALSE),"")</f>
        <v/>
      </c>
      <c r="H132" s="11" t="b">
        <f t="shared" si="2"/>
        <v>1</v>
      </c>
      <c r="I132" s="11" t="b">
        <f>IF(VLOOKUP(A132&amp;" "&amp;B132,'HIDDEN import'!A:G,5,FALSE)="M",TRUE,IFERROR(VLOOKUP(E132,'Optional features'!B:D,3,FALSE)="Yes",IFERROR(VLOOKUP(E132,'HIDDEN calc sheet'!A:B,2,FALSE),IFERROR(VLOOKUP(E132,'Additional questions'!B:D,3,FALSE)="Yes",VLOOKUP(E132,'Hardware Feature set'!B:D,3,FALSE)="No"))))</f>
        <v>1</v>
      </c>
      <c r="J132" s="11" t="b">
        <f>IF(VLOOKUP(B132,'Profile selection'!B:C,2,FALSE)="Yes",TRUE,FALSE)</f>
        <v>1</v>
      </c>
      <c r="K132" s="53"/>
      <c r="L132" s="53"/>
    </row>
    <row r="133" spans="1:12" x14ac:dyDescent="0.25">
      <c r="A133" t="str">
        <f>'HIDDEN import'!B133</f>
        <v>TC_F_08_CS</v>
      </c>
      <c r="B133" t="str">
        <f>'HIDDEN import'!C133</f>
        <v>Core</v>
      </c>
      <c r="C133" t="str">
        <f>'HIDDEN import'!D133</f>
        <v>Remote stop transaction - Success</v>
      </c>
      <c r="D133" t="str">
        <f>IF(VLOOKUP(A133&amp;" "&amp;B133,'HIDDEN import'!A:G,5,FALSE)="M",MD!$A$1,(IF(AND(VLOOKUP(A133,'HIDDEN import'!B:E,4,FALSE)="C",OR(NOT(ISERROR(VLOOKUP(E133,'Optional features'!B:D,1,FALSE)=E133)),NOT(ISERROR(VLOOKUP(E133,'HIDDEN calc sheet'!A:C,1,FALSE)=E133)))),MD!$A$3,MD!$A$2)))</f>
        <v>Mandatory test for a mandatory feature</v>
      </c>
      <c r="E133" t="str">
        <f>IF('HIDDEN import'!F133=0,"",'HIDDEN import'!F133)</f>
        <v/>
      </c>
      <c r="F133" t="str">
        <f>IF('HIDDEN import'!G133=0,"",'HIDDEN import'!G133)</f>
        <v/>
      </c>
      <c r="G133" s="181" t="str">
        <f>IFERROR(VLOOKUP($A133,'HIDDEN Testrun Results'!$A:$B,2,FALSE),"")</f>
        <v/>
      </c>
      <c r="H133" s="11" t="b">
        <f t="shared" si="2"/>
        <v>1</v>
      </c>
      <c r="I133" s="11" t="b">
        <f>IF(VLOOKUP(A133&amp;" "&amp;B133,'HIDDEN import'!A:G,5,FALSE)="M",TRUE,IFERROR(VLOOKUP(E133,'Optional features'!B:D,3,FALSE)="Yes",IFERROR(VLOOKUP(E133,'HIDDEN calc sheet'!A:B,2,FALSE),IFERROR(VLOOKUP(E133,'Additional questions'!B:D,3,FALSE)="Yes",VLOOKUP(E133,'Hardware Feature set'!B:D,3,FALSE)="No"))))</f>
        <v>1</v>
      </c>
      <c r="J133" s="11" t="b">
        <f>IF(VLOOKUP(B133,'Profile selection'!B:C,2,FALSE)="Yes",TRUE,FALSE)</f>
        <v>1</v>
      </c>
      <c r="K133" s="53"/>
      <c r="L133" s="53"/>
    </row>
    <row r="134" spans="1:12" x14ac:dyDescent="0.25">
      <c r="A134" t="str">
        <f>'HIDDEN import'!B134</f>
        <v>TC_F_09_CS</v>
      </c>
      <c r="B134" t="str">
        <f>'HIDDEN import'!C134</f>
        <v>Core</v>
      </c>
      <c r="C134" t="str">
        <f>'HIDDEN import'!D134</f>
        <v>Remote stop transaction - Rejected</v>
      </c>
      <c r="D134" t="str">
        <f>IF(VLOOKUP(A134&amp;" "&amp;B134,'HIDDEN import'!A:G,5,FALSE)="M",MD!$A$1,(IF(AND(VLOOKUP(A134,'HIDDEN import'!B:E,4,FALSE)="C",OR(NOT(ISERROR(VLOOKUP(E134,'Optional features'!B:D,1,FALSE)=E134)),NOT(ISERROR(VLOOKUP(E134,'HIDDEN calc sheet'!A:C,1,FALSE)=E134)))),MD!$A$3,MD!$A$2)))</f>
        <v>Mandatory test for a mandatory feature</v>
      </c>
      <c r="E134" t="str">
        <f>IF('HIDDEN import'!F134=0,"",'HIDDEN import'!F134)</f>
        <v/>
      </c>
      <c r="F134" t="str">
        <f>IF('HIDDEN import'!G134=0,"",'HIDDEN import'!G134)</f>
        <v/>
      </c>
      <c r="G134" s="181" t="str">
        <f>IFERROR(VLOOKUP($A134,'HIDDEN Testrun Results'!$A:$B,2,FALSE),"")</f>
        <v/>
      </c>
      <c r="H134" s="11" t="b">
        <f t="shared" si="2"/>
        <v>1</v>
      </c>
      <c r="I134" s="11" t="b">
        <f>IF(VLOOKUP(A134&amp;" "&amp;B134,'HIDDEN import'!A:G,5,FALSE)="M",TRUE,IFERROR(VLOOKUP(E134,'Optional features'!B:D,3,FALSE)="Yes",IFERROR(VLOOKUP(E134,'HIDDEN calc sheet'!A:B,2,FALSE),IFERROR(VLOOKUP(E134,'Additional questions'!B:D,3,FALSE)="Yes",VLOOKUP(E134,'Hardware Feature set'!B:D,3,FALSE)="No"))))</f>
        <v>1</v>
      </c>
      <c r="J134" s="11" t="b">
        <f>IF(VLOOKUP(B134,'Profile selection'!B:C,2,FALSE)="Yes",TRUE,FALSE)</f>
        <v>1</v>
      </c>
      <c r="K134" s="53"/>
      <c r="L134" s="53"/>
    </row>
    <row r="135" spans="1:12" x14ac:dyDescent="0.25">
      <c r="A135" t="str">
        <f>'HIDDEN import'!B135</f>
        <v>TC_F_05_CS</v>
      </c>
      <c r="B135" t="str">
        <f>'HIDDEN import'!C135</f>
        <v>Core</v>
      </c>
      <c r="C135" t="str">
        <f>'HIDDEN import'!D135</f>
        <v>Remote unlock Connector - With ongoing transaction</v>
      </c>
      <c r="D135" t="str">
        <f>IF(VLOOKUP(A135&amp;" "&amp;B135,'HIDDEN import'!A:G,5,FALSE)="M",MD!$A$1,(IF(AND(VLOOKUP(A135,'HIDDEN import'!B:E,4,FALSE)="C",OR(NOT(ISERROR(VLOOKUP(E135,'Optional features'!B:D,1,FALSE)=E135)),NOT(ISERROR(VLOOKUP(E135,'HIDDEN calc sheet'!A:C,1,FALSE)=E135)))),MD!$A$3,MD!$A$2)))</f>
        <v>Mandatory for optional feature</v>
      </c>
      <c r="E135" t="str">
        <f>IF('HIDDEN import'!F135=0,"",'HIDDEN import'!F135)</f>
        <v>HFS-1 and NOT Product Subtype "Mode 1/2-only Charging Station"</v>
      </c>
      <c r="F135" t="str">
        <f>IF('HIDDEN import'!G135=0,"",'HIDDEN import'!G135)</f>
        <v/>
      </c>
      <c r="G135" s="181" t="str">
        <f>IFERROR(VLOOKUP($A135,'HIDDEN Testrun Results'!$A:$B,2,FALSE),"")</f>
        <v/>
      </c>
      <c r="H135" s="11" t="b">
        <f t="shared" si="2"/>
        <v>0</v>
      </c>
      <c r="I135" s="11" t="b">
        <f>IF(VLOOKUP(A135&amp;" "&amp;B135,'HIDDEN import'!A:G,5,FALSE)="M",TRUE,IFERROR(VLOOKUP(E135,'Optional features'!B:D,3,FALSE)="Yes",IFERROR(VLOOKUP(E135,'HIDDEN calc sheet'!A:B,2,FALSE),IFERROR(VLOOKUP(E135,'Additional questions'!B:D,3,FALSE)="Yes",VLOOKUP(E135,'Hardware Feature set'!B:D,3,FALSE)="No"))))</f>
        <v>0</v>
      </c>
      <c r="J135" s="11" t="b">
        <f>IF(VLOOKUP(B135,'Profile selection'!B:C,2,FALSE)="Yes",TRUE,FALSE)</f>
        <v>1</v>
      </c>
      <c r="K135" s="53"/>
      <c r="L135" s="53"/>
    </row>
    <row r="136" spans="1:12" x14ac:dyDescent="0.25">
      <c r="A136" t="str">
        <f>'HIDDEN import'!B136</f>
        <v>TC_F_06_CS</v>
      </c>
      <c r="B136" t="str">
        <f>'HIDDEN import'!C136</f>
        <v>Core</v>
      </c>
      <c r="C136" t="str">
        <f>'HIDDEN import'!D136</f>
        <v>Remote unlock Connector - Without ongoing transaction - Accepted</v>
      </c>
      <c r="D136" t="str">
        <f>IF(VLOOKUP(A136&amp;" "&amp;B136,'HIDDEN import'!A:G,5,FALSE)="M",MD!$A$1,(IF(AND(VLOOKUP(A136,'HIDDEN import'!B:E,4,FALSE)="C",OR(NOT(ISERROR(VLOOKUP(E136,'Optional features'!B:D,1,FALSE)=E136)),NOT(ISERROR(VLOOKUP(E136,'HIDDEN calc sheet'!A:C,1,FALSE)=E136)))),MD!$A$3,MD!$A$2)))</f>
        <v>Possibly mandatory, depending on your system</v>
      </c>
      <c r="E136" t="str">
        <f>IF('HIDDEN import'!F136=0,"",'HIDDEN import'!F136)</f>
        <v>See column 3/4</v>
      </c>
      <c r="F136" t="str">
        <f>IF('HIDDEN import'!G136=0,"",'HIDDEN import'!G136)</f>
        <v/>
      </c>
      <c r="G136" s="181" t="str">
        <f>IFERROR(VLOOKUP($A136,'HIDDEN Testrun Results'!$A:$B,2,FALSE),"")</f>
        <v/>
      </c>
      <c r="H136" s="11" t="b">
        <f t="shared" si="2"/>
        <v>0</v>
      </c>
      <c r="I136" s="11" t="b">
        <f>IF(VLOOKUP(A136&amp;" "&amp;B136,'HIDDEN import'!A:G,5,FALSE)="M",TRUE,IFERROR(VLOOKUP(E136,'Optional features'!B:D,3,FALSE)="Yes",IFERROR(VLOOKUP(E136,'HIDDEN calc sheet'!A:B,2,FALSE),IFERROR(VLOOKUP(E136,'Additional questions'!B:D,3,FALSE)="Yes",VLOOKUP(E136,'Hardware Feature set'!B:D,3,FALSE)="No"))))</f>
        <v>0</v>
      </c>
      <c r="J136" s="11" t="b">
        <f>IF(VLOOKUP(B136,'Profile selection'!B:C,2,FALSE)="Yes",TRUE,FALSE)</f>
        <v>1</v>
      </c>
      <c r="K136" s="53"/>
      <c r="L136" s="53"/>
    </row>
    <row r="137" spans="1:12" x14ac:dyDescent="0.25">
      <c r="A137" t="str">
        <f>'HIDDEN import'!B137</f>
        <v>TC_F_07_CS</v>
      </c>
      <c r="B137" t="str">
        <f>'HIDDEN import'!C137</f>
        <v>Core</v>
      </c>
      <c r="C137" t="str">
        <f>'HIDDEN import'!D137</f>
        <v>Remote unlock Connector - Without ongoing transaction - No cable connected</v>
      </c>
      <c r="D137" t="str">
        <f>IF(VLOOKUP(A137&amp;" "&amp;B137,'HIDDEN import'!A:G,5,FALSE)="M",MD!$A$1,(IF(AND(VLOOKUP(A137,'HIDDEN import'!B:E,4,FALSE)="C",OR(NOT(ISERROR(VLOOKUP(E137,'Optional features'!B:D,1,FALSE)=E137)),NOT(ISERROR(VLOOKUP(E137,'HIDDEN calc sheet'!A:C,1,FALSE)=E137)))),MD!$A$3,MD!$A$2)))</f>
        <v>Mandatory for optional feature</v>
      </c>
      <c r="E137" t="str">
        <f>IF('HIDDEN import'!F137=0,"",'HIDDEN import'!F137)</f>
        <v>HFS-1 and NOT Product Subtype "Mode 1/2-only Charging Station"</v>
      </c>
      <c r="F137" t="str">
        <f>IF('HIDDEN import'!G137=0,"",'HIDDEN import'!G137)</f>
        <v/>
      </c>
      <c r="G137" s="181" t="str">
        <f>IFERROR(VLOOKUP($A137,'HIDDEN Testrun Results'!$A:$B,2,FALSE),"")</f>
        <v/>
      </c>
      <c r="H137" s="11" t="b">
        <f t="shared" si="2"/>
        <v>0</v>
      </c>
      <c r="I137" s="11" t="b">
        <f>IF(VLOOKUP(A137&amp;" "&amp;B137,'HIDDEN import'!A:G,5,FALSE)="M",TRUE,IFERROR(VLOOKUP(E137,'Optional features'!B:D,3,FALSE)="Yes",IFERROR(VLOOKUP(E137,'HIDDEN calc sheet'!A:B,2,FALSE),IFERROR(VLOOKUP(E137,'Additional questions'!B:D,3,FALSE)="Yes",VLOOKUP(E137,'Hardware Feature set'!B:D,3,FALSE)="No"))))</f>
        <v>0</v>
      </c>
      <c r="J137" s="11" t="b">
        <f>IF(VLOOKUP(B137,'Profile selection'!B:C,2,FALSE)="Yes",TRUE,FALSE)</f>
        <v>1</v>
      </c>
      <c r="K137" s="53"/>
      <c r="L137" s="53"/>
    </row>
    <row r="138" spans="1:12" x14ac:dyDescent="0.25">
      <c r="A138" t="str">
        <f>'HIDDEN import'!B138</f>
        <v>TC_F_10_CS</v>
      </c>
      <c r="B138" t="str">
        <f>'HIDDEN import'!C138</f>
        <v>Core</v>
      </c>
      <c r="C138" t="str">
        <f>'HIDDEN import'!D138</f>
        <v>Remote unlock Connector - Without ongoing transaction - UnknownConnector</v>
      </c>
      <c r="D138" t="str">
        <f>IF(VLOOKUP(A138&amp;" "&amp;B138,'HIDDEN import'!A:G,5,FALSE)="M",MD!$A$1,(IF(AND(VLOOKUP(A138,'HIDDEN import'!B:E,4,FALSE)="C",OR(NOT(ISERROR(VLOOKUP(E138,'Optional features'!B:D,1,FALSE)=E138)),NOT(ISERROR(VLOOKUP(E138,'HIDDEN calc sheet'!A:C,1,FALSE)=E138)))),MD!$A$3,MD!$A$2)))</f>
        <v>Mandatory for optional feature</v>
      </c>
      <c r="E138" t="str">
        <f>IF('HIDDEN import'!F138=0,"",'HIDDEN import'!F138)</f>
        <v>HFS-1 and NOT Product Subtype "Mode 1/2-only Charging Station"</v>
      </c>
      <c r="F138" t="str">
        <f>IF('HIDDEN import'!G138=0,"",'HIDDEN import'!G138)</f>
        <v/>
      </c>
      <c r="G138" s="181" t="str">
        <f>IFERROR(VLOOKUP($A138,'HIDDEN Testrun Results'!$A:$B,2,FALSE),"")</f>
        <v/>
      </c>
      <c r="H138" s="11" t="b">
        <f t="shared" si="2"/>
        <v>0</v>
      </c>
      <c r="I138" s="11" t="b">
        <f>IF(VLOOKUP(A138&amp;" "&amp;B138,'HIDDEN import'!A:G,5,FALSE)="M",TRUE,IFERROR(VLOOKUP(E138,'Optional features'!B:D,3,FALSE)="Yes",IFERROR(VLOOKUP(E138,'HIDDEN calc sheet'!A:B,2,FALSE),IFERROR(VLOOKUP(E138,'Additional questions'!B:D,3,FALSE)="Yes",VLOOKUP(E138,'Hardware Feature set'!B:D,3,FALSE)="No"))))</f>
        <v>0</v>
      </c>
      <c r="J138" s="11" t="b">
        <f>IF(VLOOKUP(B138,'Profile selection'!B:C,2,FALSE)="Yes",TRUE,FALSE)</f>
        <v>1</v>
      </c>
      <c r="K138" s="53"/>
      <c r="L138" s="53"/>
    </row>
    <row r="139" spans="1:12" x14ac:dyDescent="0.25">
      <c r="A139" t="str">
        <f>'HIDDEN import'!B139</f>
        <v>TC_F_11_CS</v>
      </c>
      <c r="B139" t="str">
        <f>'HIDDEN import'!C139</f>
        <v>Core</v>
      </c>
      <c r="C139" t="str">
        <f>'HIDDEN import'!D139</f>
        <v>Trigger message - MeterValues - Specific EVSE</v>
      </c>
      <c r="D139" t="str">
        <f>IF(VLOOKUP(A139&amp;" "&amp;B139,'HIDDEN import'!A:G,5,FALSE)="M",MD!$A$1,(IF(AND(VLOOKUP(A139,'HIDDEN import'!B:E,4,FALSE)="C",OR(NOT(ISERROR(VLOOKUP(E139,'Optional features'!B:D,1,FALSE)=E139)),NOT(ISERROR(VLOOKUP(E139,'HIDDEN calc sheet'!A:C,1,FALSE)=E139)))),MD!$A$3,MD!$A$2)))</f>
        <v>Mandatory for optional feature</v>
      </c>
      <c r="E139" t="str">
        <f>IF('HIDDEN import'!F139=0,"",'HIDDEN import'!F139)</f>
        <v>C-29.1</v>
      </c>
      <c r="F139" t="str">
        <f>IF('HIDDEN import'!G139=0,"",'HIDDEN import'!G139)</f>
        <v>TriggerMessage</v>
      </c>
      <c r="G139" s="181" t="str">
        <f>IFERROR(VLOOKUP($A139,'HIDDEN Testrun Results'!$A:$B,2,FALSE),"")</f>
        <v/>
      </c>
      <c r="H139" s="11" t="b">
        <f t="shared" si="2"/>
        <v>0</v>
      </c>
      <c r="I139" s="11" t="b">
        <f>IF(VLOOKUP(A139&amp;" "&amp;B139,'HIDDEN import'!A:G,5,FALSE)="M",TRUE,IFERROR(VLOOKUP(E139,'Optional features'!B:D,3,FALSE)="Yes",IFERROR(VLOOKUP(E139,'HIDDEN calc sheet'!A:B,2,FALSE),IFERROR(VLOOKUP(E139,'Additional questions'!B:D,3,FALSE)="Yes",VLOOKUP(E139,'Hardware Feature set'!B:D,3,FALSE)="No"))))</f>
        <v>0</v>
      </c>
      <c r="J139" s="11" t="b">
        <f>IF(VLOOKUP(B139,'Profile selection'!B:C,2,FALSE)="Yes",TRUE,FALSE)</f>
        <v>1</v>
      </c>
      <c r="K139" s="53"/>
      <c r="L139" s="53"/>
    </row>
    <row r="140" spans="1:12" x14ac:dyDescent="0.25">
      <c r="A140" t="str">
        <f>'HIDDEN import'!B140</f>
        <v>TC_F_12_CS</v>
      </c>
      <c r="B140" t="str">
        <f>'HIDDEN import'!C140</f>
        <v>Core</v>
      </c>
      <c r="C140" t="str">
        <f>'HIDDEN import'!D140</f>
        <v>Trigger message - MeterValues - All EVSE</v>
      </c>
      <c r="D140" t="str">
        <f>IF(VLOOKUP(A140&amp;" "&amp;B140,'HIDDEN import'!A:G,5,FALSE)="M",MD!$A$1,(IF(AND(VLOOKUP(A140,'HIDDEN import'!B:E,4,FALSE)="C",OR(NOT(ISERROR(VLOOKUP(E140,'Optional features'!B:D,1,FALSE)=E140)),NOT(ISERROR(VLOOKUP(E140,'HIDDEN calc sheet'!A:C,1,FALSE)=E140)))),MD!$A$3,MD!$A$2)))</f>
        <v>Mandatory for optional feature</v>
      </c>
      <c r="E140" t="str">
        <f>IF('HIDDEN import'!F140=0,"",'HIDDEN import'!F140)</f>
        <v>C-29.1</v>
      </c>
      <c r="F140" t="str">
        <f>IF('HIDDEN import'!G140=0,"",'HIDDEN import'!G140)</f>
        <v>TriggerMessage</v>
      </c>
      <c r="G140" s="181" t="str">
        <f>IFERROR(VLOOKUP($A140,'HIDDEN Testrun Results'!$A:$B,2,FALSE),"")</f>
        <v/>
      </c>
      <c r="H140" s="11" t="b">
        <f t="shared" si="2"/>
        <v>0</v>
      </c>
      <c r="I140" s="11" t="b">
        <f>IF(VLOOKUP(A140&amp;" "&amp;B140,'HIDDEN import'!A:G,5,FALSE)="M",TRUE,IFERROR(VLOOKUP(E140,'Optional features'!B:D,3,FALSE)="Yes",IFERROR(VLOOKUP(E140,'HIDDEN calc sheet'!A:B,2,FALSE),IFERROR(VLOOKUP(E140,'Additional questions'!B:D,3,FALSE)="Yes",VLOOKUP(E140,'Hardware Feature set'!B:D,3,FALSE)="No"))))</f>
        <v>0</v>
      </c>
      <c r="J140" s="11" t="b">
        <f>IF(VLOOKUP(B140,'Profile selection'!B:C,2,FALSE)="Yes",TRUE,FALSE)</f>
        <v>1</v>
      </c>
      <c r="K140" s="53"/>
      <c r="L140" s="53"/>
    </row>
    <row r="141" spans="1:12" x14ac:dyDescent="0.25">
      <c r="A141" t="str">
        <f>'HIDDEN import'!B141</f>
        <v>TC_F_13_CS</v>
      </c>
      <c r="B141" t="str">
        <f>'HIDDEN import'!C141</f>
        <v>Core</v>
      </c>
      <c r="C141" t="str">
        <f>'HIDDEN import'!D141</f>
        <v>Trigger message - TransactionEvent - Specific EVSE</v>
      </c>
      <c r="D141" t="str">
        <f>IF(VLOOKUP(A141&amp;" "&amp;B141,'HIDDEN import'!A:G,5,FALSE)="M",MD!$A$1,(IF(AND(VLOOKUP(A141,'HIDDEN import'!B:E,4,FALSE)="C",OR(NOT(ISERROR(VLOOKUP(E141,'Optional features'!B:D,1,FALSE)=E141)),NOT(ISERROR(VLOOKUP(E141,'HIDDEN calc sheet'!A:C,1,FALSE)=E141)))),MD!$A$3,MD!$A$2)))</f>
        <v>Mandatory for optional feature</v>
      </c>
      <c r="E141" t="str">
        <f>IF('HIDDEN import'!F141=0,"",'HIDDEN import'!F141)</f>
        <v>C-29.2</v>
      </c>
      <c r="F141" t="str">
        <f>IF('HIDDEN import'!G141=0,"",'HIDDEN import'!G141)</f>
        <v>TriggerMessage</v>
      </c>
      <c r="G141" s="181" t="str">
        <f>IFERROR(VLOOKUP($A141,'HIDDEN Testrun Results'!$A:$B,2,FALSE),"")</f>
        <v/>
      </c>
      <c r="H141" s="11" t="b">
        <f t="shared" si="2"/>
        <v>0</v>
      </c>
      <c r="I141" s="11" t="b">
        <f>IF(VLOOKUP(A141&amp;" "&amp;B141,'HIDDEN import'!A:G,5,FALSE)="M",TRUE,IFERROR(VLOOKUP(E141,'Optional features'!B:D,3,FALSE)="Yes",IFERROR(VLOOKUP(E141,'HIDDEN calc sheet'!A:B,2,FALSE),IFERROR(VLOOKUP(E141,'Additional questions'!B:D,3,FALSE)="Yes",VLOOKUP(E141,'Hardware Feature set'!B:D,3,FALSE)="No"))))</f>
        <v>0</v>
      </c>
      <c r="J141" s="11" t="b">
        <f>IF(VLOOKUP(B141,'Profile selection'!B:C,2,FALSE)="Yes",TRUE,FALSE)</f>
        <v>1</v>
      </c>
      <c r="K141" s="53"/>
      <c r="L141" s="53"/>
    </row>
    <row r="142" spans="1:12" x14ac:dyDescent="0.25">
      <c r="A142" t="str">
        <f>'HIDDEN import'!B142</f>
        <v>TC_F_14_CS</v>
      </c>
      <c r="B142" t="str">
        <f>'HIDDEN import'!C142</f>
        <v>Core</v>
      </c>
      <c r="C142" t="str">
        <f>'HIDDEN import'!D142</f>
        <v>Trigger message - TransactionEvent - All EVSE</v>
      </c>
      <c r="D142" t="str">
        <f>IF(VLOOKUP(A142&amp;" "&amp;B142,'HIDDEN import'!A:G,5,FALSE)="M",MD!$A$1,(IF(AND(VLOOKUP(A142,'HIDDEN import'!B:E,4,FALSE)="C",OR(NOT(ISERROR(VLOOKUP(E142,'Optional features'!B:D,1,FALSE)=E142)),NOT(ISERROR(VLOOKUP(E142,'HIDDEN calc sheet'!A:C,1,FALSE)=E142)))),MD!$A$3,MD!$A$2)))</f>
        <v>Mandatory for optional feature</v>
      </c>
      <c r="E142" t="str">
        <f>IF('HIDDEN import'!F142=0,"",'HIDDEN import'!F142)</f>
        <v>C-29.2</v>
      </c>
      <c r="F142" t="str">
        <f>IF('HIDDEN import'!G142=0,"",'HIDDEN import'!G142)</f>
        <v>TriggerMessage</v>
      </c>
      <c r="G142" s="181" t="str">
        <f>IFERROR(VLOOKUP($A142,'HIDDEN Testrun Results'!$A:$B,2,FALSE),"")</f>
        <v/>
      </c>
      <c r="H142" s="11" t="b">
        <f t="shared" si="2"/>
        <v>0</v>
      </c>
      <c r="I142" s="11" t="b">
        <f>IF(VLOOKUP(A142&amp;" "&amp;B142,'HIDDEN import'!A:G,5,FALSE)="M",TRUE,IFERROR(VLOOKUP(E142,'Optional features'!B:D,3,FALSE)="Yes",IFERROR(VLOOKUP(E142,'HIDDEN calc sheet'!A:B,2,FALSE),IFERROR(VLOOKUP(E142,'Additional questions'!B:D,3,FALSE)="Yes",VLOOKUP(E142,'Hardware Feature set'!B:D,3,FALSE)="No"))))</f>
        <v>0</v>
      </c>
      <c r="J142" s="11" t="b">
        <f>IF(VLOOKUP(B142,'Profile selection'!B:C,2,FALSE)="Yes",TRUE,FALSE)</f>
        <v>1</v>
      </c>
      <c r="K142" s="53"/>
      <c r="L142" s="53"/>
    </row>
    <row r="143" spans="1:12" x14ac:dyDescent="0.25">
      <c r="A143" t="str">
        <f>'HIDDEN import'!B143</f>
        <v>TC_F_15_CS</v>
      </c>
      <c r="B143" t="str">
        <f>'HIDDEN import'!C143</f>
        <v>Core</v>
      </c>
      <c r="C143" t="str">
        <f>'HIDDEN import'!D143</f>
        <v>Trigger message - LogStatusNotification - Idle</v>
      </c>
      <c r="D143" t="str">
        <f>IF(VLOOKUP(A143&amp;" "&amp;B143,'HIDDEN import'!A:G,5,FALSE)="M",MD!$A$1,(IF(AND(VLOOKUP(A143,'HIDDEN import'!B:E,4,FALSE)="C",OR(NOT(ISERROR(VLOOKUP(E143,'Optional features'!B:D,1,FALSE)=E143)),NOT(ISERROR(VLOOKUP(E143,'HIDDEN calc sheet'!A:C,1,FALSE)=E143)))),MD!$A$3,MD!$A$2)))</f>
        <v>Mandatory for optional feature</v>
      </c>
      <c r="E143" t="str">
        <f>IF('HIDDEN import'!F143=0,"",'HIDDEN import'!F143)</f>
        <v>C-29.3</v>
      </c>
      <c r="F143" t="str">
        <f>IF('HIDDEN import'!G143=0,"",'HIDDEN import'!G143)</f>
        <v>TriggerMessage</v>
      </c>
      <c r="G143" s="181" t="str">
        <f>IFERROR(VLOOKUP($A143,'HIDDEN Testrun Results'!$A:$B,2,FALSE),"")</f>
        <v/>
      </c>
      <c r="H143" s="11" t="b">
        <f t="shared" si="2"/>
        <v>0</v>
      </c>
      <c r="I143" s="11" t="b">
        <f>IF(VLOOKUP(A143&amp;" "&amp;B143,'HIDDEN import'!A:G,5,FALSE)="M",TRUE,IFERROR(VLOOKUP(E143,'Optional features'!B:D,3,FALSE)="Yes",IFERROR(VLOOKUP(E143,'HIDDEN calc sheet'!A:B,2,FALSE),IFERROR(VLOOKUP(E143,'Additional questions'!B:D,3,FALSE)="Yes",VLOOKUP(E143,'Hardware Feature set'!B:D,3,FALSE)="No"))))</f>
        <v>0</v>
      </c>
      <c r="J143" s="11" t="b">
        <f>IF(VLOOKUP(B143,'Profile selection'!B:C,2,FALSE)="Yes",TRUE,FALSE)</f>
        <v>1</v>
      </c>
      <c r="K143" s="53"/>
      <c r="L143" s="53"/>
    </row>
    <row r="144" spans="1:12" x14ac:dyDescent="0.25">
      <c r="A144" t="str">
        <f>'HIDDEN import'!B144</f>
        <v>TC_F_16_CS</v>
      </c>
      <c r="B144" t="str">
        <f>'HIDDEN import'!C144</f>
        <v>Core</v>
      </c>
      <c r="C144" t="str">
        <f>'HIDDEN import'!D144</f>
        <v>Trigger message - LogStatusNotification - Uploading</v>
      </c>
      <c r="D144" t="str">
        <f>IF(VLOOKUP(A144&amp;" "&amp;B144,'HIDDEN import'!A:G,5,FALSE)="M",MD!$A$1,(IF(AND(VLOOKUP(A144,'HIDDEN import'!B:E,4,FALSE)="C",OR(NOT(ISERROR(VLOOKUP(E144,'Optional features'!B:D,1,FALSE)=E144)),NOT(ISERROR(VLOOKUP(E144,'HIDDEN calc sheet'!A:C,1,FALSE)=E144)))),MD!$A$3,MD!$A$2)))</f>
        <v>Mandatory for optional feature</v>
      </c>
      <c r="E144" t="str">
        <f>IF('HIDDEN import'!F144=0,"",'HIDDEN import'!F144)</f>
        <v>C-29.3</v>
      </c>
      <c r="F144" t="str">
        <f>IF('HIDDEN import'!G144=0,"",'HIDDEN import'!G144)</f>
        <v>TriggerMessage</v>
      </c>
      <c r="G144" s="181" t="str">
        <f>IFERROR(VLOOKUP($A144,'HIDDEN Testrun Results'!$A:$B,2,FALSE),"")</f>
        <v/>
      </c>
      <c r="H144" s="11" t="b">
        <f t="shared" si="2"/>
        <v>0</v>
      </c>
      <c r="I144" s="11" t="b">
        <f>IF(VLOOKUP(A144&amp;" "&amp;B144,'HIDDEN import'!A:G,5,FALSE)="M",TRUE,IFERROR(VLOOKUP(E144,'Optional features'!B:D,3,FALSE)="Yes",IFERROR(VLOOKUP(E144,'HIDDEN calc sheet'!A:B,2,FALSE),IFERROR(VLOOKUP(E144,'Additional questions'!B:D,3,FALSE)="Yes",VLOOKUP(E144,'Hardware Feature set'!B:D,3,FALSE)="No"))))</f>
        <v>0</v>
      </c>
      <c r="J144" s="11" t="b">
        <f>IF(VLOOKUP(B144,'Profile selection'!B:C,2,FALSE)="Yes",TRUE,FALSE)</f>
        <v>1</v>
      </c>
      <c r="K144" s="53"/>
      <c r="L144" s="53"/>
    </row>
    <row r="145" spans="1:12" x14ac:dyDescent="0.25">
      <c r="A145" t="str">
        <f>'HIDDEN import'!B145</f>
        <v>TC_F_17_CS</v>
      </c>
      <c r="B145" t="str">
        <f>'HIDDEN import'!C145</f>
        <v>Core</v>
      </c>
      <c r="C145" t="str">
        <f>'HIDDEN import'!D145</f>
        <v>Trigger message - FirmwareStatusNotification - Specific EVSE not relevant</v>
      </c>
      <c r="D145" t="str">
        <f>IF(VLOOKUP(A145&amp;" "&amp;B145,'HIDDEN import'!A:G,5,FALSE)="M",MD!$A$1,(IF(AND(VLOOKUP(A145,'HIDDEN import'!B:E,4,FALSE)="C",OR(NOT(ISERROR(VLOOKUP(E145,'Optional features'!B:D,1,FALSE)=E145)),NOT(ISERROR(VLOOKUP(E145,'HIDDEN calc sheet'!A:C,1,FALSE)=E145)))),MD!$A$3,MD!$A$2)))</f>
        <v>Mandatory for optional feature</v>
      </c>
      <c r="E145" t="str">
        <f>IF('HIDDEN import'!F145=0,"",'HIDDEN import'!F145)</f>
        <v>C-29.4</v>
      </c>
      <c r="F145" t="str">
        <f>IF('HIDDEN import'!G145=0,"",'HIDDEN import'!G145)</f>
        <v>TriggerMessage</v>
      </c>
      <c r="G145" s="181" t="str">
        <f>IFERROR(VLOOKUP($A145,'HIDDEN Testrun Results'!$A:$B,2,FALSE),"")</f>
        <v/>
      </c>
      <c r="H145" s="11" t="b">
        <f t="shared" si="2"/>
        <v>0</v>
      </c>
      <c r="I145" s="11" t="b">
        <f>IF(VLOOKUP(A145&amp;" "&amp;B145,'HIDDEN import'!A:G,5,FALSE)="M",TRUE,IFERROR(VLOOKUP(E145,'Optional features'!B:D,3,FALSE)="Yes",IFERROR(VLOOKUP(E145,'HIDDEN calc sheet'!A:B,2,FALSE),IFERROR(VLOOKUP(E145,'Additional questions'!B:D,3,FALSE)="Yes",VLOOKUP(E145,'Hardware Feature set'!B:D,3,FALSE)="No"))))</f>
        <v>0</v>
      </c>
      <c r="J145" s="11" t="b">
        <f>IF(VLOOKUP(B145,'Profile selection'!B:C,2,FALSE)="Yes",TRUE,FALSE)</f>
        <v>1</v>
      </c>
      <c r="K145" s="53"/>
      <c r="L145" s="53"/>
    </row>
    <row r="146" spans="1:12" x14ac:dyDescent="0.25">
      <c r="A146" t="str">
        <f>'HIDDEN import'!B146</f>
        <v>TC_F_18_CS</v>
      </c>
      <c r="B146" t="str">
        <f>'HIDDEN import'!C146</f>
        <v>Core</v>
      </c>
      <c r="C146" t="str">
        <f>'HIDDEN import'!D146</f>
        <v>Trigger message - FirmwareStatusNotification - Idle</v>
      </c>
      <c r="D146" t="str">
        <f>IF(VLOOKUP(A146&amp;" "&amp;B146,'HIDDEN import'!A:G,5,FALSE)="M",MD!$A$1,(IF(AND(VLOOKUP(A146,'HIDDEN import'!B:E,4,FALSE)="C",OR(NOT(ISERROR(VLOOKUP(E146,'Optional features'!B:D,1,FALSE)=E146)),NOT(ISERROR(VLOOKUP(E146,'HIDDEN calc sheet'!A:C,1,FALSE)=E146)))),MD!$A$3,MD!$A$2)))</f>
        <v>Mandatory for optional feature</v>
      </c>
      <c r="E146" t="str">
        <f>IF('HIDDEN import'!F146=0,"",'HIDDEN import'!F146)</f>
        <v>C-29.4</v>
      </c>
      <c r="F146" t="str">
        <f>IF('HIDDEN import'!G146=0,"",'HIDDEN import'!G146)</f>
        <v>TriggerMessage</v>
      </c>
      <c r="G146" s="181" t="str">
        <f>IFERROR(VLOOKUP($A146,'HIDDEN Testrun Results'!$A:$B,2,FALSE),"")</f>
        <v/>
      </c>
      <c r="H146" s="11" t="b">
        <f t="shared" si="2"/>
        <v>0</v>
      </c>
      <c r="I146" s="11" t="b">
        <f>IF(VLOOKUP(A146&amp;" "&amp;B146,'HIDDEN import'!A:G,5,FALSE)="M",TRUE,IFERROR(VLOOKUP(E146,'Optional features'!B:D,3,FALSE)="Yes",IFERROR(VLOOKUP(E146,'HIDDEN calc sheet'!A:B,2,FALSE),IFERROR(VLOOKUP(E146,'Additional questions'!B:D,3,FALSE)="Yes",VLOOKUP(E146,'Hardware Feature set'!B:D,3,FALSE)="No"))))</f>
        <v>0</v>
      </c>
      <c r="J146" s="11" t="b">
        <f>IF(VLOOKUP(B146,'Profile selection'!B:C,2,FALSE)="Yes",TRUE,FALSE)</f>
        <v>1</v>
      </c>
      <c r="K146" s="53"/>
      <c r="L146" s="53"/>
    </row>
    <row r="147" spans="1:12" x14ac:dyDescent="0.25">
      <c r="A147" t="str">
        <f>'HIDDEN import'!B147</f>
        <v>TC_F_19_CS</v>
      </c>
      <c r="B147" t="str">
        <f>'HIDDEN import'!C147</f>
        <v>Core</v>
      </c>
      <c r="C147" t="str">
        <f>'HIDDEN import'!D147</f>
        <v>Trigger message - FirmwareStatusNotification - Downloading</v>
      </c>
      <c r="D147" t="str">
        <f>IF(VLOOKUP(A147&amp;" "&amp;B147,'HIDDEN import'!A:G,5,FALSE)="M",MD!$A$1,(IF(AND(VLOOKUP(A147,'HIDDEN import'!B:E,4,FALSE)="C",OR(NOT(ISERROR(VLOOKUP(E147,'Optional features'!B:D,1,FALSE)=E147)),NOT(ISERROR(VLOOKUP(E147,'HIDDEN calc sheet'!A:C,1,FALSE)=E147)))),MD!$A$3,MD!$A$2)))</f>
        <v>Mandatory for optional feature</v>
      </c>
      <c r="E147" t="str">
        <f>IF('HIDDEN import'!F147=0,"",'HIDDEN import'!F147)</f>
        <v>C-29.4</v>
      </c>
      <c r="F147" t="str">
        <f>IF('HIDDEN import'!G147=0,"",'HIDDEN import'!G147)</f>
        <v>TriggerMessage</v>
      </c>
      <c r="G147" s="181" t="str">
        <f>IFERROR(VLOOKUP($A147,'HIDDEN Testrun Results'!$A:$B,2,FALSE),"")</f>
        <v/>
      </c>
      <c r="H147" s="11" t="b">
        <f t="shared" si="2"/>
        <v>0</v>
      </c>
      <c r="I147" s="11" t="b">
        <f>IF(VLOOKUP(A147&amp;" "&amp;B147,'HIDDEN import'!A:G,5,FALSE)="M",TRUE,IFERROR(VLOOKUP(E147,'Optional features'!B:D,3,FALSE)="Yes",IFERROR(VLOOKUP(E147,'HIDDEN calc sheet'!A:B,2,FALSE),IFERROR(VLOOKUP(E147,'Additional questions'!B:D,3,FALSE)="Yes",VLOOKUP(E147,'Hardware Feature set'!B:D,3,FALSE)="No"))))</f>
        <v>0</v>
      </c>
      <c r="J147" s="11" t="b">
        <f>IF(VLOOKUP(B147,'Profile selection'!B:C,2,FALSE)="Yes",TRUE,FALSE)</f>
        <v>1</v>
      </c>
      <c r="K147" s="53"/>
      <c r="L147" s="53"/>
    </row>
    <row r="148" spans="1:12" x14ac:dyDescent="0.25">
      <c r="A148" t="str">
        <f>'HIDDEN import'!B148</f>
        <v>TC_F_20_CS</v>
      </c>
      <c r="B148" t="str">
        <f>'HIDDEN import'!C148</f>
        <v>Core</v>
      </c>
      <c r="C148" t="str">
        <f>'HIDDEN import'!D148</f>
        <v>Trigger message - Heartbeat</v>
      </c>
      <c r="D148" t="str">
        <f>IF(VLOOKUP(A148&amp;" "&amp;B148,'HIDDEN import'!A:G,5,FALSE)="M",MD!$A$1,(IF(AND(VLOOKUP(A148,'HIDDEN import'!B:E,4,FALSE)="C",OR(NOT(ISERROR(VLOOKUP(E148,'Optional features'!B:D,1,FALSE)=E148)),NOT(ISERROR(VLOOKUP(E148,'HIDDEN calc sheet'!A:C,1,FALSE)=E148)))),MD!$A$3,MD!$A$2)))</f>
        <v>Mandatory test for a mandatory feature</v>
      </c>
      <c r="E148" t="str">
        <f>IF('HIDDEN import'!F148=0,"",'HIDDEN import'!F148)</f>
        <v/>
      </c>
      <c r="F148" t="str">
        <f>IF('HIDDEN import'!G148=0,"",'HIDDEN import'!G148)</f>
        <v/>
      </c>
      <c r="G148" s="181" t="str">
        <f>IFERROR(VLOOKUP($A148,'HIDDEN Testrun Results'!$A:$B,2,FALSE),"")</f>
        <v/>
      </c>
      <c r="H148" s="11" t="b">
        <f t="shared" si="2"/>
        <v>1</v>
      </c>
      <c r="I148" s="11" t="b">
        <f>IF(VLOOKUP(A148&amp;" "&amp;B148,'HIDDEN import'!A:G,5,FALSE)="M",TRUE,IFERROR(VLOOKUP(E148,'Optional features'!B:D,3,FALSE)="Yes",IFERROR(VLOOKUP(E148,'HIDDEN calc sheet'!A:B,2,FALSE),IFERROR(VLOOKUP(E148,'Additional questions'!B:D,3,FALSE)="Yes",VLOOKUP(E148,'Hardware Feature set'!B:D,3,FALSE)="No"))))</f>
        <v>1</v>
      </c>
      <c r="J148" s="11" t="b">
        <f>IF(VLOOKUP(B148,'Profile selection'!B:C,2,FALSE)="Yes",TRUE,FALSE)</f>
        <v>1</v>
      </c>
      <c r="K148" s="53"/>
      <c r="L148" s="53"/>
    </row>
    <row r="149" spans="1:12" x14ac:dyDescent="0.25">
      <c r="A149" t="str">
        <f>'HIDDEN import'!B149</f>
        <v>TC_F_23_CS</v>
      </c>
      <c r="B149" t="str">
        <f>'HIDDEN import'!C149</f>
        <v>Core</v>
      </c>
      <c r="C149" t="str">
        <f>'HIDDEN import'!D149</f>
        <v>Trigger message - StatusNotification - Specific EVSE - Available</v>
      </c>
      <c r="D149" t="str">
        <f>IF(VLOOKUP(A149&amp;" "&amp;B149,'HIDDEN import'!A:G,5,FALSE)="M",MD!$A$1,(IF(AND(VLOOKUP(A149,'HIDDEN import'!B:E,4,FALSE)="C",OR(NOT(ISERROR(VLOOKUP(E149,'Optional features'!B:D,1,FALSE)=E149)),NOT(ISERROR(VLOOKUP(E149,'HIDDEN calc sheet'!A:C,1,FALSE)=E149)))),MD!$A$3,MD!$A$2)))</f>
        <v>Mandatory for optional feature</v>
      </c>
      <c r="E149" t="str">
        <f>IF('HIDDEN import'!F149=0,"",'HIDDEN import'!F149)</f>
        <v>C-29.5</v>
      </c>
      <c r="F149" t="str">
        <f>IF('HIDDEN import'!G149=0,"",'HIDDEN import'!G149)</f>
        <v>TriggerMessage</v>
      </c>
      <c r="G149" s="181" t="str">
        <f>IFERROR(VLOOKUP($A149,'HIDDEN Testrun Results'!$A:$B,2,FALSE),"")</f>
        <v/>
      </c>
      <c r="H149" s="11" t="b">
        <f t="shared" si="2"/>
        <v>0</v>
      </c>
      <c r="I149" s="11" t="b">
        <f>IF(VLOOKUP(A149&amp;" "&amp;B149,'HIDDEN import'!A:G,5,FALSE)="M",TRUE,IFERROR(VLOOKUP(E149,'Optional features'!B:D,3,FALSE)="Yes",IFERROR(VLOOKUP(E149,'HIDDEN calc sheet'!A:B,2,FALSE),IFERROR(VLOOKUP(E149,'Additional questions'!B:D,3,FALSE)="Yes",VLOOKUP(E149,'Hardware Feature set'!B:D,3,FALSE)="No"))))</f>
        <v>0</v>
      </c>
      <c r="J149" s="11" t="b">
        <f>IF(VLOOKUP(B149,'Profile selection'!B:C,2,FALSE)="Yes",TRUE,FALSE)</f>
        <v>1</v>
      </c>
      <c r="K149" s="53"/>
      <c r="L149" s="53"/>
    </row>
    <row r="150" spans="1:12" x14ac:dyDescent="0.25">
      <c r="A150" t="str">
        <f>'HIDDEN import'!B150</f>
        <v>TC_F_24_CS</v>
      </c>
      <c r="B150" t="str">
        <f>'HIDDEN import'!C150</f>
        <v>Core</v>
      </c>
      <c r="C150" t="str">
        <f>'HIDDEN import'!D150</f>
        <v>Trigger message - StatusNotification - Specific EVSE - Occupied</v>
      </c>
      <c r="D150" t="str">
        <f>IF(VLOOKUP(A150&amp;" "&amp;B150,'HIDDEN import'!A:G,5,FALSE)="M",MD!$A$1,(IF(AND(VLOOKUP(A150,'HIDDEN import'!B:E,4,FALSE)="C",OR(NOT(ISERROR(VLOOKUP(E150,'Optional features'!B:D,1,FALSE)=E150)),NOT(ISERROR(VLOOKUP(E150,'HIDDEN calc sheet'!A:C,1,FALSE)=E150)))),MD!$A$3,MD!$A$2)))</f>
        <v>Mandatory for optional feature</v>
      </c>
      <c r="E150" t="str">
        <f>IF('HIDDEN import'!F150=0,"",'HIDDEN import'!F150)</f>
        <v>C-29.5</v>
      </c>
      <c r="F150" t="str">
        <f>IF('HIDDEN import'!G150=0,"",'HIDDEN import'!G150)</f>
        <v>TriggerMessage</v>
      </c>
      <c r="G150" s="181" t="str">
        <f>IFERROR(VLOOKUP($A150,'HIDDEN Testrun Results'!$A:$B,2,FALSE),"")</f>
        <v/>
      </c>
      <c r="H150" s="11" t="b">
        <f t="shared" si="2"/>
        <v>0</v>
      </c>
      <c r="I150" s="11" t="b">
        <f>IF(VLOOKUP(A150&amp;" "&amp;B150,'HIDDEN import'!A:G,5,FALSE)="M",TRUE,IFERROR(VLOOKUP(E150,'Optional features'!B:D,3,FALSE)="Yes",IFERROR(VLOOKUP(E150,'HIDDEN calc sheet'!A:B,2,FALSE),IFERROR(VLOOKUP(E150,'Additional questions'!B:D,3,FALSE)="Yes",VLOOKUP(E150,'Hardware Feature set'!B:D,3,FALSE)="No"))))</f>
        <v>0</v>
      </c>
      <c r="J150" s="11" t="b">
        <f>IF(VLOOKUP(B150,'Profile selection'!B:C,2,FALSE)="Yes",TRUE,FALSE)</f>
        <v>1</v>
      </c>
      <c r="K150" s="53"/>
      <c r="L150" s="53"/>
    </row>
    <row r="151" spans="1:12" x14ac:dyDescent="0.25">
      <c r="A151" t="str">
        <f>'HIDDEN import'!B151</f>
        <v>TC_F_26_CS</v>
      </c>
      <c r="B151" t="str">
        <f>'HIDDEN import'!C151</f>
        <v>Core</v>
      </c>
      <c r="C151" t="str">
        <f>'HIDDEN import'!D151</f>
        <v>Trigger message - BootNotification - Rejected</v>
      </c>
      <c r="D151" t="str">
        <f>IF(VLOOKUP(A151&amp;" "&amp;B151,'HIDDEN import'!A:G,5,FALSE)="M",MD!$A$1,(IF(AND(VLOOKUP(A151,'HIDDEN import'!B:E,4,FALSE)="C",OR(NOT(ISERROR(VLOOKUP(E151,'Optional features'!B:D,1,FALSE)=E151)),NOT(ISERROR(VLOOKUP(E151,'HIDDEN calc sheet'!A:C,1,FALSE)=E151)))),MD!$A$3,MD!$A$2)))</f>
        <v>Mandatory for optional feature</v>
      </c>
      <c r="E151" t="str">
        <f>IF('HIDDEN import'!F151=0,"",'HIDDEN import'!F151)</f>
        <v>C-29.6</v>
      </c>
      <c r="F151" t="str">
        <f>IF('HIDDEN import'!G151=0,"",'HIDDEN import'!G151)</f>
        <v>TriggerMessage</v>
      </c>
      <c r="G151" s="181" t="str">
        <f>IFERROR(VLOOKUP($A151,'HIDDEN Testrun Results'!$A:$B,2,FALSE),"")</f>
        <v/>
      </c>
      <c r="H151" s="11" t="b">
        <f t="shared" si="2"/>
        <v>0</v>
      </c>
      <c r="I151" s="11" t="b">
        <f>IF(VLOOKUP(A151&amp;" "&amp;B151,'HIDDEN import'!A:G,5,FALSE)="M",TRUE,IFERROR(VLOOKUP(E151,'Optional features'!B:D,3,FALSE)="Yes",IFERROR(VLOOKUP(E151,'HIDDEN calc sheet'!A:B,2,FALSE),IFERROR(VLOOKUP(E151,'Additional questions'!B:D,3,FALSE)="Yes",VLOOKUP(E151,'Hardware Feature set'!B:D,3,FALSE)="No"))))</f>
        <v>0</v>
      </c>
      <c r="J151" s="11" t="b">
        <f>IF(VLOOKUP(B151,'Profile selection'!B:C,2,FALSE)="Yes",TRUE,FALSE)</f>
        <v>1</v>
      </c>
      <c r="K151" s="53"/>
      <c r="L151" s="53"/>
    </row>
    <row r="152" spans="1:12" x14ac:dyDescent="0.25">
      <c r="A152" t="str">
        <f>'HIDDEN import'!B152</f>
        <v>TC_F_27_CS</v>
      </c>
      <c r="B152" t="str">
        <f>'HIDDEN import'!C152</f>
        <v>Core</v>
      </c>
      <c r="C152" t="str">
        <f>'HIDDEN import'!D152</f>
        <v>Trigger message - NotImplemented</v>
      </c>
      <c r="D152" t="str">
        <f>IF(VLOOKUP(A152&amp;" "&amp;B152,'HIDDEN import'!A:G,5,FALSE)="M",MD!$A$1,(IF(AND(VLOOKUP(A152,'HIDDEN import'!B:E,4,FALSE)="C",OR(NOT(ISERROR(VLOOKUP(E152,'Optional features'!B:D,1,FALSE)=E152)),NOT(ISERROR(VLOOKUP(E152,'HIDDEN calc sheet'!A:C,1,FALSE)=E152)))),MD!$A$3,MD!$A$2)))</f>
        <v>Mandatory for optional feature</v>
      </c>
      <c r="E152" t="str">
        <f>IF('HIDDEN import'!F152=0,"",'HIDDEN import'!F152)</f>
        <v>NOT ISO-3</v>
      </c>
      <c r="F152" t="str">
        <f>IF('HIDDEN import'!G152=0,"",'HIDDEN import'!G152)</f>
        <v/>
      </c>
      <c r="G152" s="181" t="str">
        <f>IFERROR(VLOOKUP($A152,'HIDDEN Testrun Results'!$A:$B,2,FALSE),"")</f>
        <v/>
      </c>
      <c r="H152" s="11" t="b">
        <f t="shared" si="2"/>
        <v>1</v>
      </c>
      <c r="I152" s="11" t="b">
        <f>IF(VLOOKUP(A152&amp;" "&amp;B152,'HIDDEN import'!A:G,5,FALSE)="M",TRUE,IFERROR(VLOOKUP(E152,'Optional features'!B:D,3,FALSE)="Yes",IFERROR(VLOOKUP(E152,'HIDDEN calc sheet'!A:B,2,FALSE),IFERROR(VLOOKUP(E152,'Additional questions'!B:D,3,FALSE)="Yes",VLOOKUP(E152,'Hardware Feature set'!B:D,3,FALSE)="No"))))</f>
        <v>1</v>
      </c>
      <c r="J152" s="11" t="b">
        <f>IF(VLOOKUP(B152,'Profile selection'!B:C,2,FALSE)="Yes",TRUE,FALSE)</f>
        <v>1</v>
      </c>
      <c r="K152" s="53"/>
      <c r="L152" s="53"/>
    </row>
    <row r="153" spans="1:12" x14ac:dyDescent="0.25">
      <c r="A153" t="str">
        <f>'HIDDEN import'!B153</f>
        <v>TC_G_01_CS</v>
      </c>
      <c r="B153" t="str">
        <f>'HIDDEN import'!C153</f>
        <v>Core</v>
      </c>
      <c r="C153" t="str">
        <f>'HIDDEN import'!D153</f>
        <v>Connector status Notification - Available to Occupied</v>
      </c>
      <c r="D153" t="str">
        <f>IF(VLOOKUP(A153&amp;" "&amp;B153,'HIDDEN import'!A:G,5,FALSE)="M",MD!$A$1,(IF(AND(VLOOKUP(A153,'HIDDEN import'!B:E,4,FALSE)="C",OR(NOT(ISERROR(VLOOKUP(E153,'Optional features'!B:D,1,FALSE)=E153)),NOT(ISERROR(VLOOKUP(E153,'HIDDEN calc sheet'!A:C,1,FALSE)=E153)))),MD!$A$3,MD!$A$2)))</f>
        <v>Mandatory test for a mandatory feature</v>
      </c>
      <c r="E153" t="str">
        <f>IF('HIDDEN import'!F153=0,"",'HIDDEN import'!F153)</f>
        <v/>
      </c>
      <c r="F153" t="str">
        <f>IF('HIDDEN import'!G153=0,"",'HIDDEN import'!G153)</f>
        <v/>
      </c>
      <c r="G153" s="181" t="str">
        <f>IFERROR(VLOOKUP($A153,'HIDDEN Testrun Results'!$A:$B,2,FALSE),"")</f>
        <v/>
      </c>
      <c r="H153" s="11" t="b">
        <f t="shared" si="2"/>
        <v>1</v>
      </c>
      <c r="I153" s="11" t="b">
        <f>IF(VLOOKUP(A153&amp;" "&amp;B153,'HIDDEN import'!A:G,5,FALSE)="M",TRUE,IFERROR(VLOOKUP(E153,'Optional features'!B:D,3,FALSE)="Yes",IFERROR(VLOOKUP(E153,'HIDDEN calc sheet'!A:B,2,FALSE),IFERROR(VLOOKUP(E153,'Additional questions'!B:D,3,FALSE)="Yes",VLOOKUP(E153,'Hardware Feature set'!B:D,3,FALSE)="No"))))</f>
        <v>1</v>
      </c>
      <c r="J153" s="11" t="b">
        <f>IF(VLOOKUP(B153,'Profile selection'!B:C,2,FALSE)="Yes",TRUE,FALSE)</f>
        <v>1</v>
      </c>
      <c r="K153" s="53"/>
      <c r="L153" s="53"/>
    </row>
    <row r="154" spans="1:12" x14ac:dyDescent="0.25">
      <c r="A154" t="str">
        <f>'HIDDEN import'!B154</f>
        <v>TC_G_02_CS</v>
      </c>
      <c r="B154" t="str">
        <f>'HIDDEN import'!C154</f>
        <v>Core</v>
      </c>
      <c r="C154" t="str">
        <f>'HIDDEN import'!D154</f>
        <v>Connector status Notification - Occupied to Available</v>
      </c>
      <c r="D154" t="str">
        <f>IF(VLOOKUP(A154&amp;" "&amp;B154,'HIDDEN import'!A:G,5,FALSE)="M",MD!$A$1,(IF(AND(VLOOKUP(A154,'HIDDEN import'!B:E,4,FALSE)="C",OR(NOT(ISERROR(VLOOKUP(E154,'Optional features'!B:D,1,FALSE)=E154)),NOT(ISERROR(VLOOKUP(E154,'HIDDEN calc sheet'!A:C,1,FALSE)=E154)))),MD!$A$3,MD!$A$2)))</f>
        <v>Mandatory test for a mandatory feature</v>
      </c>
      <c r="E154" t="str">
        <f>IF('HIDDEN import'!F154=0,"",'HIDDEN import'!F154)</f>
        <v/>
      </c>
      <c r="F154" t="str">
        <f>IF('HIDDEN import'!G154=0,"",'HIDDEN import'!G154)</f>
        <v/>
      </c>
      <c r="G154" s="181" t="str">
        <f>IFERROR(VLOOKUP($A154,'HIDDEN Testrun Results'!$A:$B,2,FALSE),"")</f>
        <v/>
      </c>
      <c r="H154" s="11" t="b">
        <f t="shared" si="2"/>
        <v>1</v>
      </c>
      <c r="I154" s="11" t="b">
        <f>IF(VLOOKUP(A154&amp;" "&amp;B154,'HIDDEN import'!A:G,5,FALSE)="M",TRUE,IFERROR(VLOOKUP(E154,'Optional features'!B:D,3,FALSE)="Yes",IFERROR(VLOOKUP(E154,'HIDDEN calc sheet'!A:B,2,FALSE),IFERROR(VLOOKUP(E154,'Additional questions'!B:D,3,FALSE)="Yes",VLOOKUP(E154,'Hardware Feature set'!B:D,3,FALSE)="No"))))</f>
        <v>1</v>
      </c>
      <c r="J154" s="11" t="b">
        <f>IF(VLOOKUP(B154,'Profile selection'!B:C,2,FALSE)="Yes",TRUE,FALSE)</f>
        <v>1</v>
      </c>
      <c r="K154" s="53"/>
      <c r="L154" s="53"/>
    </row>
    <row r="155" spans="1:12" x14ac:dyDescent="0.25">
      <c r="A155" t="str">
        <f>'HIDDEN import'!B155</f>
        <v>TC_G_03_CS</v>
      </c>
      <c r="B155" t="str">
        <f>'HIDDEN import'!C155</f>
        <v>Core</v>
      </c>
      <c r="C155" t="str">
        <f>'HIDDEN import'!D155</f>
        <v>Change Availability EVSE - Operative to inoperative</v>
      </c>
      <c r="D155" t="str">
        <f>IF(VLOOKUP(A155&amp;" "&amp;B155,'HIDDEN import'!A:G,5,FALSE)="M",MD!$A$1,(IF(AND(VLOOKUP(A155,'HIDDEN import'!B:E,4,FALSE)="C",OR(NOT(ISERROR(VLOOKUP(E155,'Optional features'!B:D,1,FALSE)=E155)),NOT(ISERROR(VLOOKUP(E155,'HIDDEN calc sheet'!A:C,1,FALSE)=E155)))),MD!$A$3,MD!$A$2)))</f>
        <v>Mandatory test for a mandatory feature</v>
      </c>
      <c r="E155" t="str">
        <f>IF('HIDDEN import'!F155=0,"",'HIDDEN import'!F155)</f>
        <v/>
      </c>
      <c r="F155" t="str">
        <f>IF('HIDDEN import'!G155=0,"",'HIDDEN import'!G155)</f>
        <v/>
      </c>
      <c r="G155" s="181" t="str">
        <f>IFERROR(VLOOKUP($A155,'HIDDEN Testrun Results'!$A:$B,2,FALSE),"")</f>
        <v/>
      </c>
      <c r="H155" s="11" t="b">
        <f t="shared" si="2"/>
        <v>1</v>
      </c>
      <c r="I155" s="11" t="b">
        <f>IF(VLOOKUP(A155&amp;" "&amp;B155,'HIDDEN import'!A:G,5,FALSE)="M",TRUE,IFERROR(VLOOKUP(E155,'Optional features'!B:D,3,FALSE)="Yes",IFERROR(VLOOKUP(E155,'HIDDEN calc sheet'!A:B,2,FALSE),IFERROR(VLOOKUP(E155,'Additional questions'!B:D,3,FALSE)="Yes",VLOOKUP(E155,'Hardware Feature set'!B:D,3,FALSE)="No"))))</f>
        <v>1</v>
      </c>
      <c r="J155" s="11" t="b">
        <f>IF(VLOOKUP(B155,'Profile selection'!B:C,2,FALSE)="Yes",TRUE,FALSE)</f>
        <v>1</v>
      </c>
      <c r="K155" s="53"/>
      <c r="L155" s="53"/>
    </row>
    <row r="156" spans="1:12" x14ac:dyDescent="0.25">
      <c r="A156" t="str">
        <f>'HIDDEN import'!B156</f>
        <v>TC_G_09_CS</v>
      </c>
      <c r="B156" t="str">
        <f>'HIDDEN import'!C156</f>
        <v>Core</v>
      </c>
      <c r="C156" t="str">
        <f>'HIDDEN import'!D156</f>
        <v>Change Availability EVSE - Operative to operative</v>
      </c>
      <c r="D156" t="str">
        <f>IF(VLOOKUP(A156&amp;" "&amp;B156,'HIDDEN import'!A:G,5,FALSE)="M",MD!$A$1,(IF(AND(VLOOKUP(A156,'HIDDEN import'!B:E,4,FALSE)="C",OR(NOT(ISERROR(VLOOKUP(E156,'Optional features'!B:D,1,FALSE)=E156)),NOT(ISERROR(VLOOKUP(E156,'HIDDEN calc sheet'!A:C,1,FALSE)=E156)))),MD!$A$3,MD!$A$2)))</f>
        <v>Mandatory test for a mandatory feature</v>
      </c>
      <c r="E156" t="str">
        <f>IF('HIDDEN import'!F156=0,"",'HIDDEN import'!F156)</f>
        <v/>
      </c>
      <c r="F156" t="str">
        <f>IF('HIDDEN import'!G156=0,"",'HIDDEN import'!G156)</f>
        <v/>
      </c>
      <c r="G156" s="181" t="str">
        <f>IFERROR(VLOOKUP($A156,'HIDDEN Testrun Results'!$A:$B,2,FALSE),"")</f>
        <v/>
      </c>
      <c r="H156" s="11" t="b">
        <f t="shared" si="2"/>
        <v>1</v>
      </c>
      <c r="I156" s="11" t="b">
        <f>IF(VLOOKUP(A156&amp;" "&amp;B156,'HIDDEN import'!A:G,5,FALSE)="M",TRUE,IFERROR(VLOOKUP(E156,'Optional features'!B:D,3,FALSE)="Yes",IFERROR(VLOOKUP(E156,'HIDDEN calc sheet'!A:B,2,FALSE),IFERROR(VLOOKUP(E156,'Additional questions'!B:D,3,FALSE)="Yes",VLOOKUP(E156,'Hardware Feature set'!B:D,3,FALSE)="No"))))</f>
        <v>1</v>
      </c>
      <c r="J156" s="11" t="b">
        <f>IF(VLOOKUP(B156,'Profile selection'!B:C,2,FALSE)="Yes",TRUE,FALSE)</f>
        <v>1</v>
      </c>
      <c r="K156" s="53"/>
      <c r="L156" s="53"/>
    </row>
    <row r="157" spans="1:12" x14ac:dyDescent="0.25">
      <c r="A157" t="str">
        <f>'HIDDEN import'!B157</f>
        <v>TC_G_04_CS</v>
      </c>
      <c r="B157" t="str">
        <f>'HIDDEN import'!C157</f>
        <v>Core</v>
      </c>
      <c r="C157" t="str">
        <f>'HIDDEN import'!D157</f>
        <v>Change Availability EVSE - Inoperative to operative</v>
      </c>
      <c r="D157" t="str">
        <f>IF(VLOOKUP(A157&amp;" "&amp;B157,'HIDDEN import'!A:G,5,FALSE)="M",MD!$A$1,(IF(AND(VLOOKUP(A157,'HIDDEN import'!B:E,4,FALSE)="C",OR(NOT(ISERROR(VLOOKUP(E157,'Optional features'!B:D,1,FALSE)=E157)),NOT(ISERROR(VLOOKUP(E157,'HIDDEN calc sheet'!A:C,1,FALSE)=E157)))),MD!$A$3,MD!$A$2)))</f>
        <v>Mandatory test for a mandatory feature</v>
      </c>
      <c r="E157" t="str">
        <f>IF('HIDDEN import'!F157=0,"",'HIDDEN import'!F157)</f>
        <v/>
      </c>
      <c r="F157" t="str">
        <f>IF('HIDDEN import'!G157=0,"",'HIDDEN import'!G157)</f>
        <v/>
      </c>
      <c r="G157" s="181" t="str">
        <f>IFERROR(VLOOKUP($A157,'HIDDEN Testrun Results'!$A:$B,2,FALSE),"")</f>
        <v/>
      </c>
      <c r="H157" s="11" t="b">
        <f t="shared" si="2"/>
        <v>1</v>
      </c>
      <c r="I157" s="11" t="b">
        <f>IF(VLOOKUP(A157&amp;" "&amp;B157,'HIDDEN import'!A:G,5,FALSE)="M",TRUE,IFERROR(VLOOKUP(E157,'Optional features'!B:D,3,FALSE)="Yes",IFERROR(VLOOKUP(E157,'HIDDEN calc sheet'!A:B,2,FALSE),IFERROR(VLOOKUP(E157,'Additional questions'!B:D,3,FALSE)="Yes",VLOOKUP(E157,'Hardware Feature set'!B:D,3,FALSE)="No"))))</f>
        <v>1</v>
      </c>
      <c r="J157" s="11" t="b">
        <f>IF(VLOOKUP(B157,'Profile selection'!B:C,2,FALSE)="Yes",TRUE,FALSE)</f>
        <v>1</v>
      </c>
      <c r="K157" s="53"/>
      <c r="L157" s="53"/>
    </row>
    <row r="158" spans="1:12" x14ac:dyDescent="0.25">
      <c r="A158" t="str">
        <f>'HIDDEN import'!B158</f>
        <v>TC_G_10_CS</v>
      </c>
      <c r="B158" t="str">
        <f>'HIDDEN import'!C158</f>
        <v>Core</v>
      </c>
      <c r="C158" t="str">
        <f>'HIDDEN import'!D158</f>
        <v>Change Availability EVSE - Inoperative to inoperative</v>
      </c>
      <c r="D158" t="str">
        <f>IF(VLOOKUP(A158&amp;" "&amp;B158,'HIDDEN import'!A:G,5,FALSE)="M",MD!$A$1,(IF(AND(VLOOKUP(A158,'HIDDEN import'!B:E,4,FALSE)="C",OR(NOT(ISERROR(VLOOKUP(E158,'Optional features'!B:D,1,FALSE)=E158)),NOT(ISERROR(VLOOKUP(E158,'HIDDEN calc sheet'!A:C,1,FALSE)=E158)))),MD!$A$3,MD!$A$2)))</f>
        <v>Mandatory test for a mandatory feature</v>
      </c>
      <c r="E158" t="str">
        <f>IF('HIDDEN import'!F158=0,"",'HIDDEN import'!F158)</f>
        <v/>
      </c>
      <c r="F158" t="str">
        <f>IF('HIDDEN import'!G158=0,"",'HIDDEN import'!G158)</f>
        <v/>
      </c>
      <c r="G158" s="181" t="str">
        <f>IFERROR(VLOOKUP($A158,'HIDDEN Testrun Results'!$A:$B,2,FALSE),"")</f>
        <v/>
      </c>
      <c r="H158" s="11" t="b">
        <f t="shared" si="2"/>
        <v>1</v>
      </c>
      <c r="I158" s="11" t="b">
        <f>IF(VLOOKUP(A158&amp;" "&amp;B158,'HIDDEN import'!A:G,5,FALSE)="M",TRUE,IFERROR(VLOOKUP(E158,'Optional features'!B:D,3,FALSE)="Yes",IFERROR(VLOOKUP(E158,'HIDDEN calc sheet'!A:B,2,FALSE),IFERROR(VLOOKUP(E158,'Additional questions'!B:D,3,FALSE)="Yes",VLOOKUP(E158,'Hardware Feature set'!B:D,3,FALSE)="No"))))</f>
        <v>1</v>
      </c>
      <c r="J158" s="11" t="b">
        <f>IF(VLOOKUP(B158,'Profile selection'!B:C,2,FALSE)="Yes",TRUE,FALSE)</f>
        <v>1</v>
      </c>
      <c r="K158" s="53"/>
      <c r="L158" s="53"/>
    </row>
    <row r="159" spans="1:12" x14ac:dyDescent="0.25">
      <c r="A159" t="str">
        <f>'HIDDEN import'!B159</f>
        <v>TC_G_11_CS</v>
      </c>
      <c r="B159" t="str">
        <f>'HIDDEN import'!C159</f>
        <v>Core</v>
      </c>
      <c r="C159" t="str">
        <f>'HIDDEN import'!D159</f>
        <v>Change Availability EVSE - With ongoing transaction</v>
      </c>
      <c r="D159" t="str">
        <f>IF(VLOOKUP(A159&amp;" "&amp;B159,'HIDDEN import'!A:G,5,FALSE)="M",MD!$A$1,(IF(AND(VLOOKUP(A159,'HIDDEN import'!B:E,4,FALSE)="C",OR(NOT(ISERROR(VLOOKUP(E159,'Optional features'!B:D,1,FALSE)=E159)),NOT(ISERROR(VLOOKUP(E159,'HIDDEN calc sheet'!A:C,1,FALSE)=E159)))),MD!$A$3,MD!$A$2)))</f>
        <v>Mandatory test for a mandatory feature</v>
      </c>
      <c r="E159" t="str">
        <f>IF('HIDDEN import'!F159=0,"",'HIDDEN import'!F159)</f>
        <v/>
      </c>
      <c r="F159" t="str">
        <f>IF('HIDDEN import'!G159=0,"",'HIDDEN import'!G159)</f>
        <v/>
      </c>
      <c r="G159" s="181" t="str">
        <f>IFERROR(VLOOKUP($A159,'HIDDEN Testrun Results'!$A:$B,2,FALSE),"")</f>
        <v/>
      </c>
      <c r="H159" s="11" t="b">
        <f t="shared" si="2"/>
        <v>1</v>
      </c>
      <c r="I159" s="11" t="b">
        <f>IF(VLOOKUP(A159&amp;" "&amp;B159,'HIDDEN import'!A:G,5,FALSE)="M",TRUE,IFERROR(VLOOKUP(E159,'Optional features'!B:D,3,FALSE)="Yes",IFERROR(VLOOKUP(E159,'HIDDEN calc sheet'!A:B,2,FALSE),IFERROR(VLOOKUP(E159,'Additional questions'!B:D,3,FALSE)="Yes",VLOOKUP(E159,'Hardware Feature set'!B:D,3,FALSE)="No"))))</f>
        <v>1</v>
      </c>
      <c r="J159" s="11" t="b">
        <f>IF(VLOOKUP(B159,'Profile selection'!B:C,2,FALSE)="Yes",TRUE,FALSE)</f>
        <v>1</v>
      </c>
      <c r="K159" s="53"/>
      <c r="L159" s="53"/>
    </row>
    <row r="160" spans="1:12" x14ac:dyDescent="0.25">
      <c r="A160" t="str">
        <f>'HIDDEN import'!B160</f>
        <v>TC_G_18_CS</v>
      </c>
      <c r="B160" t="str">
        <f>'HIDDEN import'!C160</f>
        <v>Core</v>
      </c>
      <c r="C160" t="str">
        <f>'HIDDEN import'!D160</f>
        <v>Change Availability EVSE - state persists across reboot</v>
      </c>
      <c r="D160" t="str">
        <f>IF(VLOOKUP(A160&amp;" "&amp;B160,'HIDDEN import'!A:G,5,FALSE)="M",MD!$A$1,(IF(AND(VLOOKUP(A160,'HIDDEN import'!B:E,4,FALSE)="C",OR(NOT(ISERROR(VLOOKUP(E160,'Optional features'!B:D,1,FALSE)=E160)),NOT(ISERROR(VLOOKUP(E160,'HIDDEN calc sheet'!A:C,1,FALSE)=E160)))),MD!$A$3,MD!$A$2)))</f>
        <v>Mandatory test for a mandatory feature</v>
      </c>
      <c r="E160" t="str">
        <f>IF('HIDDEN import'!F160=0,"",'HIDDEN import'!F160)</f>
        <v/>
      </c>
      <c r="F160" t="str">
        <f>IF('HIDDEN import'!G160=0,"",'HIDDEN import'!G160)</f>
        <v/>
      </c>
      <c r="G160" s="181" t="str">
        <f>IFERROR(VLOOKUP($A160,'HIDDEN Testrun Results'!$A:$B,2,FALSE),"")</f>
        <v/>
      </c>
      <c r="H160" s="11" t="b">
        <f t="shared" si="2"/>
        <v>1</v>
      </c>
      <c r="I160" s="11" t="b">
        <f>IF(VLOOKUP(A160&amp;" "&amp;B160,'HIDDEN import'!A:G,5,FALSE)="M",TRUE,IFERROR(VLOOKUP(E160,'Optional features'!B:D,3,FALSE)="Yes",IFERROR(VLOOKUP(E160,'HIDDEN calc sheet'!A:B,2,FALSE),IFERROR(VLOOKUP(E160,'Additional questions'!B:D,3,FALSE)="Yes",VLOOKUP(E160,'Hardware Feature set'!B:D,3,FALSE)="No"))))</f>
        <v>1</v>
      </c>
      <c r="J160" s="11" t="b">
        <f>IF(VLOOKUP(B160,'Profile selection'!B:C,2,FALSE)="Yes",TRUE,FALSE)</f>
        <v>1</v>
      </c>
      <c r="K160" s="53"/>
      <c r="L160" s="53"/>
    </row>
    <row r="161" spans="1:12" x14ac:dyDescent="0.25">
      <c r="A161" t="str">
        <f>'HIDDEN import'!B161</f>
        <v>TC_G_05_CS</v>
      </c>
      <c r="B161" t="str">
        <f>'HIDDEN import'!C161</f>
        <v>Core</v>
      </c>
      <c r="C161" t="str">
        <f>'HIDDEN import'!D161</f>
        <v>Change Availability Charging Station - Operative to inoperative</v>
      </c>
      <c r="D161" t="str">
        <f>IF(VLOOKUP(A161&amp;" "&amp;B161,'HIDDEN import'!A:G,5,FALSE)="M",MD!$A$1,(IF(AND(VLOOKUP(A161,'HIDDEN import'!B:E,4,FALSE)="C",OR(NOT(ISERROR(VLOOKUP(E161,'Optional features'!B:D,1,FALSE)=E161)),NOT(ISERROR(VLOOKUP(E161,'HIDDEN calc sheet'!A:C,1,FALSE)=E161)))),MD!$A$3,MD!$A$2)))</f>
        <v>Mandatory test for a mandatory feature</v>
      </c>
      <c r="E161" t="str">
        <f>IF('HIDDEN import'!F161=0,"",'HIDDEN import'!F161)</f>
        <v/>
      </c>
      <c r="F161" t="str">
        <f>IF('HIDDEN import'!G161=0,"",'HIDDEN import'!G161)</f>
        <v/>
      </c>
      <c r="G161" s="181" t="str">
        <f>IFERROR(VLOOKUP($A161,'HIDDEN Testrun Results'!$A:$B,2,FALSE),"")</f>
        <v/>
      </c>
      <c r="H161" s="11" t="b">
        <f t="shared" si="2"/>
        <v>1</v>
      </c>
      <c r="I161" s="11" t="b">
        <f>IF(VLOOKUP(A161&amp;" "&amp;B161,'HIDDEN import'!A:G,5,FALSE)="M",TRUE,IFERROR(VLOOKUP(E161,'Optional features'!B:D,3,FALSE)="Yes",IFERROR(VLOOKUP(E161,'HIDDEN calc sheet'!A:B,2,FALSE),IFERROR(VLOOKUP(E161,'Additional questions'!B:D,3,FALSE)="Yes",VLOOKUP(E161,'Hardware Feature set'!B:D,3,FALSE)="No"))))</f>
        <v>1</v>
      </c>
      <c r="J161" s="11" t="b">
        <f>IF(VLOOKUP(B161,'Profile selection'!B:C,2,FALSE)="Yes",TRUE,FALSE)</f>
        <v>1</v>
      </c>
      <c r="K161" s="53"/>
      <c r="L161" s="53"/>
    </row>
    <row r="162" spans="1:12" x14ac:dyDescent="0.25">
      <c r="A162" t="str">
        <f>'HIDDEN import'!B162</f>
        <v>TC_G_12_CS</v>
      </c>
      <c r="B162" t="str">
        <f>'HIDDEN import'!C162</f>
        <v>Core</v>
      </c>
      <c r="C162" t="str">
        <f>'HIDDEN import'!D162</f>
        <v>Change Availability Charging Station - Operative to operative</v>
      </c>
      <c r="D162" t="str">
        <f>IF(VLOOKUP(A162&amp;" "&amp;B162,'HIDDEN import'!A:G,5,FALSE)="M",MD!$A$1,(IF(AND(VLOOKUP(A162,'HIDDEN import'!B:E,4,FALSE)="C",OR(NOT(ISERROR(VLOOKUP(E162,'Optional features'!B:D,1,FALSE)=E162)),NOT(ISERROR(VLOOKUP(E162,'HIDDEN calc sheet'!A:C,1,FALSE)=E162)))),MD!$A$3,MD!$A$2)))</f>
        <v>Mandatory test for a mandatory feature</v>
      </c>
      <c r="E162" t="str">
        <f>IF('HIDDEN import'!F162=0,"",'HIDDEN import'!F162)</f>
        <v/>
      </c>
      <c r="F162" t="str">
        <f>IF('HIDDEN import'!G162=0,"",'HIDDEN import'!G162)</f>
        <v/>
      </c>
      <c r="G162" s="181" t="str">
        <f>IFERROR(VLOOKUP($A162,'HIDDEN Testrun Results'!$A:$B,2,FALSE),"")</f>
        <v/>
      </c>
      <c r="H162" s="11" t="b">
        <f t="shared" si="2"/>
        <v>1</v>
      </c>
      <c r="I162" s="11" t="b">
        <f>IF(VLOOKUP(A162&amp;" "&amp;B162,'HIDDEN import'!A:G,5,FALSE)="M",TRUE,IFERROR(VLOOKUP(E162,'Optional features'!B:D,3,FALSE)="Yes",IFERROR(VLOOKUP(E162,'HIDDEN calc sheet'!A:B,2,FALSE),IFERROR(VLOOKUP(E162,'Additional questions'!B:D,3,FALSE)="Yes",VLOOKUP(E162,'Hardware Feature set'!B:D,3,FALSE)="No"))))</f>
        <v>1</v>
      </c>
      <c r="J162" s="11" t="b">
        <f>IF(VLOOKUP(B162,'Profile selection'!B:C,2,FALSE)="Yes",TRUE,FALSE)</f>
        <v>1</v>
      </c>
      <c r="K162" s="53"/>
      <c r="L162" s="53"/>
    </row>
    <row r="163" spans="1:12" x14ac:dyDescent="0.25">
      <c r="A163" t="str">
        <f>'HIDDEN import'!B163</f>
        <v>TC_G_06_CS</v>
      </c>
      <c r="B163" t="str">
        <f>'HIDDEN import'!C163</f>
        <v>Core</v>
      </c>
      <c r="C163" t="str">
        <f>'HIDDEN import'!D163</f>
        <v>Change Availability Charging Station - Inoperative to operative</v>
      </c>
      <c r="D163" t="str">
        <f>IF(VLOOKUP(A163&amp;" "&amp;B163,'HIDDEN import'!A:G,5,FALSE)="M",MD!$A$1,(IF(AND(VLOOKUP(A163,'HIDDEN import'!B:E,4,FALSE)="C",OR(NOT(ISERROR(VLOOKUP(E163,'Optional features'!B:D,1,FALSE)=E163)),NOT(ISERROR(VLOOKUP(E163,'HIDDEN calc sheet'!A:C,1,FALSE)=E163)))),MD!$A$3,MD!$A$2)))</f>
        <v>Mandatory test for a mandatory feature</v>
      </c>
      <c r="E163" t="str">
        <f>IF('HIDDEN import'!F163=0,"",'HIDDEN import'!F163)</f>
        <v/>
      </c>
      <c r="F163" t="str">
        <f>IF('HIDDEN import'!G163=0,"",'HIDDEN import'!G163)</f>
        <v/>
      </c>
      <c r="G163" s="181" t="str">
        <f>IFERROR(VLOOKUP($A163,'HIDDEN Testrun Results'!$A:$B,2,FALSE),"")</f>
        <v/>
      </c>
      <c r="H163" s="11" t="b">
        <f t="shared" si="2"/>
        <v>1</v>
      </c>
      <c r="I163" s="11" t="b">
        <f>IF(VLOOKUP(A163&amp;" "&amp;B163,'HIDDEN import'!A:G,5,FALSE)="M",TRUE,IFERROR(VLOOKUP(E163,'Optional features'!B:D,3,FALSE)="Yes",IFERROR(VLOOKUP(E163,'HIDDEN calc sheet'!A:B,2,FALSE),IFERROR(VLOOKUP(E163,'Additional questions'!B:D,3,FALSE)="Yes",VLOOKUP(E163,'Hardware Feature set'!B:D,3,FALSE)="No"))))</f>
        <v>1</v>
      </c>
      <c r="J163" s="11" t="b">
        <f>IF(VLOOKUP(B163,'Profile selection'!B:C,2,FALSE)="Yes",TRUE,FALSE)</f>
        <v>1</v>
      </c>
      <c r="K163" s="53"/>
      <c r="L163" s="53"/>
    </row>
    <row r="164" spans="1:12" x14ac:dyDescent="0.25">
      <c r="A164" t="str">
        <f>'HIDDEN import'!B164</f>
        <v>TC_G_13_CS</v>
      </c>
      <c r="B164" t="str">
        <f>'HIDDEN import'!C164</f>
        <v>Core</v>
      </c>
      <c r="C164" t="str">
        <f>'HIDDEN import'!D164</f>
        <v>Change Availability Charging Station - Inoperative to inoperative</v>
      </c>
      <c r="D164" t="str">
        <f>IF(VLOOKUP(A164&amp;" "&amp;B164,'HIDDEN import'!A:G,5,FALSE)="M",MD!$A$1,(IF(AND(VLOOKUP(A164,'HIDDEN import'!B:E,4,FALSE)="C",OR(NOT(ISERROR(VLOOKUP(E164,'Optional features'!B:D,1,FALSE)=E164)),NOT(ISERROR(VLOOKUP(E164,'HIDDEN calc sheet'!A:C,1,FALSE)=E164)))),MD!$A$3,MD!$A$2)))</f>
        <v>Mandatory test for a mandatory feature</v>
      </c>
      <c r="E164" t="str">
        <f>IF('HIDDEN import'!F164=0,"",'HIDDEN import'!F164)</f>
        <v/>
      </c>
      <c r="F164" t="str">
        <f>IF('HIDDEN import'!G164=0,"",'HIDDEN import'!G164)</f>
        <v/>
      </c>
      <c r="G164" s="181" t="str">
        <f>IFERROR(VLOOKUP($A164,'HIDDEN Testrun Results'!$A:$B,2,FALSE),"")</f>
        <v/>
      </c>
      <c r="H164" s="11" t="b">
        <f t="shared" si="2"/>
        <v>1</v>
      </c>
      <c r="I164" s="11" t="b">
        <f>IF(VLOOKUP(A164&amp;" "&amp;B164,'HIDDEN import'!A:G,5,FALSE)="M",TRUE,IFERROR(VLOOKUP(E164,'Optional features'!B:D,3,FALSE)="Yes",IFERROR(VLOOKUP(E164,'HIDDEN calc sheet'!A:B,2,FALSE),IFERROR(VLOOKUP(E164,'Additional questions'!B:D,3,FALSE)="Yes",VLOOKUP(E164,'Hardware Feature set'!B:D,3,FALSE)="No"))))</f>
        <v>1</v>
      </c>
      <c r="J164" s="11" t="b">
        <f>IF(VLOOKUP(B164,'Profile selection'!B:C,2,FALSE)="Yes",TRUE,FALSE)</f>
        <v>1</v>
      </c>
      <c r="K164" s="53"/>
      <c r="L164" s="53"/>
    </row>
    <row r="165" spans="1:12" x14ac:dyDescent="0.25">
      <c r="A165" t="str">
        <f>'HIDDEN import'!B165</f>
        <v>TC_G_21_CS</v>
      </c>
      <c r="B165" t="str">
        <f>'HIDDEN import'!C165</f>
        <v>Core</v>
      </c>
      <c r="C165" t="str">
        <f>'HIDDEN import'!D165</f>
        <v>Change Availability Charging Station - state persists across reboot</v>
      </c>
      <c r="D165" t="str">
        <f>IF(VLOOKUP(A165&amp;" "&amp;B165,'HIDDEN import'!A:G,5,FALSE)="M",MD!$A$1,(IF(AND(VLOOKUP(A165,'HIDDEN import'!B:E,4,FALSE)="C",OR(NOT(ISERROR(VLOOKUP(E165,'Optional features'!B:D,1,FALSE)=E165)),NOT(ISERROR(VLOOKUP(E165,'HIDDEN calc sheet'!A:C,1,FALSE)=E165)))),MD!$A$3,MD!$A$2)))</f>
        <v>Mandatory test for a mandatory feature</v>
      </c>
      <c r="E165" t="str">
        <f>IF('HIDDEN import'!F165=0,"",'HIDDEN import'!F165)</f>
        <v/>
      </c>
      <c r="F165" t="str">
        <f>IF('HIDDEN import'!G165=0,"",'HIDDEN import'!G165)</f>
        <v/>
      </c>
      <c r="G165" s="181" t="str">
        <f>IFERROR(VLOOKUP($A165,'HIDDEN Testrun Results'!$A:$B,2,FALSE),"")</f>
        <v/>
      </c>
      <c r="H165" s="11" t="b">
        <f t="shared" si="2"/>
        <v>1</v>
      </c>
      <c r="I165" s="11" t="b">
        <f>IF(VLOOKUP(A165&amp;" "&amp;B165,'HIDDEN import'!A:G,5,FALSE)="M",TRUE,IFERROR(VLOOKUP(E165,'Optional features'!B:D,3,FALSE)="Yes",IFERROR(VLOOKUP(E165,'HIDDEN calc sheet'!A:B,2,FALSE),IFERROR(VLOOKUP(E165,'Additional questions'!B:D,3,FALSE)="Yes",VLOOKUP(E165,'Hardware Feature set'!B:D,3,FALSE)="No"))))</f>
        <v>1</v>
      </c>
      <c r="J165" s="11" t="b">
        <f>IF(VLOOKUP(B165,'Profile selection'!B:C,2,FALSE)="Yes",TRUE,FALSE)</f>
        <v>1</v>
      </c>
      <c r="K165" s="53"/>
      <c r="L165" s="53"/>
    </row>
    <row r="166" spans="1:12" x14ac:dyDescent="0.25">
      <c r="A166" t="str">
        <f>'HIDDEN import'!B166</f>
        <v>TC_G_14_CS</v>
      </c>
      <c r="B166" t="str">
        <f>'HIDDEN import'!C166</f>
        <v>Core</v>
      </c>
      <c r="C166" t="str">
        <f>'HIDDEN import'!D166</f>
        <v>Change Availability Charging Station - With ongoing transaction</v>
      </c>
      <c r="D166" t="str">
        <f>IF(VLOOKUP(A166&amp;" "&amp;B166,'HIDDEN import'!A:G,5,FALSE)="M",MD!$A$1,(IF(AND(VLOOKUP(A166,'HIDDEN import'!B:E,4,FALSE)="C",OR(NOT(ISERROR(VLOOKUP(E166,'Optional features'!B:D,1,FALSE)=E166)),NOT(ISERROR(VLOOKUP(E166,'HIDDEN calc sheet'!A:C,1,FALSE)=E166)))),MD!$A$3,MD!$A$2)))</f>
        <v>Mandatory test for a mandatory feature</v>
      </c>
      <c r="E166" t="str">
        <f>IF('HIDDEN import'!F166=0,"",'HIDDEN import'!F166)</f>
        <v/>
      </c>
      <c r="F166" t="str">
        <f>IF('HIDDEN import'!G166=0,"",'HIDDEN import'!G166)</f>
        <v/>
      </c>
      <c r="G166" s="181" t="str">
        <f>IFERROR(VLOOKUP($A166,'HIDDEN Testrun Results'!$A:$B,2,FALSE),"")</f>
        <v/>
      </c>
      <c r="H166" s="11" t="b">
        <f t="shared" si="2"/>
        <v>1</v>
      </c>
      <c r="I166" s="11" t="b">
        <f>IF(VLOOKUP(A166&amp;" "&amp;B166,'HIDDEN import'!A:G,5,FALSE)="M",TRUE,IFERROR(VLOOKUP(E166,'Optional features'!B:D,3,FALSE)="Yes",IFERROR(VLOOKUP(E166,'HIDDEN calc sheet'!A:B,2,FALSE),IFERROR(VLOOKUP(E166,'Additional questions'!B:D,3,FALSE)="Yes",VLOOKUP(E166,'Hardware Feature set'!B:D,3,FALSE)="No"))))</f>
        <v>1</v>
      </c>
      <c r="J166" s="11" t="b">
        <f>IF(VLOOKUP(B166,'Profile selection'!B:C,2,FALSE)="Yes",TRUE,FALSE)</f>
        <v>1</v>
      </c>
      <c r="K166" s="53"/>
      <c r="L166" s="53"/>
    </row>
    <row r="167" spans="1:12" x14ac:dyDescent="0.25">
      <c r="A167" t="str">
        <f>'HIDDEN import'!B167</f>
        <v>TC_G_07_CS</v>
      </c>
      <c r="B167" t="str">
        <f>'HIDDEN import'!C167</f>
        <v>Core</v>
      </c>
      <c r="C167" t="str">
        <f>'HIDDEN import'!D167</f>
        <v>Change Availability Connector - Operative to inoperative</v>
      </c>
      <c r="D167" t="str">
        <f>IF(VLOOKUP(A167&amp;" "&amp;B167,'HIDDEN import'!A:G,5,FALSE)="M",MD!$A$1,(IF(AND(VLOOKUP(A167,'HIDDEN import'!B:E,4,FALSE)="C",OR(NOT(ISERROR(VLOOKUP(E167,'Optional features'!B:D,1,FALSE)=E167)),NOT(ISERROR(VLOOKUP(E167,'HIDDEN calc sheet'!A:C,1,FALSE)=E167)))),MD!$A$3,MD!$A$2)))</f>
        <v>Mandatory test for a mandatory feature</v>
      </c>
      <c r="E167" t="str">
        <f>IF('HIDDEN import'!F167=0,"",'HIDDEN import'!F167)</f>
        <v/>
      </c>
      <c r="F167" t="str">
        <f>IF('HIDDEN import'!G167=0,"",'HIDDEN import'!G167)</f>
        <v/>
      </c>
      <c r="G167" s="181" t="str">
        <f>IFERROR(VLOOKUP($A167,'HIDDEN Testrun Results'!$A:$B,2,FALSE),"")</f>
        <v/>
      </c>
      <c r="H167" s="11" t="b">
        <f t="shared" si="2"/>
        <v>1</v>
      </c>
      <c r="I167" s="11" t="b">
        <f>IF(VLOOKUP(A167&amp;" "&amp;B167,'HIDDEN import'!A:G,5,FALSE)="M",TRUE,IFERROR(VLOOKUP(E167,'Optional features'!B:D,3,FALSE)="Yes",IFERROR(VLOOKUP(E167,'HIDDEN calc sheet'!A:B,2,FALSE),IFERROR(VLOOKUP(E167,'Additional questions'!B:D,3,FALSE)="Yes",VLOOKUP(E167,'Hardware Feature set'!B:D,3,FALSE)="No"))))</f>
        <v>1</v>
      </c>
      <c r="J167" s="11" t="b">
        <f>IF(VLOOKUP(B167,'Profile selection'!B:C,2,FALSE)="Yes",TRUE,FALSE)</f>
        <v>1</v>
      </c>
      <c r="K167" s="53"/>
      <c r="L167" s="53"/>
    </row>
    <row r="168" spans="1:12" x14ac:dyDescent="0.25">
      <c r="A168" t="str">
        <f>'HIDDEN import'!B168</f>
        <v>TC_G_15_CS</v>
      </c>
      <c r="B168" t="str">
        <f>'HIDDEN import'!C168</f>
        <v>Core</v>
      </c>
      <c r="C168" t="str">
        <f>'HIDDEN import'!D168</f>
        <v>Change Availability Connector - Operative to operative</v>
      </c>
      <c r="D168" t="str">
        <f>IF(VLOOKUP(A168&amp;" "&amp;B168,'HIDDEN import'!A:G,5,FALSE)="M",MD!$A$1,(IF(AND(VLOOKUP(A168,'HIDDEN import'!B:E,4,FALSE)="C",OR(NOT(ISERROR(VLOOKUP(E168,'Optional features'!B:D,1,FALSE)=E168)),NOT(ISERROR(VLOOKUP(E168,'HIDDEN calc sheet'!A:C,1,FALSE)=E168)))),MD!$A$3,MD!$A$2)))</f>
        <v>Mandatory test for a mandatory feature</v>
      </c>
      <c r="E168" t="str">
        <f>IF('HIDDEN import'!F168=0,"",'HIDDEN import'!F168)</f>
        <v/>
      </c>
      <c r="F168" t="str">
        <f>IF('HIDDEN import'!G168=0,"",'HIDDEN import'!G168)</f>
        <v/>
      </c>
      <c r="G168" s="181" t="str">
        <f>IFERROR(VLOOKUP($A168,'HIDDEN Testrun Results'!$A:$B,2,FALSE),"")</f>
        <v/>
      </c>
      <c r="H168" s="11" t="b">
        <f t="shared" si="2"/>
        <v>1</v>
      </c>
      <c r="I168" s="11" t="b">
        <f>IF(VLOOKUP(A168&amp;" "&amp;B168,'HIDDEN import'!A:G,5,FALSE)="M",TRUE,IFERROR(VLOOKUP(E168,'Optional features'!B:D,3,FALSE)="Yes",IFERROR(VLOOKUP(E168,'HIDDEN calc sheet'!A:B,2,FALSE),IFERROR(VLOOKUP(E168,'Additional questions'!B:D,3,FALSE)="Yes",VLOOKUP(E168,'Hardware Feature set'!B:D,3,FALSE)="No"))))</f>
        <v>1</v>
      </c>
      <c r="J168" s="11" t="b">
        <f>IF(VLOOKUP(B168,'Profile selection'!B:C,2,FALSE)="Yes",TRUE,FALSE)</f>
        <v>1</v>
      </c>
      <c r="K168" s="53"/>
      <c r="L168" s="53"/>
    </row>
    <row r="169" spans="1:12" x14ac:dyDescent="0.25">
      <c r="A169" t="str">
        <f>'HIDDEN import'!B169</f>
        <v>TC_G_08_CS</v>
      </c>
      <c r="B169" t="str">
        <f>'HIDDEN import'!C169</f>
        <v>Core</v>
      </c>
      <c r="C169" t="str">
        <f>'HIDDEN import'!D169</f>
        <v>Change Availability Connector - Inoperative to operative</v>
      </c>
      <c r="D169" t="str">
        <f>IF(VLOOKUP(A169&amp;" "&amp;B169,'HIDDEN import'!A:G,5,FALSE)="M",MD!$A$1,(IF(AND(VLOOKUP(A169,'HIDDEN import'!B:E,4,FALSE)="C",OR(NOT(ISERROR(VLOOKUP(E169,'Optional features'!B:D,1,FALSE)=E169)),NOT(ISERROR(VLOOKUP(E169,'HIDDEN calc sheet'!A:C,1,FALSE)=E169)))),MD!$A$3,MD!$A$2)))</f>
        <v>Mandatory test for a mandatory feature</v>
      </c>
      <c r="E169" t="str">
        <f>IF('HIDDEN import'!F169=0,"",'HIDDEN import'!F169)</f>
        <v/>
      </c>
      <c r="F169" t="str">
        <f>IF('HIDDEN import'!G169=0,"",'HIDDEN import'!G169)</f>
        <v/>
      </c>
      <c r="G169" s="181" t="str">
        <f>IFERROR(VLOOKUP($A169,'HIDDEN Testrun Results'!$A:$B,2,FALSE),"")</f>
        <v/>
      </c>
      <c r="H169" s="11" t="b">
        <f t="shared" si="2"/>
        <v>1</v>
      </c>
      <c r="I169" s="11" t="b">
        <f>IF(VLOOKUP(A169&amp;" "&amp;B169,'HIDDEN import'!A:G,5,FALSE)="M",TRUE,IFERROR(VLOOKUP(E169,'Optional features'!B:D,3,FALSE)="Yes",IFERROR(VLOOKUP(E169,'HIDDEN calc sheet'!A:B,2,FALSE),IFERROR(VLOOKUP(E169,'Additional questions'!B:D,3,FALSE)="Yes",VLOOKUP(E169,'Hardware Feature set'!B:D,3,FALSE)="No"))))</f>
        <v>1</v>
      </c>
      <c r="J169" s="11" t="b">
        <f>IF(VLOOKUP(B169,'Profile selection'!B:C,2,FALSE)="Yes",TRUE,FALSE)</f>
        <v>1</v>
      </c>
      <c r="K169" s="53"/>
      <c r="L169" s="53"/>
    </row>
    <row r="170" spans="1:12" x14ac:dyDescent="0.25">
      <c r="A170" t="str">
        <f>'HIDDEN import'!B170</f>
        <v>TC_G_16_CS</v>
      </c>
      <c r="B170" t="str">
        <f>'HIDDEN import'!C170</f>
        <v>Core</v>
      </c>
      <c r="C170" t="str">
        <f>'HIDDEN import'!D170</f>
        <v>Change Availability Connector - Inoperative to inoperative</v>
      </c>
      <c r="D170" t="str">
        <f>IF(VLOOKUP(A170&amp;" "&amp;B170,'HIDDEN import'!A:G,5,FALSE)="M",MD!$A$1,(IF(AND(VLOOKUP(A170,'HIDDEN import'!B:E,4,FALSE)="C",OR(NOT(ISERROR(VLOOKUP(E170,'Optional features'!B:D,1,FALSE)=E170)),NOT(ISERROR(VLOOKUP(E170,'HIDDEN calc sheet'!A:C,1,FALSE)=E170)))),MD!$A$3,MD!$A$2)))</f>
        <v>Mandatory test for a mandatory feature</v>
      </c>
      <c r="E170" t="str">
        <f>IF('HIDDEN import'!F170=0,"",'HIDDEN import'!F170)</f>
        <v/>
      </c>
      <c r="F170" t="str">
        <f>IF('HIDDEN import'!G170=0,"",'HIDDEN import'!G170)</f>
        <v/>
      </c>
      <c r="G170" s="181" t="str">
        <f>IFERROR(VLOOKUP($A170,'HIDDEN Testrun Results'!$A:$B,2,FALSE),"")</f>
        <v/>
      </c>
      <c r="H170" s="11" t="b">
        <f t="shared" si="2"/>
        <v>1</v>
      </c>
      <c r="I170" s="11" t="b">
        <f>IF(VLOOKUP(A170&amp;" "&amp;B170,'HIDDEN import'!A:G,5,FALSE)="M",TRUE,IFERROR(VLOOKUP(E170,'Optional features'!B:D,3,FALSE)="Yes",IFERROR(VLOOKUP(E170,'HIDDEN calc sheet'!A:B,2,FALSE),IFERROR(VLOOKUP(E170,'Additional questions'!B:D,3,FALSE)="Yes",VLOOKUP(E170,'Hardware Feature set'!B:D,3,FALSE)="No"))))</f>
        <v>1</v>
      </c>
      <c r="J170" s="11" t="b">
        <f>IF(VLOOKUP(B170,'Profile selection'!B:C,2,FALSE)="Yes",TRUE,FALSE)</f>
        <v>1</v>
      </c>
      <c r="K170" s="53"/>
      <c r="L170" s="53"/>
    </row>
    <row r="171" spans="1:12" x14ac:dyDescent="0.25">
      <c r="A171" t="str">
        <f>'HIDDEN import'!B171</f>
        <v>TC_G_17_CS</v>
      </c>
      <c r="B171" t="str">
        <f>'HIDDEN import'!C171</f>
        <v>Core</v>
      </c>
      <c r="C171" t="str">
        <f>'HIDDEN import'!D171</f>
        <v>Change Availability Connector - With ongoing transaction</v>
      </c>
      <c r="D171" t="str">
        <f>IF(VLOOKUP(A171&amp;" "&amp;B171,'HIDDEN import'!A:G,5,FALSE)="M",MD!$A$1,(IF(AND(VLOOKUP(A171,'HIDDEN import'!B:E,4,FALSE)="C",OR(NOT(ISERROR(VLOOKUP(E171,'Optional features'!B:D,1,FALSE)=E171)),NOT(ISERROR(VLOOKUP(E171,'HIDDEN calc sheet'!A:C,1,FALSE)=E171)))),MD!$A$3,MD!$A$2)))</f>
        <v>Mandatory test for a mandatory feature</v>
      </c>
      <c r="E171" t="str">
        <f>IF('HIDDEN import'!F171=0,"",'HIDDEN import'!F171)</f>
        <v/>
      </c>
      <c r="F171" t="str">
        <f>IF('HIDDEN import'!G171=0,"",'HIDDEN import'!G171)</f>
        <v/>
      </c>
      <c r="G171" s="181" t="str">
        <f>IFERROR(VLOOKUP($A171,'HIDDEN Testrun Results'!$A:$B,2,FALSE),"")</f>
        <v/>
      </c>
      <c r="H171" s="11" t="b">
        <f t="shared" si="2"/>
        <v>1</v>
      </c>
      <c r="I171" s="11" t="b">
        <f>IF(VLOOKUP(A171&amp;" "&amp;B171,'HIDDEN import'!A:G,5,FALSE)="M",TRUE,IFERROR(VLOOKUP(E171,'Optional features'!B:D,3,FALSE)="Yes",IFERROR(VLOOKUP(E171,'HIDDEN calc sheet'!A:B,2,FALSE),IFERROR(VLOOKUP(E171,'Additional questions'!B:D,3,FALSE)="Yes",VLOOKUP(E171,'Hardware Feature set'!B:D,3,FALSE)="No"))))</f>
        <v>1</v>
      </c>
      <c r="J171" s="11" t="b">
        <f>IF(VLOOKUP(B171,'Profile selection'!B:C,2,FALSE)="Yes",TRUE,FALSE)</f>
        <v>1</v>
      </c>
      <c r="K171" s="53"/>
      <c r="L171" s="53"/>
    </row>
    <row r="172" spans="1:12" x14ac:dyDescent="0.25">
      <c r="A172" t="str">
        <f>'HIDDEN import'!B172</f>
        <v>TC_G_19_CS</v>
      </c>
      <c r="B172" t="str">
        <f>'HIDDEN import'!C172</f>
        <v>Core</v>
      </c>
      <c r="C172" t="str">
        <f>'HIDDEN import'!D172</f>
        <v>Change Availability Connector - state persists across reboot</v>
      </c>
      <c r="D172" t="str">
        <f>IF(VLOOKUP(A172&amp;" "&amp;B172,'HIDDEN import'!A:G,5,FALSE)="M",MD!$A$1,(IF(AND(VLOOKUP(A172,'HIDDEN import'!B:E,4,FALSE)="C",OR(NOT(ISERROR(VLOOKUP(E172,'Optional features'!B:D,1,FALSE)=E172)),NOT(ISERROR(VLOOKUP(E172,'HIDDEN calc sheet'!A:C,1,FALSE)=E172)))),MD!$A$3,MD!$A$2)))</f>
        <v>Mandatory test for a mandatory feature</v>
      </c>
      <c r="E172" t="str">
        <f>IF('HIDDEN import'!F172=0,"",'HIDDEN import'!F172)</f>
        <v/>
      </c>
      <c r="F172" t="str">
        <f>IF('HIDDEN import'!G172=0,"",'HIDDEN import'!G172)</f>
        <v/>
      </c>
      <c r="G172" s="181" t="str">
        <f>IFERROR(VLOOKUP($A172,'HIDDEN Testrun Results'!$A:$B,2,FALSE),"")</f>
        <v/>
      </c>
      <c r="H172" s="11" t="b">
        <f t="shared" si="2"/>
        <v>1</v>
      </c>
      <c r="I172" s="11" t="b">
        <f>IF(VLOOKUP(A172&amp;" "&amp;B172,'HIDDEN import'!A:G,5,FALSE)="M",TRUE,IFERROR(VLOOKUP(E172,'Optional features'!B:D,3,FALSE)="Yes",IFERROR(VLOOKUP(E172,'HIDDEN calc sheet'!A:B,2,FALSE),IFERROR(VLOOKUP(E172,'Additional questions'!B:D,3,FALSE)="Yes",VLOOKUP(E172,'Hardware Feature set'!B:D,3,FALSE)="No"))))</f>
        <v>1</v>
      </c>
      <c r="J172" s="11" t="b">
        <f>IF(VLOOKUP(B172,'Profile selection'!B:C,2,FALSE)="Yes",TRUE,FALSE)</f>
        <v>1</v>
      </c>
      <c r="K172" s="53"/>
      <c r="L172" s="53"/>
    </row>
    <row r="173" spans="1:12" x14ac:dyDescent="0.25">
      <c r="A173" t="str">
        <f>'HIDDEN import'!B173</f>
        <v>TC_J_01_CS</v>
      </c>
      <c r="B173" t="str">
        <f>'HIDDEN import'!C173</f>
        <v>Core</v>
      </c>
      <c r="C173" t="str">
        <f>'HIDDEN import'!D173</f>
        <v>Clock-aligned Meter Values - No transaction ongoing</v>
      </c>
      <c r="D173" t="str">
        <f>IF(VLOOKUP(A173&amp;" "&amp;B173,'HIDDEN import'!A:G,5,FALSE)="M",MD!$A$1,(IF(AND(VLOOKUP(A173,'HIDDEN import'!B:E,4,FALSE)="C",OR(NOT(ISERROR(VLOOKUP(E173,'Optional features'!B:D,1,FALSE)=E173)),NOT(ISERROR(VLOOKUP(E173,'HIDDEN calc sheet'!A:C,1,FALSE)=E173)))),MD!$A$3,MD!$A$2)))</f>
        <v>Mandatory test for a mandatory feature</v>
      </c>
      <c r="E173" t="str">
        <f>IF('HIDDEN import'!F173=0,"",'HIDDEN import'!F173)</f>
        <v>C-40</v>
      </c>
      <c r="F173" t="str">
        <f>IF('HIDDEN import'!G173=0,"",'HIDDEN import'!G173)</f>
        <v>Supported MeterValue Measurands</v>
      </c>
      <c r="G173" s="181" t="str">
        <f>IFERROR(VLOOKUP($A173,'HIDDEN Testrun Results'!$A:$B,2,FALSE),"")</f>
        <v/>
      </c>
      <c r="H173" s="11" t="b">
        <f t="shared" si="2"/>
        <v>1</v>
      </c>
      <c r="I173" s="11" t="b">
        <f>IF(VLOOKUP(A173&amp;" "&amp;B173,'HIDDEN import'!A:G,5,FALSE)="M",TRUE,IFERROR(VLOOKUP(E173,'Optional features'!B:D,3,FALSE)="Yes",IFERROR(VLOOKUP(E173,'HIDDEN calc sheet'!A:B,2,FALSE),IFERROR(VLOOKUP(E173,'Additional questions'!B:D,3,FALSE)="Yes",VLOOKUP(E173,'Hardware Feature set'!B:D,3,FALSE)="No"))))</f>
        <v>1</v>
      </c>
      <c r="J173" s="11" t="b">
        <f>IF(VLOOKUP(B173,'Profile selection'!B:C,2,FALSE)="Yes",TRUE,FALSE)</f>
        <v>1</v>
      </c>
      <c r="K173" s="53"/>
      <c r="L173" s="53"/>
    </row>
    <row r="174" spans="1:12" x14ac:dyDescent="0.25">
      <c r="A174" t="str">
        <f>'HIDDEN import'!B174</f>
        <v>TC_J_02_CS</v>
      </c>
      <c r="B174" t="str">
        <f>'HIDDEN import'!C174</f>
        <v>Core</v>
      </c>
      <c r="C174" t="str">
        <f>'HIDDEN import'!D174</f>
        <v>Clock-aligned Meter Values - Transaction ongoing</v>
      </c>
      <c r="D174" t="str">
        <f>IF(VLOOKUP(A174&amp;" "&amp;B174,'HIDDEN import'!A:G,5,FALSE)="M",MD!$A$1,(IF(AND(VLOOKUP(A174,'HIDDEN import'!B:E,4,FALSE)="C",OR(NOT(ISERROR(VLOOKUP(E174,'Optional features'!B:D,1,FALSE)=E174)),NOT(ISERROR(VLOOKUP(E174,'HIDDEN calc sheet'!A:C,1,FALSE)=E174)))),MD!$A$3,MD!$A$2)))</f>
        <v>Mandatory test for a mandatory feature</v>
      </c>
      <c r="E174" t="str">
        <f>IF('HIDDEN import'!F174=0,"",'HIDDEN import'!F174)</f>
        <v>C-40</v>
      </c>
      <c r="F174" t="str">
        <f>IF('HIDDEN import'!G174=0,"",'HIDDEN import'!G174)</f>
        <v>Supported MeterValue Measurands</v>
      </c>
      <c r="G174" s="181" t="str">
        <f>IFERROR(VLOOKUP($A174,'HIDDEN Testrun Results'!$A:$B,2,FALSE),"")</f>
        <v/>
      </c>
      <c r="H174" s="11" t="b">
        <f t="shared" si="2"/>
        <v>1</v>
      </c>
      <c r="I174" s="11" t="b">
        <f>IF(VLOOKUP(A174&amp;" "&amp;B174,'HIDDEN import'!A:G,5,FALSE)="M",TRUE,IFERROR(VLOOKUP(E174,'Optional features'!B:D,3,FALSE)="Yes",IFERROR(VLOOKUP(E174,'HIDDEN calc sheet'!A:B,2,FALSE),IFERROR(VLOOKUP(E174,'Additional questions'!B:D,3,FALSE)="Yes",VLOOKUP(E174,'Hardware Feature set'!B:D,3,FALSE)="No"))))</f>
        <v>1</v>
      </c>
      <c r="J174" s="11" t="b">
        <f>IF(VLOOKUP(B174,'Profile selection'!B:C,2,FALSE)="Yes",TRUE,FALSE)</f>
        <v>1</v>
      </c>
      <c r="K174" s="53"/>
      <c r="L174" s="53"/>
    </row>
    <row r="175" spans="1:12" x14ac:dyDescent="0.25">
      <c r="A175" t="str">
        <f>'HIDDEN import'!B175</f>
        <v>TC_J_03_CS</v>
      </c>
      <c r="B175" t="str">
        <f>'HIDDEN import'!C175</f>
        <v>Core</v>
      </c>
      <c r="C175" t="str">
        <f>'HIDDEN import'!D175</f>
        <v>Clock-aligned Meter Values - EventType Ended</v>
      </c>
      <c r="D175" t="str">
        <f>IF(VLOOKUP(A175&amp;" "&amp;B175,'HIDDEN import'!A:G,5,FALSE)="M",MD!$A$1,(IF(AND(VLOOKUP(A175,'HIDDEN import'!B:E,4,FALSE)="C",OR(NOT(ISERROR(VLOOKUP(E175,'Optional features'!B:D,1,FALSE)=E175)),NOT(ISERROR(VLOOKUP(E175,'HIDDEN calc sheet'!A:C,1,FALSE)=E175)))),MD!$A$3,MD!$A$2)))</f>
        <v>Mandatory test for a mandatory feature</v>
      </c>
      <c r="E175" t="str">
        <f>IF('HIDDEN import'!F175=0,"",'HIDDEN import'!F175)</f>
        <v>C-40</v>
      </c>
      <c r="F175" t="str">
        <f>IF('HIDDEN import'!G175=0,"",'HIDDEN import'!G175)</f>
        <v>Supported MeterValue Measurands</v>
      </c>
      <c r="G175" s="181" t="str">
        <f>IFERROR(VLOOKUP($A175,'HIDDEN Testrun Results'!$A:$B,2,FALSE),"")</f>
        <v/>
      </c>
      <c r="H175" s="11" t="b">
        <f t="shared" si="2"/>
        <v>1</v>
      </c>
      <c r="I175" s="11" t="b">
        <f>IF(VLOOKUP(A175&amp;" "&amp;B175,'HIDDEN import'!A:G,5,FALSE)="M",TRUE,IFERROR(VLOOKUP(E175,'Optional features'!B:D,3,FALSE)="Yes",IFERROR(VLOOKUP(E175,'HIDDEN calc sheet'!A:B,2,FALSE),IFERROR(VLOOKUP(E175,'Additional questions'!B:D,3,FALSE)="Yes",VLOOKUP(E175,'Hardware Feature set'!B:D,3,FALSE)="No"))))</f>
        <v>1</v>
      </c>
      <c r="J175" s="11" t="b">
        <f>IF(VLOOKUP(B175,'Profile selection'!B:C,2,FALSE)="Yes",TRUE,FALSE)</f>
        <v>1</v>
      </c>
      <c r="K175" s="53"/>
      <c r="L175" s="53"/>
    </row>
    <row r="176" spans="1:12" x14ac:dyDescent="0.25">
      <c r="A176" t="str">
        <f>'HIDDEN import'!B176</f>
        <v>TC_J_04_CS</v>
      </c>
      <c r="B176" t="str">
        <f>'HIDDEN import'!C176</f>
        <v>Core</v>
      </c>
      <c r="C176" t="str">
        <f>'HIDDEN import'!D176</f>
        <v>Clock-aligned Meter Values - Signed</v>
      </c>
      <c r="D176" t="str">
        <f>IF(VLOOKUP(A176&amp;" "&amp;B176,'HIDDEN import'!A:G,5,FALSE)="M",MD!$A$1,(IF(AND(VLOOKUP(A176,'HIDDEN import'!B:E,4,FALSE)="C",OR(NOT(ISERROR(VLOOKUP(E176,'Optional features'!B:D,1,FALSE)=E176)),NOT(ISERROR(VLOOKUP(E176,'HIDDEN calc sheet'!A:C,1,FALSE)=E176)))),MD!$A$3,MD!$A$2)))</f>
        <v>Mandatory for optional feature</v>
      </c>
      <c r="E176" t="str">
        <f>IF('HIDDEN import'!F176=0,"",'HIDDEN import'!F176)</f>
        <v>C-40 and C-42</v>
      </c>
      <c r="F176" t="str">
        <f>IF('HIDDEN import'!G176=0,"",'HIDDEN import'!G176)</f>
        <v>Supported MeterValue Measurands &amp; Signed Metervalues</v>
      </c>
      <c r="G176" s="181" t="str">
        <f>IFERROR(VLOOKUP($A176,'HIDDEN Testrun Results'!$A:$B,2,FALSE),"")</f>
        <v/>
      </c>
      <c r="H176" s="11" t="b">
        <f t="shared" si="2"/>
        <v>0</v>
      </c>
      <c r="I176" s="11" t="b">
        <f>IF(VLOOKUP(A176&amp;" "&amp;B176,'HIDDEN import'!A:G,5,FALSE)="M",TRUE,IFERROR(VLOOKUP(E176,'Optional features'!B:D,3,FALSE)="Yes",IFERROR(VLOOKUP(E176,'HIDDEN calc sheet'!A:B,2,FALSE),IFERROR(VLOOKUP(E176,'Additional questions'!B:D,3,FALSE)="Yes",VLOOKUP(E176,'Hardware Feature set'!B:D,3,FALSE)="No"))))</f>
        <v>0</v>
      </c>
      <c r="J176" s="11" t="b">
        <f>IF(VLOOKUP(B176,'Profile selection'!B:C,2,FALSE)="Yes",TRUE,FALSE)</f>
        <v>1</v>
      </c>
      <c r="K176" s="53"/>
      <c r="L176" s="53"/>
    </row>
    <row r="177" spans="1:12" x14ac:dyDescent="0.25">
      <c r="A177" t="str">
        <f>'HIDDEN import'!B177</f>
        <v>TC_J_06_CS</v>
      </c>
      <c r="B177" t="str">
        <f>'HIDDEN import'!C177</f>
        <v>Core</v>
      </c>
      <c r="C177" t="str">
        <f>'HIDDEN import'!D177</f>
        <v>Clock-aligned Meter Values - No Meter Values during transaction</v>
      </c>
      <c r="D177" t="str">
        <f>IF(VLOOKUP(A177&amp;" "&amp;B177,'HIDDEN import'!A:G,5,FALSE)="M",MD!$A$1,(IF(AND(VLOOKUP(A177,'HIDDEN import'!B:E,4,FALSE)="C",OR(NOT(ISERROR(VLOOKUP(E177,'Optional features'!B:D,1,FALSE)=E177)),NOT(ISERROR(VLOOKUP(E177,'HIDDEN calc sheet'!A:C,1,FALSE)=E177)))),MD!$A$3,MD!$A$2)))</f>
        <v>Mandatory for optional feature</v>
      </c>
      <c r="E177" t="str">
        <f>IF('HIDDEN import'!F177=0,"",'HIDDEN import'!F177)</f>
        <v>C-28</v>
      </c>
      <c r="F177" t="str">
        <f>IF('HIDDEN import'!G177=0,"",'HIDDEN import'!G177)</f>
        <v>AlignedDataSendDuringIdle</v>
      </c>
      <c r="G177" s="181" t="str">
        <f>IFERROR(VLOOKUP($A177,'HIDDEN Testrun Results'!$A:$B,2,FALSE),"")</f>
        <v/>
      </c>
      <c r="H177" s="11" t="b">
        <f t="shared" ref="H177" si="3">IF(NOT(J177),FALSE,IF(NOT(ISLOGICAL(I177)),I177,AND(I177,J177)))</f>
        <v>0</v>
      </c>
      <c r="I177" s="11" t="b">
        <f>IF(VLOOKUP(A177&amp;" "&amp;B177,'HIDDEN import'!A:G,5,FALSE)="M",TRUE,IFERROR(VLOOKUP(E177,'Optional features'!B:D,3,FALSE)="Yes",IFERROR(VLOOKUP(E177,'HIDDEN calc sheet'!A:B,2,FALSE),IFERROR(VLOOKUP(E177,'Additional questions'!B:D,3,FALSE)="Yes",VLOOKUP(E177,'Hardware Feature set'!B:D,3,FALSE)="No"))))</f>
        <v>0</v>
      </c>
      <c r="J177" s="11" t="b">
        <f>IF(VLOOKUP(B177,'Profile selection'!B:C,2,FALSE)="Yes",TRUE,FALSE)</f>
        <v>1</v>
      </c>
      <c r="K177" s="53"/>
      <c r="L177" s="53"/>
    </row>
    <row r="178" spans="1:12" x14ac:dyDescent="0.25">
      <c r="A178" t="str">
        <f>'HIDDEN import'!B178</f>
        <v>TC_J_07_CS</v>
      </c>
      <c r="B178" t="str">
        <f>'HIDDEN import'!C178</f>
        <v>Core</v>
      </c>
      <c r="C178" t="str">
        <f>'HIDDEN import'!D178</f>
        <v>Sampled Meter Values - EventType Started - EVSE known</v>
      </c>
      <c r="D178" t="str">
        <f>IF(VLOOKUP(A178&amp;" "&amp;B178,'HIDDEN import'!A:G,5,FALSE)="M",MD!$A$1,(IF(AND(VLOOKUP(A178,'HIDDEN import'!B:E,4,FALSE)="C",OR(NOT(ISERROR(VLOOKUP(E178,'Optional features'!B:D,1,FALSE)=E178)),NOT(ISERROR(VLOOKUP(E178,'HIDDEN calc sheet'!A:C,1,FALSE)=E178)))),MD!$A$3,MD!$A$2)))</f>
        <v>Mandatory test for a mandatory feature</v>
      </c>
      <c r="E178" t="str">
        <f>IF('HIDDEN import'!F178=0,"",'HIDDEN import'!F178)</f>
        <v>C-40</v>
      </c>
      <c r="F178" t="str">
        <f>IF('HIDDEN import'!G178=0,"",'HIDDEN import'!G178)</f>
        <v>Supported MeterValue Measurands</v>
      </c>
      <c r="G178" s="181" t="str">
        <f>IFERROR(VLOOKUP($A178,'HIDDEN Testrun Results'!$A:$B,2,FALSE),"")</f>
        <v/>
      </c>
      <c r="H178" s="11" t="b">
        <f t="shared" ref="H178:H241" si="4">IF(NOT(J178),FALSE,IF(NOT(ISLOGICAL(I178)),I178,AND(I178,J178)))</f>
        <v>1</v>
      </c>
      <c r="I178" s="11" t="b">
        <f>IF(VLOOKUP(A178&amp;" "&amp;B178,'HIDDEN import'!A:G,5,FALSE)="M",TRUE,IFERROR(VLOOKUP(E178,'Optional features'!B:D,3,FALSE)="Yes",IFERROR(VLOOKUP(E178,'HIDDEN calc sheet'!A:B,2,FALSE),IFERROR(VLOOKUP(E178,'Additional questions'!B:D,3,FALSE)="Yes",VLOOKUP(E178,'Hardware Feature set'!B:D,3,FALSE)="No"))))</f>
        <v>1</v>
      </c>
      <c r="J178" s="11" t="b">
        <f>IF(VLOOKUP(B178,'Profile selection'!B:C,2,FALSE)="Yes",TRUE,FALSE)</f>
        <v>1</v>
      </c>
      <c r="K178" s="53"/>
      <c r="L178" s="53"/>
    </row>
    <row r="179" spans="1:12" x14ac:dyDescent="0.25">
      <c r="A179" t="str">
        <f>'HIDDEN import'!B179</f>
        <v>TC_J_08_CS</v>
      </c>
      <c r="B179" t="str">
        <f>'HIDDEN import'!C179</f>
        <v>Core</v>
      </c>
      <c r="C179" t="str">
        <f>'HIDDEN import'!D179</f>
        <v>Sampled Meter Values - Context Transaction.Begin - EVSE not known</v>
      </c>
      <c r="D179" t="str">
        <f>IF(VLOOKUP(A179&amp;" "&amp;B179,'HIDDEN import'!A:G,5,FALSE)="M",MD!$A$1,(IF(AND(VLOOKUP(A179,'HIDDEN import'!B:E,4,FALSE)="C",OR(NOT(ISERROR(VLOOKUP(E179,'Optional features'!B:D,1,FALSE)=E179)),NOT(ISERROR(VLOOKUP(E179,'HIDDEN calc sheet'!A:C,1,FALSE)=E179)))),MD!$A$3,MD!$A$2)))</f>
        <v>Mandatory for optional feature</v>
      </c>
      <c r="E179" t="str">
        <f>IF('HIDDEN import'!F179=0,"",'HIDDEN import'!F179)</f>
        <v>C-40 and NOT AQ-8 AND (C-09.2 OR C-09.6)</v>
      </c>
      <c r="F179" t="str">
        <f>IF('HIDDEN import'!G179=0,"",'HIDDEN import'!G179)</f>
        <v>Supported MeterValue Measurands &amp; possibility to enforce EVSE being known.</v>
      </c>
      <c r="G179" s="181" t="str">
        <f>IFERROR(VLOOKUP($A179,'HIDDEN Testrun Results'!$A:$B,2,FALSE),"")</f>
        <v/>
      </c>
      <c r="H179" s="11" t="b">
        <f t="shared" si="4"/>
        <v>0</v>
      </c>
      <c r="I179" s="11" t="b">
        <f>IF(VLOOKUP(A179&amp;" "&amp;B179,'HIDDEN import'!A:G,5,FALSE)="M",TRUE,IFERROR(VLOOKUP(E179,'Optional features'!B:D,3,FALSE)="Yes",IFERROR(VLOOKUP(E179,'HIDDEN calc sheet'!A:B,2,FALSE),IFERROR(VLOOKUP(E179,'Additional questions'!B:D,3,FALSE)="Yes",VLOOKUP(E179,'Hardware Feature set'!B:D,3,FALSE)="No"))))</f>
        <v>0</v>
      </c>
      <c r="J179" s="11" t="b">
        <f>IF(VLOOKUP(B179,'Profile selection'!B:C,2,FALSE)="Yes",TRUE,FALSE)</f>
        <v>1</v>
      </c>
      <c r="K179" s="53"/>
      <c r="L179" s="53"/>
    </row>
    <row r="180" spans="1:12" x14ac:dyDescent="0.25">
      <c r="A180" t="str">
        <f>'HIDDEN import'!B180</f>
        <v>TC_J_09_CS</v>
      </c>
      <c r="B180" t="str">
        <f>'HIDDEN import'!C180</f>
        <v>Core</v>
      </c>
      <c r="C180" t="str">
        <f>'HIDDEN import'!D180</f>
        <v>Sampled Meter Values - EventType Updated</v>
      </c>
      <c r="D180" t="str">
        <f>IF(VLOOKUP(A180&amp;" "&amp;B180,'HIDDEN import'!A:G,5,FALSE)="M",MD!$A$1,(IF(AND(VLOOKUP(A180,'HIDDEN import'!B:E,4,FALSE)="C",OR(NOT(ISERROR(VLOOKUP(E180,'Optional features'!B:D,1,FALSE)=E180)),NOT(ISERROR(VLOOKUP(E180,'HIDDEN calc sheet'!A:C,1,FALSE)=E180)))),MD!$A$3,MD!$A$2)))</f>
        <v>Mandatory test for a mandatory feature</v>
      </c>
      <c r="E180" t="str">
        <f>IF('HIDDEN import'!F180=0,"",'HIDDEN import'!F180)</f>
        <v>C-40</v>
      </c>
      <c r="F180" t="str">
        <f>IF('HIDDEN import'!G180=0,"",'HIDDEN import'!G180)</f>
        <v>Supported MeterValue Measurands</v>
      </c>
      <c r="G180" s="181" t="str">
        <f>IFERROR(VLOOKUP($A180,'HIDDEN Testrun Results'!$A:$B,2,FALSE),"")</f>
        <v/>
      </c>
      <c r="H180" s="11" t="b">
        <f t="shared" si="4"/>
        <v>1</v>
      </c>
      <c r="I180" s="11" t="b">
        <f>IF(VLOOKUP(A180&amp;" "&amp;B180,'HIDDEN import'!A:G,5,FALSE)="M",TRUE,IFERROR(VLOOKUP(E180,'Optional features'!B:D,3,FALSE)="Yes",IFERROR(VLOOKUP(E180,'HIDDEN calc sheet'!A:B,2,FALSE),IFERROR(VLOOKUP(E180,'Additional questions'!B:D,3,FALSE)="Yes",VLOOKUP(E180,'Hardware Feature set'!B:D,3,FALSE)="No"))))</f>
        <v>1</v>
      </c>
      <c r="J180" s="11" t="b">
        <f>IF(VLOOKUP(B180,'Profile selection'!B:C,2,FALSE)="Yes",TRUE,FALSE)</f>
        <v>1</v>
      </c>
      <c r="K180" s="53"/>
      <c r="L180" s="53"/>
    </row>
    <row r="181" spans="1:12" x14ac:dyDescent="0.25">
      <c r="A181" t="str">
        <f>'HIDDEN import'!B181</f>
        <v>TC_J_10_CS</v>
      </c>
      <c r="B181" t="str">
        <f>'HIDDEN import'!C181</f>
        <v>Core</v>
      </c>
      <c r="C181" t="str">
        <f>'HIDDEN import'!D181</f>
        <v>Sampled Meter Values - EventType Ended</v>
      </c>
      <c r="D181" t="str">
        <f>IF(VLOOKUP(A181&amp;" "&amp;B181,'HIDDEN import'!A:G,5,FALSE)="M",MD!$A$1,(IF(AND(VLOOKUP(A181,'HIDDEN import'!B:E,4,FALSE)="C",OR(NOT(ISERROR(VLOOKUP(E181,'Optional features'!B:D,1,FALSE)=E181)),NOT(ISERROR(VLOOKUP(E181,'HIDDEN calc sheet'!A:C,1,FALSE)=E181)))),MD!$A$3,MD!$A$2)))</f>
        <v>Mandatory test for a mandatory feature</v>
      </c>
      <c r="E181" t="str">
        <f>IF('HIDDEN import'!F181=0,"",'HIDDEN import'!F181)</f>
        <v>C-40</v>
      </c>
      <c r="F181" t="str">
        <f>IF('HIDDEN import'!G181=0,"",'HIDDEN import'!G181)</f>
        <v>Supported MeterValue Measurands</v>
      </c>
      <c r="G181" s="181" t="str">
        <f>IFERROR(VLOOKUP($A181,'HIDDEN Testrun Results'!$A:$B,2,FALSE),"")</f>
        <v/>
      </c>
      <c r="H181" s="11" t="b">
        <f t="shared" si="4"/>
        <v>1</v>
      </c>
      <c r="I181" s="11" t="b">
        <f>IF(VLOOKUP(A181&amp;" "&amp;B181,'HIDDEN import'!A:G,5,FALSE)="M",TRUE,IFERROR(VLOOKUP(E181,'Optional features'!B:D,3,FALSE)="Yes",IFERROR(VLOOKUP(E181,'HIDDEN calc sheet'!A:B,2,FALSE),IFERROR(VLOOKUP(E181,'Additional questions'!B:D,3,FALSE)="Yes",VLOOKUP(E181,'Hardware Feature set'!B:D,3,FALSE)="No"))))</f>
        <v>1</v>
      </c>
      <c r="J181" s="11" t="b">
        <f>IF(VLOOKUP(B181,'Profile selection'!B:C,2,FALSE)="Yes",TRUE,FALSE)</f>
        <v>1</v>
      </c>
      <c r="K181" s="53"/>
      <c r="L181" s="53"/>
    </row>
    <row r="182" spans="1:12" x14ac:dyDescent="0.25">
      <c r="A182" t="str">
        <f>'HIDDEN import'!B182</f>
        <v>TC_J_11_CS</v>
      </c>
      <c r="B182" t="str">
        <f>'HIDDEN import'!C182</f>
        <v>Core</v>
      </c>
      <c r="C182" t="str">
        <f>'HIDDEN import'!D182</f>
        <v>Sampled Meter Values - Signed</v>
      </c>
      <c r="D182" t="str">
        <f>IF(VLOOKUP(A182&amp;" "&amp;B182,'HIDDEN import'!A:G,5,FALSE)="M",MD!$A$1,(IF(AND(VLOOKUP(A182,'HIDDEN import'!B:E,4,FALSE)="C",OR(NOT(ISERROR(VLOOKUP(E182,'Optional features'!B:D,1,FALSE)=E182)),NOT(ISERROR(VLOOKUP(E182,'HIDDEN calc sheet'!A:C,1,FALSE)=E182)))),MD!$A$3,MD!$A$2)))</f>
        <v>Mandatory for optional feature</v>
      </c>
      <c r="E182" t="str">
        <f>IF('HIDDEN import'!F182=0,"",'HIDDEN import'!F182)</f>
        <v>C-42</v>
      </c>
      <c r="F182" t="str">
        <f>IF('HIDDEN import'!G182=0,"",'HIDDEN import'!G182)</f>
        <v>Supported MeterValue Measurands &amp; Signed Metervalues</v>
      </c>
      <c r="G182" s="181" t="str">
        <f>IFERROR(VLOOKUP($A182,'HIDDEN Testrun Results'!$A:$B,2,FALSE),"")</f>
        <v/>
      </c>
      <c r="H182" s="11" t="b">
        <f t="shared" si="4"/>
        <v>0</v>
      </c>
      <c r="I182" s="11" t="b">
        <f>IF(VLOOKUP(A182&amp;" "&amp;B182,'HIDDEN import'!A:G,5,FALSE)="M",TRUE,IFERROR(VLOOKUP(E182,'Optional features'!B:D,3,FALSE)="Yes",IFERROR(VLOOKUP(E182,'HIDDEN calc sheet'!A:B,2,FALSE),IFERROR(VLOOKUP(E182,'Additional questions'!B:D,3,FALSE)="Yes",VLOOKUP(E182,'Hardware Feature set'!B:D,3,FALSE)="No"))))</f>
        <v>0</v>
      </c>
      <c r="J182" s="11" t="b">
        <f>IF(VLOOKUP(B182,'Profile selection'!B:C,2,FALSE)="Yes",TRUE,FALSE)</f>
        <v>1</v>
      </c>
      <c r="K182" s="53"/>
      <c r="L182" s="53"/>
    </row>
    <row r="183" spans="1:12" x14ac:dyDescent="0.25">
      <c r="A183" t="str">
        <f>'HIDDEN import'!B183</f>
        <v>TC_K_38_CS</v>
      </c>
      <c r="B183" t="str">
        <f>'HIDDEN import'!C183</f>
        <v>Core</v>
      </c>
      <c r="C183" t="str">
        <f>'HIDDEN import'!D183</f>
        <v>Remote start transaction with charging profile - Ignore chargingProfile</v>
      </c>
      <c r="D183" t="str">
        <f>IF(VLOOKUP(A183&amp;" "&amp;B183,'HIDDEN import'!A:G,5,FALSE)="M",MD!$A$1,(IF(AND(VLOOKUP(A183,'HIDDEN import'!B:E,4,FALSE)="C",OR(NOT(ISERROR(VLOOKUP(E183,'Optional features'!B:D,1,FALSE)=E183)),NOT(ISERROR(VLOOKUP(E183,'HIDDEN calc sheet'!A:C,1,FALSE)=E183)))),MD!$A$3,MD!$A$2)))</f>
        <v>Mandatory for optional feature</v>
      </c>
      <c r="E183" t="str">
        <f>IF('HIDDEN import'!F183=0,"",'HIDDEN import'!F183)</f>
        <v>NOT Smart Charging</v>
      </c>
      <c r="F183" t="str">
        <f>IF('HIDDEN import'!G183=0,"",'HIDDEN import'!G183)</f>
        <v/>
      </c>
      <c r="G183" s="181" t="str">
        <f>IFERROR(VLOOKUP($A183,'HIDDEN Testrun Results'!$A:$B,2,FALSE),"")</f>
        <v/>
      </c>
      <c r="H183" s="11" t="b">
        <f t="shared" si="4"/>
        <v>1</v>
      </c>
      <c r="I183" s="11" t="b">
        <f>IF(VLOOKUP(A183&amp;" "&amp;B183,'HIDDEN import'!A:G,5,FALSE)="M",TRUE,IFERROR(VLOOKUP(E183,'Optional features'!B:D,3,FALSE)="Yes",IFERROR(VLOOKUP(E183,'HIDDEN calc sheet'!A:B,2,FALSE),IFERROR(VLOOKUP(E183,'Additional questions'!B:D,3,FALSE)="Yes",VLOOKUP(E183,'Hardware Feature set'!B:D,3,FALSE)="No"))))</f>
        <v>1</v>
      </c>
      <c r="J183" s="11" t="b">
        <f>IF(VLOOKUP(B183,'Profile selection'!B:C,2,FALSE)="Yes",TRUE,FALSE)</f>
        <v>1</v>
      </c>
      <c r="K183" s="53"/>
      <c r="L183" s="53"/>
    </row>
    <row r="184" spans="1:12" x14ac:dyDescent="0.25">
      <c r="A184" t="str">
        <f>'HIDDEN import'!B184</f>
        <v>TC_L_01_CS</v>
      </c>
      <c r="B184" t="str">
        <f>'HIDDEN import'!C184</f>
        <v>Core</v>
      </c>
      <c r="C184" t="str">
        <f>'HIDDEN import'!D184</f>
        <v>Secure Firmware Update - Installation successful</v>
      </c>
      <c r="D184" t="str">
        <f>IF(VLOOKUP(A184&amp;" "&amp;B184,'HIDDEN import'!A:G,5,FALSE)="M",MD!$A$1,(IF(AND(VLOOKUP(A184,'HIDDEN import'!B:E,4,FALSE)="C",OR(NOT(ISERROR(VLOOKUP(E184,'Optional features'!B:D,1,FALSE)=E184)),NOT(ISERROR(VLOOKUP(E184,'HIDDEN calc sheet'!A:C,1,FALSE)=E184)))),MD!$A$3,MD!$A$2)))</f>
        <v>Mandatory test for a mandatory feature</v>
      </c>
      <c r="E184" t="str">
        <f>IF('HIDDEN import'!F184=0,"",'HIDDEN import'!F184)</f>
        <v/>
      </c>
      <c r="F184" t="str">
        <f>IF('HIDDEN import'!G184=0,"",'HIDDEN import'!G184)</f>
        <v/>
      </c>
      <c r="G184" s="181" t="str">
        <f>IFERROR(VLOOKUP($A184,'HIDDEN Testrun Results'!$A:$B,2,FALSE),"")</f>
        <v/>
      </c>
      <c r="H184" s="11" t="b">
        <f t="shared" si="4"/>
        <v>1</v>
      </c>
      <c r="I184" s="11" t="b">
        <f>IF(VLOOKUP(A184&amp;" "&amp;B184,'HIDDEN import'!A:G,5,FALSE)="M",TRUE,IFERROR(VLOOKUP(E184,'Optional features'!B:D,3,FALSE)="Yes",IFERROR(VLOOKUP(E184,'HIDDEN calc sheet'!A:B,2,FALSE),IFERROR(VLOOKUP(E184,'Additional questions'!B:D,3,FALSE)="Yes",VLOOKUP(E184,'Hardware Feature set'!B:D,3,FALSE)="No"))))</f>
        <v>1</v>
      </c>
      <c r="J184" s="11" t="b">
        <f>IF(VLOOKUP(B184,'Profile selection'!B:C,2,FALSE)="Yes",TRUE,FALSE)</f>
        <v>1</v>
      </c>
      <c r="K184" s="53"/>
      <c r="L184" s="53"/>
    </row>
    <row r="185" spans="1:12" x14ac:dyDescent="0.25">
      <c r="A185" t="str">
        <f>'HIDDEN import'!B185</f>
        <v>TC_L_02_CS</v>
      </c>
      <c r="B185" t="str">
        <f>'HIDDEN import'!C185</f>
        <v>Core</v>
      </c>
      <c r="C185" t="str">
        <f>'HIDDEN import'!D185</f>
        <v>Secure Firmware Update - InstallScheduled</v>
      </c>
      <c r="D185" t="str">
        <f>IF(VLOOKUP(A185&amp;" "&amp;B185,'HIDDEN import'!A:G,5,FALSE)="M",MD!$A$1,(IF(AND(VLOOKUP(A185,'HIDDEN import'!B:E,4,FALSE)="C",OR(NOT(ISERROR(VLOOKUP(E185,'Optional features'!B:D,1,FALSE)=E185)),NOT(ISERROR(VLOOKUP(E185,'HIDDEN calc sheet'!A:C,1,FALSE)=E185)))),MD!$A$3,MD!$A$2)))</f>
        <v>Mandatory test for a mandatory feature</v>
      </c>
      <c r="E185" t="str">
        <f>IF('HIDDEN import'!F185=0,"",'HIDDEN import'!F185)</f>
        <v>C-15</v>
      </c>
      <c r="F185" t="str">
        <f>IF('HIDDEN import'!G185=0,"",'HIDDEN import'!G185)</f>
        <v>Scheduled firmware updates</v>
      </c>
      <c r="G185" s="181" t="str">
        <f>IFERROR(VLOOKUP($A185,'HIDDEN Testrun Results'!$A:$B,2,FALSE),"")</f>
        <v/>
      </c>
      <c r="H185" s="11" t="b">
        <f t="shared" si="4"/>
        <v>1</v>
      </c>
      <c r="I185" s="11" t="b">
        <f>IF(VLOOKUP(A185&amp;" "&amp;B185,'HIDDEN import'!A:G,5,FALSE)="M",TRUE,IFERROR(VLOOKUP(E185,'Optional features'!B:D,3,FALSE)="Yes",IFERROR(VLOOKUP(E185,'HIDDEN calc sheet'!A:B,2,FALSE),IFERROR(VLOOKUP(E185,'Additional questions'!B:D,3,FALSE)="Yes",VLOOKUP(E185,'Hardware Feature set'!B:D,3,FALSE)="No"))))</f>
        <v>1</v>
      </c>
      <c r="J185" s="11" t="b">
        <f>IF(VLOOKUP(B185,'Profile selection'!B:C,2,FALSE)="Yes",TRUE,FALSE)</f>
        <v>1</v>
      </c>
      <c r="K185" s="53"/>
      <c r="L185" s="53"/>
    </row>
    <row r="186" spans="1:12" x14ac:dyDescent="0.25">
      <c r="A186" t="str">
        <f>'HIDDEN import'!B186</f>
        <v>TC_L_03_CS</v>
      </c>
      <c r="B186" t="str">
        <f>'HIDDEN import'!C186</f>
        <v>Core</v>
      </c>
      <c r="C186" t="str">
        <f>'HIDDEN import'!D186</f>
        <v>Secure Firmware Update - DownloadScheduled</v>
      </c>
      <c r="D186" t="str">
        <f>IF(VLOOKUP(A186&amp;" "&amp;B186,'HIDDEN import'!A:G,5,FALSE)="M",MD!$A$1,(IF(AND(VLOOKUP(A186,'HIDDEN import'!B:E,4,FALSE)="C",OR(NOT(ISERROR(VLOOKUP(E186,'Optional features'!B:D,1,FALSE)=E186)),NOT(ISERROR(VLOOKUP(E186,'HIDDEN calc sheet'!A:C,1,FALSE)=E186)))),MD!$A$3,MD!$A$2)))</f>
        <v>Mandatory test for a mandatory feature</v>
      </c>
      <c r="E186" t="str">
        <f>IF('HIDDEN import'!F186=0,"",'HIDDEN import'!F186)</f>
        <v>C-15</v>
      </c>
      <c r="F186" t="str">
        <f>IF('HIDDEN import'!G186=0,"",'HIDDEN import'!G186)</f>
        <v>Scheduled firmware updates</v>
      </c>
      <c r="G186" s="181" t="str">
        <f>IFERROR(VLOOKUP($A186,'HIDDEN Testrun Results'!$A:$B,2,FALSE),"")</f>
        <v/>
      </c>
      <c r="H186" s="11" t="b">
        <f t="shared" si="4"/>
        <v>1</v>
      </c>
      <c r="I186" s="11" t="b">
        <f>IF(VLOOKUP(A186&amp;" "&amp;B186,'HIDDEN import'!A:G,5,FALSE)="M",TRUE,IFERROR(VLOOKUP(E186,'Optional features'!B:D,3,FALSE)="Yes",IFERROR(VLOOKUP(E186,'HIDDEN calc sheet'!A:B,2,FALSE),IFERROR(VLOOKUP(E186,'Additional questions'!B:D,3,FALSE)="Yes",VLOOKUP(E186,'Hardware Feature set'!B:D,3,FALSE)="No"))))</f>
        <v>1</v>
      </c>
      <c r="J186" s="11" t="b">
        <f>IF(VLOOKUP(B186,'Profile selection'!B:C,2,FALSE)="Yes",TRUE,FALSE)</f>
        <v>1</v>
      </c>
      <c r="K186" s="53"/>
      <c r="L186" s="53"/>
    </row>
    <row r="187" spans="1:12" x14ac:dyDescent="0.25">
      <c r="A187" t="str">
        <f>'HIDDEN import'!B187</f>
        <v>TC_L_05_CS</v>
      </c>
      <c r="B187" t="str">
        <f>'HIDDEN import'!C187</f>
        <v>Core</v>
      </c>
      <c r="C187" t="str">
        <f>'HIDDEN import'!D187</f>
        <v>Secure Firmware Update - InvalidCertificate</v>
      </c>
      <c r="D187" t="str">
        <f>IF(VLOOKUP(A187&amp;" "&amp;B187,'HIDDEN import'!A:G,5,FALSE)="M",MD!$A$1,(IF(AND(VLOOKUP(A187,'HIDDEN import'!B:E,4,FALSE)="C",OR(NOT(ISERROR(VLOOKUP(E187,'Optional features'!B:D,1,FALSE)=E187)),NOT(ISERROR(VLOOKUP(E187,'HIDDEN calc sheet'!A:C,1,FALSE)=E187)))),MD!$A$3,MD!$A$2)))</f>
        <v>Mandatory test for a mandatory feature</v>
      </c>
      <c r="E187" t="str">
        <f>IF('HIDDEN import'!F187=0,"",'HIDDEN import'!F187)</f>
        <v/>
      </c>
      <c r="F187" t="str">
        <f>IF('HIDDEN import'!G187=0,"",'HIDDEN import'!G187)</f>
        <v/>
      </c>
      <c r="G187" s="181" t="str">
        <f>IFERROR(VLOOKUP($A187,'HIDDEN Testrun Results'!$A:$B,2,FALSE),"")</f>
        <v/>
      </c>
      <c r="H187" s="11" t="b">
        <f t="shared" si="4"/>
        <v>1</v>
      </c>
      <c r="I187" s="11" t="b">
        <f>IF(VLOOKUP(A187&amp;" "&amp;B187,'HIDDEN import'!A:G,5,FALSE)="M",TRUE,IFERROR(VLOOKUP(E187,'Optional features'!B:D,3,FALSE)="Yes",IFERROR(VLOOKUP(E187,'HIDDEN calc sheet'!A:B,2,FALSE),IFERROR(VLOOKUP(E187,'Additional questions'!B:D,3,FALSE)="Yes",VLOOKUP(E187,'Hardware Feature set'!B:D,3,FALSE)="No"))))</f>
        <v>1</v>
      </c>
      <c r="J187" s="11" t="b">
        <f>IF(VLOOKUP(B187,'Profile selection'!B:C,2,FALSE)="Yes",TRUE,FALSE)</f>
        <v>1</v>
      </c>
      <c r="K187" s="53"/>
      <c r="L187" s="53"/>
    </row>
    <row r="188" spans="1:12" x14ac:dyDescent="0.25">
      <c r="A188" t="str">
        <f>'HIDDEN import'!B188</f>
        <v>TC_L_06_CS</v>
      </c>
      <c r="B188" t="str">
        <f>'HIDDEN import'!C188</f>
        <v>Core</v>
      </c>
      <c r="C188" t="str">
        <f>'HIDDEN import'!D188</f>
        <v>Secure Firmware Update - InvalidSignature</v>
      </c>
      <c r="D188" t="str">
        <f>IF(VLOOKUP(A188&amp;" "&amp;B188,'HIDDEN import'!A:G,5,FALSE)="M",MD!$A$1,(IF(AND(VLOOKUP(A188,'HIDDEN import'!B:E,4,FALSE)="C",OR(NOT(ISERROR(VLOOKUP(E188,'Optional features'!B:D,1,FALSE)=E188)),NOT(ISERROR(VLOOKUP(E188,'HIDDEN calc sheet'!A:C,1,FALSE)=E188)))),MD!$A$3,MD!$A$2)))</f>
        <v>Mandatory test for a mandatory feature</v>
      </c>
      <c r="E188" t="str">
        <f>IF('HIDDEN import'!F188=0,"",'HIDDEN import'!F188)</f>
        <v/>
      </c>
      <c r="F188" t="str">
        <f>IF('HIDDEN import'!G188=0,"",'HIDDEN import'!G188)</f>
        <v/>
      </c>
      <c r="G188" s="181" t="str">
        <f>IFERROR(VLOOKUP($A188,'HIDDEN Testrun Results'!$A:$B,2,FALSE),"")</f>
        <v/>
      </c>
      <c r="H188" s="11" t="b">
        <f t="shared" si="4"/>
        <v>1</v>
      </c>
      <c r="I188" s="11" t="b">
        <f>IF(VLOOKUP(A188&amp;" "&amp;B188,'HIDDEN import'!A:G,5,FALSE)="M",TRUE,IFERROR(VLOOKUP(E188,'Optional features'!B:D,3,FALSE)="Yes",IFERROR(VLOOKUP(E188,'HIDDEN calc sheet'!A:B,2,FALSE),IFERROR(VLOOKUP(E188,'Additional questions'!B:D,3,FALSE)="Yes",VLOOKUP(E188,'Hardware Feature set'!B:D,3,FALSE)="No"))))</f>
        <v>1</v>
      </c>
      <c r="J188" s="11" t="b">
        <f>IF(VLOOKUP(B188,'Profile selection'!B:C,2,FALSE)="Yes",TRUE,FALSE)</f>
        <v>1</v>
      </c>
      <c r="K188" s="53"/>
      <c r="L188" s="53"/>
    </row>
    <row r="189" spans="1:12" x14ac:dyDescent="0.25">
      <c r="A189" t="str">
        <f>'HIDDEN import'!B189</f>
        <v>TC_L_07_CS</v>
      </c>
      <c r="B189" t="str">
        <f>'HIDDEN import'!C189</f>
        <v>Core</v>
      </c>
      <c r="C189" t="str">
        <f>'HIDDEN import'!D189</f>
        <v>Secure Firmware Update - DownloadFailed</v>
      </c>
      <c r="D189" t="str">
        <f>IF(VLOOKUP(A189&amp;" "&amp;B189,'HIDDEN import'!A:G,5,FALSE)="M",MD!$A$1,(IF(AND(VLOOKUP(A189,'HIDDEN import'!B:E,4,FALSE)="C",OR(NOT(ISERROR(VLOOKUP(E189,'Optional features'!B:D,1,FALSE)=E189)),NOT(ISERROR(VLOOKUP(E189,'HIDDEN calc sheet'!A:C,1,FALSE)=E189)))),MD!$A$3,MD!$A$2)))</f>
        <v>Mandatory test for a mandatory feature</v>
      </c>
      <c r="E189" t="str">
        <f>IF('HIDDEN import'!F189=0,"",'HIDDEN import'!F189)</f>
        <v/>
      </c>
      <c r="F189" t="str">
        <f>IF('HIDDEN import'!G189=0,"",'HIDDEN import'!G189)</f>
        <v/>
      </c>
      <c r="G189" s="181" t="str">
        <f>IFERROR(VLOOKUP($A189,'HIDDEN Testrun Results'!$A:$B,2,FALSE),"")</f>
        <v/>
      </c>
      <c r="H189" s="11" t="b">
        <f t="shared" si="4"/>
        <v>1</v>
      </c>
      <c r="I189" s="11" t="b">
        <f>IF(VLOOKUP(A189&amp;" "&amp;B189,'HIDDEN import'!A:G,5,FALSE)="M",TRUE,IFERROR(VLOOKUP(E189,'Optional features'!B:D,3,FALSE)="Yes",IFERROR(VLOOKUP(E189,'HIDDEN calc sheet'!A:B,2,FALSE),IFERROR(VLOOKUP(E189,'Additional questions'!B:D,3,FALSE)="Yes",VLOOKUP(E189,'Hardware Feature set'!B:D,3,FALSE)="No"))))</f>
        <v>1</v>
      </c>
      <c r="J189" s="11" t="b">
        <f>IF(VLOOKUP(B189,'Profile selection'!B:C,2,FALSE)="Yes",TRUE,FALSE)</f>
        <v>1</v>
      </c>
      <c r="K189" s="53"/>
      <c r="L189" s="53"/>
    </row>
    <row r="190" spans="1:12" x14ac:dyDescent="0.25">
      <c r="A190" t="str">
        <f>'HIDDEN import'!B190</f>
        <v>TC_L_08_CS</v>
      </c>
      <c r="B190" t="str">
        <f>'HIDDEN import'!C190</f>
        <v>Core</v>
      </c>
      <c r="C190" t="str">
        <f>'HIDDEN import'!D190</f>
        <v>Secure Firmware Update - InstallVerificationFailed or InstallationFailed</v>
      </c>
      <c r="D190" t="str">
        <f>IF(VLOOKUP(A190&amp;" "&amp;B190,'HIDDEN import'!A:G,5,FALSE)="M",MD!$A$1,(IF(AND(VLOOKUP(A190,'HIDDEN import'!B:E,4,FALSE)="C",OR(NOT(ISERROR(VLOOKUP(E190,'Optional features'!B:D,1,FALSE)=E190)),NOT(ISERROR(VLOOKUP(E190,'HIDDEN calc sheet'!A:C,1,FALSE)=E190)))),MD!$A$3,MD!$A$2)))</f>
        <v>Mandatory test for a mandatory feature</v>
      </c>
      <c r="E190" t="str">
        <f>IF('HIDDEN import'!F190=0,"",'HIDDEN import'!F190)</f>
        <v/>
      </c>
      <c r="F190" t="str">
        <f>IF('HIDDEN import'!G190=0,"",'HIDDEN import'!G190)</f>
        <v/>
      </c>
      <c r="G190" s="181" t="str">
        <f>IFERROR(VLOOKUP($A190,'HIDDEN Testrun Results'!$A:$B,2,FALSE),"")</f>
        <v/>
      </c>
      <c r="H190" s="11" t="b">
        <f t="shared" si="4"/>
        <v>1</v>
      </c>
      <c r="I190" s="11" t="b">
        <f>IF(VLOOKUP(A190&amp;" "&amp;B190,'HIDDEN import'!A:G,5,FALSE)="M",TRUE,IFERROR(VLOOKUP(E190,'Optional features'!B:D,3,FALSE)="Yes",IFERROR(VLOOKUP(E190,'HIDDEN calc sheet'!A:B,2,FALSE),IFERROR(VLOOKUP(E190,'Additional questions'!B:D,3,FALSE)="Yes",VLOOKUP(E190,'Hardware Feature set'!B:D,3,FALSE)="No"))))</f>
        <v>1</v>
      </c>
      <c r="J190" s="11" t="b">
        <f>IF(VLOOKUP(B190,'Profile selection'!B:C,2,FALSE)="Yes",TRUE,FALSE)</f>
        <v>1</v>
      </c>
      <c r="K190" s="53"/>
      <c r="L190" s="53"/>
    </row>
    <row r="191" spans="1:12" x14ac:dyDescent="0.25">
      <c r="A191" t="str">
        <f>'HIDDEN import'!B191</f>
        <v>TC_L_10_CS</v>
      </c>
      <c r="B191" t="str">
        <f>'HIDDEN import'!C191</f>
        <v>Core</v>
      </c>
      <c r="C191" t="str">
        <f>'HIDDEN import'!D191</f>
        <v>Secure Firmware Update - AcceptedCanceled</v>
      </c>
      <c r="D191" t="str">
        <f>IF(VLOOKUP(A191&amp;" "&amp;B191,'HIDDEN import'!A:G,5,FALSE)="M",MD!$A$1,(IF(AND(VLOOKUP(A191,'HIDDEN import'!B:E,4,FALSE)="C",OR(NOT(ISERROR(VLOOKUP(E191,'Optional features'!B:D,1,FALSE)=E191)),NOT(ISERROR(VLOOKUP(E191,'HIDDEN calc sheet'!A:C,1,FALSE)=E191)))),MD!$A$3,MD!$A$2)))</f>
        <v>Mandatory for optional feature</v>
      </c>
      <c r="E191" t="str">
        <f>IF('HIDDEN import'!F191=0,"",'HIDDEN import'!F191)</f>
        <v>C-60</v>
      </c>
      <c r="F191" t="str">
        <f>IF('HIDDEN import'!G191=0,"",'HIDDEN import'!G191)</f>
        <v/>
      </c>
      <c r="G191" s="181" t="str">
        <f>IFERROR(VLOOKUP($A191,'HIDDEN Testrun Results'!$A:$B,2,FALSE),"")</f>
        <v/>
      </c>
      <c r="H191" s="11" t="b">
        <f t="shared" si="4"/>
        <v>0</v>
      </c>
      <c r="I191" s="11" t="b">
        <f>IF(VLOOKUP(A191&amp;" "&amp;B191,'HIDDEN import'!A:G,5,FALSE)="M",TRUE,IFERROR(VLOOKUP(E191,'Optional features'!B:D,3,FALSE)="Yes",IFERROR(VLOOKUP(E191,'HIDDEN calc sheet'!A:B,2,FALSE),IFERROR(VLOOKUP(E191,'Additional questions'!B:D,3,FALSE)="Yes",VLOOKUP(E191,'Hardware Feature set'!B:D,3,FALSE)="No"))))</f>
        <v>0</v>
      </c>
      <c r="J191" s="11" t="b">
        <f>IF(VLOOKUP(B191,'Profile selection'!B:C,2,FALSE)="Yes",TRUE,FALSE)</f>
        <v>1</v>
      </c>
      <c r="K191" s="53"/>
      <c r="L191" s="53"/>
    </row>
    <row r="192" spans="1:12" x14ac:dyDescent="0.25">
      <c r="A192" t="str">
        <f>'HIDDEN import'!B192</f>
        <v>TC_L_11_CS</v>
      </c>
      <c r="B192" t="str">
        <f>'HIDDEN import'!C192</f>
        <v>Core</v>
      </c>
      <c r="C192" t="str">
        <f>'HIDDEN import'!D192</f>
        <v>Secure Firmware Update - Unable to cancel</v>
      </c>
      <c r="D192" t="str">
        <f>IF(VLOOKUP(A192&amp;" "&amp;B192,'HIDDEN import'!A:G,5,FALSE)="M",MD!$A$1,(IF(AND(VLOOKUP(A192,'HIDDEN import'!B:E,4,FALSE)="C",OR(NOT(ISERROR(VLOOKUP(E192,'Optional features'!B:D,1,FALSE)=E192)),NOT(ISERROR(VLOOKUP(E192,'HIDDEN calc sheet'!A:C,1,FALSE)=E192)))),MD!$A$3,MD!$A$2)))</f>
        <v>Mandatory for optional feature</v>
      </c>
      <c r="E192" t="str">
        <f>IF('HIDDEN import'!F192=0,"",'HIDDEN import'!F192)</f>
        <v>NOT C-60</v>
      </c>
      <c r="F192" t="str">
        <f>IF('HIDDEN import'!G192=0,"",'HIDDEN import'!G192)</f>
        <v/>
      </c>
      <c r="G192" s="181" t="str">
        <f>IFERROR(VLOOKUP($A192,'HIDDEN Testrun Results'!$A:$B,2,FALSE),"")</f>
        <v/>
      </c>
      <c r="H192" s="11" t="b">
        <f t="shared" si="4"/>
        <v>1</v>
      </c>
      <c r="I192" s="11" t="b">
        <f>IF(VLOOKUP(A192&amp;" "&amp;B192,'HIDDEN import'!A:G,5,FALSE)="M",TRUE,IFERROR(VLOOKUP(E192,'Optional features'!B:D,3,FALSE)="Yes",IFERROR(VLOOKUP(E192,'HIDDEN calc sheet'!A:B,2,FALSE),IFERROR(VLOOKUP(E192,'Additional questions'!B:D,3,FALSE)="Yes",VLOOKUP(E192,'Hardware Feature set'!B:D,3,FALSE)="No"))))</f>
        <v>1</v>
      </c>
      <c r="J192" s="11" t="b">
        <f>IF(VLOOKUP(B192,'Profile selection'!B:C,2,FALSE)="Yes",TRUE,FALSE)</f>
        <v>1</v>
      </c>
      <c r="K192" s="53"/>
      <c r="L192" s="53"/>
    </row>
    <row r="193" spans="1:12" x14ac:dyDescent="0.25">
      <c r="A193" t="str">
        <f>'HIDDEN import'!B193</f>
        <v>TC_L_18_CS</v>
      </c>
      <c r="B193" t="str">
        <f>'HIDDEN import'!C193</f>
        <v>Core</v>
      </c>
      <c r="C193" t="str">
        <f>'HIDDEN import'!D193</f>
        <v>Secure Firmware Update - Missing firmware signing certificate and signature</v>
      </c>
      <c r="D193" t="str">
        <f>IF(VLOOKUP(A193&amp;" "&amp;B193,'HIDDEN import'!A:G,5,FALSE)="M",MD!$A$1,(IF(AND(VLOOKUP(A193,'HIDDEN import'!B:E,4,FALSE)="C",OR(NOT(ISERROR(VLOOKUP(E193,'Optional features'!B:D,1,FALSE)=E193)),NOT(ISERROR(VLOOKUP(E193,'HIDDEN calc sheet'!A:C,1,FALSE)=E193)))),MD!$A$3,MD!$A$2)))</f>
        <v>Mandatory test for a mandatory feature</v>
      </c>
      <c r="E193" t="str">
        <f>IF('HIDDEN import'!F193=0,"",'HIDDEN import'!F193)</f>
        <v/>
      </c>
      <c r="F193" t="str">
        <f>IF('HIDDEN import'!G193=0,"",'HIDDEN import'!G193)</f>
        <v/>
      </c>
      <c r="G193" s="181" t="str">
        <f>IFERROR(VLOOKUP($A193,'HIDDEN Testrun Results'!$A:$B,2,FALSE),"")</f>
        <v/>
      </c>
      <c r="H193" s="11" t="b">
        <f t="shared" si="4"/>
        <v>1</v>
      </c>
      <c r="I193" s="11" t="b">
        <f>IF(VLOOKUP(A193&amp;" "&amp;B193,'HIDDEN import'!A:G,5,FALSE)="M",TRUE,IFERROR(VLOOKUP(E193,'Optional features'!B:D,3,FALSE)="Yes",IFERROR(VLOOKUP(E193,'HIDDEN calc sheet'!A:B,2,FALSE),IFERROR(VLOOKUP(E193,'Additional questions'!B:D,3,FALSE)="Yes",VLOOKUP(E193,'Hardware Feature set'!B:D,3,FALSE)="No"))))</f>
        <v>1</v>
      </c>
      <c r="J193" s="11" t="b">
        <f>IF(VLOOKUP(B193,'Profile selection'!B:C,2,FALSE)="Yes",TRUE,FALSE)</f>
        <v>1</v>
      </c>
      <c r="K193" s="53"/>
      <c r="L193" s="53"/>
    </row>
    <row r="194" spans="1:12" x14ac:dyDescent="0.25">
      <c r="A194" t="str">
        <f>'HIDDEN import'!B194</f>
        <v>TC_L_12_CS</v>
      </c>
      <c r="B194" t="str">
        <f>'HIDDEN import'!C194</f>
        <v>Core</v>
      </c>
      <c r="C194" t="str">
        <f>'HIDDEN import'!D194</f>
        <v>Secure Firmware Update - Unable to download/install firmware with ongoing transaction - AllowNewSessionsPendingFirmwareUpdate is true</v>
      </c>
      <c r="D194" t="str">
        <f>IF(VLOOKUP(A194&amp;" "&amp;B194,'HIDDEN import'!A:G,5,FALSE)="M",MD!$A$1,(IF(AND(VLOOKUP(A194,'HIDDEN import'!B:E,4,FALSE)="C",OR(NOT(ISERROR(VLOOKUP(E194,'Optional features'!B:D,1,FALSE)=E194)),NOT(ISERROR(VLOOKUP(E194,'HIDDEN calc sheet'!A:C,1,FALSE)=E194)))),MD!$A$3,MD!$A$2)))</f>
        <v>Mandatory for optional feature</v>
      </c>
      <c r="E194" t="str">
        <f>IF('HIDDEN import'!F194=0,"",'HIDDEN import'!F194)</f>
        <v>C-20 and NOT C-43 and NOT AQ-7 and HFS-8 &gt; 1</v>
      </c>
      <c r="F194" t="str">
        <f>IF('HIDDEN import'!G194=0,"",'HIDDEN import'!G194)</f>
        <v>AllowNewSessionsPendingFirmwareUpdate</v>
      </c>
      <c r="G194" s="181" t="str">
        <f>IFERROR(VLOOKUP($A194,'HIDDEN Testrun Results'!$A:$B,2,FALSE),"")</f>
        <v/>
      </c>
      <c r="H194" s="11" t="b">
        <f t="shared" si="4"/>
        <v>0</v>
      </c>
      <c r="I194" s="11" t="b">
        <f>IF(VLOOKUP(A194&amp;" "&amp;B194,'HIDDEN import'!A:G,5,FALSE)="M",TRUE,IFERROR(VLOOKUP(E194,'Optional features'!B:D,3,FALSE)="Yes",IFERROR(VLOOKUP(E194,'HIDDEN calc sheet'!A:B,2,FALSE),IFERROR(VLOOKUP(E194,'Additional questions'!B:D,3,FALSE)="Yes",VLOOKUP(E194,'Hardware Feature set'!B:D,3,FALSE)="No"))))</f>
        <v>0</v>
      </c>
      <c r="J194" s="11" t="b">
        <f>IF(VLOOKUP(B194,'Profile selection'!B:C,2,FALSE)="Yes",TRUE,FALSE)</f>
        <v>1</v>
      </c>
      <c r="K194" s="53"/>
      <c r="L194" s="53"/>
    </row>
    <row r="195" spans="1:12" x14ac:dyDescent="0.25">
      <c r="A195" t="str">
        <f>'HIDDEN import'!B195</f>
        <v>TC_L_13_CS</v>
      </c>
      <c r="B195" t="str">
        <f>'HIDDEN import'!C195</f>
        <v>Core</v>
      </c>
      <c r="C195" t="str">
        <f>'HIDDEN import'!D195</f>
        <v>Secure Firmware Update - Unable to download/install firmware with ongoing transaction - AllowNewSessionsPendingFirmwareUpdate is false</v>
      </c>
      <c r="D195" t="str">
        <f>IF(VLOOKUP(A195&amp;" "&amp;B195,'HIDDEN import'!A:G,5,FALSE)="M",MD!$A$1,(IF(AND(VLOOKUP(A195,'HIDDEN import'!B:E,4,FALSE)="C",OR(NOT(ISERROR(VLOOKUP(E195,'Optional features'!B:D,1,FALSE)=E195)),NOT(ISERROR(VLOOKUP(E195,'HIDDEN calc sheet'!A:C,1,FALSE)=E195)))),MD!$A$3,MD!$A$2)))</f>
        <v>Mandatory for optional feature</v>
      </c>
      <c r="E195" t="str">
        <f>IF('HIDDEN import'!F195=0,"",'HIDDEN import'!F195)</f>
        <v>NOT C-43 and NOT AQ-7</v>
      </c>
      <c r="F195" t="str">
        <f>IF('HIDDEN import'!G195=0,"",'HIDDEN import'!G195)</f>
        <v/>
      </c>
      <c r="G195" s="181" t="str">
        <f>IFERROR(VLOOKUP($A195,'HIDDEN Testrun Results'!$A:$B,2,FALSE),"")</f>
        <v/>
      </c>
      <c r="H195" s="11" t="b">
        <f t="shared" si="4"/>
        <v>1</v>
      </c>
      <c r="I195" s="11" t="b">
        <f>IF(VLOOKUP(A195&amp;" "&amp;B195,'HIDDEN import'!A:G,5,FALSE)="M",TRUE,IFERROR(VLOOKUP(E195,'Optional features'!B:D,3,FALSE)="Yes",IFERROR(VLOOKUP(E195,'HIDDEN calc sheet'!A:B,2,FALSE),IFERROR(VLOOKUP(E195,'Additional questions'!B:D,3,FALSE)="Yes",VLOOKUP(E195,'Hardware Feature set'!B:D,3,FALSE)="No"))))</f>
        <v>1</v>
      </c>
      <c r="J195" s="11" t="b">
        <f>IF(VLOOKUP(B195,'Profile selection'!B:C,2,FALSE)="Yes",TRUE,FALSE)</f>
        <v>1</v>
      </c>
      <c r="K195" s="53"/>
      <c r="L195" s="53"/>
    </row>
    <row r="196" spans="1:12" x14ac:dyDescent="0.25">
      <c r="A196" t="str">
        <f>'HIDDEN import'!B196</f>
        <v>TC_L_14_CS</v>
      </c>
      <c r="B196" t="str">
        <f>'HIDDEN import'!C196</f>
        <v>Core</v>
      </c>
      <c r="C196" t="str">
        <f>'HIDDEN import'!D196</f>
        <v>Secure Firmware Update - Unable to install and activate firmware with ongoing transaction - AllowNewSessionsPendingFirmwareUpdate is true</v>
      </c>
      <c r="D196" t="str">
        <f>IF(VLOOKUP(A196&amp;" "&amp;B196,'HIDDEN import'!A:G,5,FALSE)="M",MD!$A$1,(IF(AND(VLOOKUP(A196,'HIDDEN import'!B:E,4,FALSE)="C",OR(NOT(ISERROR(VLOOKUP(E196,'Optional features'!B:D,1,FALSE)=E196)),NOT(ISERROR(VLOOKUP(E196,'HIDDEN calc sheet'!A:C,1,FALSE)=E196)))),MD!$A$3,MD!$A$2)))</f>
        <v>Mandatory for optional feature</v>
      </c>
      <c r="E196" t="str">
        <f>IF('HIDDEN import'!F196=0,"",'HIDDEN import'!F196)</f>
        <v>C-20 and NOT C-43 and AQ-7 and HFS-8 &gt; 1</v>
      </c>
      <c r="F196" t="str">
        <f>IF('HIDDEN import'!G196=0,"",'HIDDEN import'!G196)</f>
        <v>AllowNewSessionsPendingFirmwareUpdate</v>
      </c>
      <c r="G196" s="181" t="str">
        <f>IFERROR(VLOOKUP($A196,'HIDDEN Testrun Results'!$A:$B,2,FALSE),"")</f>
        <v/>
      </c>
      <c r="H196" s="11" t="b">
        <f t="shared" si="4"/>
        <v>0</v>
      </c>
      <c r="I196" s="11" t="b">
        <f>IF(VLOOKUP(A196&amp;" "&amp;B196,'HIDDEN import'!A:G,5,FALSE)="M",TRUE,IFERROR(VLOOKUP(E196,'Optional features'!B:D,3,FALSE)="Yes",IFERROR(VLOOKUP(E196,'HIDDEN calc sheet'!A:B,2,FALSE),IFERROR(VLOOKUP(E196,'Additional questions'!B:D,3,FALSE)="Yes",VLOOKUP(E196,'Hardware Feature set'!B:D,3,FALSE)="No"))))</f>
        <v>0</v>
      </c>
      <c r="J196" s="11" t="b">
        <f>IF(VLOOKUP(B196,'Profile selection'!B:C,2,FALSE)="Yes",TRUE,FALSE)</f>
        <v>1</v>
      </c>
      <c r="K196" s="53"/>
      <c r="L196" s="53"/>
    </row>
    <row r="197" spans="1:12" x14ac:dyDescent="0.25">
      <c r="A197" t="str">
        <f>'HIDDEN import'!B197</f>
        <v>TC_L_15_CS</v>
      </c>
      <c r="B197" t="str">
        <f>'HIDDEN import'!C197</f>
        <v>Core</v>
      </c>
      <c r="C197" t="str">
        <f>'HIDDEN import'!D197</f>
        <v>Secure Firmware Update - Unable to install and activate firmware with ongoing transaction - AllowNewSessionsPendingFirmwareUpdate is false</v>
      </c>
      <c r="D197" t="str">
        <f>IF(VLOOKUP(A197&amp;" "&amp;B197,'HIDDEN import'!A:G,5,FALSE)="M",MD!$A$1,(IF(AND(VLOOKUP(A197,'HIDDEN import'!B:E,4,FALSE)="C",OR(NOT(ISERROR(VLOOKUP(E197,'Optional features'!B:D,1,FALSE)=E197)),NOT(ISERROR(VLOOKUP(E197,'HIDDEN calc sheet'!A:C,1,FALSE)=E197)))),MD!$A$3,MD!$A$2)))</f>
        <v>Mandatory for optional feature</v>
      </c>
      <c r="E197" t="str">
        <f>IF('HIDDEN import'!F197=0,"",'HIDDEN import'!F197)</f>
        <v>NOT C-43 and AQ-7</v>
      </c>
      <c r="F197" t="str">
        <f>IF('HIDDEN import'!G197=0,"",'HIDDEN import'!G197)</f>
        <v/>
      </c>
      <c r="G197" s="181" t="str">
        <f>IFERROR(VLOOKUP($A197,'HIDDEN Testrun Results'!$A:$B,2,FALSE),"")</f>
        <v/>
      </c>
      <c r="H197" s="11" t="b">
        <f t="shared" si="4"/>
        <v>0</v>
      </c>
      <c r="I197" s="11" t="b">
        <f>IF(VLOOKUP(A197&amp;" "&amp;B197,'HIDDEN import'!A:G,5,FALSE)="M",TRUE,IFERROR(VLOOKUP(E197,'Optional features'!B:D,3,FALSE)="Yes",IFERROR(VLOOKUP(E197,'HIDDEN calc sheet'!A:B,2,FALSE),IFERROR(VLOOKUP(E197,'Additional questions'!B:D,3,FALSE)="Yes",VLOOKUP(E197,'Hardware Feature set'!B:D,3,FALSE)="No"))))</f>
        <v>0</v>
      </c>
      <c r="J197" s="11" t="b">
        <f>IF(VLOOKUP(B197,'Profile selection'!B:C,2,FALSE)="Yes",TRUE,FALSE)</f>
        <v>1</v>
      </c>
      <c r="K197" s="53"/>
      <c r="L197" s="53"/>
    </row>
    <row r="198" spans="1:12" x14ac:dyDescent="0.25">
      <c r="A198" t="str">
        <f>'HIDDEN import'!B198</f>
        <v>TC_L_16_CS</v>
      </c>
      <c r="B198" t="str">
        <f>'HIDDEN import'!C198</f>
        <v>Core</v>
      </c>
      <c r="C198" t="str">
        <f>'HIDDEN import'!D198</f>
        <v>Secure Firmware Update - Able to update firmware with ongoing transaction</v>
      </c>
      <c r="D198" t="str">
        <f>IF(VLOOKUP(A198&amp;" "&amp;B198,'HIDDEN import'!A:G,5,FALSE)="M",MD!$A$1,(IF(AND(VLOOKUP(A198,'HIDDEN import'!B:E,4,FALSE)="C",OR(NOT(ISERROR(VLOOKUP(E198,'Optional features'!B:D,1,FALSE)=E198)),NOT(ISERROR(VLOOKUP(E198,'HIDDEN calc sheet'!A:C,1,FALSE)=E198)))),MD!$A$3,MD!$A$2)))</f>
        <v>Mandatory for optional feature</v>
      </c>
      <c r="E198" t="str">
        <f>IF('HIDDEN import'!F198=0,"",'HIDDEN import'!F198)</f>
        <v>C-43</v>
      </c>
      <c r="F198" t="str">
        <f>IF('HIDDEN import'!G198=0,"",'HIDDEN import'!G198)</f>
        <v>Install Firmware with ongoing transaction(s)</v>
      </c>
      <c r="G198" s="181" t="str">
        <f>IFERROR(VLOOKUP($A198,'HIDDEN Testrun Results'!$A:$B,2,FALSE),"")</f>
        <v/>
      </c>
      <c r="H198" s="11" t="b">
        <f t="shared" si="4"/>
        <v>0</v>
      </c>
      <c r="I198" s="11" t="b">
        <f>IF(VLOOKUP(A198&amp;" "&amp;B198,'HIDDEN import'!A:G,5,FALSE)="M",TRUE,IFERROR(VLOOKUP(E198,'Optional features'!B:D,3,FALSE)="Yes",IFERROR(VLOOKUP(E198,'HIDDEN calc sheet'!A:B,2,FALSE),IFERROR(VLOOKUP(E198,'Additional questions'!B:D,3,FALSE)="Yes",VLOOKUP(E198,'Hardware Feature set'!B:D,3,FALSE)="No"))))</f>
        <v>0</v>
      </c>
      <c r="J198" s="11" t="b">
        <f>IF(VLOOKUP(B198,'Profile selection'!B:C,2,FALSE)="Yes",TRUE,FALSE)</f>
        <v>1</v>
      </c>
      <c r="K198" s="53"/>
      <c r="L198" s="53"/>
    </row>
    <row r="199" spans="1:12" x14ac:dyDescent="0.25">
      <c r="A199" t="str">
        <f>'HIDDEN import'!B199</f>
        <v>TC_M_12_CS</v>
      </c>
      <c r="B199" t="str">
        <f>'HIDDEN import'!C199</f>
        <v>Core</v>
      </c>
      <c r="C199" t="str">
        <f>'HIDDEN import'!D199</f>
        <v>Retrieve certificates from Charging Station - CSMSRootCertificate</v>
      </c>
      <c r="D199" t="str">
        <f>IF(VLOOKUP(A199&amp;" "&amp;B199,'HIDDEN import'!A:G,5,FALSE)="M",MD!$A$1,(IF(AND(VLOOKUP(A199,'HIDDEN import'!B:E,4,FALSE)="C",OR(NOT(ISERROR(VLOOKUP(E199,'Optional features'!B:D,1,FALSE)=E199)),NOT(ISERROR(VLOOKUP(E199,'HIDDEN calc sheet'!A:C,1,FALSE)=E199)))),MD!$A$3,MD!$A$2)))</f>
        <v>Mandatory test for a mandatory feature</v>
      </c>
      <c r="E199" t="str">
        <f>IF('HIDDEN import'!F199=0,"",'HIDDEN import'!F199)</f>
        <v/>
      </c>
      <c r="F199" t="str">
        <f>IF('HIDDEN import'!G199=0,"",'HIDDEN import'!G199)</f>
        <v/>
      </c>
      <c r="G199" s="181" t="str">
        <f>IFERROR(VLOOKUP($A199,'HIDDEN Testrun Results'!$A:$B,2,FALSE),"")</f>
        <v/>
      </c>
      <c r="H199" s="11" t="b">
        <f t="shared" si="4"/>
        <v>1</v>
      </c>
      <c r="I199" s="11" t="b">
        <f>IF(VLOOKUP(A199&amp;" "&amp;B199,'HIDDEN import'!A:G,5,FALSE)="M",TRUE,IFERROR(VLOOKUP(E199,'Optional features'!B:D,3,FALSE)="Yes",IFERROR(VLOOKUP(E199,'HIDDEN calc sheet'!A:B,2,FALSE),IFERROR(VLOOKUP(E199,'Additional questions'!B:D,3,FALSE)="Yes",VLOOKUP(E199,'Hardware Feature set'!B:D,3,FALSE)="No"))))</f>
        <v>1</v>
      </c>
      <c r="J199" s="11" t="b">
        <f>IF(VLOOKUP(B199,'Profile selection'!B:C,2,FALSE)="Yes",TRUE,FALSE)</f>
        <v>1</v>
      </c>
      <c r="K199" s="53"/>
      <c r="L199" s="53"/>
    </row>
    <row r="200" spans="1:12" x14ac:dyDescent="0.25">
      <c r="A200" t="str">
        <f>'HIDDEN import'!B200</f>
        <v>TC_M_13_CS</v>
      </c>
      <c r="B200" t="str">
        <f>'HIDDEN import'!C200</f>
        <v>Core</v>
      </c>
      <c r="C200" t="str">
        <f>'HIDDEN import'!D200</f>
        <v>Retrieve certificates from Charging Station - ManufacturerRootCertificate</v>
      </c>
      <c r="D200" t="str">
        <f>IF(VLOOKUP(A200&amp;" "&amp;B200,'HIDDEN import'!A:G,5,FALSE)="M",MD!$A$1,(IF(AND(VLOOKUP(A200,'HIDDEN import'!B:E,4,FALSE)="C",OR(NOT(ISERROR(VLOOKUP(E200,'Optional features'!B:D,1,FALSE)=E200)),NOT(ISERROR(VLOOKUP(E200,'HIDDEN calc sheet'!A:C,1,FALSE)=E200)))),MD!$A$3,MD!$A$2)))</f>
        <v>Mandatory test for a mandatory feature</v>
      </c>
      <c r="E200" t="str">
        <f>IF('HIDDEN import'!F200=0,"",'HIDDEN import'!F200)</f>
        <v/>
      </c>
      <c r="F200" t="str">
        <f>IF('HIDDEN import'!G200=0,"",'HIDDEN import'!G200)</f>
        <v/>
      </c>
      <c r="G200" s="181" t="str">
        <f>IFERROR(VLOOKUP($A200,'HIDDEN Testrun Results'!$A:$B,2,FALSE),"")</f>
        <v/>
      </c>
      <c r="H200" s="11" t="b">
        <f t="shared" si="4"/>
        <v>1</v>
      </c>
      <c r="I200" s="11" t="b">
        <f>IF(VLOOKUP(A200&amp;" "&amp;B200,'HIDDEN import'!A:G,5,FALSE)="M",TRUE,IFERROR(VLOOKUP(E200,'Optional features'!B:D,3,FALSE)="Yes",IFERROR(VLOOKUP(E200,'HIDDEN calc sheet'!A:B,2,FALSE),IFERROR(VLOOKUP(E200,'Additional questions'!B:D,3,FALSE)="Yes",VLOOKUP(E200,'Hardware Feature set'!B:D,3,FALSE)="No"))))</f>
        <v>1</v>
      </c>
      <c r="J200" s="11" t="b">
        <f>IF(VLOOKUP(B200,'Profile selection'!B:C,2,FALSE)="Yes",TRUE,FALSE)</f>
        <v>1</v>
      </c>
      <c r="K200" s="53"/>
      <c r="L200" s="53"/>
    </row>
    <row r="201" spans="1:12" x14ac:dyDescent="0.25">
      <c r="A201" t="str">
        <f>'HIDDEN import'!B201</f>
        <v>TC_M_17_CS</v>
      </c>
      <c r="B201" t="str">
        <f>'HIDDEN import'!C201</f>
        <v>Core</v>
      </c>
      <c r="C201" t="str">
        <f>'HIDDEN import'!D201</f>
        <v>Retrieve certificates from Charging Station - CSMSRootCertificate &amp; ManufacturerRootCertificate</v>
      </c>
      <c r="D201" t="str">
        <f>IF(VLOOKUP(A201&amp;" "&amp;B201,'HIDDEN import'!A:G,5,FALSE)="M",MD!$A$1,(IF(AND(VLOOKUP(A201,'HIDDEN import'!B:E,4,FALSE)="C",OR(NOT(ISERROR(VLOOKUP(E201,'Optional features'!B:D,1,FALSE)=E201)),NOT(ISERROR(VLOOKUP(E201,'HIDDEN calc sheet'!A:C,1,FALSE)=E201)))),MD!$A$3,MD!$A$2)))</f>
        <v>Mandatory test for a mandatory feature</v>
      </c>
      <c r="E201" t="str">
        <f>IF('HIDDEN import'!F201=0,"",'HIDDEN import'!F201)</f>
        <v/>
      </c>
      <c r="F201" t="str">
        <f>IF('HIDDEN import'!G201=0,"",'HIDDEN import'!G201)</f>
        <v/>
      </c>
      <c r="G201" s="181" t="str">
        <f>IFERROR(VLOOKUP($A201,'HIDDEN Testrun Results'!$A:$B,2,FALSE),"")</f>
        <v/>
      </c>
      <c r="H201" s="11" t="b">
        <f t="shared" si="4"/>
        <v>1</v>
      </c>
      <c r="I201" s="11" t="b">
        <f>IF(VLOOKUP(A201&amp;" "&amp;B201,'HIDDEN import'!A:G,5,FALSE)="M",TRUE,IFERROR(VLOOKUP(E201,'Optional features'!B:D,3,FALSE)="Yes",IFERROR(VLOOKUP(E201,'HIDDEN calc sheet'!A:B,2,FALSE),IFERROR(VLOOKUP(E201,'Additional questions'!B:D,3,FALSE)="Yes",VLOOKUP(E201,'Hardware Feature set'!B:D,3,FALSE)="No"))))</f>
        <v>1</v>
      </c>
      <c r="J201" s="11" t="b">
        <f>IF(VLOOKUP(B201,'Profile selection'!B:C,2,FALSE)="Yes",TRUE,FALSE)</f>
        <v>1</v>
      </c>
      <c r="K201" s="53"/>
      <c r="L201" s="53"/>
    </row>
    <row r="202" spans="1:12" x14ac:dyDescent="0.25">
      <c r="A202" t="str">
        <f>'HIDDEN import'!B202</f>
        <v>TC_M_18_CS</v>
      </c>
      <c r="B202" t="str">
        <f>'HIDDEN import'!C202</f>
        <v>Core</v>
      </c>
      <c r="C202" t="str">
        <f>'HIDDEN import'!D202</f>
        <v>Retrieve certificates from Charging Station - All certificateTypes</v>
      </c>
      <c r="D202" t="str">
        <f>IF(VLOOKUP(A202&amp;" "&amp;B202,'HIDDEN import'!A:G,5,FALSE)="M",MD!$A$1,(IF(AND(VLOOKUP(A202,'HIDDEN import'!B:E,4,FALSE)="C",OR(NOT(ISERROR(VLOOKUP(E202,'Optional features'!B:D,1,FALSE)=E202)),NOT(ISERROR(VLOOKUP(E202,'HIDDEN calc sheet'!A:C,1,FALSE)=E202)))),MD!$A$3,MD!$A$2)))</f>
        <v>Mandatory test for a mandatory feature</v>
      </c>
      <c r="E202" t="str">
        <f>IF('HIDDEN import'!F202=0,"",'HIDDEN import'!F202)</f>
        <v/>
      </c>
      <c r="F202" t="str">
        <f>IF('HIDDEN import'!G202=0,"",'HIDDEN import'!G202)</f>
        <v/>
      </c>
      <c r="G202" s="181" t="str">
        <f>IFERROR(VLOOKUP($A202,'HIDDEN Testrun Results'!$A:$B,2,FALSE),"")</f>
        <v/>
      </c>
      <c r="H202" s="11" t="b">
        <f t="shared" si="4"/>
        <v>1</v>
      </c>
      <c r="I202" s="11" t="b">
        <f>IF(VLOOKUP(A202&amp;" "&amp;B202,'HIDDEN import'!A:G,5,FALSE)="M",TRUE,IFERROR(VLOOKUP(E202,'Optional features'!B:D,3,FALSE)="Yes",IFERROR(VLOOKUP(E202,'HIDDEN calc sheet'!A:B,2,FALSE),IFERROR(VLOOKUP(E202,'Additional questions'!B:D,3,FALSE)="Yes",VLOOKUP(E202,'Hardware Feature set'!B:D,3,FALSE)="No"))))</f>
        <v>1</v>
      </c>
      <c r="J202" s="11" t="b">
        <f>IF(VLOOKUP(B202,'Profile selection'!B:C,2,FALSE)="Yes",TRUE,FALSE)</f>
        <v>1</v>
      </c>
      <c r="K202" s="53"/>
      <c r="L202" s="53"/>
    </row>
    <row r="203" spans="1:12" x14ac:dyDescent="0.25">
      <c r="A203" t="str">
        <f>'HIDDEN import'!B203</f>
        <v>TC_M_19_CS</v>
      </c>
      <c r="B203" t="str">
        <f>'HIDDEN import'!C203</f>
        <v>Core</v>
      </c>
      <c r="C203" t="str">
        <f>'HIDDEN import'!D203</f>
        <v>Retrieve certificates from Charging Station - No matching certificate found</v>
      </c>
      <c r="D203" t="str">
        <f>IF(VLOOKUP(A203&amp;" "&amp;B203,'HIDDEN import'!A:G,5,FALSE)="M",MD!$A$1,(IF(AND(VLOOKUP(A203,'HIDDEN import'!B:E,4,FALSE)="C",OR(NOT(ISERROR(VLOOKUP(E203,'Optional features'!B:D,1,FALSE)=E203)),NOT(ISERROR(VLOOKUP(E203,'HIDDEN calc sheet'!A:C,1,FALSE)=E203)))),MD!$A$3,MD!$A$2)))</f>
        <v>Mandatory test for a mandatory feature</v>
      </c>
      <c r="E203" t="str">
        <f>IF('HIDDEN import'!F203=0,"",'HIDDEN import'!F203)</f>
        <v/>
      </c>
      <c r="F203" t="str">
        <f>IF('HIDDEN import'!G203=0,"",'HIDDEN import'!G203)</f>
        <v/>
      </c>
      <c r="G203" s="181" t="str">
        <f>IFERROR(VLOOKUP($A203,'HIDDEN Testrun Results'!$A:$B,2,FALSE),"")</f>
        <v/>
      </c>
      <c r="H203" s="11" t="b">
        <f t="shared" si="4"/>
        <v>1</v>
      </c>
      <c r="I203" s="11" t="b">
        <f>IF(VLOOKUP(A203&amp;" "&amp;B203,'HIDDEN import'!A:G,5,FALSE)="M",TRUE,IFERROR(VLOOKUP(E203,'Optional features'!B:D,3,FALSE)="Yes",IFERROR(VLOOKUP(E203,'HIDDEN calc sheet'!A:B,2,FALSE),IFERROR(VLOOKUP(E203,'Additional questions'!B:D,3,FALSE)="Yes",VLOOKUP(E203,'Hardware Feature set'!B:D,3,FALSE)="No"))))</f>
        <v>1</v>
      </c>
      <c r="J203" s="11" t="b">
        <f>IF(VLOOKUP(B203,'Profile selection'!B:C,2,FALSE)="Yes",TRUE,FALSE)</f>
        <v>1</v>
      </c>
      <c r="K203" s="53"/>
      <c r="L203" s="53"/>
    </row>
    <row r="204" spans="1:12" x14ac:dyDescent="0.25">
      <c r="A204" t="str">
        <f>'HIDDEN import'!B204</f>
        <v>TC_M_20_CS</v>
      </c>
      <c r="B204" t="str">
        <f>'HIDDEN import'!C204</f>
        <v>Core</v>
      </c>
      <c r="C204" t="str">
        <f>'HIDDEN import'!D204</f>
        <v>Delete a certificate from a Charging Station - Success</v>
      </c>
      <c r="D204" t="str">
        <f>IF(VLOOKUP(A204&amp;" "&amp;B204,'HIDDEN import'!A:G,5,FALSE)="M",MD!$A$1,(IF(AND(VLOOKUP(A204,'HIDDEN import'!B:E,4,FALSE)="C",OR(NOT(ISERROR(VLOOKUP(E204,'Optional features'!B:D,1,FALSE)=E204)),NOT(ISERROR(VLOOKUP(E204,'HIDDEN calc sheet'!A:C,1,FALSE)=E204)))),MD!$A$3,MD!$A$2)))</f>
        <v>Mandatory test for a mandatory feature</v>
      </c>
      <c r="E204" t="str">
        <f>IF('HIDDEN import'!F204=0,"",'HIDDEN import'!F204)</f>
        <v/>
      </c>
      <c r="F204" t="str">
        <f>IF('HIDDEN import'!G204=0,"",'HIDDEN import'!G204)</f>
        <v/>
      </c>
      <c r="G204" s="181" t="str">
        <f>IFERROR(VLOOKUP($A204,'HIDDEN Testrun Results'!$A:$B,2,FALSE),"")</f>
        <v/>
      </c>
      <c r="H204" s="11" t="b">
        <f t="shared" si="4"/>
        <v>1</v>
      </c>
      <c r="I204" s="11" t="b">
        <f>IF(VLOOKUP(A204&amp;" "&amp;B204,'HIDDEN import'!A:G,5,FALSE)="M",TRUE,IFERROR(VLOOKUP(E204,'Optional features'!B:D,3,FALSE)="Yes",IFERROR(VLOOKUP(E204,'HIDDEN calc sheet'!A:B,2,FALSE),IFERROR(VLOOKUP(E204,'Additional questions'!B:D,3,FALSE)="Yes",VLOOKUP(E204,'Hardware Feature set'!B:D,3,FALSE)="No"))))</f>
        <v>1</v>
      </c>
      <c r="J204" s="11" t="b">
        <f>IF(VLOOKUP(B204,'Profile selection'!B:C,2,FALSE)="Yes",TRUE,FALSE)</f>
        <v>1</v>
      </c>
      <c r="K204" s="53"/>
      <c r="L204" s="53"/>
    </row>
    <row r="205" spans="1:12" x14ac:dyDescent="0.25">
      <c r="A205" t="str">
        <f>'HIDDEN import'!B205</f>
        <v>TC_M_22_CS</v>
      </c>
      <c r="B205" t="str">
        <f>'HIDDEN import'!C205</f>
        <v>Core</v>
      </c>
      <c r="C205" t="str">
        <f>'HIDDEN import'!D205</f>
        <v>Delete a certificate from a Charging Station - No matching certificate found</v>
      </c>
      <c r="D205" t="str">
        <f>IF(VLOOKUP(A205&amp;" "&amp;B205,'HIDDEN import'!A:G,5,FALSE)="M",MD!$A$1,(IF(AND(VLOOKUP(A205,'HIDDEN import'!B:E,4,FALSE)="C",OR(NOT(ISERROR(VLOOKUP(E205,'Optional features'!B:D,1,FALSE)=E205)),NOT(ISERROR(VLOOKUP(E205,'HIDDEN calc sheet'!A:C,1,FALSE)=E205)))),MD!$A$3,MD!$A$2)))</f>
        <v>Mandatory test for a mandatory feature</v>
      </c>
      <c r="E205" t="str">
        <f>IF('HIDDEN import'!F205=0,"",'HIDDEN import'!F205)</f>
        <v/>
      </c>
      <c r="F205" t="str">
        <f>IF('HIDDEN import'!G205=0,"",'HIDDEN import'!G205)</f>
        <v/>
      </c>
      <c r="G205" s="181" t="str">
        <f>IFERROR(VLOOKUP($A205,'HIDDEN Testrun Results'!$A:$B,2,FALSE),"")</f>
        <v/>
      </c>
      <c r="H205" s="11" t="b">
        <f t="shared" si="4"/>
        <v>1</v>
      </c>
      <c r="I205" s="11" t="b">
        <f>IF(VLOOKUP(A205&amp;" "&amp;B205,'HIDDEN import'!A:G,5,FALSE)="M",TRUE,IFERROR(VLOOKUP(E205,'Optional features'!B:D,3,FALSE)="Yes",IFERROR(VLOOKUP(E205,'HIDDEN calc sheet'!A:B,2,FALSE),IFERROR(VLOOKUP(E205,'Additional questions'!B:D,3,FALSE)="Yes",VLOOKUP(E205,'Hardware Feature set'!B:D,3,FALSE)="No"))))</f>
        <v>1</v>
      </c>
      <c r="J205" s="11" t="b">
        <f>IF(VLOOKUP(B205,'Profile selection'!B:C,2,FALSE)="Yes",TRUE,FALSE)</f>
        <v>1</v>
      </c>
      <c r="K205" s="53"/>
      <c r="L205" s="53"/>
    </row>
    <row r="206" spans="1:12" x14ac:dyDescent="0.25">
      <c r="A206" t="str">
        <f>'HIDDEN import'!B206</f>
        <v>TC_M_01_CS</v>
      </c>
      <c r="B206" t="str">
        <f>'HIDDEN import'!C206</f>
        <v>Core</v>
      </c>
      <c r="C206" t="str">
        <f>'HIDDEN import'!D206</f>
        <v>Install CA certificate - CSMSRootCertificate</v>
      </c>
      <c r="D206" t="str">
        <f>IF(VLOOKUP(A206&amp;" "&amp;B206,'HIDDEN import'!A:G,5,FALSE)="M",MD!$A$1,(IF(AND(VLOOKUP(A206,'HIDDEN import'!B:E,4,FALSE)="C",OR(NOT(ISERROR(VLOOKUP(E206,'Optional features'!B:D,1,FALSE)=E206)),NOT(ISERROR(VLOOKUP(E206,'HIDDEN calc sheet'!A:C,1,FALSE)=E206)))),MD!$A$3,MD!$A$2)))</f>
        <v>Mandatory test for a mandatory feature</v>
      </c>
      <c r="E206" t="str">
        <f>IF('HIDDEN import'!F206=0,"",'HIDDEN import'!F206)</f>
        <v/>
      </c>
      <c r="F206" t="str">
        <f>IF('HIDDEN import'!G206=0,"",'HIDDEN import'!G206)</f>
        <v/>
      </c>
      <c r="G206" s="181" t="str">
        <f>IFERROR(VLOOKUP($A206,'HIDDEN Testrun Results'!$A:$B,2,FALSE),"")</f>
        <v/>
      </c>
      <c r="H206" s="11" t="b">
        <f t="shared" si="4"/>
        <v>1</v>
      </c>
      <c r="I206" s="11" t="b">
        <f>IF(VLOOKUP(A206&amp;" "&amp;B206,'HIDDEN import'!A:G,5,FALSE)="M",TRUE,IFERROR(VLOOKUP(E206,'Optional features'!B:D,3,FALSE)="Yes",IFERROR(VLOOKUP(E206,'HIDDEN calc sheet'!A:B,2,FALSE),IFERROR(VLOOKUP(E206,'Additional questions'!B:D,3,FALSE)="Yes",VLOOKUP(E206,'Hardware Feature set'!B:D,3,FALSE)="No"))))</f>
        <v>1</v>
      </c>
      <c r="J206" s="11" t="b">
        <f>IF(VLOOKUP(B206,'Profile selection'!B:C,2,FALSE)="Yes",TRUE,FALSE)</f>
        <v>1</v>
      </c>
      <c r="K206" s="53"/>
      <c r="L206" s="53"/>
    </row>
    <row r="207" spans="1:12" x14ac:dyDescent="0.25">
      <c r="A207" t="str">
        <f>'HIDDEN import'!B207</f>
        <v>TC_M_02_CS</v>
      </c>
      <c r="B207" t="str">
        <f>'HIDDEN import'!C207</f>
        <v>Core</v>
      </c>
      <c r="C207" t="str">
        <f>'HIDDEN import'!D207</f>
        <v>Install CA certificate - ManufacturerRootCertificate</v>
      </c>
      <c r="D207" t="str">
        <f>IF(VLOOKUP(A207&amp;" "&amp;B207,'HIDDEN import'!A:G,5,FALSE)="M",MD!$A$1,(IF(AND(VLOOKUP(A207,'HIDDEN import'!B:E,4,FALSE)="C",OR(NOT(ISERROR(VLOOKUP(E207,'Optional features'!B:D,1,FALSE)=E207)),NOT(ISERROR(VLOOKUP(E207,'HIDDEN calc sheet'!A:C,1,FALSE)=E207)))),MD!$A$3,MD!$A$2)))</f>
        <v>Mandatory test for a mandatory feature</v>
      </c>
      <c r="E207" t="str">
        <f>IF('HIDDEN import'!F207=0,"",'HIDDEN import'!F207)</f>
        <v/>
      </c>
      <c r="F207" t="str">
        <f>IF('HIDDEN import'!G207=0,"",'HIDDEN import'!G207)</f>
        <v/>
      </c>
      <c r="G207" s="181" t="str">
        <f>IFERROR(VLOOKUP($A207,'HIDDEN Testrun Results'!$A:$B,2,FALSE),"")</f>
        <v/>
      </c>
      <c r="H207" s="11" t="b">
        <f t="shared" si="4"/>
        <v>1</v>
      </c>
      <c r="I207" s="11" t="b">
        <f>IF(VLOOKUP(A207&amp;" "&amp;B207,'HIDDEN import'!A:G,5,FALSE)="M",TRUE,IFERROR(VLOOKUP(E207,'Optional features'!B:D,3,FALSE)="Yes",IFERROR(VLOOKUP(E207,'HIDDEN calc sheet'!A:B,2,FALSE),IFERROR(VLOOKUP(E207,'Additional questions'!B:D,3,FALSE)="Yes",VLOOKUP(E207,'Hardware Feature set'!B:D,3,FALSE)="No"))))</f>
        <v>1</v>
      </c>
      <c r="J207" s="11" t="b">
        <f>IF(VLOOKUP(B207,'Profile selection'!B:C,2,FALSE)="Yes",TRUE,FALSE)</f>
        <v>1</v>
      </c>
      <c r="K207" s="53"/>
      <c r="L207" s="53"/>
    </row>
    <row r="208" spans="1:12" x14ac:dyDescent="0.25">
      <c r="A208" t="str">
        <f>'HIDDEN import'!B208</f>
        <v>TC_M_07_CS</v>
      </c>
      <c r="B208" t="str">
        <f>'HIDDEN import'!C208</f>
        <v>Core</v>
      </c>
      <c r="C208" t="str">
        <f>'HIDDEN import'!D208</f>
        <v>Install CA certificate - Rejected - Certificate invalid</v>
      </c>
      <c r="D208" t="str">
        <f>IF(VLOOKUP(A208&amp;" "&amp;B208,'HIDDEN import'!A:G,5,FALSE)="M",MD!$A$1,(IF(AND(VLOOKUP(A208,'HIDDEN import'!B:E,4,FALSE)="C",OR(NOT(ISERROR(VLOOKUP(E208,'Optional features'!B:D,1,FALSE)=E208)),NOT(ISERROR(VLOOKUP(E208,'HIDDEN calc sheet'!A:C,1,FALSE)=E208)))),MD!$A$3,MD!$A$2)))</f>
        <v>Mandatory test for a mandatory feature</v>
      </c>
      <c r="E208" t="str">
        <f>IF('HIDDEN import'!F208=0,"",'HIDDEN import'!F208)</f>
        <v/>
      </c>
      <c r="F208" t="str">
        <f>IF('HIDDEN import'!G208=0,"",'HIDDEN import'!G208)</f>
        <v/>
      </c>
      <c r="G208" s="181" t="str">
        <f>IFERROR(VLOOKUP($A208,'HIDDEN Testrun Results'!$A:$B,2,FALSE),"")</f>
        <v/>
      </c>
      <c r="H208" s="11" t="b">
        <f t="shared" si="4"/>
        <v>1</v>
      </c>
      <c r="I208" s="11" t="b">
        <f>IF(VLOOKUP(A208&amp;" "&amp;B208,'HIDDEN import'!A:G,5,FALSE)="M",TRUE,IFERROR(VLOOKUP(E208,'Optional features'!B:D,3,FALSE)="Yes",IFERROR(VLOOKUP(E208,'HIDDEN calc sheet'!A:B,2,FALSE),IFERROR(VLOOKUP(E208,'Additional questions'!B:D,3,FALSE)="Yes",VLOOKUP(E208,'Hardware Feature set'!B:D,3,FALSE)="No"))))</f>
        <v>1</v>
      </c>
      <c r="J208" s="11" t="b">
        <f>IF(VLOOKUP(B208,'Profile selection'!B:C,2,FALSE)="Yes",TRUE,FALSE)</f>
        <v>1</v>
      </c>
      <c r="K208" s="53"/>
      <c r="L208" s="53"/>
    </row>
    <row r="209" spans="1:12" x14ac:dyDescent="0.25">
      <c r="A209" t="str">
        <f>'HIDDEN import'!B209</f>
        <v>TC_M_09_CS</v>
      </c>
      <c r="B209" t="str">
        <f>'HIDDEN import'!C209</f>
        <v>Core</v>
      </c>
      <c r="C209" t="str">
        <f>'HIDDEN import'!D209</f>
        <v>Install CA certificate - AdditionalRootCertificateCheck - Rejected</v>
      </c>
      <c r="D209" t="str">
        <f>IF(VLOOKUP(A209&amp;" "&amp;B209,'HIDDEN import'!A:G,5,FALSE)="M",MD!$A$1,(IF(AND(VLOOKUP(A209,'HIDDEN import'!B:E,4,FALSE)="C",OR(NOT(ISERROR(VLOOKUP(E209,'Optional features'!B:D,1,FALSE)=E209)),NOT(ISERROR(VLOOKUP(E209,'HIDDEN calc sheet'!A:C,1,FALSE)=E209)))),MD!$A$3,MD!$A$2)))</f>
        <v>Mandatory for optional feature</v>
      </c>
      <c r="E209" t="str">
        <f>IF('HIDDEN import'!F209=0,"",'HIDDEN import'!F209)</f>
        <v>AS-2</v>
      </c>
      <c r="F209" t="str">
        <f>IF('HIDDEN import'!G209=0,"",'HIDDEN import'!G209)</f>
        <v>Additional Root Certificate check mechanism implemented</v>
      </c>
      <c r="G209" s="181" t="str">
        <f>IFERROR(VLOOKUP($A209,'HIDDEN Testrun Results'!$A:$B,2,FALSE),"")</f>
        <v/>
      </c>
      <c r="H209" s="11" t="b">
        <f t="shared" si="4"/>
        <v>0</v>
      </c>
      <c r="I209" s="11" t="b">
        <f>IF(VLOOKUP(A209&amp;" "&amp;B209,'HIDDEN import'!A:G,5,FALSE)="M",TRUE,IFERROR(VLOOKUP(E209,'Optional features'!B:D,3,FALSE)="Yes",IFERROR(VLOOKUP(E209,'HIDDEN calc sheet'!A:B,2,FALSE),IFERROR(VLOOKUP(E209,'Additional questions'!B:D,3,FALSE)="Yes",VLOOKUP(E209,'Hardware Feature set'!B:D,3,FALSE)="No"))))</f>
        <v>0</v>
      </c>
      <c r="J209" s="11" t="b">
        <f>IF(VLOOKUP(B209,'Profile selection'!B:C,2,FALSE)="Yes",TRUE,FALSE)</f>
        <v>1</v>
      </c>
      <c r="K209" s="53"/>
      <c r="L209" s="53"/>
    </row>
    <row r="210" spans="1:12" x14ac:dyDescent="0.25">
      <c r="A210" t="str">
        <f>'HIDDEN import'!B210</f>
        <v>TC_M_30_CS</v>
      </c>
      <c r="B210" t="str">
        <f>'HIDDEN import'!C210</f>
        <v>Core</v>
      </c>
      <c r="C210" t="str">
        <f>'HIDDEN import'!D210</f>
        <v>Install CA certificate - AdditionalRootCertificateCheck - Reconnect using new CSMS Root - Success</v>
      </c>
      <c r="D210" t="str">
        <f>IF(VLOOKUP(A210&amp;" "&amp;B210,'HIDDEN import'!A:G,5,FALSE)="M",MD!$A$1,(IF(AND(VLOOKUP(A210,'HIDDEN import'!B:E,4,FALSE)="C",OR(NOT(ISERROR(VLOOKUP(E210,'Optional features'!B:D,1,FALSE)=E210)),NOT(ISERROR(VLOOKUP(E210,'HIDDEN calc sheet'!A:C,1,FALSE)=E210)))),MD!$A$3,MD!$A$2)))</f>
        <v>Mandatory for optional feature</v>
      </c>
      <c r="E210" t="str">
        <f>IF('HIDDEN import'!F210=0,"",'HIDDEN import'!F210)</f>
        <v>AS-2</v>
      </c>
      <c r="F210" t="str">
        <f>IF('HIDDEN import'!G210=0,"",'HIDDEN import'!G210)</f>
        <v>Additional Root Certificate check mechanism implemented</v>
      </c>
      <c r="G210" s="181" t="str">
        <f>IFERROR(VLOOKUP($A210,'HIDDEN Testrun Results'!$A:$B,2,FALSE),"")</f>
        <v/>
      </c>
      <c r="H210" s="11" t="b">
        <f t="shared" si="4"/>
        <v>0</v>
      </c>
      <c r="I210" s="11" t="b">
        <f>IF(VLOOKUP(A210&amp;" "&amp;B210,'HIDDEN import'!A:G,5,FALSE)="M",TRUE,IFERROR(VLOOKUP(E210,'Optional features'!B:D,3,FALSE)="Yes",IFERROR(VLOOKUP(E210,'HIDDEN calc sheet'!A:B,2,FALSE),IFERROR(VLOOKUP(E210,'Additional questions'!B:D,3,FALSE)="Yes",VLOOKUP(E210,'Hardware Feature set'!B:D,3,FALSE)="No"))))</f>
        <v>0</v>
      </c>
      <c r="J210" s="11" t="b">
        <f>IF(VLOOKUP(B210,'Profile selection'!B:C,2,FALSE)="Yes",TRUE,FALSE)</f>
        <v>1</v>
      </c>
      <c r="K210" s="53"/>
      <c r="L210" s="53"/>
    </row>
    <row r="211" spans="1:12" x14ac:dyDescent="0.25">
      <c r="A211" t="str">
        <f>'HIDDEN import'!B211</f>
        <v>TC_M_31_CS</v>
      </c>
      <c r="B211" t="str">
        <f>'HIDDEN import'!C211</f>
        <v>Core</v>
      </c>
      <c r="C211" t="str">
        <f>'HIDDEN import'!D211</f>
        <v>Install CA certificate - AdditionalRootCertificateCheck - Reconnect using new CSMS Root - Fallback mechanism</v>
      </c>
      <c r="D211" t="str">
        <f>IF(VLOOKUP(A211&amp;" "&amp;B211,'HIDDEN import'!A:G,5,FALSE)="M",MD!$A$1,(IF(AND(VLOOKUP(A211,'HIDDEN import'!B:E,4,FALSE)="C",OR(NOT(ISERROR(VLOOKUP(E211,'Optional features'!B:D,1,FALSE)=E211)),NOT(ISERROR(VLOOKUP(E211,'HIDDEN calc sheet'!A:C,1,FALSE)=E211)))),MD!$A$3,MD!$A$2)))</f>
        <v>Mandatory for optional feature</v>
      </c>
      <c r="E211" t="str">
        <f>IF('HIDDEN import'!F211=0,"",'HIDDEN import'!F211)</f>
        <v>AS-2</v>
      </c>
      <c r="F211" t="str">
        <f>IF('HIDDEN import'!G211=0,"",'HIDDEN import'!G211)</f>
        <v>Additional Root Certificate check mechanism implemented</v>
      </c>
      <c r="G211" s="181" t="str">
        <f>IFERROR(VLOOKUP($A211,'HIDDEN Testrun Results'!$A:$B,2,FALSE),"")</f>
        <v/>
      </c>
      <c r="H211" s="11" t="b">
        <f t="shared" si="4"/>
        <v>0</v>
      </c>
      <c r="I211" s="11" t="b">
        <f>IF(VLOOKUP(A211&amp;" "&amp;B211,'HIDDEN import'!A:G,5,FALSE)="M",TRUE,IFERROR(VLOOKUP(E211,'Optional features'!B:D,3,FALSE)="Yes",IFERROR(VLOOKUP(E211,'HIDDEN calc sheet'!A:B,2,FALSE),IFERROR(VLOOKUP(E211,'Additional questions'!B:D,3,FALSE)="Yes",VLOOKUP(E211,'Hardware Feature set'!B:D,3,FALSE)="No"))))</f>
        <v>0</v>
      </c>
      <c r="J211" s="11" t="b">
        <f>IF(VLOOKUP(B211,'Profile selection'!B:C,2,FALSE)="Yes",TRUE,FALSE)</f>
        <v>1</v>
      </c>
      <c r="K211" s="53"/>
      <c r="L211" s="53"/>
    </row>
    <row r="212" spans="1:12" x14ac:dyDescent="0.25">
      <c r="A212" t="str">
        <f>'HIDDEN import'!B212</f>
        <v>TC_N_25_CS</v>
      </c>
      <c r="B212" t="str">
        <f>'HIDDEN import'!C212</f>
        <v>Core</v>
      </c>
      <c r="C212" t="str">
        <f>'HIDDEN import'!D212</f>
        <v>Retrieve Log Information - Diagnostics Log - Success</v>
      </c>
      <c r="D212" t="str">
        <f>IF(VLOOKUP(A212&amp;" "&amp;B212,'HIDDEN import'!A:G,5,FALSE)="M",MD!$A$1,(IF(AND(VLOOKUP(A212,'HIDDEN import'!B:E,4,FALSE)="C",OR(NOT(ISERROR(VLOOKUP(E212,'Optional features'!B:D,1,FALSE)=E212)),NOT(ISERROR(VLOOKUP(E212,'HIDDEN calc sheet'!A:C,1,FALSE)=E212)))),MD!$A$3,MD!$A$2)))</f>
        <v>Mandatory test for a mandatory feature</v>
      </c>
      <c r="E212" t="str">
        <f>IF('HIDDEN import'!F212=0,"",'HIDDEN import'!F212)</f>
        <v/>
      </c>
      <c r="F212" t="str">
        <f>IF('HIDDEN import'!G212=0,"",'HIDDEN import'!G212)</f>
        <v/>
      </c>
      <c r="G212" s="181" t="str">
        <f>IFERROR(VLOOKUP($A212,'HIDDEN Testrun Results'!$A:$B,2,FALSE),"")</f>
        <v/>
      </c>
      <c r="H212" s="11" t="b">
        <f t="shared" si="4"/>
        <v>1</v>
      </c>
      <c r="I212" s="11" t="b">
        <f>IF(VLOOKUP(A212&amp;" "&amp;B212,'HIDDEN import'!A:G,5,FALSE)="M",TRUE,IFERROR(VLOOKUP(E212,'Optional features'!B:D,3,FALSE)="Yes",IFERROR(VLOOKUP(E212,'HIDDEN calc sheet'!A:B,2,FALSE),IFERROR(VLOOKUP(E212,'Additional questions'!B:D,3,FALSE)="Yes",VLOOKUP(E212,'Hardware Feature set'!B:D,3,FALSE)="No"))))</f>
        <v>1</v>
      </c>
      <c r="J212" s="11" t="b">
        <f>IF(VLOOKUP(B212,'Profile selection'!B:C,2,FALSE)="Yes",TRUE,FALSE)</f>
        <v>1</v>
      </c>
      <c r="K212" s="53"/>
      <c r="L212" s="53"/>
    </row>
    <row r="213" spans="1:12" x14ac:dyDescent="0.25">
      <c r="A213" t="str">
        <f>'HIDDEN import'!B213</f>
        <v>TC_N_26_CS</v>
      </c>
      <c r="B213" t="str">
        <f>'HIDDEN import'!C213</f>
        <v>Core</v>
      </c>
      <c r="C213" t="str">
        <f>'HIDDEN import'!D213</f>
        <v>Retrieve Log Information - Diagnostics Log - Upload failed</v>
      </c>
      <c r="D213" t="str">
        <f>IF(VLOOKUP(A213&amp;" "&amp;B213,'HIDDEN import'!A:G,5,FALSE)="M",MD!$A$1,(IF(AND(VLOOKUP(A213,'HIDDEN import'!B:E,4,FALSE)="C",OR(NOT(ISERROR(VLOOKUP(E213,'Optional features'!B:D,1,FALSE)=E213)),NOT(ISERROR(VLOOKUP(E213,'HIDDEN calc sheet'!A:C,1,FALSE)=E213)))),MD!$A$3,MD!$A$2)))</f>
        <v>Mandatory test for a mandatory feature</v>
      </c>
      <c r="E213" t="str">
        <f>IF('HIDDEN import'!F213=0,"",'HIDDEN import'!F213)</f>
        <v/>
      </c>
      <c r="F213" t="str">
        <f>IF('HIDDEN import'!G213=0,"",'HIDDEN import'!G213)</f>
        <v/>
      </c>
      <c r="G213" s="181" t="str">
        <f>IFERROR(VLOOKUP($A213,'HIDDEN Testrun Results'!$A:$B,2,FALSE),"")</f>
        <v/>
      </c>
      <c r="H213" s="11" t="b">
        <f t="shared" si="4"/>
        <v>1</v>
      </c>
      <c r="I213" s="11" t="b">
        <f>IF(VLOOKUP(A213&amp;" "&amp;B213,'HIDDEN import'!A:G,5,FALSE)="M",TRUE,IFERROR(VLOOKUP(E213,'Optional features'!B:D,3,FALSE)="Yes",IFERROR(VLOOKUP(E213,'HIDDEN calc sheet'!A:B,2,FALSE),IFERROR(VLOOKUP(E213,'Additional questions'!B:D,3,FALSE)="Yes",VLOOKUP(E213,'Hardware Feature set'!B:D,3,FALSE)="No"))))</f>
        <v>1</v>
      </c>
      <c r="J213" s="11" t="b">
        <f>IF(VLOOKUP(B213,'Profile selection'!B:C,2,FALSE)="Yes",TRUE,FALSE)</f>
        <v>1</v>
      </c>
      <c r="K213" s="53"/>
      <c r="L213" s="53"/>
    </row>
    <row r="214" spans="1:12" x14ac:dyDescent="0.25">
      <c r="A214" t="str">
        <f>'HIDDEN import'!B214</f>
        <v>TC_N_35_CS</v>
      </c>
      <c r="B214" t="str">
        <f>'HIDDEN import'!C214</f>
        <v>Core</v>
      </c>
      <c r="C214" t="str">
        <f>'HIDDEN import'!D214</f>
        <v>Retrieve Log Information - Security Log - Success</v>
      </c>
      <c r="D214" t="str">
        <f>IF(VLOOKUP(A214&amp;" "&amp;B214,'HIDDEN import'!A:G,5,FALSE)="M",MD!$A$1,(IF(AND(VLOOKUP(A214,'HIDDEN import'!B:E,4,FALSE)="C",OR(NOT(ISERROR(VLOOKUP(E214,'Optional features'!B:D,1,FALSE)=E214)),NOT(ISERROR(VLOOKUP(E214,'HIDDEN calc sheet'!A:C,1,FALSE)=E214)))),MD!$A$3,MD!$A$2)))</f>
        <v>Mandatory test for a mandatory feature</v>
      </c>
      <c r="E214" t="str">
        <f>IF('HIDDEN import'!F214=0,"",'HIDDEN import'!F214)</f>
        <v/>
      </c>
      <c r="F214" t="str">
        <f>IF('HIDDEN import'!G214=0,"",'HIDDEN import'!G214)</f>
        <v/>
      </c>
      <c r="G214" s="181" t="str">
        <f>IFERROR(VLOOKUP($A214,'HIDDEN Testrun Results'!$A:$B,2,FALSE),"")</f>
        <v/>
      </c>
      <c r="H214" s="11" t="b">
        <f t="shared" si="4"/>
        <v>1</v>
      </c>
      <c r="I214" s="11" t="b">
        <f>IF(VLOOKUP(A214&amp;" "&amp;B214,'HIDDEN import'!A:G,5,FALSE)="M",TRUE,IFERROR(VLOOKUP(E214,'Optional features'!B:D,3,FALSE)="Yes",IFERROR(VLOOKUP(E214,'HIDDEN calc sheet'!A:B,2,FALSE),IFERROR(VLOOKUP(E214,'Additional questions'!B:D,3,FALSE)="Yes",VLOOKUP(E214,'Hardware Feature set'!B:D,3,FALSE)="No"))))</f>
        <v>1</v>
      </c>
      <c r="J214" s="11" t="b">
        <f>IF(VLOOKUP(B214,'Profile selection'!B:C,2,FALSE)="Yes",TRUE,FALSE)</f>
        <v>1</v>
      </c>
      <c r="K214" s="53"/>
      <c r="L214" s="53"/>
    </row>
    <row r="215" spans="1:12" x14ac:dyDescent="0.25">
      <c r="A215" t="str">
        <f>'HIDDEN import'!B215</f>
        <v>TC_N_36_CS</v>
      </c>
      <c r="B215" t="str">
        <f>'HIDDEN import'!C215</f>
        <v>Core</v>
      </c>
      <c r="C215" t="str">
        <f>'HIDDEN import'!D215</f>
        <v>Retrieve Log Information - Second Request</v>
      </c>
      <c r="D215" t="str">
        <f>IF(VLOOKUP(A215&amp;" "&amp;B215,'HIDDEN import'!A:G,5,FALSE)="M",MD!$A$1,(IF(AND(VLOOKUP(A215,'HIDDEN import'!B:E,4,FALSE)="C",OR(NOT(ISERROR(VLOOKUP(E215,'Optional features'!B:D,1,FALSE)=E215)),NOT(ISERROR(VLOOKUP(E215,'HIDDEN calc sheet'!A:C,1,FALSE)=E215)))),MD!$A$3,MD!$A$2)))</f>
        <v>Mandatory for optional feature</v>
      </c>
      <c r="E215" t="str">
        <f>IF('HIDDEN import'!F215=0,"",'HIDDEN import'!F215)</f>
        <v>C-57</v>
      </c>
      <c r="F215" t="str">
        <f>IF('HIDDEN import'!G215=0,"",'HIDDEN import'!G215)</f>
        <v/>
      </c>
      <c r="G215" s="181" t="str">
        <f>IFERROR(VLOOKUP($A215,'HIDDEN Testrun Results'!$A:$B,2,FALSE),"")</f>
        <v/>
      </c>
      <c r="H215" s="11" t="b">
        <f t="shared" si="4"/>
        <v>0</v>
      </c>
      <c r="I215" s="11" t="b">
        <f>IF(VLOOKUP(A215&amp;" "&amp;B215,'HIDDEN import'!A:G,5,FALSE)="M",TRUE,IFERROR(VLOOKUP(E215,'Optional features'!B:D,3,FALSE)="Yes",IFERROR(VLOOKUP(E215,'HIDDEN calc sheet'!A:B,2,FALSE),IFERROR(VLOOKUP(E215,'Additional questions'!B:D,3,FALSE)="Yes",VLOOKUP(E215,'Hardware Feature set'!B:D,3,FALSE)="No"))))</f>
        <v>0</v>
      </c>
      <c r="J215" s="11" t="b">
        <f>IF(VLOOKUP(B215,'Profile selection'!B:C,2,FALSE)="Yes",TRUE,FALSE)</f>
        <v>1</v>
      </c>
      <c r="K215" s="53"/>
      <c r="L215" s="53"/>
    </row>
    <row r="216" spans="1:12" x14ac:dyDescent="0.25">
      <c r="A216" t="str">
        <f>'HIDDEN import'!B216</f>
        <v>TC_N_27_CS</v>
      </c>
      <c r="B216" t="str">
        <f>'HIDDEN import'!C216</f>
        <v>Core</v>
      </c>
      <c r="C216" t="str">
        <f>'HIDDEN import'!D216</f>
        <v>Get Customer Information - Accepted + data</v>
      </c>
      <c r="D216" t="str">
        <f>IF(VLOOKUP(A216&amp;" "&amp;B216,'HIDDEN import'!A:G,5,FALSE)="M",MD!$A$1,(IF(AND(VLOOKUP(A216,'HIDDEN import'!B:E,4,FALSE)="C",OR(NOT(ISERROR(VLOOKUP(E216,'Optional features'!B:D,1,FALSE)=E216)),NOT(ISERROR(VLOOKUP(E216,'HIDDEN calc sheet'!A:C,1,FALSE)=E216)))),MD!$A$3,MD!$A$2)))</f>
        <v>Mandatory for optional feature</v>
      </c>
      <c r="E216" t="str">
        <f>IF('HIDDEN import'!F216=0,"",'HIDDEN import'!F216)</f>
        <v>(C-30 or C-31 or C-34) and (Local Authorization List Management or C-49)</v>
      </c>
      <c r="F216" t="str">
        <f>IF('HIDDEN import'!G216=0,"",'HIDDEN import'!G216)</f>
        <v/>
      </c>
      <c r="G216" s="181" t="str">
        <f>IFERROR(VLOOKUP($A216,'HIDDEN Testrun Results'!$A:$B,2,FALSE),"")</f>
        <v/>
      </c>
      <c r="H216" s="11" t="b">
        <f t="shared" si="4"/>
        <v>1</v>
      </c>
      <c r="I216" s="11" t="b">
        <f>IF(VLOOKUP(A216&amp;" "&amp;B216,'HIDDEN import'!A:G,5,FALSE)="M",TRUE,IFERROR(VLOOKUP(E216,'Optional features'!B:D,3,FALSE)="Yes",IFERROR(VLOOKUP(E216,'HIDDEN calc sheet'!A:B,2,FALSE),IFERROR(VLOOKUP(E216,'Additional questions'!B:D,3,FALSE)="Yes",VLOOKUP(E216,'Hardware Feature set'!B:D,3,FALSE)="No"))))</f>
        <v>1</v>
      </c>
      <c r="J216" s="11" t="b">
        <f>IF(VLOOKUP(B216,'Profile selection'!B:C,2,FALSE)="Yes",TRUE,FALSE)</f>
        <v>1</v>
      </c>
      <c r="K216" s="53"/>
      <c r="L216" s="53"/>
    </row>
    <row r="217" spans="1:12" x14ac:dyDescent="0.25">
      <c r="A217" t="str">
        <f>'HIDDEN import'!B217</f>
        <v>TC_N_28_CS</v>
      </c>
      <c r="B217" t="str">
        <f>'HIDDEN import'!C217</f>
        <v>Core</v>
      </c>
      <c r="C217" t="str">
        <f>'HIDDEN import'!D217</f>
        <v>Get Customer Information - Accepted + no data</v>
      </c>
      <c r="D217" t="str">
        <f>IF(VLOOKUP(A217&amp;" "&amp;B217,'HIDDEN import'!A:G,5,FALSE)="M",MD!$A$1,(IF(AND(VLOOKUP(A217,'HIDDEN import'!B:E,4,FALSE)="C",OR(NOT(ISERROR(VLOOKUP(E217,'Optional features'!B:D,1,FALSE)=E217)),NOT(ISERROR(VLOOKUP(E217,'HIDDEN calc sheet'!A:C,1,FALSE)=E217)))),MD!$A$3,MD!$A$2)))</f>
        <v>Mandatory for optional feature</v>
      </c>
      <c r="E217" t="str">
        <f>IF('HIDDEN import'!F217=0,"",'HIDDEN import'!F217)</f>
        <v>(C-30 or C-31 or C-34) and (Local Authorization List Management or C-49)</v>
      </c>
      <c r="F217" t="str">
        <f>IF('HIDDEN import'!G217=0,"",'HIDDEN import'!G217)</f>
        <v/>
      </c>
      <c r="G217" s="181" t="str">
        <f>IFERROR(VLOOKUP($A217,'HIDDEN Testrun Results'!$A:$B,2,FALSE),"")</f>
        <v/>
      </c>
      <c r="H217" s="11" t="b">
        <f t="shared" si="4"/>
        <v>1</v>
      </c>
      <c r="I217" s="11" t="b">
        <f>IF(VLOOKUP(A217&amp;" "&amp;B217,'HIDDEN import'!A:G,5,FALSE)="M",TRUE,IFERROR(VLOOKUP(E217,'Optional features'!B:D,3,FALSE)="Yes",IFERROR(VLOOKUP(E217,'HIDDEN calc sheet'!A:B,2,FALSE),IFERROR(VLOOKUP(E217,'Additional questions'!B:D,3,FALSE)="Yes",VLOOKUP(E217,'Hardware Feature set'!B:D,3,FALSE)="No"))))</f>
        <v>1</v>
      </c>
      <c r="J217" s="11" t="b">
        <f>IF(VLOOKUP(B217,'Profile selection'!B:C,2,FALSE)="Yes",TRUE,FALSE)</f>
        <v>1</v>
      </c>
      <c r="K217" s="53"/>
      <c r="L217" s="53"/>
    </row>
    <row r="218" spans="1:12" x14ac:dyDescent="0.25">
      <c r="A218" t="str">
        <f>'HIDDEN import'!B218</f>
        <v>TC_N_30_CS</v>
      </c>
      <c r="B218" t="str">
        <f>'HIDDEN import'!C218</f>
        <v>Core</v>
      </c>
      <c r="C218" t="str">
        <f>'HIDDEN import'!D218</f>
        <v>Clear Customer Information - Clear and report + data</v>
      </c>
      <c r="D218" t="str">
        <f>IF(VLOOKUP(A218&amp;" "&amp;B218,'HIDDEN import'!A:G,5,FALSE)="M",MD!$A$1,(IF(AND(VLOOKUP(A218,'HIDDEN import'!B:E,4,FALSE)="C",OR(NOT(ISERROR(VLOOKUP(E218,'Optional features'!B:D,1,FALSE)=E218)),NOT(ISERROR(VLOOKUP(E218,'HIDDEN calc sheet'!A:C,1,FALSE)=E218)))),MD!$A$3,MD!$A$2)))</f>
        <v>Mandatory for optional feature</v>
      </c>
      <c r="E218" t="str">
        <f>IF('HIDDEN import'!F218=0,"",'HIDDEN import'!F218)</f>
        <v>(C-30 or C-31 or C-34) and (Local Authorization List Management or C-49)</v>
      </c>
      <c r="F218" t="str">
        <f>IF('HIDDEN import'!G218=0,"",'HIDDEN import'!G218)</f>
        <v/>
      </c>
      <c r="G218" s="181" t="str">
        <f>IFERROR(VLOOKUP($A218,'HIDDEN Testrun Results'!$A:$B,2,FALSE),"")</f>
        <v/>
      </c>
      <c r="H218" s="11" t="b">
        <f t="shared" si="4"/>
        <v>1</v>
      </c>
      <c r="I218" s="11" t="b">
        <f>IF(VLOOKUP(A218&amp;" "&amp;B218,'HIDDEN import'!A:G,5,FALSE)="M",TRUE,IFERROR(VLOOKUP(E218,'Optional features'!B:D,3,FALSE)="Yes",IFERROR(VLOOKUP(E218,'HIDDEN calc sheet'!A:B,2,FALSE),IFERROR(VLOOKUP(E218,'Additional questions'!B:D,3,FALSE)="Yes",VLOOKUP(E218,'Hardware Feature set'!B:D,3,FALSE)="No"))))</f>
        <v>1</v>
      </c>
      <c r="J218" s="11" t="b">
        <f>IF(VLOOKUP(B218,'Profile selection'!B:C,2,FALSE)="Yes",TRUE,FALSE)</f>
        <v>1</v>
      </c>
      <c r="K218" s="53"/>
      <c r="L218" s="53"/>
    </row>
    <row r="219" spans="1:12" x14ac:dyDescent="0.25">
      <c r="A219" t="str">
        <f>'HIDDEN import'!B219</f>
        <v>TC_N_31_CS</v>
      </c>
      <c r="B219" t="str">
        <f>'HIDDEN import'!C219</f>
        <v>Core</v>
      </c>
      <c r="C219" t="str">
        <f>'HIDDEN import'!D219</f>
        <v>Clear Customer Information - Clear and report + no data</v>
      </c>
      <c r="D219" t="str">
        <f>IF(VLOOKUP(A219&amp;" "&amp;B219,'HIDDEN import'!A:G,5,FALSE)="M",MD!$A$1,(IF(AND(VLOOKUP(A219,'HIDDEN import'!B:E,4,FALSE)="C",OR(NOT(ISERROR(VLOOKUP(E219,'Optional features'!B:D,1,FALSE)=E219)),NOT(ISERROR(VLOOKUP(E219,'HIDDEN calc sheet'!A:C,1,FALSE)=E219)))),MD!$A$3,MD!$A$2)))</f>
        <v>Mandatory for optional feature</v>
      </c>
      <c r="E219" t="str">
        <f>IF('HIDDEN import'!F219=0,"",'HIDDEN import'!F219)</f>
        <v>(C-30 or C-31 or C-34) and (Local Authorization List Management or C-49)</v>
      </c>
      <c r="F219" t="str">
        <f>IF('HIDDEN import'!G219=0,"",'HIDDEN import'!G219)</f>
        <v/>
      </c>
      <c r="G219" s="181" t="str">
        <f>IFERROR(VLOOKUP($A219,'HIDDEN Testrun Results'!$A:$B,2,FALSE),"")</f>
        <v/>
      </c>
      <c r="H219" s="11" t="b">
        <f t="shared" si="4"/>
        <v>1</v>
      </c>
      <c r="I219" s="11" t="b">
        <f>IF(VLOOKUP(A219&amp;" "&amp;B219,'HIDDEN import'!A:G,5,FALSE)="M",TRUE,IFERROR(VLOOKUP(E219,'Optional features'!B:D,3,FALSE)="Yes",IFERROR(VLOOKUP(E219,'HIDDEN calc sheet'!A:B,2,FALSE),IFERROR(VLOOKUP(E219,'Additional questions'!B:D,3,FALSE)="Yes",VLOOKUP(E219,'Hardware Feature set'!B:D,3,FALSE)="No"))))</f>
        <v>1</v>
      </c>
      <c r="J219" s="11" t="b">
        <f>IF(VLOOKUP(B219,'Profile selection'!B:C,2,FALSE)="Yes",TRUE,FALSE)</f>
        <v>1</v>
      </c>
      <c r="K219" s="53"/>
      <c r="L219" s="53"/>
    </row>
    <row r="220" spans="1:12" x14ac:dyDescent="0.25">
      <c r="A220" t="str">
        <f>'HIDDEN import'!B220</f>
        <v>TC_N_32_CS</v>
      </c>
      <c r="B220" t="str">
        <f>'HIDDEN import'!C220</f>
        <v>Core</v>
      </c>
      <c r="C220" t="str">
        <f>'HIDDEN import'!D220</f>
        <v>Clear Customer Information - Clear and no report</v>
      </c>
      <c r="D220" t="str">
        <f>IF(VLOOKUP(A220&amp;" "&amp;B220,'HIDDEN import'!A:G,5,FALSE)="M",MD!$A$1,(IF(AND(VLOOKUP(A220,'HIDDEN import'!B:E,4,FALSE)="C",OR(NOT(ISERROR(VLOOKUP(E220,'Optional features'!B:D,1,FALSE)=E220)),NOT(ISERROR(VLOOKUP(E220,'HIDDEN calc sheet'!A:C,1,FALSE)=E220)))),MD!$A$3,MD!$A$2)))</f>
        <v>Mandatory test for a mandatory feature</v>
      </c>
      <c r="E220" t="str">
        <f>IF('HIDDEN import'!F220=0,"",'HIDDEN import'!F220)</f>
        <v/>
      </c>
      <c r="F220" t="str">
        <f>IF('HIDDEN import'!G220=0,"",'HIDDEN import'!G220)</f>
        <v/>
      </c>
      <c r="G220" s="181" t="str">
        <f>IFERROR(VLOOKUP($A220,'HIDDEN Testrun Results'!$A:$B,2,FALSE),"")</f>
        <v/>
      </c>
      <c r="H220" s="11" t="b">
        <f t="shared" si="4"/>
        <v>1</v>
      </c>
      <c r="I220" s="11" t="b">
        <f>IF(VLOOKUP(A220&amp;" "&amp;B220,'HIDDEN import'!A:G,5,FALSE)="M",TRUE,IFERROR(VLOOKUP(E220,'Optional features'!B:D,3,FALSE)="Yes",IFERROR(VLOOKUP(E220,'HIDDEN calc sheet'!A:B,2,FALSE),IFERROR(VLOOKUP(E220,'Additional questions'!B:D,3,FALSE)="Yes",VLOOKUP(E220,'Hardware Feature set'!B:D,3,FALSE)="No"))))</f>
        <v>1</v>
      </c>
      <c r="J220" s="11" t="b">
        <f>IF(VLOOKUP(B220,'Profile selection'!B:C,2,FALSE)="Yes",TRUE,FALSE)</f>
        <v>1</v>
      </c>
      <c r="K220" s="53"/>
      <c r="L220" s="53"/>
    </row>
    <row r="221" spans="1:12" x14ac:dyDescent="0.25">
      <c r="A221" t="str">
        <f>'HIDDEN import'!B221</f>
        <v>TC_N_62_CS</v>
      </c>
      <c r="B221" t="str">
        <f>'HIDDEN import'!C221</f>
        <v>Core</v>
      </c>
      <c r="C221" t="str">
        <f>'HIDDEN import'!D221</f>
        <v>Clear Customer Information - Clear and report - customerIdentifier</v>
      </c>
      <c r="D221" t="str">
        <f>IF(VLOOKUP(A221&amp;" "&amp;B221,'HIDDEN import'!A:G,5,FALSE)="M",MD!$A$1,(IF(AND(VLOOKUP(A221,'HIDDEN import'!B:E,4,FALSE)="C",OR(NOT(ISERROR(VLOOKUP(E221,'Optional features'!B:D,1,FALSE)=E221)),NOT(ISERROR(VLOOKUP(E221,'HIDDEN calc sheet'!A:C,1,FALSE)=E221)))),MD!$A$3,MD!$A$2)))</f>
        <v>Mandatory for optional feature</v>
      </c>
      <c r="E221" t="str">
        <f>IF('HIDDEN import'!F221=0,"",'HIDDEN import'!F221)</f>
        <v>C-14</v>
      </c>
      <c r="F221" t="str">
        <f>IF('HIDDEN import'!G221=0,"",'HIDDEN import'!G221)</f>
        <v/>
      </c>
      <c r="G221" s="181" t="str">
        <f>IFERROR(VLOOKUP($A221,'HIDDEN Testrun Results'!$A:$B,2,FALSE),"")</f>
        <v/>
      </c>
      <c r="H221" s="11" t="b">
        <f t="shared" si="4"/>
        <v>0</v>
      </c>
      <c r="I221" s="11" t="b">
        <f>IF(VLOOKUP(A221&amp;" "&amp;B221,'HIDDEN import'!A:G,5,FALSE)="M",TRUE,IFERROR(VLOOKUP(E221,'Optional features'!B:D,3,FALSE)="Yes",IFERROR(VLOOKUP(E221,'HIDDEN calc sheet'!A:B,2,FALSE),IFERROR(VLOOKUP(E221,'Additional questions'!B:D,3,FALSE)="Yes",VLOOKUP(E221,'Hardware Feature set'!B:D,3,FALSE)="No"))))</f>
        <v>0</v>
      </c>
      <c r="J221" s="11" t="b">
        <f>IF(VLOOKUP(B221,'Profile selection'!B:C,2,FALSE)="Yes",TRUE,FALSE)</f>
        <v>1</v>
      </c>
      <c r="K221" s="53"/>
      <c r="L221" s="53"/>
    </row>
    <row r="222" spans="1:12" x14ac:dyDescent="0.25">
      <c r="A222" t="str">
        <f>'HIDDEN import'!B222</f>
        <v>TC_P_01_CS</v>
      </c>
      <c r="B222" t="str">
        <f>'HIDDEN import'!C222</f>
        <v>Core</v>
      </c>
      <c r="C222" t="str">
        <f>'HIDDEN import'!D222</f>
        <v>Data Transfer to the Charging Station - Rejected / Unknown VendorId / Unknown MessageId</v>
      </c>
      <c r="D222" t="str">
        <f>IF(VLOOKUP(A222&amp;" "&amp;B222,'HIDDEN import'!A:G,5,FALSE)="M",MD!$A$1,(IF(AND(VLOOKUP(A222,'HIDDEN import'!B:E,4,FALSE)="C",OR(NOT(ISERROR(VLOOKUP(E222,'Optional features'!B:D,1,FALSE)=E222)),NOT(ISERROR(VLOOKUP(E222,'HIDDEN calc sheet'!A:C,1,FALSE)=E222)))),MD!$A$3,MD!$A$2)))</f>
        <v>Mandatory test for a mandatory feature</v>
      </c>
      <c r="E222" t="str">
        <f>IF('HIDDEN import'!F222=0,"",'HIDDEN import'!F222)</f>
        <v/>
      </c>
      <c r="F222" t="str">
        <f>IF('HIDDEN import'!G222=0,"",'HIDDEN import'!G222)</f>
        <v/>
      </c>
      <c r="G222" s="181" t="str">
        <f>IFERROR(VLOOKUP($A222,'HIDDEN Testrun Results'!$A:$B,2,FALSE),"")</f>
        <v/>
      </c>
      <c r="H222" s="11" t="b">
        <f t="shared" si="4"/>
        <v>1</v>
      </c>
      <c r="I222" s="11" t="b">
        <f>IF(VLOOKUP(A222&amp;" "&amp;B222,'HIDDEN import'!A:G,5,FALSE)="M",TRUE,IFERROR(VLOOKUP(E222,'Optional features'!B:D,3,FALSE)="Yes",IFERROR(VLOOKUP(E222,'HIDDEN calc sheet'!A:B,2,FALSE),IFERROR(VLOOKUP(E222,'Additional questions'!B:D,3,FALSE)="Yes",VLOOKUP(E222,'Hardware Feature set'!B:D,3,FALSE)="No"))))</f>
        <v>1</v>
      </c>
      <c r="J222" s="11" t="b">
        <f>IF(VLOOKUP(B222,'Profile selection'!B:C,2,FALSE)="Yes",TRUE,FALSE)</f>
        <v>1</v>
      </c>
      <c r="K222" s="53"/>
      <c r="L222" s="53"/>
    </row>
    <row r="223" spans="1:12" x14ac:dyDescent="0.25">
      <c r="A223" t="str">
        <f>'HIDDEN import'!B223</f>
        <v>TC_P_03_CS</v>
      </c>
      <c r="B223" t="str">
        <f>'HIDDEN import'!C223</f>
        <v>Core</v>
      </c>
      <c r="C223" t="str">
        <f>'HIDDEN import'!D223</f>
        <v>CustomData - Receive custom data</v>
      </c>
      <c r="D223" t="str">
        <f>IF(VLOOKUP(A223&amp;" "&amp;B223,'HIDDEN import'!A:G,5,FALSE)="M",MD!$A$1,(IF(AND(VLOOKUP(A223,'HIDDEN import'!B:E,4,FALSE)="C",OR(NOT(ISERROR(VLOOKUP(E223,'Optional features'!B:D,1,FALSE)=E223)),NOT(ISERROR(VLOOKUP(E223,'HIDDEN calc sheet'!A:C,1,FALSE)=E223)))),MD!$A$3,MD!$A$2)))</f>
        <v>Mandatory test for a mandatory feature</v>
      </c>
      <c r="E223" t="str">
        <f>IF('HIDDEN import'!F223=0,"",'HIDDEN import'!F223)</f>
        <v/>
      </c>
      <c r="F223" t="str">
        <f>IF('HIDDEN import'!G223=0,"",'HIDDEN import'!G223)</f>
        <v/>
      </c>
      <c r="G223" s="181" t="str">
        <f>IFERROR(VLOOKUP($A223,'HIDDEN Testrun Results'!$A:$B,2,FALSE),"")</f>
        <v/>
      </c>
      <c r="H223" s="11" t="b">
        <f t="shared" si="4"/>
        <v>1</v>
      </c>
      <c r="I223" s="11" t="b">
        <f>IF(VLOOKUP(A223&amp;" "&amp;B223,'HIDDEN import'!A:G,5,FALSE)="M",TRUE,IFERROR(VLOOKUP(E223,'Optional features'!B:D,3,FALSE)="Yes",IFERROR(VLOOKUP(E223,'HIDDEN calc sheet'!A:B,2,FALSE),IFERROR(VLOOKUP(E223,'Additional questions'!B:D,3,FALSE)="Yes",VLOOKUP(E223,'Hardware Feature set'!B:D,3,FALSE)="No"))))</f>
        <v>1</v>
      </c>
      <c r="J223" s="11" t="b">
        <f>IF(VLOOKUP(B223,'Profile selection'!B:C,2,FALSE)="Yes",TRUE,FALSE)</f>
        <v>1</v>
      </c>
      <c r="K223" s="53"/>
      <c r="L223" s="53"/>
    </row>
    <row r="224" spans="1:12" x14ac:dyDescent="0.25">
      <c r="A224" t="str">
        <f>'HIDDEN import'!B224</f>
        <v>TC_A_07_CS</v>
      </c>
      <c r="B224" t="str">
        <f>'HIDDEN import'!C224</f>
        <v>Advanced Security</v>
      </c>
      <c r="C224" t="str">
        <f>'HIDDEN import'!D224</f>
        <v>TLS - Client-side certificate - valid certificate</v>
      </c>
      <c r="D224" t="str">
        <f>IF(VLOOKUP(A224&amp;" "&amp;B224,'HIDDEN import'!A:G,5,FALSE)="M",MD!$A$1,(IF(AND(VLOOKUP(A224,'HIDDEN import'!B:E,4,FALSE)="C",OR(NOT(ISERROR(VLOOKUP(E224,'Optional features'!B:D,1,FALSE)=E224)),NOT(ISERROR(VLOOKUP(E224,'HIDDEN calc sheet'!A:C,1,FALSE)=E224)))),MD!$A$3,MD!$A$2)))</f>
        <v>Mandatory test for a mandatory feature</v>
      </c>
      <c r="E224" t="str">
        <f>IF('HIDDEN import'!F224=0,"",'HIDDEN import'!F224)</f>
        <v/>
      </c>
      <c r="F224" t="str">
        <f>IF('HIDDEN import'!G224=0,"",'HIDDEN import'!G224)</f>
        <v/>
      </c>
      <c r="G224" s="181" t="str">
        <f>IFERROR(VLOOKUP($A224,'HIDDEN Testrun Results'!$A:$B,2,FALSE),"")</f>
        <v/>
      </c>
      <c r="H224" s="11" t="b">
        <f t="shared" si="4"/>
        <v>1</v>
      </c>
      <c r="I224" s="11" t="b">
        <f>IF(VLOOKUP(A224&amp;" "&amp;B224,'HIDDEN import'!A:G,5,FALSE)="M",TRUE,IFERROR(VLOOKUP(E224,'Optional features'!B:D,3,FALSE)="Yes",IFERROR(VLOOKUP(E224,'HIDDEN calc sheet'!A:B,2,FALSE),IFERROR(VLOOKUP(E224,'Additional questions'!B:D,3,FALSE)="Yes",VLOOKUP(E224,'Hardware Feature set'!B:D,3,FALSE)="No"))))</f>
        <v>1</v>
      </c>
      <c r="J224" s="11" t="b">
        <f>IF(VLOOKUP(B224,'Profile selection'!B:C,2,FALSE)="Yes",TRUE,FALSE)</f>
        <v>1</v>
      </c>
      <c r="K224" s="53"/>
      <c r="L224" s="53"/>
    </row>
    <row r="225" spans="1:12" x14ac:dyDescent="0.25">
      <c r="A225" t="str">
        <f>'HIDDEN import'!B225</f>
        <v>TC_A_11_CS</v>
      </c>
      <c r="B225" t="str">
        <f>'HIDDEN import'!C225</f>
        <v>Advanced Security</v>
      </c>
      <c r="C225" t="str">
        <f>'HIDDEN import'!D225</f>
        <v>Update Charging Station Certificate by request of CSMS - Success - Charging Station Certificate</v>
      </c>
      <c r="D225" t="str">
        <f>IF(VLOOKUP(A225&amp;" "&amp;B225,'HIDDEN import'!A:G,5,FALSE)="M",MD!$A$1,(IF(AND(VLOOKUP(A225,'HIDDEN import'!B:E,4,FALSE)="C",OR(NOT(ISERROR(VLOOKUP(E225,'Optional features'!B:D,1,FALSE)=E225)),NOT(ISERROR(VLOOKUP(E225,'HIDDEN calc sheet'!A:C,1,FALSE)=E225)))),MD!$A$3,MD!$A$2)))</f>
        <v>Mandatory test for a mandatory feature</v>
      </c>
      <c r="E225" t="str">
        <f>IF('HIDDEN import'!F225=0,"",'HIDDEN import'!F225)</f>
        <v/>
      </c>
      <c r="F225" t="str">
        <f>IF('HIDDEN import'!G225=0,"",'HIDDEN import'!G225)</f>
        <v/>
      </c>
      <c r="G225" s="181" t="str">
        <f>IFERROR(VLOOKUP($A225,'HIDDEN Testrun Results'!$A:$B,2,FALSE),"")</f>
        <v/>
      </c>
      <c r="H225" s="11" t="b">
        <f t="shared" si="4"/>
        <v>1</v>
      </c>
      <c r="I225" s="11" t="b">
        <f>IF(VLOOKUP(A225&amp;" "&amp;B225,'HIDDEN import'!A:G,5,FALSE)="M",TRUE,IFERROR(VLOOKUP(E225,'Optional features'!B:D,3,FALSE)="Yes",IFERROR(VLOOKUP(E225,'HIDDEN calc sheet'!A:B,2,FALSE),IFERROR(VLOOKUP(E225,'Additional questions'!B:D,3,FALSE)="Yes",VLOOKUP(E225,'Hardware Feature set'!B:D,3,FALSE)="No"))))</f>
        <v>1</v>
      </c>
      <c r="J225" s="11" t="b">
        <f>IF(VLOOKUP(B225,'Profile selection'!B:C,2,FALSE)="Yes",TRUE,FALSE)</f>
        <v>1</v>
      </c>
      <c r="K225" s="53"/>
      <c r="L225" s="53"/>
    </row>
    <row r="226" spans="1:12" x14ac:dyDescent="0.25">
      <c r="A226" t="str">
        <f>'HIDDEN import'!B226</f>
        <v>TC_A_14_CS</v>
      </c>
      <c r="B226" t="str">
        <f>'HIDDEN import'!C226</f>
        <v>Advanced Security</v>
      </c>
      <c r="C226" t="str">
        <f>'HIDDEN import'!D226</f>
        <v>Update Charging Station Certificate by request of CSMS - Invalid certificate</v>
      </c>
      <c r="D226" t="str">
        <f>IF(VLOOKUP(A226&amp;" "&amp;B226,'HIDDEN import'!A:G,5,FALSE)="M",MD!$A$1,(IF(AND(VLOOKUP(A226,'HIDDEN import'!B:E,4,FALSE)="C",OR(NOT(ISERROR(VLOOKUP(E226,'Optional features'!B:D,1,FALSE)=E226)),NOT(ISERROR(VLOOKUP(E226,'HIDDEN calc sheet'!A:C,1,FALSE)=E226)))),MD!$A$3,MD!$A$2)))</f>
        <v>Mandatory test for a mandatory feature</v>
      </c>
      <c r="E226" t="str">
        <f>IF('HIDDEN import'!F226=0,"",'HIDDEN import'!F226)</f>
        <v/>
      </c>
      <c r="F226" t="str">
        <f>IF('HIDDEN import'!G226=0,"",'HIDDEN import'!G226)</f>
        <v/>
      </c>
      <c r="G226" s="181" t="str">
        <f>IFERROR(VLOOKUP($A226,'HIDDEN Testrun Results'!$A:$B,2,FALSE),"")</f>
        <v/>
      </c>
      <c r="H226" s="11" t="b">
        <f t="shared" si="4"/>
        <v>1</v>
      </c>
      <c r="I226" s="11" t="b">
        <f>IF(VLOOKUP(A226&amp;" "&amp;B226,'HIDDEN import'!A:G,5,FALSE)="M",TRUE,IFERROR(VLOOKUP(E226,'Optional features'!B:D,3,FALSE)="Yes",IFERROR(VLOOKUP(E226,'HIDDEN calc sheet'!A:B,2,FALSE),IFERROR(VLOOKUP(E226,'Additional questions'!B:D,3,FALSE)="Yes",VLOOKUP(E226,'Hardware Feature set'!B:D,3,FALSE)="No"))))</f>
        <v>1</v>
      </c>
      <c r="J226" s="11" t="b">
        <f>IF(VLOOKUP(B226,'Profile selection'!B:C,2,FALSE)="Yes",TRUE,FALSE)</f>
        <v>1</v>
      </c>
      <c r="K226" s="53"/>
      <c r="L226" s="53"/>
    </row>
    <row r="227" spans="1:12" x14ac:dyDescent="0.25">
      <c r="A227" t="str">
        <f>'HIDDEN import'!B227</f>
        <v>TC_A_15_CS</v>
      </c>
      <c r="B227" t="str">
        <f>'HIDDEN import'!C227</f>
        <v>Advanced Security</v>
      </c>
      <c r="C227" t="str">
        <f>'HIDDEN import'!D227</f>
        <v>Update Charging Station Certificate by request of CSMS - SignCertificateRequest Rejected</v>
      </c>
      <c r="D227" t="str">
        <f>IF(VLOOKUP(A227&amp;" "&amp;B227,'HIDDEN import'!A:G,5,FALSE)="M",MD!$A$1,(IF(AND(VLOOKUP(A227,'HIDDEN import'!B:E,4,FALSE)="C",OR(NOT(ISERROR(VLOOKUP(E227,'Optional features'!B:D,1,FALSE)=E227)),NOT(ISERROR(VLOOKUP(E227,'HIDDEN calc sheet'!A:C,1,FALSE)=E227)))),MD!$A$3,MD!$A$2)))</f>
        <v>Mandatory test for a mandatory feature</v>
      </c>
      <c r="E227" t="str">
        <f>IF('HIDDEN import'!F227=0,"",'HIDDEN import'!F227)</f>
        <v/>
      </c>
      <c r="F227" t="str">
        <f>IF('HIDDEN import'!G227=0,"",'HIDDEN import'!G227)</f>
        <v/>
      </c>
      <c r="G227" s="181" t="str">
        <f>IFERROR(VLOOKUP($A227,'HIDDEN Testrun Results'!$A:$B,2,FALSE),"")</f>
        <v/>
      </c>
      <c r="H227" s="11" t="b">
        <f t="shared" si="4"/>
        <v>1</v>
      </c>
      <c r="I227" s="11" t="b">
        <f>IF(VLOOKUP(A227&amp;" "&amp;B227,'HIDDEN import'!A:G,5,FALSE)="M",TRUE,IFERROR(VLOOKUP(E227,'Optional features'!B:D,3,FALSE)="Yes",IFERROR(VLOOKUP(E227,'HIDDEN calc sheet'!A:B,2,FALSE),IFERROR(VLOOKUP(E227,'Additional questions'!B:D,3,FALSE)="Yes",VLOOKUP(E227,'Hardware Feature set'!B:D,3,FALSE)="No"))))</f>
        <v>1</v>
      </c>
      <c r="J227" s="11" t="b">
        <f>IF(VLOOKUP(B227,'Profile selection'!B:C,2,FALSE)="Yes",TRUE,FALSE)</f>
        <v>1</v>
      </c>
      <c r="K227" s="53"/>
      <c r="L227" s="53"/>
    </row>
    <row r="228" spans="1:12" x14ac:dyDescent="0.25">
      <c r="A228" t="str">
        <f>'HIDDEN import'!B228</f>
        <v>TC_A_23_CS</v>
      </c>
      <c r="B228" t="str">
        <f>'HIDDEN import'!C228</f>
        <v>Advanced Security</v>
      </c>
      <c r="C228" t="str">
        <f>'HIDDEN import'!D228</f>
        <v>Update Charging Station Certificate by request of CSMS - CertificateSignedRequest Timeout</v>
      </c>
      <c r="D228" t="str">
        <f>IF(VLOOKUP(A228&amp;" "&amp;B228,'HIDDEN import'!A:G,5,FALSE)="M",MD!$A$1,(IF(AND(VLOOKUP(A228,'HIDDEN import'!B:E,4,FALSE)="C",OR(NOT(ISERROR(VLOOKUP(E228,'Optional features'!B:D,1,FALSE)=E228)),NOT(ISERROR(VLOOKUP(E228,'HIDDEN calc sheet'!A:C,1,FALSE)=E228)))),MD!$A$3,MD!$A$2)))</f>
        <v>Mandatory for optional feature</v>
      </c>
      <c r="E228" t="str">
        <f>IF('HIDDEN import'!F228=0,"",'HIDDEN import'!F228)</f>
        <v>AS-3</v>
      </c>
      <c r="F228" t="str">
        <f>IF('HIDDEN import'!G228=0,"",'HIDDEN import'!G228)</f>
        <v/>
      </c>
      <c r="G228" s="181" t="str">
        <f>IFERROR(VLOOKUP($A228,'HIDDEN Testrun Results'!$A:$B,2,FALSE),"")</f>
        <v/>
      </c>
      <c r="H228" s="11" t="b">
        <f t="shared" si="4"/>
        <v>0</v>
      </c>
      <c r="I228" s="11" t="b">
        <f>IF(VLOOKUP(A228&amp;" "&amp;B228,'HIDDEN import'!A:G,5,FALSE)="M",TRUE,IFERROR(VLOOKUP(E228,'Optional features'!B:D,3,FALSE)="Yes",IFERROR(VLOOKUP(E228,'HIDDEN calc sheet'!A:B,2,FALSE),IFERROR(VLOOKUP(E228,'Additional questions'!B:D,3,FALSE)="Yes",VLOOKUP(E228,'Hardware Feature set'!B:D,3,FALSE)="No"))))</f>
        <v>0</v>
      </c>
      <c r="J228" s="11" t="b">
        <f>IF(VLOOKUP(B228,'Profile selection'!B:C,2,FALSE)="Yes",TRUE,FALSE)</f>
        <v>1</v>
      </c>
      <c r="K228" s="53"/>
      <c r="L228" s="53"/>
    </row>
    <row r="229" spans="1:12" x14ac:dyDescent="0.25">
      <c r="A229" t="str">
        <f>'HIDDEN import'!B229</f>
        <v>TC_A_21_CS</v>
      </c>
      <c r="B229" t="str">
        <f>'HIDDEN import'!C229</f>
        <v>Advanced Security</v>
      </c>
      <c r="C229" t="str">
        <f>'HIDDEN import'!D229</f>
        <v>Upgrade Charging Station Security Profile - No valid ChargingStationCertificate installed</v>
      </c>
      <c r="D229" t="str">
        <f>IF(VLOOKUP(A229&amp;" "&amp;B229,'HIDDEN import'!A:G,5,FALSE)="M",MD!$A$1,(IF(AND(VLOOKUP(A229,'HIDDEN import'!B:E,4,FALSE)="C",OR(NOT(ISERROR(VLOOKUP(E229,'Optional features'!B:D,1,FALSE)=E229)),NOT(ISERROR(VLOOKUP(E229,'HIDDEN calc sheet'!A:C,1,FALSE)=E229)))),MD!$A$3,MD!$A$2)))</f>
        <v>Possibly mandatory, depending on your system</v>
      </c>
      <c r="E229" t="str">
        <f>IF('HIDDEN import'!F229=0,"",'HIDDEN import'!F229)</f>
        <v>AQ-1</v>
      </c>
      <c r="F229" t="str">
        <f>IF('HIDDEN import'!G229=0,"",'HIDDEN import'!G229)</f>
        <v/>
      </c>
      <c r="G229" s="181" t="str">
        <f>IFERROR(VLOOKUP($A229,'HIDDEN Testrun Results'!$A:$B,2,FALSE),"")</f>
        <v/>
      </c>
      <c r="H229" s="11" t="b">
        <f t="shared" si="4"/>
        <v>0</v>
      </c>
      <c r="I229" s="11" t="b">
        <f>IF(VLOOKUP(A229&amp;" "&amp;B229,'HIDDEN import'!A:G,5,FALSE)="M",TRUE,IFERROR(VLOOKUP(E229,'Optional features'!B:D,3,FALSE)="Yes",IFERROR(VLOOKUP(E229,'HIDDEN calc sheet'!A:B,2,FALSE),IFERROR(VLOOKUP(E229,'Additional questions'!B:D,3,FALSE)="Yes",VLOOKUP(E229,'Hardware Feature set'!B:D,3,FALSE)="No"))))</f>
        <v>0</v>
      </c>
      <c r="J229" s="11" t="b">
        <f>IF(VLOOKUP(B229,'Profile selection'!B:C,2,FALSE)="Yes",TRUE,FALSE)</f>
        <v>1</v>
      </c>
      <c r="K229" s="53"/>
      <c r="L229" s="53"/>
    </row>
    <row r="230" spans="1:12" x14ac:dyDescent="0.25">
      <c r="A230" t="str">
        <f>'HIDDEN import'!B230</f>
        <v>TC_M_23_CS</v>
      </c>
      <c r="B230" t="str">
        <f>'HIDDEN import'!C230</f>
        <v>Advanced Security</v>
      </c>
      <c r="C230" t="str">
        <f>'HIDDEN import'!D230</f>
        <v>Delete a certificate from a Charging Station - Unable to delete the Charging Station Certificate</v>
      </c>
      <c r="D230" t="str">
        <f>IF(VLOOKUP(A230&amp;" "&amp;B230,'HIDDEN import'!A:G,5,FALSE)="M",MD!$A$1,(IF(AND(VLOOKUP(A230,'HIDDEN import'!B:E,4,FALSE)="C",OR(NOT(ISERROR(VLOOKUP(E230,'Optional features'!B:D,1,FALSE)=E230)),NOT(ISERROR(VLOOKUP(E230,'HIDDEN calc sheet'!A:C,1,FALSE)=E230)))),MD!$A$3,MD!$A$2)))</f>
        <v>Mandatory test for a mandatory feature</v>
      </c>
      <c r="E230" t="str">
        <f>IF('HIDDEN import'!F230=0,"",'HIDDEN import'!F230)</f>
        <v/>
      </c>
      <c r="F230" t="str">
        <f>IF('HIDDEN import'!G230=0,"",'HIDDEN import'!G230)</f>
        <v/>
      </c>
      <c r="G230" s="181" t="str">
        <f>IFERROR(VLOOKUP($A230,'HIDDEN Testrun Results'!$A:$B,2,FALSE),"")</f>
        <v/>
      </c>
      <c r="H230" s="11" t="b">
        <f t="shared" si="4"/>
        <v>1</v>
      </c>
      <c r="I230" s="11" t="b">
        <f>IF(VLOOKUP(A230&amp;" "&amp;B230,'HIDDEN import'!A:G,5,FALSE)="M",TRUE,IFERROR(VLOOKUP(E230,'Optional features'!B:D,3,FALSE)="Yes",IFERROR(VLOOKUP(E230,'HIDDEN calc sheet'!A:B,2,FALSE),IFERROR(VLOOKUP(E230,'Additional questions'!B:D,3,FALSE)="Yes",VLOOKUP(E230,'Hardware Feature set'!B:D,3,FALSE)="No"))))</f>
        <v>1</v>
      </c>
      <c r="J230" s="11" t="b">
        <f>IF(VLOOKUP(B230,'Profile selection'!B:C,2,FALSE)="Yes",TRUE,FALSE)</f>
        <v>1</v>
      </c>
      <c r="K230" s="53"/>
      <c r="L230" s="53"/>
    </row>
    <row r="231" spans="1:12" x14ac:dyDescent="0.25">
      <c r="A231" t="str">
        <f>'HIDDEN import'!B231</f>
        <v>TC_C_21_CS</v>
      </c>
      <c r="B231" t="str">
        <f>'HIDDEN import'!C231</f>
        <v>Local Authorization List Management</v>
      </c>
      <c r="C231" t="str">
        <f>'HIDDEN import'!D231</f>
        <v>Offline authorization through local authorization list - Accepted</v>
      </c>
      <c r="D231" t="str">
        <f>IF(VLOOKUP(A231&amp;" "&amp;B231,'HIDDEN import'!A:G,5,FALSE)="M",MD!$A$1,(IF(AND(VLOOKUP(A231,'HIDDEN import'!B:E,4,FALSE)="C",OR(NOT(ISERROR(VLOOKUP(E231,'Optional features'!B:D,1,FALSE)=E231)),NOT(ISERROR(VLOOKUP(E231,'HIDDEN calc sheet'!A:C,1,FALSE)=E231)))),MD!$A$3,MD!$A$2)))</f>
        <v>Mandatory test for a mandatory feature</v>
      </c>
      <c r="E231" t="str">
        <f>IF('HIDDEN import'!F231=0,"",'HIDDEN import'!F231)</f>
        <v>C-30 or C-31 or C-32</v>
      </c>
      <c r="F231" t="str">
        <f>IF('HIDDEN import'!G231=0,"",'HIDDEN import'!G231)</f>
        <v/>
      </c>
      <c r="G231" s="181" t="str">
        <f>IFERROR(VLOOKUP($A231,'HIDDEN Testrun Results'!$A:$B,2,FALSE),"")</f>
        <v/>
      </c>
      <c r="H231" s="11" t="b">
        <f t="shared" si="4"/>
        <v>0</v>
      </c>
      <c r="I231" s="11" t="b">
        <f>IF(VLOOKUP(A231&amp;" "&amp;B231,'HIDDEN import'!A:G,5,FALSE)="M",TRUE,IFERROR(VLOOKUP(E231,'Optional features'!B:D,3,FALSE)="Yes",IFERROR(VLOOKUP(E231,'HIDDEN calc sheet'!A:B,2,FALSE),IFERROR(VLOOKUP(E231,'Additional questions'!B:D,3,FALSE)="Yes",VLOOKUP(E231,'Hardware Feature set'!B:D,3,FALSE)="No"))))</f>
        <v>1</v>
      </c>
      <c r="J231" s="11" t="b">
        <f>IF(VLOOKUP(B231,'Profile selection'!B:C,2,FALSE)="Yes",TRUE,FALSE)</f>
        <v>0</v>
      </c>
      <c r="K231" s="53"/>
      <c r="L231" s="53"/>
    </row>
    <row r="232" spans="1:12" x14ac:dyDescent="0.25">
      <c r="A232" t="str">
        <f>'HIDDEN import'!B232</f>
        <v>TC_C_22_CS</v>
      </c>
      <c r="B232" t="str">
        <f>'HIDDEN import'!C232</f>
        <v>Local Authorization List Management</v>
      </c>
      <c r="C232" t="str">
        <f>'HIDDEN import'!D232</f>
        <v>Offline authorization through local authorization list - Invalid</v>
      </c>
      <c r="D232" t="str">
        <f>IF(VLOOKUP(A232&amp;" "&amp;B232,'HIDDEN import'!A:G,5,FALSE)="M",MD!$A$1,(IF(AND(VLOOKUP(A232,'HIDDEN import'!B:E,4,FALSE)="C",OR(NOT(ISERROR(VLOOKUP(E232,'Optional features'!B:D,1,FALSE)=E232)),NOT(ISERROR(VLOOKUP(E232,'HIDDEN calc sheet'!A:C,1,FALSE)=E232)))),MD!$A$3,MD!$A$2)))</f>
        <v>Mandatory test for a mandatory feature</v>
      </c>
      <c r="E232" t="str">
        <f>IF('HIDDEN import'!F232=0,"",'HIDDEN import'!F232)</f>
        <v>C-30 or C-31 or C-32</v>
      </c>
      <c r="F232" t="str">
        <f>IF('HIDDEN import'!G232=0,"",'HIDDEN import'!G232)</f>
        <v/>
      </c>
      <c r="G232" s="181" t="str">
        <f>IFERROR(VLOOKUP($A232,'HIDDEN Testrun Results'!$A:$B,2,FALSE),"")</f>
        <v/>
      </c>
      <c r="H232" s="11" t="b">
        <f t="shared" si="4"/>
        <v>0</v>
      </c>
      <c r="I232" s="11" t="b">
        <f>IF(VLOOKUP(A232&amp;" "&amp;B232,'HIDDEN import'!A:G,5,FALSE)="M",TRUE,IFERROR(VLOOKUP(E232,'Optional features'!B:D,3,FALSE)="Yes",IFERROR(VLOOKUP(E232,'HIDDEN calc sheet'!A:B,2,FALSE),IFERROR(VLOOKUP(E232,'Additional questions'!B:D,3,FALSE)="Yes",VLOOKUP(E232,'Hardware Feature set'!B:D,3,FALSE)="No"))))</f>
        <v>1</v>
      </c>
      <c r="J232" s="11" t="b">
        <f>IF(VLOOKUP(B232,'Profile selection'!B:C,2,FALSE)="Yes",TRUE,FALSE)</f>
        <v>0</v>
      </c>
      <c r="K232" s="53"/>
      <c r="L232" s="53"/>
    </row>
    <row r="233" spans="1:12" x14ac:dyDescent="0.25">
      <c r="A233" t="str">
        <f>'HIDDEN import'!B233</f>
        <v>TC_C_23_CS</v>
      </c>
      <c r="B233" t="str">
        <f>'HIDDEN import'!C233</f>
        <v>Local Authorization List Management</v>
      </c>
      <c r="C233" t="str">
        <f>'HIDDEN import'!D233</f>
        <v>Offline authorization through local authorization list - Blocked</v>
      </c>
      <c r="D233" t="str">
        <f>IF(VLOOKUP(A233&amp;" "&amp;B233,'HIDDEN import'!A:G,5,FALSE)="M",MD!$A$1,(IF(AND(VLOOKUP(A233,'HIDDEN import'!B:E,4,FALSE)="C",OR(NOT(ISERROR(VLOOKUP(E233,'Optional features'!B:D,1,FALSE)=E233)),NOT(ISERROR(VLOOKUP(E233,'HIDDEN calc sheet'!A:C,1,FALSE)=E233)))),MD!$A$3,MD!$A$2)))</f>
        <v>Mandatory test for a mandatory feature</v>
      </c>
      <c r="E233" t="str">
        <f>IF('HIDDEN import'!F233=0,"",'HIDDEN import'!F233)</f>
        <v>C-30 or C-31 or C-32</v>
      </c>
      <c r="F233" t="str">
        <f>IF('HIDDEN import'!G233=0,"",'HIDDEN import'!G233)</f>
        <v/>
      </c>
      <c r="G233" s="181" t="str">
        <f>IFERROR(VLOOKUP($A233,'HIDDEN Testrun Results'!$A:$B,2,FALSE),"")</f>
        <v/>
      </c>
      <c r="H233" s="11" t="b">
        <f t="shared" si="4"/>
        <v>0</v>
      </c>
      <c r="I233" s="11" t="b">
        <f>IF(VLOOKUP(A233&amp;" "&amp;B233,'HIDDEN import'!A:G,5,FALSE)="M",TRUE,IFERROR(VLOOKUP(E233,'Optional features'!B:D,3,FALSE)="Yes",IFERROR(VLOOKUP(E233,'HIDDEN calc sheet'!A:B,2,FALSE),IFERROR(VLOOKUP(E233,'Additional questions'!B:D,3,FALSE)="Yes",VLOOKUP(E233,'Hardware Feature set'!B:D,3,FALSE)="No"))))</f>
        <v>1</v>
      </c>
      <c r="J233" s="11" t="b">
        <f>IF(VLOOKUP(B233,'Profile selection'!B:C,2,FALSE)="Yes",TRUE,FALSE)</f>
        <v>0</v>
      </c>
      <c r="K233" s="53"/>
      <c r="L233" s="53"/>
    </row>
    <row r="234" spans="1:12" x14ac:dyDescent="0.25">
      <c r="A234" t="str">
        <f>'HIDDEN import'!B234</f>
        <v>TC_C_24_CS</v>
      </c>
      <c r="B234" t="str">
        <f>'HIDDEN import'!C234</f>
        <v>Local Authorization List Management</v>
      </c>
      <c r="C234" t="str">
        <f>'HIDDEN import'!D234</f>
        <v>Offline authorization through local authorization list - Expired</v>
      </c>
      <c r="D234" t="str">
        <f>IF(VLOOKUP(A234&amp;" "&amp;B234,'HIDDEN import'!A:G,5,FALSE)="M",MD!$A$1,(IF(AND(VLOOKUP(A234,'HIDDEN import'!B:E,4,FALSE)="C",OR(NOT(ISERROR(VLOOKUP(E234,'Optional features'!B:D,1,FALSE)=E234)),NOT(ISERROR(VLOOKUP(E234,'HIDDEN calc sheet'!A:C,1,FALSE)=E234)))),MD!$A$3,MD!$A$2)))</f>
        <v>Mandatory test for a mandatory feature</v>
      </c>
      <c r="E234" t="str">
        <f>IF('HIDDEN import'!F234=0,"",'HIDDEN import'!F234)</f>
        <v>C-30 or C-31 or C-32</v>
      </c>
      <c r="F234" t="str">
        <f>IF('HIDDEN import'!G234=0,"",'HIDDEN import'!G234)</f>
        <v/>
      </c>
      <c r="G234" s="181" t="str">
        <f>IFERROR(VLOOKUP($A234,'HIDDEN Testrun Results'!$A:$B,2,FALSE),"")</f>
        <v/>
      </c>
      <c r="H234" s="11" t="b">
        <f t="shared" si="4"/>
        <v>0</v>
      </c>
      <c r="I234" s="11" t="b">
        <f>IF(VLOOKUP(A234&amp;" "&amp;B234,'HIDDEN import'!A:G,5,FALSE)="M",TRUE,IFERROR(VLOOKUP(E234,'Optional features'!B:D,3,FALSE)="Yes",IFERROR(VLOOKUP(E234,'HIDDEN calc sheet'!A:B,2,FALSE),IFERROR(VLOOKUP(E234,'Additional questions'!B:D,3,FALSE)="Yes",VLOOKUP(E234,'Hardware Feature set'!B:D,3,FALSE)="No"))))</f>
        <v>1</v>
      </c>
      <c r="J234" s="11" t="b">
        <f>IF(VLOOKUP(B234,'Profile selection'!B:C,2,FALSE)="Yes",TRUE,FALSE)</f>
        <v>0</v>
      </c>
      <c r="K234" s="53"/>
      <c r="L234" s="53"/>
    </row>
    <row r="235" spans="1:12" x14ac:dyDescent="0.25">
      <c r="A235" t="str">
        <f>'HIDDEN import'!B235</f>
        <v>TC_C_25_CS</v>
      </c>
      <c r="B235" t="str">
        <f>'HIDDEN import'!C235</f>
        <v>Local Authorization List Management</v>
      </c>
      <c r="C235" t="str">
        <f>'HIDDEN import'!D235</f>
        <v>Offline authorization through local authorization list - Local Authorization List &gt; Authorization Cache</v>
      </c>
      <c r="D235" t="str">
        <f>IF(VLOOKUP(A235&amp;" "&amp;B235,'HIDDEN import'!A:G,5,FALSE)="M",MD!$A$1,(IF(AND(VLOOKUP(A235,'HIDDEN import'!B:E,4,FALSE)="C",OR(NOT(ISERROR(VLOOKUP(E235,'Optional features'!B:D,1,FALSE)=E235)),NOT(ISERROR(VLOOKUP(E235,'HIDDEN calc sheet'!A:C,1,FALSE)=E235)))),MD!$A$3,MD!$A$2)))</f>
        <v>Mandatory test for a mandatory feature</v>
      </c>
      <c r="E235" t="str">
        <f>IF('HIDDEN import'!F235=0,"",'HIDDEN import'!F235)</f>
        <v>C-30 or C-31 or C-32</v>
      </c>
      <c r="F235" t="str">
        <f>IF('HIDDEN import'!G235=0,"",'HIDDEN import'!G235)</f>
        <v/>
      </c>
      <c r="G235" s="181" t="str">
        <f>IFERROR(VLOOKUP($A235,'HIDDEN Testrun Results'!$A:$B,2,FALSE),"")</f>
        <v/>
      </c>
      <c r="H235" s="11" t="b">
        <f t="shared" si="4"/>
        <v>0</v>
      </c>
      <c r="I235" s="11" t="b">
        <f>IF(VLOOKUP(A235&amp;" "&amp;B235,'HIDDEN import'!A:G,5,FALSE)="M",TRUE,IFERROR(VLOOKUP(E235,'Optional features'!B:D,3,FALSE)="Yes",IFERROR(VLOOKUP(E235,'HIDDEN calc sheet'!A:B,2,FALSE),IFERROR(VLOOKUP(E235,'Additional questions'!B:D,3,FALSE)="Yes",VLOOKUP(E235,'Hardware Feature set'!B:D,3,FALSE)="No"))))</f>
        <v>1</v>
      </c>
      <c r="J235" s="11" t="b">
        <f>IF(VLOOKUP(B235,'Profile selection'!B:C,2,FALSE)="Yes",TRUE,FALSE)</f>
        <v>0</v>
      </c>
      <c r="K235" s="53"/>
      <c r="L235" s="53"/>
    </row>
    <row r="236" spans="1:12" x14ac:dyDescent="0.25">
      <c r="A236" t="str">
        <f>'HIDDEN import'!B236</f>
        <v>TC_C_27_CS</v>
      </c>
      <c r="B236" t="str">
        <f>'HIDDEN import'!C236</f>
        <v>Local Authorization List Management</v>
      </c>
      <c r="C236" t="str">
        <f>'HIDDEN import'!D236</f>
        <v>Online authorization through local authorization list - Accepted</v>
      </c>
      <c r="D236" t="str">
        <f>IF(VLOOKUP(A236&amp;" "&amp;B236,'HIDDEN import'!A:G,5,FALSE)="M",MD!$A$1,(IF(AND(VLOOKUP(A236,'HIDDEN import'!B:E,4,FALSE)="C",OR(NOT(ISERROR(VLOOKUP(E236,'Optional features'!B:D,1,FALSE)=E236)),NOT(ISERROR(VLOOKUP(E236,'HIDDEN calc sheet'!A:C,1,FALSE)=E236)))),MD!$A$3,MD!$A$2)))</f>
        <v>Mandatory test for a mandatory feature</v>
      </c>
      <c r="E236" t="str">
        <f>IF('HIDDEN import'!F236=0,"",'HIDDEN import'!F236)</f>
        <v>C-30 or C-31 or C-32</v>
      </c>
      <c r="F236" t="str">
        <f>IF('HIDDEN import'!G236=0,"",'HIDDEN import'!G236)</f>
        <v/>
      </c>
      <c r="G236" s="181" t="str">
        <f>IFERROR(VLOOKUP($A236,'HIDDEN Testrun Results'!$A:$B,2,FALSE),"")</f>
        <v/>
      </c>
      <c r="H236" s="11" t="b">
        <f t="shared" si="4"/>
        <v>0</v>
      </c>
      <c r="I236" s="11" t="b">
        <f>IF(VLOOKUP(A236&amp;" "&amp;B236,'HIDDEN import'!A:G,5,FALSE)="M",TRUE,IFERROR(VLOOKUP(E236,'Optional features'!B:D,3,FALSE)="Yes",IFERROR(VLOOKUP(E236,'HIDDEN calc sheet'!A:B,2,FALSE),IFERROR(VLOOKUP(E236,'Additional questions'!B:D,3,FALSE)="Yes",VLOOKUP(E236,'Hardware Feature set'!B:D,3,FALSE)="No"))))</f>
        <v>1</v>
      </c>
      <c r="J236" s="11" t="b">
        <f>IF(VLOOKUP(B236,'Profile selection'!B:C,2,FALSE)="Yes",TRUE,FALSE)</f>
        <v>0</v>
      </c>
      <c r="K236" s="53"/>
      <c r="L236" s="53"/>
    </row>
    <row r="237" spans="1:12" x14ac:dyDescent="0.25">
      <c r="A237" t="str">
        <f>'HIDDEN import'!B237</f>
        <v>TC_C_28_CS</v>
      </c>
      <c r="B237" t="str">
        <f>'HIDDEN import'!C237</f>
        <v>Local Authorization List Management</v>
      </c>
      <c r="C237" t="str">
        <f>'HIDDEN import'!D237</f>
        <v>Online authorization through local authorization list - Invalid &amp; Not Accepted</v>
      </c>
      <c r="D237" t="str">
        <f>IF(VLOOKUP(A237&amp;" "&amp;B237,'HIDDEN import'!A:G,5,FALSE)="M",MD!$A$1,(IF(AND(VLOOKUP(A237,'HIDDEN import'!B:E,4,FALSE)="C",OR(NOT(ISERROR(VLOOKUP(E237,'Optional features'!B:D,1,FALSE)=E237)),NOT(ISERROR(VLOOKUP(E237,'HIDDEN calc sheet'!A:C,1,FALSE)=E237)))),MD!$A$3,MD!$A$2)))</f>
        <v>Mandatory test for a mandatory feature</v>
      </c>
      <c r="E237" t="str">
        <f>IF('HIDDEN import'!F237=0,"",'HIDDEN import'!F237)</f>
        <v>C-30 or C-31 or C-32</v>
      </c>
      <c r="F237" t="str">
        <f>IF('HIDDEN import'!G237=0,"",'HIDDEN import'!G237)</f>
        <v/>
      </c>
      <c r="G237" s="181" t="str">
        <f>IFERROR(VLOOKUP($A237,'HIDDEN Testrun Results'!$A:$B,2,FALSE),"")</f>
        <v/>
      </c>
      <c r="H237" s="11" t="b">
        <f t="shared" si="4"/>
        <v>0</v>
      </c>
      <c r="I237" s="11" t="b">
        <f>IF(VLOOKUP(A237&amp;" "&amp;B237,'HIDDEN import'!A:G,5,FALSE)="M",TRUE,IFERROR(VLOOKUP(E237,'Optional features'!B:D,3,FALSE)="Yes",IFERROR(VLOOKUP(E237,'HIDDEN calc sheet'!A:B,2,FALSE),IFERROR(VLOOKUP(E237,'Additional questions'!B:D,3,FALSE)="Yes",VLOOKUP(E237,'Hardware Feature set'!B:D,3,FALSE)="No"))))</f>
        <v>1</v>
      </c>
      <c r="J237" s="11" t="b">
        <f>IF(VLOOKUP(B237,'Profile selection'!B:C,2,FALSE)="Yes",TRUE,FALSE)</f>
        <v>0</v>
      </c>
      <c r="K237" s="53"/>
      <c r="L237" s="53"/>
    </row>
    <row r="238" spans="1:12" x14ac:dyDescent="0.25">
      <c r="A238" t="str">
        <f>'HIDDEN import'!B238</f>
        <v>TC_C_31_CS</v>
      </c>
      <c r="B238" t="str">
        <f>'HIDDEN import'!C238</f>
        <v>Local Authorization List Management</v>
      </c>
      <c r="C238" t="str">
        <f>'HIDDEN import'!D238</f>
        <v>Online authorization through local authorization list - Invalid &amp; Accepted</v>
      </c>
      <c r="D238" t="str">
        <f>IF(VLOOKUP(A238&amp;" "&amp;B238,'HIDDEN import'!A:G,5,FALSE)="M",MD!$A$1,(IF(AND(VLOOKUP(A238,'HIDDEN import'!B:E,4,FALSE)="C",OR(NOT(ISERROR(VLOOKUP(E238,'Optional features'!B:D,1,FALSE)=E238)),NOT(ISERROR(VLOOKUP(E238,'HIDDEN calc sheet'!A:C,1,FALSE)=E238)))),MD!$A$3,MD!$A$2)))</f>
        <v>Mandatory test for a mandatory feature</v>
      </c>
      <c r="E238" t="str">
        <f>IF('HIDDEN import'!F238=0,"",'HIDDEN import'!F238)</f>
        <v>C-30 or C-31 or C-32</v>
      </c>
      <c r="F238" t="str">
        <f>IF('HIDDEN import'!G238=0,"",'HIDDEN import'!G238)</f>
        <v/>
      </c>
      <c r="G238" s="181" t="str">
        <f>IFERROR(VLOOKUP($A238,'HIDDEN Testrun Results'!$A:$B,2,FALSE),"")</f>
        <v/>
      </c>
      <c r="H238" s="11" t="b">
        <f t="shared" si="4"/>
        <v>0</v>
      </c>
      <c r="I238" s="11" t="b">
        <f>IF(VLOOKUP(A238&amp;" "&amp;B238,'HIDDEN import'!A:G,5,FALSE)="M",TRUE,IFERROR(VLOOKUP(E238,'Optional features'!B:D,3,FALSE)="Yes",IFERROR(VLOOKUP(E238,'HIDDEN calc sheet'!A:B,2,FALSE),IFERROR(VLOOKUP(E238,'Additional questions'!B:D,3,FALSE)="Yes",VLOOKUP(E238,'Hardware Feature set'!B:D,3,FALSE)="No"))))</f>
        <v>1</v>
      </c>
      <c r="J238" s="11" t="b">
        <f>IF(VLOOKUP(B238,'Profile selection'!B:C,2,FALSE)="Yes",TRUE,FALSE)</f>
        <v>0</v>
      </c>
      <c r="K238" s="53"/>
      <c r="L238" s="53"/>
    </row>
    <row r="239" spans="1:12" x14ac:dyDescent="0.25">
      <c r="A239" t="str">
        <f>'HIDDEN import'!B239</f>
        <v>TC_C_29_CS</v>
      </c>
      <c r="B239" t="str">
        <f>'HIDDEN import'!C239</f>
        <v>Local Authorization List Management</v>
      </c>
      <c r="C239" t="str">
        <f>'HIDDEN import'!D239</f>
        <v>Online authorization through local authorization list - Blocked</v>
      </c>
      <c r="D239" t="str">
        <f>IF(VLOOKUP(A239&amp;" "&amp;B239,'HIDDEN import'!A:G,5,FALSE)="M",MD!$A$1,(IF(AND(VLOOKUP(A239,'HIDDEN import'!B:E,4,FALSE)="C",OR(NOT(ISERROR(VLOOKUP(E239,'Optional features'!B:D,1,FALSE)=E239)),NOT(ISERROR(VLOOKUP(E239,'HIDDEN calc sheet'!A:C,1,FALSE)=E239)))),MD!$A$3,MD!$A$2)))</f>
        <v>Mandatory test for a mandatory feature</v>
      </c>
      <c r="E239" t="str">
        <f>IF('HIDDEN import'!F239=0,"",'HIDDEN import'!F239)</f>
        <v>C-30 or C-31 or C-32</v>
      </c>
      <c r="F239" t="str">
        <f>IF('HIDDEN import'!G239=0,"",'HIDDEN import'!G239)</f>
        <v/>
      </c>
      <c r="G239" s="181" t="str">
        <f>IFERROR(VLOOKUP($A239,'HIDDEN Testrun Results'!$A:$B,2,FALSE),"")</f>
        <v/>
      </c>
      <c r="H239" s="11" t="b">
        <f t="shared" si="4"/>
        <v>0</v>
      </c>
      <c r="I239" s="11" t="b">
        <f>IF(VLOOKUP(A239&amp;" "&amp;B239,'HIDDEN import'!A:G,5,FALSE)="M",TRUE,IFERROR(VLOOKUP(E239,'Optional features'!B:D,3,FALSE)="Yes",IFERROR(VLOOKUP(E239,'HIDDEN calc sheet'!A:B,2,FALSE),IFERROR(VLOOKUP(E239,'Additional questions'!B:D,3,FALSE)="Yes",VLOOKUP(E239,'Hardware Feature set'!B:D,3,FALSE)="No"))))</f>
        <v>1</v>
      </c>
      <c r="J239" s="11" t="b">
        <f>IF(VLOOKUP(B239,'Profile selection'!B:C,2,FALSE)="Yes",TRUE,FALSE)</f>
        <v>0</v>
      </c>
      <c r="K239" s="53"/>
      <c r="L239" s="53"/>
    </row>
    <row r="240" spans="1:12" x14ac:dyDescent="0.25">
      <c r="A240" t="str">
        <f>'HIDDEN import'!B240</f>
        <v>TC_C_30_CS</v>
      </c>
      <c r="B240" t="str">
        <f>'HIDDEN import'!C240</f>
        <v>Local Authorization List Management</v>
      </c>
      <c r="C240" t="str">
        <f>'HIDDEN import'!D240</f>
        <v>Online authorization through local authorization list - Expired</v>
      </c>
      <c r="D240" t="str">
        <f>IF(VLOOKUP(A240&amp;" "&amp;B240,'HIDDEN import'!A:G,5,FALSE)="M",MD!$A$1,(IF(AND(VLOOKUP(A240,'HIDDEN import'!B:E,4,FALSE)="C",OR(NOT(ISERROR(VLOOKUP(E240,'Optional features'!B:D,1,FALSE)=E240)),NOT(ISERROR(VLOOKUP(E240,'HIDDEN calc sheet'!A:C,1,FALSE)=E240)))),MD!$A$3,MD!$A$2)))</f>
        <v>Mandatory test for a mandatory feature</v>
      </c>
      <c r="E240" t="str">
        <f>IF('HIDDEN import'!F240=0,"",'HIDDEN import'!F240)</f>
        <v>C-30 or C-31 or C-32</v>
      </c>
      <c r="F240" t="str">
        <f>IF('HIDDEN import'!G240=0,"",'HIDDEN import'!G240)</f>
        <v/>
      </c>
      <c r="G240" s="181" t="str">
        <f>IFERROR(VLOOKUP($A240,'HIDDEN Testrun Results'!$A:$B,2,FALSE),"")</f>
        <v/>
      </c>
      <c r="H240" s="11" t="b">
        <f t="shared" si="4"/>
        <v>0</v>
      </c>
      <c r="I240" s="11" t="b">
        <f>IF(VLOOKUP(A240&amp;" "&amp;B240,'HIDDEN import'!A:G,5,FALSE)="M",TRUE,IFERROR(VLOOKUP(E240,'Optional features'!B:D,3,FALSE)="Yes",IFERROR(VLOOKUP(E240,'HIDDEN calc sheet'!A:B,2,FALSE),IFERROR(VLOOKUP(E240,'Additional questions'!B:D,3,FALSE)="Yes",VLOOKUP(E240,'Hardware Feature set'!B:D,3,FALSE)="No"))))</f>
        <v>1</v>
      </c>
      <c r="J240" s="11" t="b">
        <f>IF(VLOOKUP(B240,'Profile selection'!B:C,2,FALSE)="Yes",TRUE,FALSE)</f>
        <v>0</v>
      </c>
      <c r="K240" s="53"/>
      <c r="L240" s="53"/>
    </row>
    <row r="241" spans="1:12" x14ac:dyDescent="0.25">
      <c r="A241" t="str">
        <f>'HIDDEN import'!B241</f>
        <v>TC_C_58_CS</v>
      </c>
      <c r="B241" t="str">
        <f>'HIDDEN import'!C241</f>
        <v>Local Authorization List Management</v>
      </c>
      <c r="C241" t="str">
        <f>'HIDDEN import'!D241</f>
        <v>Online authorization through local authorization list - LocalAuthListDisablePostAuthorize</v>
      </c>
      <c r="D241" t="str">
        <f>IF(VLOOKUP(A241&amp;" "&amp;B241,'HIDDEN import'!A:G,5,FALSE)="M",MD!$A$1,(IF(AND(VLOOKUP(A241,'HIDDEN import'!B:E,4,FALSE)="C",OR(NOT(ISERROR(VLOOKUP(E241,'Optional features'!B:D,1,FALSE)=E241)),NOT(ISERROR(VLOOKUP(E241,'HIDDEN calc sheet'!A:C,1,FALSE)=E241)))),MD!$A$3,MD!$A$2)))</f>
        <v>Mandatory for optional feature</v>
      </c>
      <c r="E241" t="str">
        <f>IF('HIDDEN import'!F241=0,"",'HIDDEN import'!F241)</f>
        <v>LA-3 and (C-30 or C-31 or C-32)</v>
      </c>
      <c r="F241" t="str">
        <f>IF('HIDDEN import'!G241=0,"",'HIDDEN import'!G241)</f>
        <v/>
      </c>
      <c r="G241" s="181" t="str">
        <f>IFERROR(VLOOKUP($A241,'HIDDEN Testrun Results'!$A:$B,2,FALSE),"")</f>
        <v/>
      </c>
      <c r="H241" s="11" t="b">
        <f t="shared" si="4"/>
        <v>0</v>
      </c>
      <c r="I241" s="11" t="b">
        <f>IF(VLOOKUP(A241&amp;" "&amp;B241,'HIDDEN import'!A:G,5,FALSE)="M",TRUE,IFERROR(VLOOKUP(E241,'Optional features'!B:D,3,FALSE)="Yes",IFERROR(VLOOKUP(E241,'HIDDEN calc sheet'!A:B,2,FALSE),IFERROR(VLOOKUP(E241,'Additional questions'!B:D,3,FALSE)="Yes",VLOOKUP(E241,'Hardware Feature set'!B:D,3,FALSE)="No"))))</f>
        <v>0</v>
      </c>
      <c r="J241" s="11" t="b">
        <f>IF(VLOOKUP(B241,'Profile selection'!B:C,2,FALSE)="Yes",TRUE,FALSE)</f>
        <v>0</v>
      </c>
      <c r="K241" s="53"/>
      <c r="L241" s="53"/>
    </row>
    <row r="242" spans="1:12" x14ac:dyDescent="0.25">
      <c r="A242" t="str">
        <f>'HIDDEN import'!B242</f>
        <v>TC_C_40_CS</v>
      </c>
      <c r="B242" t="str">
        <f>'HIDDEN import'!C242</f>
        <v>Local Authorization List Management</v>
      </c>
      <c r="C242" t="str">
        <f>'HIDDEN import'!D242</f>
        <v>Authorization by GroupId - Success with Local Authorization List</v>
      </c>
      <c r="D242" t="str">
        <f>IF(VLOOKUP(A242&amp;" "&amp;B242,'HIDDEN import'!A:G,5,FALSE)="M",MD!$A$1,(IF(AND(VLOOKUP(A242,'HIDDEN import'!B:E,4,FALSE)="C",OR(NOT(ISERROR(VLOOKUP(E242,'Optional features'!B:D,1,FALSE)=E242)),NOT(ISERROR(VLOOKUP(E242,'HIDDEN calc sheet'!A:C,1,FALSE)=E242)))),MD!$A$3,MD!$A$2)))</f>
        <v>Mandatory test for a mandatory feature</v>
      </c>
      <c r="E242" t="str">
        <f>IF('HIDDEN import'!F242=0,"",'HIDDEN import'!F242)</f>
        <v>C-30 or C-31 or C-32</v>
      </c>
      <c r="F242" t="str">
        <f>IF('HIDDEN import'!G242=0,"",'HIDDEN import'!G242)</f>
        <v/>
      </c>
      <c r="G242" s="181" t="str">
        <f>IFERROR(VLOOKUP($A242,'HIDDEN Testrun Results'!$A:$B,2,FALSE),"")</f>
        <v/>
      </c>
      <c r="H242" s="11" t="b">
        <f t="shared" ref="H242:H305" si="5">IF(NOT(J242),FALSE,IF(NOT(ISLOGICAL(I242)),I242,AND(I242,J242)))</f>
        <v>0</v>
      </c>
      <c r="I242" s="11" t="b">
        <f>IF(VLOOKUP(A242&amp;" "&amp;B242,'HIDDEN import'!A:G,5,FALSE)="M",TRUE,IFERROR(VLOOKUP(E242,'Optional features'!B:D,3,FALSE)="Yes",IFERROR(VLOOKUP(E242,'HIDDEN calc sheet'!A:B,2,FALSE),IFERROR(VLOOKUP(E242,'Additional questions'!B:D,3,FALSE)="Yes",VLOOKUP(E242,'Hardware Feature set'!B:D,3,FALSE)="No"))))</f>
        <v>1</v>
      </c>
      <c r="J242" s="11" t="b">
        <f>IF(VLOOKUP(B242,'Profile selection'!B:C,2,FALSE)="Yes",TRUE,FALSE)</f>
        <v>0</v>
      </c>
      <c r="K242" s="53"/>
      <c r="L242" s="53"/>
    </row>
    <row r="243" spans="1:12" x14ac:dyDescent="0.25">
      <c r="A243" t="str">
        <f>'HIDDEN import'!B243</f>
        <v>TC_C_43_CS</v>
      </c>
      <c r="B243" t="str">
        <f>'HIDDEN import'!C243</f>
        <v>Local Authorization List Management</v>
      </c>
      <c r="C243" t="str">
        <f>'HIDDEN import'!D243</f>
        <v>Authorization by GroupId - Invalid status with Local Authorization List</v>
      </c>
      <c r="D243" t="str">
        <f>IF(VLOOKUP(A243&amp;" "&amp;B243,'HIDDEN import'!A:G,5,FALSE)="M",MD!$A$1,(IF(AND(VLOOKUP(A243,'HIDDEN import'!B:E,4,FALSE)="C",OR(NOT(ISERROR(VLOOKUP(E243,'Optional features'!B:D,1,FALSE)=E243)),NOT(ISERROR(VLOOKUP(E243,'HIDDEN calc sheet'!A:C,1,FALSE)=E243)))),MD!$A$3,MD!$A$2)))</f>
        <v>Mandatory test for a mandatory feature</v>
      </c>
      <c r="E243" t="str">
        <f>IF('HIDDEN import'!F243=0,"",'HIDDEN import'!F243)</f>
        <v>C-30 or C-31 or C-32</v>
      </c>
      <c r="F243" t="str">
        <f>IF('HIDDEN import'!G243=0,"",'HIDDEN import'!G243)</f>
        <v/>
      </c>
      <c r="G243" s="181" t="str">
        <f>IFERROR(VLOOKUP($A243,'HIDDEN Testrun Results'!$A:$B,2,FALSE),"")</f>
        <v/>
      </c>
      <c r="H243" s="11" t="b">
        <f t="shared" si="5"/>
        <v>0</v>
      </c>
      <c r="I243" s="11" t="b">
        <f>IF(VLOOKUP(A243&amp;" "&amp;B243,'HIDDEN import'!A:G,5,FALSE)="M",TRUE,IFERROR(VLOOKUP(E243,'Optional features'!B:D,3,FALSE)="Yes",IFERROR(VLOOKUP(E243,'HIDDEN calc sheet'!A:B,2,FALSE),IFERROR(VLOOKUP(E243,'Additional questions'!B:D,3,FALSE)="Yes",VLOOKUP(E243,'Hardware Feature set'!B:D,3,FALSE)="No"))))</f>
        <v>1</v>
      </c>
      <c r="J243" s="11" t="b">
        <f>IF(VLOOKUP(B243,'Profile selection'!B:C,2,FALSE)="Yes",TRUE,FALSE)</f>
        <v>0</v>
      </c>
      <c r="K243" s="53"/>
      <c r="L243" s="53"/>
    </row>
    <row r="244" spans="1:12" x14ac:dyDescent="0.25">
      <c r="A244" t="str">
        <f>'HIDDEN import'!B244</f>
        <v>TC_D_01_CS</v>
      </c>
      <c r="B244" t="str">
        <f>'HIDDEN import'!C244</f>
        <v>Local Authorization List Management</v>
      </c>
      <c r="C244" t="str">
        <f>'HIDDEN import'!D244</f>
        <v>Send Local Authorization List - Full</v>
      </c>
      <c r="D244" t="str">
        <f>IF(VLOOKUP(A244&amp;" "&amp;B244,'HIDDEN import'!A:G,5,FALSE)="M",MD!$A$1,(IF(AND(VLOOKUP(A244,'HIDDEN import'!B:E,4,FALSE)="C",OR(NOT(ISERROR(VLOOKUP(E244,'Optional features'!B:D,1,FALSE)=E244)),NOT(ISERROR(VLOOKUP(E244,'HIDDEN calc sheet'!A:C,1,FALSE)=E244)))),MD!$A$3,MD!$A$2)))</f>
        <v>Mandatory test for a mandatory feature</v>
      </c>
      <c r="E244" t="str">
        <f>IF('HIDDEN import'!F244=0,"",'HIDDEN import'!F244)</f>
        <v/>
      </c>
      <c r="F244" t="str">
        <f>IF('HIDDEN import'!G244=0,"",'HIDDEN import'!G244)</f>
        <v/>
      </c>
      <c r="G244" s="181" t="str">
        <f>IFERROR(VLOOKUP($A244,'HIDDEN Testrun Results'!$A:$B,2,FALSE),"")</f>
        <v/>
      </c>
      <c r="H244" s="11" t="b">
        <f t="shared" si="5"/>
        <v>0</v>
      </c>
      <c r="I244" s="11" t="b">
        <f>IF(VLOOKUP(A244&amp;" "&amp;B244,'HIDDEN import'!A:G,5,FALSE)="M",TRUE,IFERROR(VLOOKUP(E244,'Optional features'!B:D,3,FALSE)="Yes",IFERROR(VLOOKUP(E244,'HIDDEN calc sheet'!A:B,2,FALSE),IFERROR(VLOOKUP(E244,'Additional questions'!B:D,3,FALSE)="Yes",VLOOKUP(E244,'Hardware Feature set'!B:D,3,FALSE)="No"))))</f>
        <v>1</v>
      </c>
      <c r="J244" s="11" t="b">
        <f>IF(VLOOKUP(B244,'Profile selection'!B:C,2,FALSE)="Yes",TRUE,FALSE)</f>
        <v>0</v>
      </c>
      <c r="K244" s="53"/>
      <c r="L244" s="53"/>
    </row>
    <row r="245" spans="1:12" x14ac:dyDescent="0.25">
      <c r="A245" t="str">
        <f>'HIDDEN import'!B245</f>
        <v>TC_D_02_CS</v>
      </c>
      <c r="B245" t="str">
        <f>'HIDDEN import'!C245</f>
        <v>Local Authorization List Management</v>
      </c>
      <c r="C245" t="str">
        <f>'HIDDEN import'!D245</f>
        <v>Send Local Authorization List - Differential Update</v>
      </c>
      <c r="D245" t="str">
        <f>IF(VLOOKUP(A245&amp;" "&amp;B245,'HIDDEN import'!A:G,5,FALSE)="M",MD!$A$1,(IF(AND(VLOOKUP(A245,'HIDDEN import'!B:E,4,FALSE)="C",OR(NOT(ISERROR(VLOOKUP(E245,'Optional features'!B:D,1,FALSE)=E245)),NOT(ISERROR(VLOOKUP(E245,'HIDDEN calc sheet'!A:C,1,FALSE)=E245)))),MD!$A$3,MD!$A$2)))</f>
        <v>Mandatory test for a mandatory feature</v>
      </c>
      <c r="E245" t="str">
        <f>IF('HIDDEN import'!F245=0,"",'HIDDEN import'!F245)</f>
        <v/>
      </c>
      <c r="F245" t="str">
        <f>IF('HIDDEN import'!G245=0,"",'HIDDEN import'!G245)</f>
        <v/>
      </c>
      <c r="G245" s="181" t="str">
        <f>IFERROR(VLOOKUP($A245,'HIDDEN Testrun Results'!$A:$B,2,FALSE),"")</f>
        <v/>
      </c>
      <c r="H245" s="11" t="b">
        <f t="shared" si="5"/>
        <v>0</v>
      </c>
      <c r="I245" s="11" t="b">
        <f>IF(VLOOKUP(A245&amp;" "&amp;B245,'HIDDEN import'!A:G,5,FALSE)="M",TRUE,IFERROR(VLOOKUP(E245,'Optional features'!B:D,3,FALSE)="Yes",IFERROR(VLOOKUP(E245,'HIDDEN calc sheet'!A:B,2,FALSE),IFERROR(VLOOKUP(E245,'Additional questions'!B:D,3,FALSE)="Yes",VLOOKUP(E245,'Hardware Feature set'!B:D,3,FALSE)="No"))))</f>
        <v>1</v>
      </c>
      <c r="J245" s="11" t="b">
        <f>IF(VLOOKUP(B245,'Profile selection'!B:C,2,FALSE)="Yes",TRUE,FALSE)</f>
        <v>0</v>
      </c>
      <c r="K245" s="53"/>
      <c r="L245" s="53"/>
    </row>
    <row r="246" spans="1:12" x14ac:dyDescent="0.25">
      <c r="A246" t="str">
        <f>'HIDDEN import'!B246</f>
        <v>TC_D_03_CS</v>
      </c>
      <c r="B246" t="str">
        <f>'HIDDEN import'!C246</f>
        <v>Local Authorization List Management</v>
      </c>
      <c r="C246" t="str">
        <f>'HIDDEN import'!D246</f>
        <v>Send Local Authorization List - Differential Remove</v>
      </c>
      <c r="D246" t="str">
        <f>IF(VLOOKUP(A246&amp;" "&amp;B246,'HIDDEN import'!A:G,5,FALSE)="M",MD!$A$1,(IF(AND(VLOOKUP(A246,'HIDDEN import'!B:E,4,FALSE)="C",OR(NOT(ISERROR(VLOOKUP(E246,'Optional features'!B:D,1,FALSE)=E246)),NOT(ISERROR(VLOOKUP(E246,'HIDDEN calc sheet'!A:C,1,FALSE)=E246)))),MD!$A$3,MD!$A$2)))</f>
        <v>Mandatory test for a mandatory feature</v>
      </c>
      <c r="E246" t="str">
        <f>IF('HIDDEN import'!F246=0,"",'HIDDEN import'!F246)</f>
        <v/>
      </c>
      <c r="F246" t="str">
        <f>IF('HIDDEN import'!G246=0,"",'HIDDEN import'!G246)</f>
        <v/>
      </c>
      <c r="G246" s="181" t="str">
        <f>IFERROR(VLOOKUP($A246,'HIDDEN Testrun Results'!$A:$B,2,FALSE),"")</f>
        <v/>
      </c>
      <c r="H246" s="11" t="b">
        <f t="shared" si="5"/>
        <v>0</v>
      </c>
      <c r="I246" s="11" t="b">
        <f>IF(VLOOKUP(A246&amp;" "&amp;B246,'HIDDEN import'!A:G,5,FALSE)="M",TRUE,IFERROR(VLOOKUP(E246,'Optional features'!B:D,3,FALSE)="Yes",IFERROR(VLOOKUP(E246,'HIDDEN calc sheet'!A:B,2,FALSE),IFERROR(VLOOKUP(E246,'Additional questions'!B:D,3,FALSE)="Yes",VLOOKUP(E246,'Hardware Feature set'!B:D,3,FALSE)="No"))))</f>
        <v>1</v>
      </c>
      <c r="J246" s="11" t="b">
        <f>IF(VLOOKUP(B246,'Profile selection'!B:C,2,FALSE)="Yes",TRUE,FALSE)</f>
        <v>0</v>
      </c>
      <c r="K246" s="53"/>
      <c r="L246" s="53"/>
    </row>
    <row r="247" spans="1:12" x14ac:dyDescent="0.25">
      <c r="A247" t="str">
        <f>'HIDDEN import'!B247</f>
        <v>TC_D_04_CS</v>
      </c>
      <c r="B247" t="str">
        <f>'HIDDEN import'!C247</f>
        <v>Local Authorization List Management</v>
      </c>
      <c r="C247" t="str">
        <f>'HIDDEN import'!D247</f>
        <v>Send Local Authorization List - Full with empy list</v>
      </c>
      <c r="D247" t="str">
        <f>IF(VLOOKUP(A247&amp;" "&amp;B247,'HIDDEN import'!A:G,5,FALSE)="M",MD!$A$1,(IF(AND(VLOOKUP(A247,'HIDDEN import'!B:E,4,FALSE)="C",OR(NOT(ISERROR(VLOOKUP(E247,'Optional features'!B:D,1,FALSE)=E247)),NOT(ISERROR(VLOOKUP(E247,'HIDDEN calc sheet'!A:C,1,FALSE)=E247)))),MD!$A$3,MD!$A$2)))</f>
        <v>Mandatory test for a mandatory feature</v>
      </c>
      <c r="E247" t="str">
        <f>IF('HIDDEN import'!F247=0,"",'HIDDEN import'!F247)</f>
        <v/>
      </c>
      <c r="F247" t="str">
        <f>IF('HIDDEN import'!G247=0,"",'HIDDEN import'!G247)</f>
        <v/>
      </c>
      <c r="G247" s="181" t="str">
        <f>IFERROR(VLOOKUP($A247,'HIDDEN Testrun Results'!$A:$B,2,FALSE),"")</f>
        <v/>
      </c>
      <c r="H247" s="11" t="b">
        <f t="shared" si="5"/>
        <v>0</v>
      </c>
      <c r="I247" s="11" t="b">
        <f>IF(VLOOKUP(A247&amp;" "&amp;B247,'HIDDEN import'!A:G,5,FALSE)="M",TRUE,IFERROR(VLOOKUP(E247,'Optional features'!B:D,3,FALSE)="Yes",IFERROR(VLOOKUP(E247,'HIDDEN calc sheet'!A:B,2,FALSE),IFERROR(VLOOKUP(E247,'Additional questions'!B:D,3,FALSE)="Yes",VLOOKUP(E247,'Hardware Feature set'!B:D,3,FALSE)="No"))))</f>
        <v>1</v>
      </c>
      <c r="J247" s="11" t="b">
        <f>IF(VLOOKUP(B247,'Profile selection'!B:C,2,FALSE)="Yes",TRUE,FALSE)</f>
        <v>0</v>
      </c>
      <c r="K247" s="53"/>
      <c r="L247" s="53"/>
    </row>
    <row r="248" spans="1:12" x14ac:dyDescent="0.25">
      <c r="A248" t="str">
        <f>'HIDDEN import'!B248</f>
        <v>TC_D_05_CS</v>
      </c>
      <c r="B248" t="str">
        <f>'HIDDEN import'!C248</f>
        <v>Local Authorization List Management</v>
      </c>
      <c r="C248" t="str">
        <f>'HIDDEN import'!D248</f>
        <v>Send Local Authorization List - Differential with empty list</v>
      </c>
      <c r="D248" t="str">
        <f>IF(VLOOKUP(A248&amp;" "&amp;B248,'HIDDEN import'!A:G,5,FALSE)="M",MD!$A$1,(IF(AND(VLOOKUP(A248,'HIDDEN import'!B:E,4,FALSE)="C",OR(NOT(ISERROR(VLOOKUP(E248,'Optional features'!B:D,1,FALSE)=E248)),NOT(ISERROR(VLOOKUP(E248,'HIDDEN calc sheet'!A:C,1,FALSE)=E248)))),MD!$A$3,MD!$A$2)))</f>
        <v>Mandatory test for a mandatory feature</v>
      </c>
      <c r="E248" t="str">
        <f>IF('HIDDEN import'!F248=0,"",'HIDDEN import'!F248)</f>
        <v/>
      </c>
      <c r="F248" t="str">
        <f>IF('HIDDEN import'!G248=0,"",'HIDDEN import'!G248)</f>
        <v/>
      </c>
      <c r="G248" s="181" t="str">
        <f>IFERROR(VLOOKUP($A248,'HIDDEN Testrun Results'!$A:$B,2,FALSE),"")</f>
        <v/>
      </c>
      <c r="H248" s="11" t="b">
        <f t="shared" si="5"/>
        <v>0</v>
      </c>
      <c r="I248" s="11" t="b">
        <f>IF(VLOOKUP(A248&amp;" "&amp;B248,'HIDDEN import'!A:G,5,FALSE)="M",TRUE,IFERROR(VLOOKUP(E248,'Optional features'!B:D,3,FALSE)="Yes",IFERROR(VLOOKUP(E248,'HIDDEN calc sheet'!A:B,2,FALSE),IFERROR(VLOOKUP(E248,'Additional questions'!B:D,3,FALSE)="Yes",VLOOKUP(E248,'Hardware Feature set'!B:D,3,FALSE)="No"))))</f>
        <v>1</v>
      </c>
      <c r="J248" s="11" t="b">
        <f>IF(VLOOKUP(B248,'Profile selection'!B:C,2,FALSE)="Yes",TRUE,FALSE)</f>
        <v>0</v>
      </c>
      <c r="K248" s="53"/>
      <c r="L248" s="53"/>
    </row>
    <row r="249" spans="1:12" x14ac:dyDescent="0.25">
      <c r="A249" t="str">
        <f>'HIDDEN import'!B249</f>
        <v>TC_D_06_CS</v>
      </c>
      <c r="B249" t="str">
        <f>'HIDDEN import'!C249</f>
        <v>Local Authorization List Management</v>
      </c>
      <c r="C249" t="str">
        <f>'HIDDEN import'!D249</f>
        <v>Send Local Authorization List - VersionMismatch</v>
      </c>
      <c r="D249" t="str">
        <f>IF(VLOOKUP(A249&amp;" "&amp;B249,'HIDDEN import'!A:G,5,FALSE)="M",MD!$A$1,(IF(AND(VLOOKUP(A249,'HIDDEN import'!B:E,4,FALSE)="C",OR(NOT(ISERROR(VLOOKUP(E249,'Optional features'!B:D,1,FALSE)=E249)),NOT(ISERROR(VLOOKUP(E249,'HIDDEN calc sheet'!A:C,1,FALSE)=E249)))),MD!$A$3,MD!$A$2)))</f>
        <v>Mandatory test for a mandatory feature</v>
      </c>
      <c r="E249" t="str">
        <f>IF('HIDDEN import'!F249=0,"",'HIDDEN import'!F249)</f>
        <v/>
      </c>
      <c r="F249" t="str">
        <f>IF('HIDDEN import'!G249=0,"",'HIDDEN import'!G249)</f>
        <v/>
      </c>
      <c r="G249" s="181" t="str">
        <f>IFERROR(VLOOKUP($A249,'HIDDEN Testrun Results'!$A:$B,2,FALSE),"")</f>
        <v/>
      </c>
      <c r="H249" s="11" t="b">
        <f t="shared" si="5"/>
        <v>0</v>
      </c>
      <c r="I249" s="11" t="b">
        <f>IF(VLOOKUP(A249&amp;" "&amp;B249,'HIDDEN import'!A:G,5,FALSE)="M",TRUE,IFERROR(VLOOKUP(E249,'Optional features'!B:D,3,FALSE)="Yes",IFERROR(VLOOKUP(E249,'HIDDEN calc sheet'!A:B,2,FALSE),IFERROR(VLOOKUP(E249,'Additional questions'!B:D,3,FALSE)="Yes",VLOOKUP(E249,'Hardware Feature set'!B:D,3,FALSE)="No"))))</f>
        <v>1</v>
      </c>
      <c r="J249" s="11" t="b">
        <f>IF(VLOOKUP(B249,'Profile selection'!B:C,2,FALSE)="Yes",TRUE,FALSE)</f>
        <v>0</v>
      </c>
      <c r="K249" s="53"/>
      <c r="L249" s="53"/>
    </row>
    <row r="250" spans="1:12" x14ac:dyDescent="0.25">
      <c r="A250" t="str">
        <f>'HIDDEN import'!B250</f>
        <v>TC_D_07_CS</v>
      </c>
      <c r="B250" t="str">
        <f>'HIDDEN import'!C250</f>
        <v>Local Authorization List Management</v>
      </c>
      <c r="C250" t="str">
        <f>'HIDDEN import'!D250</f>
        <v>Send Local Authorization List - Persistent over reboot</v>
      </c>
      <c r="D250" t="str">
        <f>IF(VLOOKUP(A250&amp;" "&amp;B250,'HIDDEN import'!A:G,5,FALSE)="M",MD!$A$1,(IF(AND(VLOOKUP(A250,'HIDDEN import'!B:E,4,FALSE)="C",OR(NOT(ISERROR(VLOOKUP(E250,'Optional features'!B:D,1,FALSE)=E250)),NOT(ISERROR(VLOOKUP(E250,'HIDDEN calc sheet'!A:C,1,FALSE)=E250)))),MD!$A$3,MD!$A$2)))</f>
        <v>Mandatory test for a mandatory feature</v>
      </c>
      <c r="E250" t="str">
        <f>IF('HIDDEN import'!F250=0,"",'HIDDEN import'!F250)</f>
        <v/>
      </c>
      <c r="F250" t="str">
        <f>IF('HIDDEN import'!G250=0,"",'HIDDEN import'!G250)</f>
        <v/>
      </c>
      <c r="G250" s="181" t="str">
        <f>IFERROR(VLOOKUP($A250,'HIDDEN Testrun Results'!$A:$B,2,FALSE),"")</f>
        <v/>
      </c>
      <c r="H250" s="11" t="b">
        <f t="shared" si="5"/>
        <v>0</v>
      </c>
      <c r="I250" s="11" t="b">
        <f>IF(VLOOKUP(A250&amp;" "&amp;B250,'HIDDEN import'!A:G,5,FALSE)="M",TRUE,IFERROR(VLOOKUP(E250,'Optional features'!B:D,3,FALSE)="Yes",IFERROR(VLOOKUP(E250,'HIDDEN calc sheet'!A:B,2,FALSE),IFERROR(VLOOKUP(E250,'Additional questions'!B:D,3,FALSE)="Yes",VLOOKUP(E250,'Hardware Feature set'!B:D,3,FALSE)="No"))))</f>
        <v>1</v>
      </c>
      <c r="J250" s="11" t="b">
        <f>IF(VLOOKUP(B250,'Profile selection'!B:C,2,FALSE)="Yes",TRUE,FALSE)</f>
        <v>0</v>
      </c>
      <c r="K250" s="53"/>
      <c r="L250" s="53"/>
    </row>
    <row r="251" spans="1:12" x14ac:dyDescent="0.25">
      <c r="A251" t="str">
        <f>'HIDDEN import'!B251</f>
        <v>TC_D_08_CS</v>
      </c>
      <c r="B251" t="str">
        <f>'HIDDEN import'!C251</f>
        <v>Local Authorization List Management</v>
      </c>
      <c r="C251" t="str">
        <f>'HIDDEN import'!D251</f>
        <v>Get Local List Version - Success</v>
      </c>
      <c r="D251" t="str">
        <f>IF(VLOOKUP(A251&amp;" "&amp;B251,'HIDDEN import'!A:G,5,FALSE)="M",MD!$A$1,(IF(AND(VLOOKUP(A251,'HIDDEN import'!B:E,4,FALSE)="C",OR(NOT(ISERROR(VLOOKUP(E251,'Optional features'!B:D,1,FALSE)=E251)),NOT(ISERROR(VLOOKUP(E251,'HIDDEN calc sheet'!A:C,1,FALSE)=E251)))),MD!$A$3,MD!$A$2)))</f>
        <v>Mandatory test for a mandatory feature</v>
      </c>
      <c r="E251" t="str">
        <f>IF('HIDDEN import'!F251=0,"",'HIDDEN import'!F251)</f>
        <v>LA-2</v>
      </c>
      <c r="F251" t="str">
        <f>IF('HIDDEN import'!G251=0,"",'HIDDEN import'!G251)</f>
        <v>GetLocalListVersion</v>
      </c>
      <c r="G251" s="181" t="str">
        <f>IFERROR(VLOOKUP($A251,'HIDDEN Testrun Results'!$A:$B,2,FALSE),"")</f>
        <v/>
      </c>
      <c r="H251" s="11" t="b">
        <f t="shared" si="5"/>
        <v>0</v>
      </c>
      <c r="I251" s="11" t="b">
        <f>IF(VLOOKUP(A251&amp;" "&amp;B251,'HIDDEN import'!A:G,5,FALSE)="M",TRUE,IFERROR(VLOOKUP(E251,'Optional features'!B:D,3,FALSE)="Yes",IFERROR(VLOOKUP(E251,'HIDDEN calc sheet'!A:B,2,FALSE),IFERROR(VLOOKUP(E251,'Additional questions'!B:D,3,FALSE)="Yes",VLOOKUP(E251,'Hardware Feature set'!B:D,3,FALSE)="No"))))</f>
        <v>1</v>
      </c>
      <c r="J251" s="11" t="b">
        <f>IF(VLOOKUP(B251,'Profile selection'!B:C,2,FALSE)="Yes",TRUE,FALSE)</f>
        <v>0</v>
      </c>
      <c r="K251" s="53"/>
      <c r="L251" s="53"/>
    </row>
    <row r="252" spans="1:12" x14ac:dyDescent="0.25">
      <c r="A252" t="str">
        <f>'HIDDEN import'!B252</f>
        <v>TC_D_10_CS</v>
      </c>
      <c r="B252" t="str">
        <f>'HIDDEN import'!C252</f>
        <v>Local Authorization List Management</v>
      </c>
      <c r="C252" t="str">
        <f>'HIDDEN import'!D252</f>
        <v>Get Local List Version - Function disabled</v>
      </c>
      <c r="D252" t="str">
        <f>IF(VLOOKUP(A252&amp;" "&amp;B252,'HIDDEN import'!A:G,5,FALSE)="M",MD!$A$1,(IF(AND(VLOOKUP(A252,'HIDDEN import'!B:E,4,FALSE)="C",OR(NOT(ISERROR(VLOOKUP(E252,'Optional features'!B:D,1,FALSE)=E252)),NOT(ISERROR(VLOOKUP(E252,'HIDDEN calc sheet'!A:C,1,FALSE)=E252)))),MD!$A$3,MD!$A$2)))</f>
        <v>Mandatory test for a mandatory feature</v>
      </c>
      <c r="E252" t="str">
        <f>IF('HIDDEN import'!F252=0,"",'HIDDEN import'!F252)</f>
        <v/>
      </c>
      <c r="F252" t="str">
        <f>IF('HIDDEN import'!G252=0,"",'HIDDEN import'!G252)</f>
        <v/>
      </c>
      <c r="G252" s="181" t="str">
        <f>IFERROR(VLOOKUP($A252,'HIDDEN Testrun Results'!$A:$B,2,FALSE),"")</f>
        <v/>
      </c>
      <c r="H252" s="11" t="b">
        <f t="shared" si="5"/>
        <v>0</v>
      </c>
      <c r="I252" s="11" t="b">
        <f>IF(VLOOKUP(A252&amp;" "&amp;B252,'HIDDEN import'!A:G,5,FALSE)="M",TRUE,IFERROR(VLOOKUP(E252,'Optional features'!B:D,3,FALSE)="Yes",IFERROR(VLOOKUP(E252,'HIDDEN calc sheet'!A:B,2,FALSE),IFERROR(VLOOKUP(E252,'Additional questions'!B:D,3,FALSE)="Yes",VLOOKUP(E252,'Hardware Feature set'!B:D,3,FALSE)="No"))))</f>
        <v>1</v>
      </c>
      <c r="J252" s="11" t="b">
        <f>IF(VLOOKUP(B252,'Profile selection'!B:C,2,FALSE)="Yes",TRUE,FALSE)</f>
        <v>0</v>
      </c>
      <c r="K252" s="53"/>
      <c r="L252" s="53"/>
    </row>
    <row r="253" spans="1:12" x14ac:dyDescent="0.25">
      <c r="A253" t="str">
        <f>'HIDDEN import'!B253</f>
        <v>TC_K_01_CS</v>
      </c>
      <c r="B253" t="str">
        <f>'HIDDEN import'!C253</f>
        <v>Smart Charging</v>
      </c>
      <c r="C253" t="str">
        <f>'HIDDEN import'!D253</f>
        <v>Set Charging Profile - TxDefaultProfile - Specific EVSE</v>
      </c>
      <c r="D253" t="str">
        <f>IF(VLOOKUP(A253&amp;" "&amp;B253,'HIDDEN import'!A:G,5,FALSE)="M",MD!$A$1,(IF(AND(VLOOKUP(A253,'HIDDEN import'!B:E,4,FALSE)="C",OR(NOT(ISERROR(VLOOKUP(E253,'Optional features'!B:D,1,FALSE)=E253)),NOT(ISERROR(VLOOKUP(E253,'HIDDEN calc sheet'!A:C,1,FALSE)=E253)))),MD!$A$3,MD!$A$2)))</f>
        <v>Mandatory test for a mandatory feature</v>
      </c>
      <c r="E253" t="str">
        <f>IF('HIDDEN import'!F253=0,"",'HIDDEN import'!F253)</f>
        <v/>
      </c>
      <c r="F253" t="str">
        <f>IF('HIDDEN import'!G253=0,"",'HIDDEN import'!G253)</f>
        <v/>
      </c>
      <c r="G253" s="181" t="str">
        <f>IFERROR(VLOOKUP($A253,'HIDDEN Testrun Results'!$A:$B,2,FALSE),"")</f>
        <v/>
      </c>
      <c r="H253" s="11" t="b">
        <f t="shared" si="5"/>
        <v>0</v>
      </c>
      <c r="I253" s="11" t="b">
        <f>IF(VLOOKUP(A253&amp;" "&amp;B253,'HIDDEN import'!A:G,5,FALSE)="M",TRUE,IFERROR(VLOOKUP(E253,'Optional features'!B:D,3,FALSE)="Yes",IFERROR(VLOOKUP(E253,'HIDDEN calc sheet'!A:B,2,FALSE),IFERROR(VLOOKUP(E253,'Additional questions'!B:D,3,FALSE)="Yes",VLOOKUP(E253,'Hardware Feature set'!B:D,3,FALSE)="No"))))</f>
        <v>1</v>
      </c>
      <c r="J253" s="11" t="b">
        <f>IF(VLOOKUP(B253,'Profile selection'!B:C,2,FALSE)="Yes",TRUE,FALSE)</f>
        <v>0</v>
      </c>
      <c r="K253" s="53"/>
      <c r="L253" s="53"/>
    </row>
    <row r="254" spans="1:12" x14ac:dyDescent="0.25">
      <c r="A254" t="str">
        <f>'HIDDEN import'!B254</f>
        <v>TC_K_10_CS</v>
      </c>
      <c r="B254" t="str">
        <f>'HIDDEN import'!C254</f>
        <v>Smart Charging</v>
      </c>
      <c r="C254" t="str">
        <f>'HIDDEN import'!D254</f>
        <v>Set Charging Profile - TxDefaultProfile - All EVSE</v>
      </c>
      <c r="D254" t="str">
        <f>IF(VLOOKUP(A254&amp;" "&amp;B254,'HIDDEN import'!A:G,5,FALSE)="M",MD!$A$1,(IF(AND(VLOOKUP(A254,'HIDDEN import'!B:E,4,FALSE)="C",OR(NOT(ISERROR(VLOOKUP(E254,'Optional features'!B:D,1,FALSE)=E254)),NOT(ISERROR(VLOOKUP(E254,'HIDDEN calc sheet'!A:C,1,FALSE)=E254)))),MD!$A$3,MD!$A$2)))</f>
        <v>Mandatory test for a mandatory feature</v>
      </c>
      <c r="E254" t="str">
        <f>IF('HIDDEN import'!F254=0,"",'HIDDEN import'!F254)</f>
        <v>SC-4</v>
      </c>
      <c r="F254" t="str">
        <f>IF('HIDDEN import'!G254=0,"",'HIDDEN import'!G254)</f>
        <v>Support for TxDefaultProfile on EVSEID #0</v>
      </c>
      <c r="G254" s="181" t="str">
        <f>IFERROR(VLOOKUP($A254,'HIDDEN Testrun Results'!$A:$B,2,FALSE),"")</f>
        <v/>
      </c>
      <c r="H254" s="11" t="b">
        <f t="shared" si="5"/>
        <v>0</v>
      </c>
      <c r="I254" s="11" t="b">
        <f>IF(VLOOKUP(A254&amp;" "&amp;B254,'HIDDEN import'!A:G,5,FALSE)="M",TRUE,IFERROR(VLOOKUP(E254,'Optional features'!B:D,3,FALSE)="Yes",IFERROR(VLOOKUP(E254,'HIDDEN calc sheet'!A:B,2,FALSE),IFERROR(VLOOKUP(E254,'Additional questions'!B:D,3,FALSE)="Yes",VLOOKUP(E254,'Hardware Feature set'!B:D,3,FALSE)="No"))))</f>
        <v>1</v>
      </c>
      <c r="J254" s="11" t="b">
        <f>IF(VLOOKUP(B254,'Profile selection'!B:C,2,FALSE)="Yes",TRUE,FALSE)</f>
        <v>0</v>
      </c>
      <c r="K254" s="53"/>
      <c r="L254" s="53"/>
    </row>
    <row r="255" spans="1:12" x14ac:dyDescent="0.25">
      <c r="A255" t="str">
        <f>'HIDDEN import'!B255</f>
        <v>TC_K_60_CS</v>
      </c>
      <c r="B255" t="str">
        <f>'HIDDEN import'!C255</f>
        <v>Smart Charging</v>
      </c>
      <c r="C255" t="str">
        <f>'HIDDEN import'!D255</f>
        <v>Set Charging Profile - TxProfile with ongoing transaction on the specified EVSE</v>
      </c>
      <c r="D255" t="str">
        <f>IF(VLOOKUP(A255&amp;" "&amp;B255,'HIDDEN import'!A:G,5,FALSE)="M",MD!$A$1,(IF(AND(VLOOKUP(A255,'HIDDEN import'!B:E,4,FALSE)="C",OR(NOT(ISERROR(VLOOKUP(E255,'Optional features'!B:D,1,FALSE)=E255)),NOT(ISERROR(VLOOKUP(E255,'HIDDEN calc sheet'!A:C,1,FALSE)=E255)))),MD!$A$3,MD!$A$2)))</f>
        <v>Mandatory test for a mandatory feature</v>
      </c>
      <c r="E255" t="str">
        <f>IF('HIDDEN import'!F255=0,"",'HIDDEN import'!F255)</f>
        <v/>
      </c>
      <c r="F255" t="str">
        <f>IF('HIDDEN import'!G255=0,"",'HIDDEN import'!G255)</f>
        <v/>
      </c>
      <c r="G255" s="181" t="str">
        <f>IFERROR(VLOOKUP($A255,'HIDDEN Testrun Results'!$A:$B,2,FALSE),"")</f>
        <v/>
      </c>
      <c r="H255" s="11" t="b">
        <f t="shared" si="5"/>
        <v>0</v>
      </c>
      <c r="I255" s="11" t="b">
        <f>IF(VLOOKUP(A255&amp;" "&amp;B255,'HIDDEN import'!A:G,5,FALSE)="M",TRUE,IFERROR(VLOOKUP(E255,'Optional features'!B:D,3,FALSE)="Yes",IFERROR(VLOOKUP(E255,'HIDDEN calc sheet'!A:B,2,FALSE),IFERROR(VLOOKUP(E255,'Additional questions'!B:D,3,FALSE)="Yes",VLOOKUP(E255,'Hardware Feature set'!B:D,3,FALSE)="No"))))</f>
        <v>1</v>
      </c>
      <c r="J255" s="11" t="b">
        <f>IF(VLOOKUP(B255,'Profile selection'!B:C,2,FALSE)="Yes",TRUE,FALSE)</f>
        <v>0</v>
      </c>
      <c r="K255" s="53"/>
      <c r="L255" s="53"/>
    </row>
    <row r="256" spans="1:12" x14ac:dyDescent="0.25">
      <c r="A256" t="str">
        <f>'HIDDEN import'!B256</f>
        <v>TC_K_02_CS</v>
      </c>
      <c r="B256" t="str">
        <f>'HIDDEN import'!C256</f>
        <v>Smart Charging</v>
      </c>
      <c r="C256" t="str">
        <f>'HIDDEN import'!D256</f>
        <v>Set Charging Profile - TxProfile without ongoing transaction on the specified EVSE</v>
      </c>
      <c r="D256" t="str">
        <f>IF(VLOOKUP(A256&amp;" "&amp;B256,'HIDDEN import'!A:G,5,FALSE)="M",MD!$A$1,(IF(AND(VLOOKUP(A256,'HIDDEN import'!B:E,4,FALSE)="C",OR(NOT(ISERROR(VLOOKUP(E256,'Optional features'!B:D,1,FALSE)=E256)),NOT(ISERROR(VLOOKUP(E256,'HIDDEN calc sheet'!A:C,1,FALSE)=E256)))),MD!$A$3,MD!$A$2)))</f>
        <v>Mandatory test for a mandatory feature</v>
      </c>
      <c r="E256" t="str">
        <f>IF('HIDDEN import'!F256=0,"",'HIDDEN import'!F256)</f>
        <v/>
      </c>
      <c r="F256" t="str">
        <f>IF('HIDDEN import'!G256=0,"",'HIDDEN import'!G256)</f>
        <v/>
      </c>
      <c r="G256" s="181" t="str">
        <f>IFERROR(VLOOKUP($A256,'HIDDEN Testrun Results'!$A:$B,2,FALSE),"")</f>
        <v/>
      </c>
      <c r="H256" s="11" t="b">
        <f t="shared" si="5"/>
        <v>0</v>
      </c>
      <c r="I256" s="11" t="b">
        <f>IF(VLOOKUP(A256&amp;" "&amp;B256,'HIDDEN import'!A:G,5,FALSE)="M",TRUE,IFERROR(VLOOKUP(E256,'Optional features'!B:D,3,FALSE)="Yes",IFERROR(VLOOKUP(E256,'HIDDEN calc sheet'!A:B,2,FALSE),IFERROR(VLOOKUP(E256,'Additional questions'!B:D,3,FALSE)="Yes",VLOOKUP(E256,'Hardware Feature set'!B:D,3,FALSE)="No"))))</f>
        <v>1</v>
      </c>
      <c r="J256" s="11" t="b">
        <f>IF(VLOOKUP(B256,'Profile selection'!B:C,2,FALSE)="Yes",TRUE,FALSE)</f>
        <v>0</v>
      </c>
      <c r="K256" s="53"/>
      <c r="L256" s="53"/>
    </row>
    <row r="257" spans="1:12" x14ac:dyDescent="0.25">
      <c r="A257" t="str">
        <f>'HIDDEN import'!B257</f>
        <v>TC_K_11_CS</v>
      </c>
      <c r="B257" t="str">
        <f>'HIDDEN import'!C257</f>
        <v>Smart Charging</v>
      </c>
      <c r="C257" t="str">
        <f>'HIDDEN import'!D257</f>
        <v>Set Charging Profile - Unable to set TxProfile on all EVSE at once</v>
      </c>
      <c r="D257" t="str">
        <f>IF(VLOOKUP(A257&amp;" "&amp;B257,'HIDDEN import'!A:G,5,FALSE)="M",MD!$A$1,(IF(AND(VLOOKUP(A257,'HIDDEN import'!B:E,4,FALSE)="C",OR(NOT(ISERROR(VLOOKUP(E257,'Optional features'!B:D,1,FALSE)=E257)),NOT(ISERROR(VLOOKUP(E257,'HIDDEN calc sheet'!A:C,1,FALSE)=E257)))),MD!$A$3,MD!$A$2)))</f>
        <v>Mandatory test for a mandatory feature</v>
      </c>
      <c r="E257" t="str">
        <f>IF('HIDDEN import'!F257=0,"",'HIDDEN import'!F257)</f>
        <v/>
      </c>
      <c r="F257" t="str">
        <f>IF('HIDDEN import'!G257=0,"",'HIDDEN import'!G257)</f>
        <v/>
      </c>
      <c r="G257" s="181" t="str">
        <f>IFERROR(VLOOKUP($A257,'HIDDEN Testrun Results'!$A:$B,2,FALSE),"")</f>
        <v/>
      </c>
      <c r="H257" s="11" t="b">
        <f t="shared" si="5"/>
        <v>0</v>
      </c>
      <c r="I257" s="11" t="b">
        <f>IF(VLOOKUP(A257&amp;" "&amp;B257,'HIDDEN import'!A:G,5,FALSE)="M",TRUE,IFERROR(VLOOKUP(E257,'Optional features'!B:D,3,FALSE)="Yes",IFERROR(VLOOKUP(E257,'HIDDEN calc sheet'!A:B,2,FALSE),IFERROR(VLOOKUP(E257,'Additional questions'!B:D,3,FALSE)="Yes",VLOOKUP(E257,'Hardware Feature set'!B:D,3,FALSE)="No"))))</f>
        <v>1</v>
      </c>
      <c r="J257" s="11" t="b">
        <f>IF(VLOOKUP(B257,'Profile selection'!B:C,2,FALSE)="Yes",TRUE,FALSE)</f>
        <v>0</v>
      </c>
      <c r="K257" s="53"/>
      <c r="L257" s="53"/>
    </row>
    <row r="258" spans="1:12" x14ac:dyDescent="0.25">
      <c r="A258" t="str">
        <f>'HIDDEN import'!B258</f>
        <v>TC_K_03_CS</v>
      </c>
      <c r="B258" t="str">
        <f>'HIDDEN import'!C258</f>
        <v>Smart Charging</v>
      </c>
      <c r="C258" t="str">
        <f>'HIDDEN import'!D258</f>
        <v>Set Charging Profile - ChargingStationMaxProfile</v>
      </c>
      <c r="D258" t="str">
        <f>IF(VLOOKUP(A258&amp;" "&amp;B258,'HIDDEN import'!A:G,5,FALSE)="M",MD!$A$1,(IF(AND(VLOOKUP(A258,'HIDDEN import'!B:E,4,FALSE)="C",OR(NOT(ISERROR(VLOOKUP(E258,'Optional features'!B:D,1,FALSE)=E258)),NOT(ISERROR(VLOOKUP(E258,'HIDDEN calc sheet'!A:C,1,FALSE)=E258)))),MD!$A$3,MD!$A$2)))</f>
        <v>Mandatory test for a mandatory feature</v>
      </c>
      <c r="E258" t="str">
        <f>IF('HIDDEN import'!F258=0,"",'HIDDEN import'!F258)</f>
        <v/>
      </c>
      <c r="F258" t="str">
        <f>IF('HIDDEN import'!G258=0,"",'HIDDEN import'!G258)</f>
        <v/>
      </c>
      <c r="G258" s="181" t="str">
        <f>IFERROR(VLOOKUP($A258,'HIDDEN Testrun Results'!$A:$B,2,FALSE),"")</f>
        <v/>
      </c>
      <c r="H258" s="11" t="b">
        <f t="shared" si="5"/>
        <v>0</v>
      </c>
      <c r="I258" s="11" t="b">
        <f>IF(VLOOKUP(A258&amp;" "&amp;B258,'HIDDEN import'!A:G,5,FALSE)="M",TRUE,IFERROR(VLOOKUP(E258,'Optional features'!B:D,3,FALSE)="Yes",IFERROR(VLOOKUP(E258,'HIDDEN calc sheet'!A:B,2,FALSE),IFERROR(VLOOKUP(E258,'Additional questions'!B:D,3,FALSE)="Yes",VLOOKUP(E258,'Hardware Feature set'!B:D,3,FALSE)="No"))))</f>
        <v>1</v>
      </c>
      <c r="J258" s="11" t="b">
        <f>IF(VLOOKUP(B258,'Profile selection'!B:C,2,FALSE)="Yes",TRUE,FALSE)</f>
        <v>0</v>
      </c>
      <c r="K258" s="53"/>
      <c r="L258" s="53"/>
    </row>
    <row r="259" spans="1:12" x14ac:dyDescent="0.25">
      <c r="A259" t="str">
        <f>'HIDDEN import'!B259</f>
        <v>TC_K_19_CS</v>
      </c>
      <c r="B259" t="str">
        <f>'HIDDEN import'!C259</f>
        <v>Smart Charging</v>
      </c>
      <c r="C259" t="str">
        <f>'HIDDEN import'!D259</f>
        <v>Set Charging Profile - ChargingProfileKind is Recurring</v>
      </c>
      <c r="D259" t="str">
        <f>IF(VLOOKUP(A259&amp;" "&amp;B259,'HIDDEN import'!A:G,5,FALSE)="M",MD!$A$1,(IF(AND(VLOOKUP(A259,'HIDDEN import'!B:E,4,FALSE)="C",OR(NOT(ISERROR(VLOOKUP(E259,'Optional features'!B:D,1,FALSE)=E259)),NOT(ISERROR(VLOOKUP(E259,'HIDDEN calc sheet'!A:C,1,FALSE)=E259)))),MD!$A$3,MD!$A$2)))</f>
        <v>Mandatory test for a mandatory feature</v>
      </c>
      <c r="E259" t="str">
        <f>IF('HIDDEN import'!F259=0,"",'HIDDEN import'!F259)</f>
        <v/>
      </c>
      <c r="F259" t="str">
        <f>IF('HIDDEN import'!G259=0,"",'HIDDEN import'!G259)</f>
        <v/>
      </c>
      <c r="G259" s="181" t="str">
        <f>IFERROR(VLOOKUP($A259,'HIDDEN Testrun Results'!$A:$B,2,FALSE),"")</f>
        <v/>
      </c>
      <c r="H259" s="11" t="b">
        <f t="shared" si="5"/>
        <v>0</v>
      </c>
      <c r="I259" s="11" t="b">
        <f>IF(VLOOKUP(A259&amp;" "&amp;B259,'HIDDEN import'!A:G,5,FALSE)="M",TRUE,IFERROR(VLOOKUP(E259,'Optional features'!B:D,3,FALSE)="Yes",IFERROR(VLOOKUP(E259,'HIDDEN calc sheet'!A:B,2,FALSE),IFERROR(VLOOKUP(E259,'Additional questions'!B:D,3,FALSE)="Yes",VLOOKUP(E259,'Hardware Feature set'!B:D,3,FALSE)="No"))))</f>
        <v>1</v>
      </c>
      <c r="J259" s="11" t="b">
        <f>IF(VLOOKUP(B259,'Profile selection'!B:C,2,FALSE)="Yes",TRUE,FALSE)</f>
        <v>0</v>
      </c>
      <c r="K259" s="53"/>
      <c r="L259" s="53"/>
    </row>
    <row r="260" spans="1:12" x14ac:dyDescent="0.25">
      <c r="A260" t="str">
        <f>'HIDDEN import'!B260</f>
        <v>TC_K_12_CS</v>
      </c>
      <c r="B260" t="str">
        <f>'HIDDEN import'!C260</f>
        <v>Smart Charging</v>
      </c>
      <c r="C260" t="str">
        <f>'HIDDEN import'!D260</f>
        <v>Set Charging Profile - ChargerRateUnit Rejected</v>
      </c>
      <c r="D260" t="str">
        <f>IF(VLOOKUP(A260&amp;" "&amp;B260,'HIDDEN import'!A:G,5,FALSE)="M",MD!$A$1,(IF(AND(VLOOKUP(A260,'HIDDEN import'!B:E,4,FALSE)="C",OR(NOT(ISERROR(VLOOKUP(E260,'Optional features'!B:D,1,FALSE)=E260)),NOT(ISERROR(VLOOKUP(E260,'HIDDEN calc sheet'!A:C,1,FALSE)=E260)))),MD!$A$3,MD!$A$2)))</f>
        <v>Mandatory for optional feature</v>
      </c>
      <c r="E260" t="str">
        <f>IF('HIDDEN import'!F260=0,"",'HIDDEN import'!F260)</f>
        <v>NOT (SC-2.1 and SC-2.2)</v>
      </c>
      <c r="F260" t="str">
        <f>IF('HIDDEN import'!G260=0,"",'HIDDEN import'!G260)</f>
        <v/>
      </c>
      <c r="G260" s="181" t="str">
        <f>IFERROR(VLOOKUP($A260,'HIDDEN Testrun Results'!$A:$B,2,FALSE),"")</f>
        <v/>
      </c>
      <c r="H260" s="11" t="b">
        <f t="shared" si="5"/>
        <v>0</v>
      </c>
      <c r="I260" s="11" t="b">
        <f>IF(VLOOKUP(A260&amp;" "&amp;B260,'HIDDEN import'!A:G,5,FALSE)="M",TRUE,IFERROR(VLOOKUP(E260,'Optional features'!B:D,3,FALSE)="Yes",IFERROR(VLOOKUP(E260,'HIDDEN calc sheet'!A:B,2,FALSE),IFERROR(VLOOKUP(E260,'Additional questions'!B:D,3,FALSE)="Yes",VLOOKUP(E260,'Hardware Feature set'!B:D,3,FALSE)="No"))))</f>
        <v>1</v>
      </c>
      <c r="J260" s="11" t="b">
        <f>IF(VLOOKUP(B260,'Profile selection'!B:C,2,FALSE)="Yes",TRUE,FALSE)</f>
        <v>0</v>
      </c>
      <c r="K260" s="53"/>
      <c r="L260" s="53"/>
    </row>
    <row r="261" spans="1:12" x14ac:dyDescent="0.25">
      <c r="A261" t="str">
        <f>'HIDDEN import'!B261</f>
        <v>TC_K_13_CS</v>
      </c>
      <c r="B261" t="str">
        <f>'HIDDEN import'!C261</f>
        <v>Smart Charging</v>
      </c>
      <c r="C261" t="str">
        <f>'HIDDEN import'!D261</f>
        <v>Set Charging Profile - Persistent over reboot</v>
      </c>
      <c r="D261" t="str">
        <f>IF(VLOOKUP(A261&amp;" "&amp;B261,'HIDDEN import'!A:G,5,FALSE)="M",MD!$A$1,(IF(AND(VLOOKUP(A261,'HIDDEN import'!B:E,4,FALSE)="C",OR(NOT(ISERROR(VLOOKUP(E261,'Optional features'!B:D,1,FALSE)=E261)),NOT(ISERROR(VLOOKUP(E261,'HIDDEN calc sheet'!A:C,1,FALSE)=E261)))),MD!$A$3,MD!$A$2)))</f>
        <v>Mandatory test for a mandatory feature</v>
      </c>
      <c r="E261" t="str">
        <f>IF('HIDDEN import'!F261=0,"",'HIDDEN import'!F261)</f>
        <v/>
      </c>
      <c r="F261" t="str">
        <f>IF('HIDDEN import'!G261=0,"",'HIDDEN import'!G261)</f>
        <v/>
      </c>
      <c r="G261" s="181" t="str">
        <f>IFERROR(VLOOKUP($A261,'HIDDEN Testrun Results'!$A:$B,2,FALSE),"")</f>
        <v/>
      </c>
      <c r="H261" s="11" t="b">
        <f t="shared" si="5"/>
        <v>0</v>
      </c>
      <c r="I261" s="11" t="b">
        <f>IF(VLOOKUP(A261&amp;" "&amp;B261,'HIDDEN import'!A:G,5,FALSE)="M",TRUE,IFERROR(VLOOKUP(E261,'Optional features'!B:D,3,FALSE)="Yes",IFERROR(VLOOKUP(E261,'HIDDEN calc sheet'!A:B,2,FALSE),IFERROR(VLOOKUP(E261,'Additional questions'!B:D,3,FALSE)="Yes",VLOOKUP(E261,'Hardware Feature set'!B:D,3,FALSE)="No"))))</f>
        <v>1</v>
      </c>
      <c r="J261" s="11" t="b">
        <f>IF(VLOOKUP(B261,'Profile selection'!B:C,2,FALSE)="Yes",TRUE,FALSE)</f>
        <v>0</v>
      </c>
      <c r="K261" s="53"/>
      <c r="L261" s="53"/>
    </row>
    <row r="262" spans="1:12" x14ac:dyDescent="0.25">
      <c r="A262" t="str">
        <f>'HIDDEN import'!B262</f>
        <v>TC_K_14_CS</v>
      </c>
      <c r="B262" t="str">
        <f>'HIDDEN import'!C262</f>
        <v>Smart Charging</v>
      </c>
      <c r="C262" t="str">
        <f>'HIDDEN import'!D262</f>
        <v>Set Charging Profile - Unexisting EVSEid</v>
      </c>
      <c r="D262" t="str">
        <f>IF(VLOOKUP(A262&amp;" "&amp;B262,'HIDDEN import'!A:G,5,FALSE)="M",MD!$A$1,(IF(AND(VLOOKUP(A262,'HIDDEN import'!B:E,4,FALSE)="C",OR(NOT(ISERROR(VLOOKUP(E262,'Optional features'!B:D,1,FALSE)=E262)),NOT(ISERROR(VLOOKUP(E262,'HIDDEN calc sheet'!A:C,1,FALSE)=E262)))),MD!$A$3,MD!$A$2)))</f>
        <v>Mandatory test for a mandatory feature</v>
      </c>
      <c r="E262" t="str">
        <f>IF('HIDDEN import'!F262=0,"",'HIDDEN import'!F262)</f>
        <v/>
      </c>
      <c r="F262" t="str">
        <f>IF('HIDDEN import'!G262=0,"",'HIDDEN import'!G262)</f>
        <v/>
      </c>
      <c r="G262" s="181" t="str">
        <f>IFERROR(VLOOKUP($A262,'HIDDEN Testrun Results'!$A:$B,2,FALSE),"")</f>
        <v/>
      </c>
      <c r="H262" s="11" t="b">
        <f t="shared" si="5"/>
        <v>0</v>
      </c>
      <c r="I262" s="11" t="b">
        <f>IF(VLOOKUP(A262&amp;" "&amp;B262,'HIDDEN import'!A:G,5,FALSE)="M",TRUE,IFERROR(VLOOKUP(E262,'Optional features'!B:D,3,FALSE)="Yes",IFERROR(VLOOKUP(E262,'HIDDEN calc sheet'!A:B,2,FALSE),IFERROR(VLOOKUP(E262,'Additional questions'!B:D,3,FALSE)="Yes",VLOOKUP(E262,'Hardware Feature set'!B:D,3,FALSE)="No"))))</f>
        <v>1</v>
      </c>
      <c r="J262" s="11" t="b">
        <f>IF(VLOOKUP(B262,'Profile selection'!B:C,2,FALSE)="Yes",TRUE,FALSE)</f>
        <v>0</v>
      </c>
      <c r="K262" s="53"/>
      <c r="L262" s="53"/>
    </row>
    <row r="263" spans="1:12" x14ac:dyDescent="0.25">
      <c r="A263" t="str">
        <f>'HIDDEN import'!B263</f>
        <v>TC_K_28_CS</v>
      </c>
      <c r="B263" t="str">
        <f>'HIDDEN import'!C263</f>
        <v>Smart Charging</v>
      </c>
      <c r="C263" t="str">
        <f>'HIDDEN import'!D263</f>
        <v>Set Charging Profile - TxDefaultProfile with transaction ongoing</v>
      </c>
      <c r="D263" t="str">
        <f>IF(VLOOKUP(A263&amp;" "&amp;B263,'HIDDEN import'!A:G,5,FALSE)="M",MD!$A$1,(IF(AND(VLOOKUP(A263,'HIDDEN import'!B:E,4,FALSE)="C",OR(NOT(ISERROR(VLOOKUP(E263,'Optional features'!B:D,1,FALSE)=E263)),NOT(ISERROR(VLOOKUP(E263,'HIDDEN calc sheet'!A:C,1,FALSE)=E263)))),MD!$A$3,MD!$A$2)))</f>
        <v>Mandatory test for a mandatory feature</v>
      </c>
      <c r="E263" t="str">
        <f>IF('HIDDEN import'!F263=0,"",'HIDDEN import'!F263)</f>
        <v/>
      </c>
      <c r="F263" t="str">
        <f>IF('HIDDEN import'!G263=0,"",'HIDDEN import'!G263)</f>
        <v/>
      </c>
      <c r="G263" s="181" t="str">
        <f>IFERROR(VLOOKUP($A263,'HIDDEN Testrun Results'!$A:$B,2,FALSE),"")</f>
        <v/>
      </c>
      <c r="H263" s="11" t="b">
        <f t="shared" si="5"/>
        <v>0</v>
      </c>
      <c r="I263" s="11" t="b">
        <f>IF(VLOOKUP(A263&amp;" "&amp;B263,'HIDDEN import'!A:G,5,FALSE)="M",TRUE,IFERROR(VLOOKUP(E263,'Optional features'!B:D,3,FALSE)="Yes",IFERROR(VLOOKUP(E263,'HIDDEN calc sheet'!A:B,2,FALSE),IFERROR(VLOOKUP(E263,'Additional questions'!B:D,3,FALSE)="Yes",VLOOKUP(E263,'Hardware Feature set'!B:D,3,FALSE)="No"))))</f>
        <v>1</v>
      </c>
      <c r="J263" s="11" t="b">
        <f>IF(VLOOKUP(B263,'Profile selection'!B:C,2,FALSE)="Yes",TRUE,FALSE)</f>
        <v>0</v>
      </c>
      <c r="K263" s="53"/>
      <c r="L263" s="53"/>
    </row>
    <row r="264" spans="1:12" x14ac:dyDescent="0.25">
      <c r="A264" t="str">
        <f>'HIDDEN import'!B264</f>
        <v>TC_K_16_CS</v>
      </c>
      <c r="B264" t="str">
        <f>'HIDDEN import'!C264</f>
        <v>Smart Charging</v>
      </c>
      <c r="C264" t="str">
        <f>'HIDDEN import'!D264</f>
        <v>Set Charging Profile - Unknown transactionId</v>
      </c>
      <c r="D264" t="str">
        <f>IF(VLOOKUP(A264&amp;" "&amp;B264,'HIDDEN import'!A:G,5,FALSE)="M",MD!$A$1,(IF(AND(VLOOKUP(A264,'HIDDEN import'!B:E,4,FALSE)="C",OR(NOT(ISERROR(VLOOKUP(E264,'Optional features'!B:D,1,FALSE)=E264)),NOT(ISERROR(VLOOKUP(E264,'HIDDEN calc sheet'!A:C,1,FALSE)=E264)))),MD!$A$3,MD!$A$2)))</f>
        <v>Mandatory test for a mandatory feature</v>
      </c>
      <c r="E264" t="str">
        <f>IF('HIDDEN import'!F264=0,"",'HIDDEN import'!F264)</f>
        <v/>
      </c>
      <c r="F264" t="str">
        <f>IF('HIDDEN import'!G264=0,"",'HIDDEN import'!G264)</f>
        <v/>
      </c>
      <c r="G264" s="181" t="str">
        <f>IFERROR(VLOOKUP($A264,'HIDDEN Testrun Results'!$A:$B,2,FALSE),"")</f>
        <v/>
      </c>
      <c r="H264" s="11" t="b">
        <f t="shared" si="5"/>
        <v>0</v>
      </c>
      <c r="I264" s="11" t="b">
        <f>IF(VLOOKUP(A264&amp;" "&amp;B264,'HIDDEN import'!A:G,5,FALSE)="M",TRUE,IFERROR(VLOOKUP(E264,'Optional features'!B:D,3,FALSE)="Yes",IFERROR(VLOOKUP(E264,'HIDDEN calc sheet'!A:B,2,FALSE),IFERROR(VLOOKUP(E264,'Additional questions'!B:D,3,FALSE)="Yes",VLOOKUP(E264,'Hardware Feature set'!B:D,3,FALSE)="No"))))</f>
        <v>1</v>
      </c>
      <c r="J264" s="11" t="b">
        <f>IF(VLOOKUP(B264,'Profile selection'!B:C,2,FALSE)="Yes",TRUE,FALSE)</f>
        <v>0</v>
      </c>
      <c r="K264" s="53"/>
      <c r="L264" s="53"/>
    </row>
    <row r="265" spans="1:12" x14ac:dyDescent="0.25">
      <c r="A265" t="str">
        <f>'HIDDEN import'!B265</f>
        <v>TC_K_21_CS</v>
      </c>
      <c r="B265" t="str">
        <f>'HIDDEN import'!C265</f>
        <v>Smart Charging</v>
      </c>
      <c r="C265" t="str">
        <f>'HIDDEN import'!D265</f>
        <v>Set Charging Profile - ValidFrom</v>
      </c>
      <c r="D265" t="str">
        <f>IF(VLOOKUP(A265&amp;" "&amp;B265,'HIDDEN import'!A:G,5,FALSE)="M",MD!$A$1,(IF(AND(VLOOKUP(A265,'HIDDEN import'!B:E,4,FALSE)="C",OR(NOT(ISERROR(VLOOKUP(E265,'Optional features'!B:D,1,FALSE)=E265)),NOT(ISERROR(VLOOKUP(E265,'HIDDEN calc sheet'!A:C,1,FALSE)=E265)))),MD!$A$3,MD!$A$2)))</f>
        <v>Mandatory test for a mandatory feature</v>
      </c>
      <c r="E265" t="str">
        <f>IF('HIDDEN import'!F265=0,"",'HIDDEN import'!F265)</f>
        <v/>
      </c>
      <c r="F265" t="str">
        <f>IF('HIDDEN import'!G265=0,"",'HIDDEN import'!G265)</f>
        <v/>
      </c>
      <c r="G265" s="181" t="str">
        <f>IFERROR(VLOOKUP($A265,'HIDDEN Testrun Results'!$A:$B,2,FALSE),"")</f>
        <v/>
      </c>
      <c r="H265" s="11" t="b">
        <f t="shared" si="5"/>
        <v>0</v>
      </c>
      <c r="I265" s="11" t="b">
        <f>IF(VLOOKUP(A265&amp;" "&amp;B265,'HIDDEN import'!A:G,5,FALSE)="M",TRUE,IFERROR(VLOOKUP(E265,'Optional features'!B:D,3,FALSE)="Yes",IFERROR(VLOOKUP(E265,'HIDDEN calc sheet'!A:B,2,FALSE),IFERROR(VLOOKUP(E265,'Additional questions'!B:D,3,FALSE)="Yes",VLOOKUP(E265,'Hardware Feature set'!B:D,3,FALSE)="No"))))</f>
        <v>1</v>
      </c>
      <c r="J265" s="11" t="b">
        <f>IF(VLOOKUP(B265,'Profile selection'!B:C,2,FALSE)="Yes",TRUE,FALSE)</f>
        <v>0</v>
      </c>
      <c r="K265" s="53"/>
      <c r="L265" s="53"/>
    </row>
    <row r="266" spans="1:12" x14ac:dyDescent="0.25">
      <c r="A266" t="str">
        <f>'HIDDEN import'!B266</f>
        <v>TC_K_22_CS</v>
      </c>
      <c r="B266" t="str">
        <f>'HIDDEN import'!C266</f>
        <v>Smart Charging</v>
      </c>
      <c r="C266" t="str">
        <f>'HIDDEN import'!D266</f>
        <v>Set Charging Profile - ValidTo</v>
      </c>
      <c r="D266" t="str">
        <f>IF(VLOOKUP(A266&amp;" "&amp;B266,'HIDDEN import'!A:G,5,FALSE)="M",MD!$A$1,(IF(AND(VLOOKUP(A266,'HIDDEN import'!B:E,4,FALSE)="C",OR(NOT(ISERROR(VLOOKUP(E266,'Optional features'!B:D,1,FALSE)=E266)),NOT(ISERROR(VLOOKUP(E266,'HIDDEN calc sheet'!A:C,1,FALSE)=E266)))),MD!$A$3,MD!$A$2)))</f>
        <v>Mandatory test for a mandatory feature</v>
      </c>
      <c r="E266" t="str">
        <f>IF('HIDDEN import'!F266=0,"",'HIDDEN import'!F266)</f>
        <v/>
      </c>
      <c r="F266" t="str">
        <f>IF('HIDDEN import'!G266=0,"",'HIDDEN import'!G266)</f>
        <v/>
      </c>
      <c r="G266" s="181" t="str">
        <f>IFERROR(VLOOKUP($A266,'HIDDEN Testrun Results'!$A:$B,2,FALSE),"")</f>
        <v/>
      </c>
      <c r="H266" s="11" t="b">
        <f t="shared" si="5"/>
        <v>0</v>
      </c>
      <c r="I266" s="11" t="b">
        <f>IF(VLOOKUP(A266&amp;" "&amp;B266,'HIDDEN import'!A:G,5,FALSE)="M",TRUE,IFERROR(VLOOKUP(E266,'Optional features'!B:D,3,FALSE)="Yes",IFERROR(VLOOKUP(E266,'HIDDEN calc sheet'!A:B,2,FALSE),IFERROR(VLOOKUP(E266,'Additional questions'!B:D,3,FALSE)="Yes",VLOOKUP(E266,'Hardware Feature set'!B:D,3,FALSE)="No"))))</f>
        <v>1</v>
      </c>
      <c r="J266" s="11" t="b">
        <f>IF(VLOOKUP(B266,'Profile selection'!B:C,2,FALSE)="Yes",TRUE,FALSE)</f>
        <v>0</v>
      </c>
      <c r="K266" s="53"/>
      <c r="L266" s="53"/>
    </row>
    <row r="267" spans="1:12" x14ac:dyDescent="0.25">
      <c r="A267" t="str">
        <f>'HIDDEN import'!B267</f>
        <v>TC_K_23_CS</v>
      </c>
      <c r="B267" t="str">
        <f>'HIDDEN import'!C267</f>
        <v>Smart Charging</v>
      </c>
      <c r="C267" t="str">
        <f>'HIDDEN import'!D267</f>
        <v>Set Charging Profile - StartSchedule</v>
      </c>
      <c r="D267" t="str">
        <f>IF(VLOOKUP(A267&amp;" "&amp;B267,'HIDDEN import'!A:G,5,FALSE)="M",MD!$A$1,(IF(AND(VLOOKUP(A267,'HIDDEN import'!B:E,4,FALSE)="C",OR(NOT(ISERROR(VLOOKUP(E267,'Optional features'!B:D,1,FALSE)=E267)),NOT(ISERROR(VLOOKUP(E267,'HIDDEN calc sheet'!A:C,1,FALSE)=E267)))),MD!$A$3,MD!$A$2)))</f>
        <v>Mandatory test for a mandatory feature</v>
      </c>
      <c r="E267" t="str">
        <f>IF('HIDDEN import'!F267=0,"",'HIDDEN import'!F267)</f>
        <v/>
      </c>
      <c r="F267" t="str">
        <f>IF('HIDDEN import'!G267=0,"",'HIDDEN import'!G267)</f>
        <v/>
      </c>
      <c r="G267" s="181" t="str">
        <f>IFERROR(VLOOKUP($A267,'HIDDEN Testrun Results'!$A:$B,2,FALSE),"")</f>
        <v/>
      </c>
      <c r="H267" s="11" t="b">
        <f t="shared" si="5"/>
        <v>0</v>
      </c>
      <c r="I267" s="11" t="b">
        <f>IF(VLOOKUP(A267&amp;" "&amp;B267,'HIDDEN import'!A:G,5,FALSE)="M",TRUE,IFERROR(VLOOKUP(E267,'Optional features'!B:D,3,FALSE)="Yes",IFERROR(VLOOKUP(E267,'HIDDEN calc sheet'!A:B,2,FALSE),IFERROR(VLOOKUP(E267,'Additional questions'!B:D,3,FALSE)="Yes",VLOOKUP(E267,'Hardware Feature set'!B:D,3,FALSE)="No"))))</f>
        <v>1</v>
      </c>
      <c r="J267" s="11" t="b">
        <f>IF(VLOOKUP(B267,'Profile selection'!B:C,2,FALSE)="Yes",TRUE,FALSE)</f>
        <v>0</v>
      </c>
      <c r="K267" s="53"/>
      <c r="L267" s="53"/>
    </row>
    <row r="268" spans="1:12" x14ac:dyDescent="0.25">
      <c r="A268" t="str">
        <f>'HIDDEN import'!B268</f>
        <v>TC_K_04_CS</v>
      </c>
      <c r="B268" t="str">
        <f>'HIDDEN import'!C268</f>
        <v>Smart Charging</v>
      </c>
      <c r="C268" t="str">
        <f>'HIDDEN import'!D268</f>
        <v>Replace charging profile - With chargingProfileId</v>
      </c>
      <c r="D268" t="str">
        <f>IF(VLOOKUP(A268&amp;" "&amp;B268,'HIDDEN import'!A:G,5,FALSE)="M",MD!$A$1,(IF(AND(VLOOKUP(A268,'HIDDEN import'!B:E,4,FALSE)="C",OR(NOT(ISERROR(VLOOKUP(E268,'Optional features'!B:D,1,FALSE)=E268)),NOT(ISERROR(VLOOKUP(E268,'HIDDEN calc sheet'!A:C,1,FALSE)=E268)))),MD!$A$3,MD!$A$2)))</f>
        <v>Mandatory test for a mandatory feature</v>
      </c>
      <c r="E268" t="str">
        <f>IF('HIDDEN import'!F268=0,"",'HIDDEN import'!F268)</f>
        <v/>
      </c>
      <c r="F268" t="str">
        <f>IF('HIDDEN import'!G268=0,"",'HIDDEN import'!G268)</f>
        <v/>
      </c>
      <c r="G268" s="181" t="str">
        <f>IFERROR(VLOOKUP($A268,'HIDDEN Testrun Results'!$A:$B,2,FALSE),"")</f>
        <v/>
      </c>
      <c r="H268" s="11" t="b">
        <f t="shared" si="5"/>
        <v>0</v>
      </c>
      <c r="I268" s="11" t="b">
        <f>IF(VLOOKUP(A268&amp;" "&amp;B268,'HIDDEN import'!A:G,5,FALSE)="M",TRUE,IFERROR(VLOOKUP(E268,'Optional features'!B:D,3,FALSE)="Yes",IFERROR(VLOOKUP(E268,'HIDDEN calc sheet'!A:B,2,FALSE),IFERROR(VLOOKUP(E268,'Additional questions'!B:D,3,FALSE)="Yes",VLOOKUP(E268,'Hardware Feature set'!B:D,3,FALSE)="No"))))</f>
        <v>1</v>
      </c>
      <c r="J268" s="11" t="b">
        <f>IF(VLOOKUP(B268,'Profile selection'!B:C,2,FALSE)="Yes",TRUE,FALSE)</f>
        <v>0</v>
      </c>
      <c r="K268" s="53"/>
      <c r="L268" s="53"/>
    </row>
    <row r="269" spans="1:12" x14ac:dyDescent="0.25">
      <c r="A269" t="str">
        <f>'HIDDEN import'!B269</f>
        <v>TC_K_37_CS</v>
      </c>
      <c r="B269" t="str">
        <f>'HIDDEN import'!C269</f>
        <v>Smart Charging</v>
      </c>
      <c r="C269" t="str">
        <f>'HIDDEN import'!D269</f>
        <v>Remote start transaction with charging profile - Success</v>
      </c>
      <c r="D269" t="str">
        <f>IF(VLOOKUP(A269&amp;" "&amp;B269,'HIDDEN import'!A:G,5,FALSE)="M",MD!$A$1,(IF(AND(VLOOKUP(A269,'HIDDEN import'!B:E,4,FALSE)="C",OR(NOT(ISERROR(VLOOKUP(E269,'Optional features'!B:D,1,FALSE)=E269)),NOT(ISERROR(VLOOKUP(E269,'HIDDEN calc sheet'!A:C,1,FALSE)=E269)))),MD!$A$3,MD!$A$2)))</f>
        <v>Mandatory test for a mandatory feature</v>
      </c>
      <c r="E269" t="str">
        <f>IF('HIDDEN import'!F269=0,"",'HIDDEN import'!F269)</f>
        <v/>
      </c>
      <c r="F269" t="str">
        <f>IF('HIDDEN import'!G269=0,"",'HIDDEN import'!G269)</f>
        <v/>
      </c>
      <c r="G269" s="181" t="str">
        <f>IFERROR(VLOOKUP($A269,'HIDDEN Testrun Results'!$A:$B,2,FALSE),"")</f>
        <v/>
      </c>
      <c r="H269" s="11" t="b">
        <f t="shared" si="5"/>
        <v>0</v>
      </c>
      <c r="I269" s="11" t="b">
        <f>IF(VLOOKUP(A269&amp;" "&amp;B269,'HIDDEN import'!A:G,5,FALSE)="M",TRUE,IFERROR(VLOOKUP(E269,'Optional features'!B:D,3,FALSE)="Yes",IFERROR(VLOOKUP(E269,'HIDDEN calc sheet'!A:B,2,FALSE),IFERROR(VLOOKUP(E269,'Additional questions'!B:D,3,FALSE)="Yes",VLOOKUP(E269,'Hardware Feature set'!B:D,3,FALSE)="No"))))</f>
        <v>1</v>
      </c>
      <c r="J269" s="11" t="b">
        <f>IF(VLOOKUP(B269,'Profile selection'!B:C,2,FALSE)="Yes",TRUE,FALSE)</f>
        <v>0</v>
      </c>
      <c r="K269" s="53"/>
      <c r="L269" s="53"/>
    </row>
    <row r="270" spans="1:12" x14ac:dyDescent="0.25">
      <c r="A270" t="str">
        <f>'HIDDEN import'!B270</f>
        <v>TC_K_39_CS</v>
      </c>
      <c r="B270" t="str">
        <f>'HIDDEN import'!C270</f>
        <v>Smart Charging</v>
      </c>
      <c r="C270" t="str">
        <f>'HIDDEN import'!D270</f>
        <v>Get Composite Schedule - No ChargingProfile installed on Charging Station</v>
      </c>
      <c r="D270" t="str">
        <f>IF(VLOOKUP(A270&amp;" "&amp;B270,'HIDDEN import'!A:G,5,FALSE)="M",MD!$A$1,(IF(AND(VLOOKUP(A270,'HIDDEN import'!B:E,4,FALSE)="C",OR(NOT(ISERROR(VLOOKUP(E270,'Optional features'!B:D,1,FALSE)=E270)),NOT(ISERROR(VLOOKUP(E270,'HIDDEN calc sheet'!A:C,1,FALSE)=E270)))),MD!$A$3,MD!$A$2)))</f>
        <v>Mandatory test for a mandatory feature</v>
      </c>
      <c r="E270" t="str">
        <f>IF('HIDDEN import'!F270=0,"",'HIDDEN import'!F270)</f>
        <v/>
      </c>
      <c r="F270" t="str">
        <f>IF('HIDDEN import'!G270=0,"",'HIDDEN import'!G270)</f>
        <v/>
      </c>
      <c r="G270" s="181" t="str">
        <f>IFERROR(VLOOKUP($A270,'HIDDEN Testrun Results'!$A:$B,2,FALSE),"")</f>
        <v/>
      </c>
      <c r="H270" s="11" t="b">
        <f t="shared" si="5"/>
        <v>0</v>
      </c>
      <c r="I270" s="11" t="b">
        <f>IF(VLOOKUP(A270&amp;" "&amp;B270,'HIDDEN import'!A:G,5,FALSE)="M",TRUE,IFERROR(VLOOKUP(E270,'Optional features'!B:D,3,FALSE)="Yes",IFERROR(VLOOKUP(E270,'HIDDEN calc sheet'!A:B,2,FALSE),IFERROR(VLOOKUP(E270,'Additional questions'!B:D,3,FALSE)="Yes",VLOOKUP(E270,'Hardware Feature set'!B:D,3,FALSE)="No"))))</f>
        <v>1</v>
      </c>
      <c r="J270" s="11" t="b">
        <f>IF(VLOOKUP(B270,'Profile selection'!B:C,2,FALSE)="Yes",TRUE,FALSE)</f>
        <v>0</v>
      </c>
      <c r="K270" s="53"/>
      <c r="L270" s="53"/>
    </row>
    <row r="271" spans="1:12" x14ac:dyDescent="0.25">
      <c r="A271" t="str">
        <f>'HIDDEN import'!B271</f>
        <v>TC_K_40_CS</v>
      </c>
      <c r="B271" t="str">
        <f>'HIDDEN import'!C271</f>
        <v>Smart Charging</v>
      </c>
      <c r="C271" t="str">
        <f>'HIDDEN import'!D271</f>
        <v>Get Composite Schedule - Stacking ChargingProfiles</v>
      </c>
      <c r="D271" t="str">
        <f>IF(VLOOKUP(A271&amp;" "&amp;B271,'HIDDEN import'!A:G,5,FALSE)="M",MD!$A$1,(IF(AND(VLOOKUP(A271,'HIDDEN import'!B:E,4,FALSE)="C",OR(NOT(ISERROR(VLOOKUP(E271,'Optional features'!B:D,1,FALSE)=E271)),NOT(ISERROR(VLOOKUP(E271,'HIDDEN calc sheet'!A:C,1,FALSE)=E271)))),MD!$A$3,MD!$A$2)))</f>
        <v>Mandatory test for a mandatory feature</v>
      </c>
      <c r="E271" t="str">
        <f>IF('HIDDEN import'!F271=0,"",'HIDDEN import'!F271)</f>
        <v>SC-2</v>
      </c>
      <c r="F271" t="str">
        <f>IF('HIDDEN import'!G271=0,"",'HIDDEN import'!G271)</f>
        <v>ChargingRateUnit</v>
      </c>
      <c r="G271" s="181" t="str">
        <f>IFERROR(VLOOKUP($A271,'HIDDEN Testrun Results'!$A:$B,2,FALSE),"")</f>
        <v/>
      </c>
      <c r="H271" s="11" t="b">
        <f t="shared" si="5"/>
        <v>0</v>
      </c>
      <c r="I271" s="11" t="b">
        <f>IF(VLOOKUP(A271&amp;" "&amp;B271,'HIDDEN import'!A:G,5,FALSE)="M",TRUE,IFERROR(VLOOKUP(E271,'Optional features'!B:D,3,FALSE)="Yes",IFERROR(VLOOKUP(E271,'HIDDEN calc sheet'!A:B,2,FALSE),IFERROR(VLOOKUP(E271,'Additional questions'!B:D,3,FALSE)="Yes",VLOOKUP(E271,'Hardware Feature set'!B:D,3,FALSE)="No"))))</f>
        <v>1</v>
      </c>
      <c r="J271" s="11" t="b">
        <f>IF(VLOOKUP(B271,'Profile selection'!B:C,2,FALSE)="Yes",TRUE,FALSE)</f>
        <v>0</v>
      </c>
      <c r="K271" s="53"/>
      <c r="L271" s="53"/>
    </row>
    <row r="272" spans="1:12" x14ac:dyDescent="0.25">
      <c r="A272" t="str">
        <f>'HIDDEN import'!B272</f>
        <v>TC_K_41_CS</v>
      </c>
      <c r="B272" t="str">
        <f>'HIDDEN import'!C272</f>
        <v>Smart Charging</v>
      </c>
      <c r="C272" t="str">
        <f>'HIDDEN import'!D272</f>
        <v>Get Composite Schedule - Combining chargingProfilePurposes</v>
      </c>
      <c r="D272" t="str">
        <f>IF(VLOOKUP(A272&amp;" "&amp;B272,'HIDDEN import'!A:G,5,FALSE)="M",MD!$A$1,(IF(AND(VLOOKUP(A272,'HIDDEN import'!B:E,4,FALSE)="C",OR(NOT(ISERROR(VLOOKUP(E272,'Optional features'!B:D,1,FALSE)=E272)),NOT(ISERROR(VLOOKUP(E272,'HIDDEN calc sheet'!A:C,1,FALSE)=E272)))),MD!$A$3,MD!$A$2)))</f>
        <v>Mandatory test for a mandatory feature</v>
      </c>
      <c r="E272" t="str">
        <f>IF('HIDDEN import'!F272=0,"",'HIDDEN import'!F272)</f>
        <v/>
      </c>
      <c r="F272" t="str">
        <f>IF('HIDDEN import'!G272=0,"",'HIDDEN import'!G272)</f>
        <v/>
      </c>
      <c r="G272" s="181" t="str">
        <f>IFERROR(VLOOKUP($A272,'HIDDEN Testrun Results'!$A:$B,2,FALSE),"")</f>
        <v/>
      </c>
      <c r="H272" s="11" t="b">
        <f t="shared" si="5"/>
        <v>0</v>
      </c>
      <c r="I272" s="11" t="b">
        <f>IF(VLOOKUP(A272&amp;" "&amp;B272,'HIDDEN import'!A:G,5,FALSE)="M",TRUE,IFERROR(VLOOKUP(E272,'Optional features'!B:D,3,FALSE)="Yes",IFERROR(VLOOKUP(E272,'HIDDEN calc sheet'!A:B,2,FALSE),IFERROR(VLOOKUP(E272,'Additional questions'!B:D,3,FALSE)="Yes",VLOOKUP(E272,'Hardware Feature set'!B:D,3,FALSE)="No"))))</f>
        <v>1</v>
      </c>
      <c r="J272" s="11" t="b">
        <f>IF(VLOOKUP(B272,'Profile selection'!B:C,2,FALSE)="Yes",TRUE,FALSE)</f>
        <v>0</v>
      </c>
      <c r="K272" s="53"/>
      <c r="L272" s="53"/>
    </row>
    <row r="273" spans="1:12" x14ac:dyDescent="0.25">
      <c r="A273" t="str">
        <f>'HIDDEN import'!B273</f>
        <v>TC_K_42_CS</v>
      </c>
      <c r="B273" t="str">
        <f>'HIDDEN import'!C273</f>
        <v>Smart Charging</v>
      </c>
      <c r="C273" t="str">
        <f>'HIDDEN import'!D273</f>
        <v>Get Composite Schedule - chargingRateUnit not supported</v>
      </c>
      <c r="D273" t="str">
        <f>IF(VLOOKUP(A273&amp;" "&amp;B273,'HIDDEN import'!A:G,5,FALSE)="M",MD!$A$1,(IF(AND(VLOOKUP(A273,'HIDDEN import'!B:E,4,FALSE)="C",OR(NOT(ISERROR(VLOOKUP(E273,'Optional features'!B:D,1,FALSE)=E273)),NOT(ISERROR(VLOOKUP(E273,'HIDDEN calc sheet'!A:C,1,FALSE)=E273)))),MD!$A$3,MD!$A$2)))</f>
        <v>Mandatory for optional feature</v>
      </c>
      <c r="E273" t="str">
        <f>IF('HIDDEN import'!F273=0,"",'HIDDEN import'!F273)</f>
        <v>NOT (SC-2.1 and SC-2.2)</v>
      </c>
      <c r="F273" t="str">
        <f>IF('HIDDEN import'!G273=0,"",'HIDDEN import'!G273)</f>
        <v/>
      </c>
      <c r="G273" s="181" t="str">
        <f>IFERROR(VLOOKUP($A273,'HIDDEN Testrun Results'!$A:$B,2,FALSE),"")</f>
        <v/>
      </c>
      <c r="H273" s="11" t="b">
        <f t="shared" si="5"/>
        <v>0</v>
      </c>
      <c r="I273" s="11" t="b">
        <f>IF(VLOOKUP(A273&amp;" "&amp;B273,'HIDDEN import'!A:G,5,FALSE)="M",TRUE,IFERROR(VLOOKUP(E273,'Optional features'!B:D,3,FALSE)="Yes",IFERROR(VLOOKUP(E273,'HIDDEN calc sheet'!A:B,2,FALSE),IFERROR(VLOOKUP(E273,'Additional questions'!B:D,3,FALSE)="Yes",VLOOKUP(E273,'Hardware Feature set'!B:D,3,FALSE)="No"))))</f>
        <v>1</v>
      </c>
      <c r="J273" s="11" t="b">
        <f>IF(VLOOKUP(B273,'Profile selection'!B:C,2,FALSE)="Yes",TRUE,FALSE)</f>
        <v>0</v>
      </c>
      <c r="K273" s="53"/>
      <c r="L273" s="53"/>
    </row>
    <row r="274" spans="1:12" x14ac:dyDescent="0.25">
      <c r="A274" t="str">
        <f>'HIDDEN import'!B274</f>
        <v>TC_K_47_CS</v>
      </c>
      <c r="B274" t="str">
        <f>'HIDDEN import'!C274</f>
        <v>Smart Charging</v>
      </c>
      <c r="C274" t="str">
        <f>'HIDDEN import'!D274</f>
        <v>Get Composite Schedule - Unknown EVSEId</v>
      </c>
      <c r="D274" t="str">
        <f>IF(VLOOKUP(A274&amp;" "&amp;B274,'HIDDEN import'!A:G,5,FALSE)="M",MD!$A$1,(IF(AND(VLOOKUP(A274,'HIDDEN import'!B:E,4,FALSE)="C",OR(NOT(ISERROR(VLOOKUP(E274,'Optional features'!B:D,1,FALSE)=E274)),NOT(ISERROR(VLOOKUP(E274,'HIDDEN calc sheet'!A:C,1,FALSE)=E274)))),MD!$A$3,MD!$A$2)))</f>
        <v>Mandatory test for a mandatory feature</v>
      </c>
      <c r="E274" t="str">
        <f>IF('HIDDEN import'!F274=0,"",'HIDDEN import'!F274)</f>
        <v/>
      </c>
      <c r="F274" t="str">
        <f>IF('HIDDEN import'!G274=0,"",'HIDDEN import'!G274)</f>
        <v/>
      </c>
      <c r="G274" s="181" t="str">
        <f>IFERROR(VLOOKUP($A274,'HIDDEN Testrun Results'!$A:$B,2,FALSE),"")</f>
        <v/>
      </c>
      <c r="H274" s="11" t="b">
        <f t="shared" si="5"/>
        <v>0</v>
      </c>
      <c r="I274" s="11" t="b">
        <f>IF(VLOOKUP(A274&amp;" "&amp;B274,'HIDDEN import'!A:G,5,FALSE)="M",TRUE,IFERROR(VLOOKUP(E274,'Optional features'!B:D,3,FALSE)="Yes",IFERROR(VLOOKUP(E274,'HIDDEN calc sheet'!A:B,2,FALSE),IFERROR(VLOOKUP(E274,'Additional questions'!B:D,3,FALSE)="Yes",VLOOKUP(E274,'Hardware Feature set'!B:D,3,FALSE)="No"))))</f>
        <v>1</v>
      </c>
      <c r="J274" s="11" t="b">
        <f>IF(VLOOKUP(B274,'Profile selection'!B:C,2,FALSE)="Yes",TRUE,FALSE)</f>
        <v>0</v>
      </c>
      <c r="K274" s="53"/>
      <c r="L274" s="53"/>
    </row>
    <row r="275" spans="1:12" x14ac:dyDescent="0.25">
      <c r="A275" t="str">
        <f>'HIDDEN import'!B275</f>
        <v>TC_K_29_CS</v>
      </c>
      <c r="B275" t="str">
        <f>'HIDDEN import'!C275</f>
        <v>Smart Charging</v>
      </c>
      <c r="C275" t="str">
        <f>'HIDDEN import'!D275</f>
        <v>Get Charging Profile - EvseId 0</v>
      </c>
      <c r="D275" t="str">
        <f>IF(VLOOKUP(A275&amp;" "&amp;B275,'HIDDEN import'!A:G,5,FALSE)="M",MD!$A$1,(IF(AND(VLOOKUP(A275,'HIDDEN import'!B:E,4,FALSE)="C",OR(NOT(ISERROR(VLOOKUP(E275,'Optional features'!B:D,1,FALSE)=E275)),NOT(ISERROR(VLOOKUP(E275,'HIDDEN calc sheet'!A:C,1,FALSE)=E275)))),MD!$A$3,MD!$A$2)))</f>
        <v>Mandatory test for a mandatory feature</v>
      </c>
      <c r="E275" t="str">
        <f>IF('HIDDEN import'!F275=0,"",'HIDDEN import'!F275)</f>
        <v/>
      </c>
      <c r="F275" t="str">
        <f>IF('HIDDEN import'!G275=0,"",'HIDDEN import'!G275)</f>
        <v/>
      </c>
      <c r="G275" s="181" t="str">
        <f>IFERROR(VLOOKUP($A275,'HIDDEN Testrun Results'!$A:$B,2,FALSE),"")</f>
        <v/>
      </c>
      <c r="H275" s="11" t="b">
        <f t="shared" si="5"/>
        <v>0</v>
      </c>
      <c r="I275" s="11" t="b">
        <f>IF(VLOOKUP(A275&amp;" "&amp;B275,'HIDDEN import'!A:G,5,FALSE)="M",TRUE,IFERROR(VLOOKUP(E275,'Optional features'!B:D,3,FALSE)="Yes",IFERROR(VLOOKUP(E275,'HIDDEN calc sheet'!A:B,2,FALSE),IFERROR(VLOOKUP(E275,'Additional questions'!B:D,3,FALSE)="Yes",VLOOKUP(E275,'Hardware Feature set'!B:D,3,FALSE)="No"))))</f>
        <v>1</v>
      </c>
      <c r="J275" s="11" t="b">
        <f>IF(VLOOKUP(B275,'Profile selection'!B:C,2,FALSE)="Yes",TRUE,FALSE)</f>
        <v>0</v>
      </c>
      <c r="K275" s="53"/>
      <c r="L275" s="53"/>
    </row>
    <row r="276" spans="1:12" x14ac:dyDescent="0.25">
      <c r="A276" t="str">
        <f>'HIDDEN import'!B276</f>
        <v>TC_K_30_CS</v>
      </c>
      <c r="B276" t="str">
        <f>'HIDDEN import'!C276</f>
        <v>Smart Charging</v>
      </c>
      <c r="C276" t="str">
        <f>'HIDDEN import'!D276</f>
        <v>Get Charging Profile - EvseId &gt; 0</v>
      </c>
      <c r="D276" t="str">
        <f>IF(VLOOKUP(A276&amp;" "&amp;B276,'HIDDEN import'!A:G,5,FALSE)="M",MD!$A$1,(IF(AND(VLOOKUP(A276,'HIDDEN import'!B:E,4,FALSE)="C",OR(NOT(ISERROR(VLOOKUP(E276,'Optional features'!B:D,1,FALSE)=E276)),NOT(ISERROR(VLOOKUP(E276,'HIDDEN calc sheet'!A:C,1,FALSE)=E276)))),MD!$A$3,MD!$A$2)))</f>
        <v>Mandatory test for a mandatory feature</v>
      </c>
      <c r="E276" t="str">
        <f>IF('HIDDEN import'!F276=0,"",'HIDDEN import'!F276)</f>
        <v/>
      </c>
      <c r="F276" t="str">
        <f>IF('HIDDEN import'!G276=0,"",'HIDDEN import'!G276)</f>
        <v/>
      </c>
      <c r="G276" s="181" t="str">
        <f>IFERROR(VLOOKUP($A276,'HIDDEN Testrun Results'!$A:$B,2,FALSE),"")</f>
        <v/>
      </c>
      <c r="H276" s="11" t="b">
        <f t="shared" si="5"/>
        <v>0</v>
      </c>
      <c r="I276" s="11" t="b">
        <f>IF(VLOOKUP(A276&amp;" "&amp;B276,'HIDDEN import'!A:G,5,FALSE)="M",TRUE,IFERROR(VLOOKUP(E276,'Optional features'!B:D,3,FALSE)="Yes",IFERROR(VLOOKUP(E276,'HIDDEN calc sheet'!A:B,2,FALSE),IFERROR(VLOOKUP(E276,'Additional questions'!B:D,3,FALSE)="Yes",VLOOKUP(E276,'Hardware Feature set'!B:D,3,FALSE)="No"))))</f>
        <v>1</v>
      </c>
      <c r="J276" s="11" t="b">
        <f>IF(VLOOKUP(B276,'Profile selection'!B:C,2,FALSE)="Yes",TRUE,FALSE)</f>
        <v>0</v>
      </c>
      <c r="K276" s="53"/>
      <c r="L276" s="53"/>
    </row>
    <row r="277" spans="1:12" x14ac:dyDescent="0.25">
      <c r="A277" t="str">
        <f>'HIDDEN import'!B277</f>
        <v>TC_K_31_CS</v>
      </c>
      <c r="B277" t="str">
        <f>'HIDDEN import'!C277</f>
        <v>Smart Charging</v>
      </c>
      <c r="C277" t="str">
        <f>'HIDDEN import'!D277</f>
        <v>Get Charging Profile - No EvseId</v>
      </c>
      <c r="D277" t="str">
        <f>IF(VLOOKUP(A277&amp;" "&amp;B277,'HIDDEN import'!A:G,5,FALSE)="M",MD!$A$1,(IF(AND(VLOOKUP(A277,'HIDDEN import'!B:E,4,FALSE)="C",OR(NOT(ISERROR(VLOOKUP(E277,'Optional features'!B:D,1,FALSE)=E277)),NOT(ISERROR(VLOOKUP(E277,'HIDDEN calc sheet'!A:C,1,FALSE)=E277)))),MD!$A$3,MD!$A$2)))</f>
        <v>Mandatory test for a mandatory feature</v>
      </c>
      <c r="E277" t="str">
        <f>IF('HIDDEN import'!F277=0,"",'HIDDEN import'!F277)</f>
        <v/>
      </c>
      <c r="F277" t="str">
        <f>IF('HIDDEN import'!G277=0,"",'HIDDEN import'!G277)</f>
        <v/>
      </c>
      <c r="G277" s="181" t="str">
        <f>IFERROR(VLOOKUP($A277,'HIDDEN Testrun Results'!$A:$B,2,FALSE),"")</f>
        <v/>
      </c>
      <c r="H277" s="11" t="b">
        <f t="shared" si="5"/>
        <v>0</v>
      </c>
      <c r="I277" s="11" t="b">
        <f>IF(VLOOKUP(A277&amp;" "&amp;B277,'HIDDEN import'!A:G,5,FALSE)="M",TRUE,IFERROR(VLOOKUP(E277,'Optional features'!B:D,3,FALSE)="Yes",IFERROR(VLOOKUP(E277,'HIDDEN calc sheet'!A:B,2,FALSE),IFERROR(VLOOKUP(E277,'Additional questions'!B:D,3,FALSE)="Yes",VLOOKUP(E277,'Hardware Feature set'!B:D,3,FALSE)="No"))))</f>
        <v>1</v>
      </c>
      <c r="J277" s="11" t="b">
        <f>IF(VLOOKUP(B277,'Profile selection'!B:C,2,FALSE)="Yes",TRUE,FALSE)</f>
        <v>0</v>
      </c>
      <c r="K277" s="53"/>
      <c r="L277" s="53"/>
    </row>
    <row r="278" spans="1:12" x14ac:dyDescent="0.25">
      <c r="A278" t="str">
        <f>'HIDDEN import'!B278</f>
        <v>TC_K_32_CS</v>
      </c>
      <c r="B278" t="str">
        <f>'HIDDEN import'!C278</f>
        <v>Smart Charging</v>
      </c>
      <c r="C278" t="str">
        <f>'HIDDEN import'!D278</f>
        <v>Get Charging Profile - chargingProfileId</v>
      </c>
      <c r="D278" t="str">
        <f>IF(VLOOKUP(A278&amp;" "&amp;B278,'HIDDEN import'!A:G,5,FALSE)="M",MD!$A$1,(IF(AND(VLOOKUP(A278,'HIDDEN import'!B:E,4,FALSE)="C",OR(NOT(ISERROR(VLOOKUP(E278,'Optional features'!B:D,1,FALSE)=E278)),NOT(ISERROR(VLOOKUP(E278,'HIDDEN calc sheet'!A:C,1,FALSE)=E278)))),MD!$A$3,MD!$A$2)))</f>
        <v>Mandatory test for a mandatory feature</v>
      </c>
      <c r="E278" t="str">
        <f>IF('HIDDEN import'!F278=0,"",'HIDDEN import'!F278)</f>
        <v/>
      </c>
      <c r="F278" t="str">
        <f>IF('HIDDEN import'!G278=0,"",'HIDDEN import'!G278)</f>
        <v/>
      </c>
      <c r="G278" s="181" t="str">
        <f>IFERROR(VLOOKUP($A278,'HIDDEN Testrun Results'!$A:$B,2,FALSE),"")</f>
        <v/>
      </c>
      <c r="H278" s="11" t="b">
        <f t="shared" si="5"/>
        <v>0</v>
      </c>
      <c r="I278" s="11" t="b">
        <f>IF(VLOOKUP(A278&amp;" "&amp;B278,'HIDDEN import'!A:G,5,FALSE)="M",TRUE,IFERROR(VLOOKUP(E278,'Optional features'!B:D,3,FALSE)="Yes",IFERROR(VLOOKUP(E278,'HIDDEN calc sheet'!A:B,2,FALSE),IFERROR(VLOOKUP(E278,'Additional questions'!B:D,3,FALSE)="Yes",VLOOKUP(E278,'Hardware Feature set'!B:D,3,FALSE)="No"))))</f>
        <v>1</v>
      </c>
      <c r="J278" s="11" t="b">
        <f>IF(VLOOKUP(B278,'Profile selection'!B:C,2,FALSE)="Yes",TRUE,FALSE)</f>
        <v>0</v>
      </c>
      <c r="K278" s="53"/>
      <c r="L278" s="53"/>
    </row>
    <row r="279" spans="1:12" x14ac:dyDescent="0.25">
      <c r="A279" t="str">
        <f>'HIDDEN import'!B279</f>
        <v>TC_K_33_CS</v>
      </c>
      <c r="B279" t="str">
        <f>'HIDDEN import'!C279</f>
        <v>Smart Charging</v>
      </c>
      <c r="C279" t="str">
        <f>'HIDDEN import'!D279</f>
        <v>Get Charging Profile - EvseId &gt; 0 + stackLevel</v>
      </c>
      <c r="D279" t="str">
        <f>IF(VLOOKUP(A279&amp;" "&amp;B279,'HIDDEN import'!A:G,5,FALSE)="M",MD!$A$1,(IF(AND(VLOOKUP(A279,'HIDDEN import'!B:E,4,FALSE)="C",OR(NOT(ISERROR(VLOOKUP(E279,'Optional features'!B:D,1,FALSE)=E279)),NOT(ISERROR(VLOOKUP(E279,'HIDDEN calc sheet'!A:C,1,FALSE)=E279)))),MD!$A$3,MD!$A$2)))</f>
        <v>Mandatory test for a mandatory feature</v>
      </c>
      <c r="E279" t="str">
        <f>IF('HIDDEN import'!F279=0,"",'HIDDEN import'!F279)</f>
        <v/>
      </c>
      <c r="F279" t="str">
        <f>IF('HIDDEN import'!G279=0,"",'HIDDEN import'!G279)</f>
        <v/>
      </c>
      <c r="G279" s="181" t="str">
        <f>IFERROR(VLOOKUP($A279,'HIDDEN Testrun Results'!$A:$B,2,FALSE),"")</f>
        <v/>
      </c>
      <c r="H279" s="11" t="b">
        <f t="shared" si="5"/>
        <v>0</v>
      </c>
      <c r="I279" s="11" t="b">
        <f>IF(VLOOKUP(A279&amp;" "&amp;B279,'HIDDEN import'!A:G,5,FALSE)="M",TRUE,IFERROR(VLOOKUP(E279,'Optional features'!B:D,3,FALSE)="Yes",IFERROR(VLOOKUP(E279,'HIDDEN calc sheet'!A:B,2,FALSE),IFERROR(VLOOKUP(E279,'Additional questions'!B:D,3,FALSE)="Yes",VLOOKUP(E279,'Hardware Feature set'!B:D,3,FALSE)="No"))))</f>
        <v>1</v>
      </c>
      <c r="J279" s="11" t="b">
        <f>IF(VLOOKUP(B279,'Profile selection'!B:C,2,FALSE)="Yes",TRUE,FALSE)</f>
        <v>0</v>
      </c>
      <c r="K279" s="53"/>
      <c r="L279" s="53"/>
    </row>
    <row r="280" spans="1:12" x14ac:dyDescent="0.25">
      <c r="A280" t="str">
        <f>'HIDDEN import'!B280</f>
        <v>TC_K_34_CS</v>
      </c>
      <c r="B280" t="str">
        <f>'HIDDEN import'!C280</f>
        <v>Smart Charging</v>
      </c>
      <c r="C280" t="str">
        <f>'HIDDEN import'!D280</f>
        <v>Get Charging Profile - EvseId &gt; 0 + chargingLimitSource</v>
      </c>
      <c r="D280" t="str">
        <f>IF(VLOOKUP(A280&amp;" "&amp;B280,'HIDDEN import'!A:G,5,FALSE)="M",MD!$A$1,(IF(AND(VLOOKUP(A280,'HIDDEN import'!B:E,4,FALSE)="C",OR(NOT(ISERROR(VLOOKUP(E280,'Optional features'!B:D,1,FALSE)=E280)),NOT(ISERROR(VLOOKUP(E280,'HIDDEN calc sheet'!A:C,1,FALSE)=E280)))),MD!$A$3,MD!$A$2)))</f>
        <v>Mandatory test for a mandatory feature</v>
      </c>
      <c r="E280" t="str">
        <f>IF('HIDDEN import'!F280=0,"",'HIDDEN import'!F280)</f>
        <v/>
      </c>
      <c r="F280" t="str">
        <f>IF('HIDDEN import'!G280=0,"",'HIDDEN import'!G280)</f>
        <v/>
      </c>
      <c r="G280" s="181" t="str">
        <f>IFERROR(VLOOKUP($A280,'HIDDEN Testrun Results'!$A:$B,2,FALSE),"")</f>
        <v/>
      </c>
      <c r="H280" s="11" t="b">
        <f t="shared" si="5"/>
        <v>0</v>
      </c>
      <c r="I280" s="11" t="b">
        <f>IF(VLOOKUP(A280&amp;" "&amp;B280,'HIDDEN import'!A:G,5,FALSE)="M",TRUE,IFERROR(VLOOKUP(E280,'Optional features'!B:D,3,FALSE)="Yes",IFERROR(VLOOKUP(E280,'HIDDEN calc sheet'!A:B,2,FALSE),IFERROR(VLOOKUP(E280,'Additional questions'!B:D,3,FALSE)="Yes",VLOOKUP(E280,'Hardware Feature set'!B:D,3,FALSE)="No"))))</f>
        <v>1</v>
      </c>
      <c r="J280" s="11" t="b">
        <f>IF(VLOOKUP(B280,'Profile selection'!B:C,2,FALSE)="Yes",TRUE,FALSE)</f>
        <v>0</v>
      </c>
      <c r="K280" s="53"/>
      <c r="L280" s="53"/>
    </row>
    <row r="281" spans="1:12" x14ac:dyDescent="0.25">
      <c r="A281" t="str">
        <f>'HIDDEN import'!B281</f>
        <v>TC_K_35_CS</v>
      </c>
      <c r="B281" t="str">
        <f>'HIDDEN import'!C281</f>
        <v>Smart Charging</v>
      </c>
      <c r="C281" t="str">
        <f>'HIDDEN import'!D281</f>
        <v>Get Charging Profile - EvseId &gt; 0 + chargingProfilePurpose</v>
      </c>
      <c r="D281" t="str">
        <f>IF(VLOOKUP(A281&amp;" "&amp;B281,'HIDDEN import'!A:G,5,FALSE)="M",MD!$A$1,(IF(AND(VLOOKUP(A281,'HIDDEN import'!B:E,4,FALSE)="C",OR(NOT(ISERROR(VLOOKUP(E281,'Optional features'!B:D,1,FALSE)=E281)),NOT(ISERROR(VLOOKUP(E281,'HIDDEN calc sheet'!A:C,1,FALSE)=E281)))),MD!$A$3,MD!$A$2)))</f>
        <v>Mandatory test for a mandatory feature</v>
      </c>
      <c r="E281" t="str">
        <f>IF('HIDDEN import'!F281=0,"",'HIDDEN import'!F281)</f>
        <v/>
      </c>
      <c r="F281" t="str">
        <f>IF('HIDDEN import'!G281=0,"",'HIDDEN import'!G281)</f>
        <v/>
      </c>
      <c r="G281" s="181" t="str">
        <f>IFERROR(VLOOKUP($A281,'HIDDEN Testrun Results'!$A:$B,2,FALSE),"")</f>
        <v/>
      </c>
      <c r="H281" s="11" t="b">
        <f t="shared" si="5"/>
        <v>0</v>
      </c>
      <c r="I281" s="11" t="b">
        <f>IF(VLOOKUP(A281&amp;" "&amp;B281,'HIDDEN import'!A:G,5,FALSE)="M",TRUE,IFERROR(VLOOKUP(E281,'Optional features'!B:D,3,FALSE)="Yes",IFERROR(VLOOKUP(E281,'HIDDEN calc sheet'!A:B,2,FALSE),IFERROR(VLOOKUP(E281,'Additional questions'!B:D,3,FALSE)="Yes",VLOOKUP(E281,'Hardware Feature set'!B:D,3,FALSE)="No"))))</f>
        <v>1</v>
      </c>
      <c r="J281" s="11" t="b">
        <f>IF(VLOOKUP(B281,'Profile selection'!B:C,2,FALSE)="Yes",TRUE,FALSE)</f>
        <v>0</v>
      </c>
      <c r="K281" s="53"/>
      <c r="L281" s="53"/>
    </row>
    <row r="282" spans="1:12" x14ac:dyDescent="0.25">
      <c r="A282" t="str">
        <f>'HIDDEN import'!B282</f>
        <v>TC_K_36_CS</v>
      </c>
      <c r="B282" t="str">
        <f>'HIDDEN import'!C282</f>
        <v>Smart Charging</v>
      </c>
      <c r="C282" t="str">
        <f>'HIDDEN import'!D282</f>
        <v>Get Charging Profile - EvseId &gt; 0 + chargingProfilePurpose + stackLevel</v>
      </c>
      <c r="D282" t="str">
        <f>IF(VLOOKUP(A282&amp;" "&amp;B282,'HIDDEN import'!A:G,5,FALSE)="M",MD!$A$1,(IF(AND(VLOOKUP(A282,'HIDDEN import'!B:E,4,FALSE)="C",OR(NOT(ISERROR(VLOOKUP(E282,'Optional features'!B:D,1,FALSE)=E282)),NOT(ISERROR(VLOOKUP(E282,'HIDDEN calc sheet'!A:C,1,FALSE)=E282)))),MD!$A$3,MD!$A$2)))</f>
        <v>Mandatory test for a mandatory feature</v>
      </c>
      <c r="E282" t="str">
        <f>IF('HIDDEN import'!F282=0,"",'HIDDEN import'!F282)</f>
        <v/>
      </c>
      <c r="F282" t="str">
        <f>IF('HIDDEN import'!G282=0,"",'HIDDEN import'!G282)</f>
        <v/>
      </c>
      <c r="G282" s="181" t="str">
        <f>IFERROR(VLOOKUP($A282,'HIDDEN Testrun Results'!$A:$B,2,FALSE),"")</f>
        <v/>
      </c>
      <c r="H282" s="11" t="b">
        <f t="shared" si="5"/>
        <v>0</v>
      </c>
      <c r="I282" s="11" t="b">
        <f>IF(VLOOKUP(A282&amp;" "&amp;B282,'HIDDEN import'!A:G,5,FALSE)="M",TRUE,IFERROR(VLOOKUP(E282,'Optional features'!B:D,3,FALSE)="Yes",IFERROR(VLOOKUP(E282,'HIDDEN calc sheet'!A:B,2,FALSE),IFERROR(VLOOKUP(E282,'Additional questions'!B:D,3,FALSE)="Yes",VLOOKUP(E282,'Hardware Feature set'!B:D,3,FALSE)="No"))))</f>
        <v>1</v>
      </c>
      <c r="J282" s="11" t="b">
        <f>IF(VLOOKUP(B282,'Profile selection'!B:C,2,FALSE)="Yes",TRUE,FALSE)</f>
        <v>0</v>
      </c>
      <c r="K282" s="53"/>
      <c r="L282" s="53"/>
    </row>
    <row r="283" spans="1:12" x14ac:dyDescent="0.25">
      <c r="A283" t="str">
        <f>'HIDDEN import'!B283</f>
        <v>TC_K_05_CS</v>
      </c>
      <c r="B283" t="str">
        <f>'HIDDEN import'!C283</f>
        <v>Smart Charging</v>
      </c>
      <c r="C283" t="str">
        <f>'HIDDEN import'!D283</f>
        <v>Clear Charging Profile - With chargingProfileId</v>
      </c>
      <c r="D283" t="str">
        <f>IF(VLOOKUP(A283&amp;" "&amp;B283,'HIDDEN import'!A:G,5,FALSE)="M",MD!$A$1,(IF(AND(VLOOKUP(A283,'HIDDEN import'!B:E,4,FALSE)="C",OR(NOT(ISERROR(VLOOKUP(E283,'Optional features'!B:D,1,FALSE)=E283)),NOT(ISERROR(VLOOKUP(E283,'HIDDEN calc sheet'!A:C,1,FALSE)=E283)))),MD!$A$3,MD!$A$2)))</f>
        <v>Mandatory test for a mandatory feature</v>
      </c>
      <c r="E283" t="str">
        <f>IF('HIDDEN import'!F283=0,"",'HIDDEN import'!F283)</f>
        <v/>
      </c>
      <c r="F283" t="str">
        <f>IF('HIDDEN import'!G283=0,"",'HIDDEN import'!G283)</f>
        <v/>
      </c>
      <c r="G283" s="181" t="str">
        <f>IFERROR(VLOOKUP($A283,'HIDDEN Testrun Results'!$A:$B,2,FALSE),"")</f>
        <v/>
      </c>
      <c r="H283" s="11" t="b">
        <f t="shared" si="5"/>
        <v>0</v>
      </c>
      <c r="I283" s="11" t="b">
        <f>IF(VLOOKUP(A283&amp;" "&amp;B283,'HIDDEN import'!A:G,5,FALSE)="M",TRUE,IFERROR(VLOOKUP(E283,'Optional features'!B:D,3,FALSE)="Yes",IFERROR(VLOOKUP(E283,'HIDDEN calc sheet'!A:B,2,FALSE),IFERROR(VLOOKUP(E283,'Additional questions'!B:D,3,FALSE)="Yes",VLOOKUP(E283,'Hardware Feature set'!B:D,3,FALSE)="No"))))</f>
        <v>1</v>
      </c>
      <c r="J283" s="11" t="b">
        <f>IF(VLOOKUP(B283,'Profile selection'!B:C,2,FALSE)="Yes",TRUE,FALSE)</f>
        <v>0</v>
      </c>
      <c r="K283" s="53"/>
      <c r="L283" s="53"/>
    </row>
    <row r="284" spans="1:12" x14ac:dyDescent="0.25">
      <c r="A284" t="str">
        <f>'HIDDEN import'!B284</f>
        <v>TC_K_06_CS</v>
      </c>
      <c r="B284" t="str">
        <f>'HIDDEN import'!C284</f>
        <v>Smart Charging</v>
      </c>
      <c r="C284" t="str">
        <f>'HIDDEN import'!D284</f>
        <v>Clear Charging Profile - With stackLevel/purpose combination for one profile</v>
      </c>
      <c r="D284" t="str">
        <f>IF(VLOOKUP(A284&amp;" "&amp;B284,'HIDDEN import'!A:G,5,FALSE)="M",MD!$A$1,(IF(AND(VLOOKUP(A284,'HIDDEN import'!B:E,4,FALSE)="C",OR(NOT(ISERROR(VLOOKUP(E284,'Optional features'!B:D,1,FALSE)=E284)),NOT(ISERROR(VLOOKUP(E284,'HIDDEN calc sheet'!A:C,1,FALSE)=E284)))),MD!$A$3,MD!$A$2)))</f>
        <v>Mandatory test for a mandatory feature</v>
      </c>
      <c r="E284" t="str">
        <f>IF('HIDDEN import'!F284=0,"",'HIDDEN import'!F284)</f>
        <v/>
      </c>
      <c r="F284" t="str">
        <f>IF('HIDDEN import'!G284=0,"",'HIDDEN import'!G284)</f>
        <v/>
      </c>
      <c r="G284" s="181" t="str">
        <f>IFERROR(VLOOKUP($A284,'HIDDEN Testrun Results'!$A:$B,2,FALSE),"")</f>
        <v/>
      </c>
      <c r="H284" s="11" t="b">
        <f t="shared" si="5"/>
        <v>0</v>
      </c>
      <c r="I284" s="11" t="b">
        <f>IF(VLOOKUP(A284&amp;" "&amp;B284,'HIDDEN import'!A:G,5,FALSE)="M",TRUE,IFERROR(VLOOKUP(E284,'Optional features'!B:D,3,FALSE)="Yes",IFERROR(VLOOKUP(E284,'HIDDEN calc sheet'!A:B,2,FALSE),IFERROR(VLOOKUP(E284,'Additional questions'!B:D,3,FALSE)="Yes",VLOOKUP(E284,'Hardware Feature set'!B:D,3,FALSE)="No"))))</f>
        <v>1</v>
      </c>
      <c r="J284" s="11" t="b">
        <f>IF(VLOOKUP(B284,'Profile selection'!B:C,2,FALSE)="Yes",TRUE,FALSE)</f>
        <v>0</v>
      </c>
      <c r="K284" s="53"/>
      <c r="L284" s="53"/>
    </row>
    <row r="285" spans="1:12" x14ac:dyDescent="0.25">
      <c r="A285" t="str">
        <f>'HIDDEN import'!B285</f>
        <v>TC_K_07_CS</v>
      </c>
      <c r="B285" t="str">
        <f>'HIDDEN import'!C285</f>
        <v>Smart Charging</v>
      </c>
      <c r="C285" t="str">
        <f>'HIDDEN import'!D285</f>
        <v>Clear Charging Profile - With unknown stackLevel/purpose combination</v>
      </c>
      <c r="D285" t="str">
        <f>IF(VLOOKUP(A285&amp;" "&amp;B285,'HIDDEN import'!A:G,5,FALSE)="M",MD!$A$1,(IF(AND(VLOOKUP(A285,'HIDDEN import'!B:E,4,FALSE)="C",OR(NOT(ISERROR(VLOOKUP(E285,'Optional features'!B:D,1,FALSE)=E285)),NOT(ISERROR(VLOOKUP(E285,'HIDDEN calc sheet'!A:C,1,FALSE)=E285)))),MD!$A$3,MD!$A$2)))</f>
        <v>Mandatory test for a mandatory feature</v>
      </c>
      <c r="E285" t="str">
        <f>IF('HIDDEN import'!F285=0,"",'HIDDEN import'!F285)</f>
        <v/>
      </c>
      <c r="F285" t="str">
        <f>IF('HIDDEN import'!G285=0,"",'HIDDEN import'!G285)</f>
        <v/>
      </c>
      <c r="G285" s="181" t="str">
        <f>IFERROR(VLOOKUP($A285,'HIDDEN Testrun Results'!$A:$B,2,FALSE),"")</f>
        <v/>
      </c>
      <c r="H285" s="11" t="b">
        <f t="shared" si="5"/>
        <v>0</v>
      </c>
      <c r="I285" s="11" t="b">
        <f>IF(VLOOKUP(A285&amp;" "&amp;B285,'HIDDEN import'!A:G,5,FALSE)="M",TRUE,IFERROR(VLOOKUP(E285,'Optional features'!B:D,3,FALSE)="Yes",IFERROR(VLOOKUP(E285,'HIDDEN calc sheet'!A:B,2,FALSE),IFERROR(VLOOKUP(E285,'Additional questions'!B:D,3,FALSE)="Yes",VLOOKUP(E285,'Hardware Feature set'!B:D,3,FALSE)="No"))))</f>
        <v>1</v>
      </c>
      <c r="J285" s="11" t="b">
        <f>IF(VLOOKUP(B285,'Profile selection'!B:C,2,FALSE)="Yes",TRUE,FALSE)</f>
        <v>0</v>
      </c>
      <c r="K285" s="53"/>
      <c r="L285" s="53"/>
    </row>
    <row r="286" spans="1:12" x14ac:dyDescent="0.25">
      <c r="A286" t="str">
        <f>'HIDDEN import'!B286</f>
        <v>TC_K_08_CS</v>
      </c>
      <c r="B286" t="str">
        <f>'HIDDEN import'!C286</f>
        <v>Smart Charging</v>
      </c>
      <c r="C286" t="str">
        <f>'HIDDEN import'!D286</f>
        <v>Clear Charging Profile - Without previous charging profile</v>
      </c>
      <c r="D286" t="str">
        <f>IF(VLOOKUP(A286&amp;" "&amp;B286,'HIDDEN import'!A:G,5,FALSE)="M",MD!$A$1,(IF(AND(VLOOKUP(A286,'HIDDEN import'!B:E,4,FALSE)="C",OR(NOT(ISERROR(VLOOKUP(E286,'Optional features'!B:D,1,FALSE)=E286)),NOT(ISERROR(VLOOKUP(E286,'HIDDEN calc sheet'!A:C,1,FALSE)=E286)))),MD!$A$3,MD!$A$2)))</f>
        <v>Mandatory test for a mandatory feature</v>
      </c>
      <c r="E286" t="str">
        <f>IF('HIDDEN import'!F286=0,"",'HIDDEN import'!F286)</f>
        <v/>
      </c>
      <c r="F286" t="str">
        <f>IF('HIDDEN import'!G286=0,"",'HIDDEN import'!G286)</f>
        <v/>
      </c>
      <c r="G286" s="181" t="str">
        <f>IFERROR(VLOOKUP($A286,'HIDDEN Testrun Results'!$A:$B,2,FALSE),"")</f>
        <v/>
      </c>
      <c r="H286" s="11" t="b">
        <f t="shared" si="5"/>
        <v>0</v>
      </c>
      <c r="I286" s="11" t="b">
        <f>IF(VLOOKUP(A286&amp;" "&amp;B286,'HIDDEN import'!A:G,5,FALSE)="M",TRUE,IFERROR(VLOOKUP(E286,'Optional features'!B:D,3,FALSE)="Yes",IFERROR(VLOOKUP(E286,'HIDDEN calc sheet'!A:B,2,FALSE),IFERROR(VLOOKUP(E286,'Additional questions'!B:D,3,FALSE)="Yes",VLOOKUP(E286,'Hardware Feature set'!B:D,3,FALSE)="No"))))</f>
        <v>1</v>
      </c>
      <c r="J286" s="11" t="b">
        <f>IF(VLOOKUP(B286,'Profile selection'!B:C,2,FALSE)="Yes",TRUE,FALSE)</f>
        <v>0</v>
      </c>
      <c r="K286" s="53"/>
      <c r="L286" s="53"/>
    </row>
    <row r="287" spans="1:12" x14ac:dyDescent="0.25">
      <c r="A287" t="str">
        <f>'HIDDEN import'!B287</f>
        <v>TC_K_09_CS</v>
      </c>
      <c r="B287" t="str">
        <f>'HIDDEN import'!C287</f>
        <v>Smart Charging</v>
      </c>
      <c r="C287" t="str">
        <f>'HIDDEN import'!D287</f>
        <v>Clear Charging Profile - Clearing a TxDefaultProfile - With ongoing transaction</v>
      </c>
      <c r="D287" t="str">
        <f>IF(VLOOKUP(A287&amp;" "&amp;B287,'HIDDEN import'!A:G,5,FALSE)="M",MD!$A$1,(IF(AND(VLOOKUP(A287,'HIDDEN import'!B:E,4,FALSE)="C",OR(NOT(ISERROR(VLOOKUP(E287,'Optional features'!B:D,1,FALSE)=E287)),NOT(ISERROR(VLOOKUP(E287,'HIDDEN calc sheet'!A:C,1,FALSE)=E287)))),MD!$A$3,MD!$A$2)))</f>
        <v>Mandatory test for a mandatory feature</v>
      </c>
      <c r="E287" t="str">
        <f>IF('HIDDEN import'!F287=0,"",'HIDDEN import'!F287)</f>
        <v/>
      </c>
      <c r="F287" t="str">
        <f>IF('HIDDEN import'!G287=0,"",'HIDDEN import'!G287)</f>
        <v/>
      </c>
      <c r="G287" s="181" t="str">
        <f>IFERROR(VLOOKUP($A287,'HIDDEN Testrun Results'!$A:$B,2,FALSE),"")</f>
        <v/>
      </c>
      <c r="H287" s="11" t="b">
        <f t="shared" si="5"/>
        <v>0</v>
      </c>
      <c r="I287" s="11" t="b">
        <f>IF(VLOOKUP(A287&amp;" "&amp;B287,'HIDDEN import'!A:G,5,FALSE)="M",TRUE,IFERROR(VLOOKUP(E287,'Optional features'!B:D,3,FALSE)="Yes",IFERROR(VLOOKUP(E287,'HIDDEN calc sheet'!A:B,2,FALSE),IFERROR(VLOOKUP(E287,'Additional questions'!B:D,3,FALSE)="Yes",VLOOKUP(E287,'Hardware Feature set'!B:D,3,FALSE)="No"))))</f>
        <v>1</v>
      </c>
      <c r="J287" s="11" t="b">
        <f>IF(VLOOKUP(B287,'Profile selection'!B:C,2,FALSE)="Yes",TRUE,FALSE)</f>
        <v>0</v>
      </c>
      <c r="K287" s="53"/>
      <c r="L287" s="53"/>
    </row>
    <row r="288" spans="1:12" x14ac:dyDescent="0.25">
      <c r="A288" t="str">
        <f>'HIDDEN import'!B288</f>
        <v>TC_K_24_CS</v>
      </c>
      <c r="B288" t="str">
        <f>'HIDDEN import'!C288</f>
        <v>Smart Charging</v>
      </c>
      <c r="C288" t="str">
        <f>'HIDDEN import'!D288</f>
        <v>Clear Charging Profile - With stackLevel/purpose combination for multiple profiles</v>
      </c>
      <c r="D288" t="str">
        <f>IF(VLOOKUP(A288&amp;" "&amp;B288,'HIDDEN import'!A:G,5,FALSE)="M",MD!$A$1,(IF(AND(VLOOKUP(A288,'HIDDEN import'!B:E,4,FALSE)="C",OR(NOT(ISERROR(VLOOKUP(E288,'Optional features'!B:D,1,FALSE)=E288)),NOT(ISERROR(VLOOKUP(E288,'HIDDEN calc sheet'!A:C,1,FALSE)=E288)))),MD!$A$3,MD!$A$2)))</f>
        <v>Mandatory for optional feature</v>
      </c>
      <c r="E288" t="str">
        <f>IF('HIDDEN import'!F288=0,"",'HIDDEN import'!F288)</f>
        <v>HFS-8 &gt; 1</v>
      </c>
      <c r="F288" t="str">
        <f>IF('HIDDEN import'!G288=0,"",'HIDDEN import'!G288)</f>
        <v/>
      </c>
      <c r="G288" s="181" t="str">
        <f>IFERROR(VLOOKUP($A288,'HIDDEN Testrun Results'!$A:$B,2,FALSE),"")</f>
        <v/>
      </c>
      <c r="H288" s="11" t="b">
        <f t="shared" si="5"/>
        <v>0</v>
      </c>
      <c r="I288" s="11" t="b">
        <f>IF(VLOOKUP(A288&amp;" "&amp;B288,'HIDDEN import'!A:G,5,FALSE)="M",TRUE,IFERROR(VLOOKUP(E288,'Optional features'!B:D,3,FALSE)="Yes",IFERROR(VLOOKUP(E288,'HIDDEN calc sheet'!A:B,2,FALSE),IFERROR(VLOOKUP(E288,'Additional questions'!B:D,3,FALSE)="Yes",VLOOKUP(E288,'Hardware Feature set'!B:D,3,FALSE)="No"))))</f>
        <v>0</v>
      </c>
      <c r="J288" s="11" t="b">
        <f>IF(VLOOKUP(B288,'Profile selection'!B:C,2,FALSE)="Yes",TRUE,FALSE)</f>
        <v>0</v>
      </c>
      <c r="K288" s="53"/>
      <c r="L288" s="53"/>
    </row>
    <row r="289" spans="1:12" x14ac:dyDescent="0.25">
      <c r="A289" t="str">
        <f>'HIDDEN import'!B289</f>
        <v>TC_B_14_CS</v>
      </c>
      <c r="B289" t="str">
        <f>'HIDDEN import'!C289</f>
        <v>Advanced Device Management</v>
      </c>
      <c r="C289" t="str">
        <f>'HIDDEN import'!D289</f>
        <v>Get Base Report - SummaryInventory</v>
      </c>
      <c r="D289" t="str">
        <f>IF(VLOOKUP(A289&amp;" "&amp;B289,'HIDDEN import'!A:G,5,FALSE)="M",MD!$A$1,(IF(AND(VLOOKUP(A289,'HIDDEN import'!B:E,4,FALSE)="C",OR(NOT(ISERROR(VLOOKUP(E289,'Optional features'!B:D,1,FALSE)=E289)),NOT(ISERROR(VLOOKUP(E289,'HIDDEN calc sheet'!A:C,1,FALSE)=E289)))),MD!$A$3,MD!$A$2)))</f>
        <v>Mandatory test for a mandatory feature</v>
      </c>
      <c r="E289" t="str">
        <f>IF('HIDDEN import'!F289=0,"",'HIDDEN import'!F289)</f>
        <v>C-56</v>
      </c>
      <c r="F289" t="str">
        <f>IF('HIDDEN import'!G289=0,"",'HIDDEN import'!G289)</f>
        <v/>
      </c>
      <c r="G289" s="181" t="str">
        <f>IFERROR(VLOOKUP($A289,'HIDDEN Testrun Results'!$A:$B,2,FALSE),"")</f>
        <v/>
      </c>
      <c r="H289" s="11" t="b">
        <f t="shared" si="5"/>
        <v>0</v>
      </c>
      <c r="I289" s="11" t="b">
        <f>IF(VLOOKUP(A289&amp;" "&amp;B289,'HIDDEN import'!A:G,5,FALSE)="M",TRUE,IFERROR(VLOOKUP(E289,'Optional features'!B:D,3,FALSE)="Yes",IFERROR(VLOOKUP(E289,'HIDDEN calc sheet'!A:B,2,FALSE),IFERROR(VLOOKUP(E289,'Additional questions'!B:D,3,FALSE)="Yes",VLOOKUP(E289,'Hardware Feature set'!B:D,3,FALSE)="No"))))</f>
        <v>1</v>
      </c>
      <c r="J289" s="11" t="b">
        <f>IF(VLOOKUP(B289,'Profile selection'!B:C,2,FALSE)="Yes",TRUE,FALSE)</f>
        <v>0</v>
      </c>
      <c r="K289" s="53"/>
      <c r="L289" s="53"/>
    </row>
    <row r="290" spans="1:12" x14ac:dyDescent="0.25">
      <c r="A290" t="str">
        <f>'HIDDEN import'!B290</f>
        <v>TC_B_16_CS</v>
      </c>
      <c r="B290" t="str">
        <f>'HIDDEN import'!C290</f>
        <v>Advanced Device Management</v>
      </c>
      <c r="C290" t="str">
        <f>'HIDDEN import'!D290</f>
        <v>Get Custom Report - with component criteria</v>
      </c>
      <c r="D290" t="str">
        <f>IF(VLOOKUP(A290&amp;" "&amp;B290,'HIDDEN import'!A:G,5,FALSE)="M",MD!$A$1,(IF(AND(VLOOKUP(A290,'HIDDEN import'!B:E,4,FALSE)="C",OR(NOT(ISERROR(VLOOKUP(E290,'Optional features'!B:D,1,FALSE)=E290)),NOT(ISERROR(VLOOKUP(E290,'HIDDEN calc sheet'!A:C,1,FALSE)=E290)))),MD!$A$3,MD!$A$2)))</f>
        <v>Mandatory test for a mandatory feature</v>
      </c>
      <c r="E290" t="str">
        <f>IF('HIDDEN import'!F290=0,"",'HIDDEN import'!F290)</f>
        <v/>
      </c>
      <c r="F290" t="str">
        <f>IF('HIDDEN import'!G290=0,"",'HIDDEN import'!G290)</f>
        <v/>
      </c>
      <c r="G290" s="181" t="str">
        <f>IFERROR(VLOOKUP($A290,'HIDDEN Testrun Results'!$A:$B,2,FALSE),"")</f>
        <v/>
      </c>
      <c r="H290" s="11" t="b">
        <f t="shared" si="5"/>
        <v>0</v>
      </c>
      <c r="I290" s="11" t="b">
        <f>IF(VLOOKUP(A290&amp;" "&amp;B290,'HIDDEN import'!A:G,5,FALSE)="M",TRUE,IFERROR(VLOOKUP(E290,'Optional features'!B:D,3,FALSE)="Yes",IFERROR(VLOOKUP(E290,'HIDDEN calc sheet'!A:B,2,FALSE),IFERROR(VLOOKUP(E290,'Additional questions'!B:D,3,FALSE)="Yes",VLOOKUP(E290,'Hardware Feature set'!B:D,3,FALSE)="No"))))</f>
        <v>1</v>
      </c>
      <c r="J290" s="11" t="b">
        <f>IF(VLOOKUP(B290,'Profile selection'!B:C,2,FALSE)="Yes",TRUE,FALSE)</f>
        <v>0</v>
      </c>
      <c r="K290" s="53"/>
      <c r="L290" s="53"/>
    </row>
    <row r="291" spans="1:12" x14ac:dyDescent="0.25">
      <c r="A291" t="str">
        <f>'HIDDEN import'!B291</f>
        <v>TC_B_17_CS</v>
      </c>
      <c r="B291" t="str">
        <f>'HIDDEN import'!C291</f>
        <v>Advanced Device Management</v>
      </c>
      <c r="C291" t="str">
        <f>'HIDDEN import'!D291</f>
        <v>Get Custom Report - with component/variable</v>
      </c>
      <c r="D291" t="str">
        <f>IF(VLOOKUP(A291&amp;" "&amp;B291,'HIDDEN import'!A:G,5,FALSE)="M",MD!$A$1,(IF(AND(VLOOKUP(A291,'HIDDEN import'!B:E,4,FALSE)="C",OR(NOT(ISERROR(VLOOKUP(E291,'Optional features'!B:D,1,FALSE)=E291)),NOT(ISERROR(VLOOKUP(E291,'HIDDEN calc sheet'!A:C,1,FALSE)=E291)))),MD!$A$3,MD!$A$2)))</f>
        <v>Mandatory test for a mandatory feature</v>
      </c>
      <c r="E291" t="str">
        <f>IF('HIDDEN import'!F291=0,"",'HIDDEN import'!F291)</f>
        <v/>
      </c>
      <c r="F291" t="str">
        <f>IF('HIDDEN import'!G291=0,"",'HIDDEN import'!G291)</f>
        <v/>
      </c>
      <c r="G291" s="181" t="str">
        <f>IFERROR(VLOOKUP($A291,'HIDDEN Testrun Results'!$A:$B,2,FALSE),"")</f>
        <v/>
      </c>
      <c r="H291" s="11" t="b">
        <f t="shared" si="5"/>
        <v>0</v>
      </c>
      <c r="I291" s="11" t="b">
        <f>IF(VLOOKUP(A291&amp;" "&amp;B291,'HIDDEN import'!A:G,5,FALSE)="M",TRUE,IFERROR(VLOOKUP(E291,'Optional features'!B:D,3,FALSE)="Yes",IFERROR(VLOOKUP(E291,'HIDDEN calc sheet'!A:B,2,FALSE),IFERROR(VLOOKUP(E291,'Additional questions'!B:D,3,FALSE)="Yes",VLOOKUP(E291,'Hardware Feature set'!B:D,3,FALSE)="No"))))</f>
        <v>1</v>
      </c>
      <c r="J291" s="11" t="b">
        <f>IF(VLOOKUP(B291,'Profile selection'!B:C,2,FALSE)="Yes",TRUE,FALSE)</f>
        <v>0</v>
      </c>
      <c r="K291" s="53"/>
      <c r="L291" s="53"/>
    </row>
    <row r="292" spans="1:12" x14ac:dyDescent="0.25">
      <c r="A292" t="str">
        <f>'HIDDEN import'!B292</f>
        <v>TC_B_18_CS</v>
      </c>
      <c r="B292" t="str">
        <f>'HIDDEN import'!C292</f>
        <v>Advanced Device Management</v>
      </c>
      <c r="C292" t="str">
        <f>'HIDDEN import'!D292</f>
        <v>Get Custom Report - with componentCriteria and component/variables</v>
      </c>
      <c r="D292" t="str">
        <f>IF(VLOOKUP(A292&amp;" "&amp;B292,'HIDDEN import'!A:G,5,FALSE)="M",MD!$A$1,(IF(AND(VLOOKUP(A292,'HIDDEN import'!B:E,4,FALSE)="C",OR(NOT(ISERROR(VLOOKUP(E292,'Optional features'!B:D,1,FALSE)=E292)),NOT(ISERROR(VLOOKUP(E292,'HIDDEN calc sheet'!A:C,1,FALSE)=E292)))),MD!$A$3,MD!$A$2)))</f>
        <v>Mandatory test for a mandatory feature</v>
      </c>
      <c r="E292" t="str">
        <f>IF('HIDDEN import'!F292=0,"",'HIDDEN import'!F292)</f>
        <v/>
      </c>
      <c r="F292" t="str">
        <f>IF('HIDDEN import'!G292=0,"",'HIDDEN import'!G292)</f>
        <v/>
      </c>
      <c r="G292" s="181" t="str">
        <f>IFERROR(VLOOKUP($A292,'HIDDEN Testrun Results'!$A:$B,2,FALSE),"")</f>
        <v/>
      </c>
      <c r="H292" s="11" t="b">
        <f t="shared" si="5"/>
        <v>0</v>
      </c>
      <c r="I292" s="11" t="b">
        <f>IF(VLOOKUP(A292&amp;" "&amp;B292,'HIDDEN import'!A:G,5,FALSE)="M",TRUE,IFERROR(VLOOKUP(E292,'Optional features'!B:D,3,FALSE)="Yes",IFERROR(VLOOKUP(E292,'HIDDEN calc sheet'!A:B,2,FALSE),IFERROR(VLOOKUP(E292,'Additional questions'!B:D,3,FALSE)="Yes",VLOOKUP(E292,'Hardware Feature set'!B:D,3,FALSE)="No"))))</f>
        <v>1</v>
      </c>
      <c r="J292" s="11" t="b">
        <f>IF(VLOOKUP(B292,'Profile selection'!B:C,2,FALSE)="Yes",TRUE,FALSE)</f>
        <v>0</v>
      </c>
      <c r="K292" s="53"/>
      <c r="L292" s="53"/>
    </row>
    <row r="293" spans="1:12" x14ac:dyDescent="0.25">
      <c r="A293" t="str">
        <f>'HIDDEN import'!B293</f>
        <v>TC_B_54_CS</v>
      </c>
      <c r="B293" t="str">
        <f>'HIDDEN import'!C293</f>
        <v>Advanced Device Management</v>
      </c>
      <c r="C293" t="str">
        <f>'HIDDEN import'!D293</f>
        <v>Get Custom Report - with component/variable, but no instance</v>
      </c>
      <c r="D293" t="str">
        <f>IF(VLOOKUP(A293&amp;" "&amp;B293,'HIDDEN import'!A:G,5,FALSE)="M",MD!$A$1,(IF(AND(VLOOKUP(A293,'HIDDEN import'!B:E,4,FALSE)="C",OR(NOT(ISERROR(VLOOKUP(E293,'Optional features'!B:D,1,FALSE)=E293)),NOT(ISERROR(VLOOKUP(E293,'HIDDEN calc sheet'!A:C,1,FALSE)=E293)))),MD!$A$3,MD!$A$2)))</f>
        <v>Mandatory test for a mandatory feature</v>
      </c>
      <c r="E293" t="str">
        <f>IF('HIDDEN import'!F293=0,"",'HIDDEN import'!F293)</f>
        <v/>
      </c>
      <c r="F293" t="str">
        <f>IF('HIDDEN import'!G293=0,"",'HIDDEN import'!G293)</f>
        <v/>
      </c>
      <c r="G293" s="181" t="str">
        <f>IFERROR(VLOOKUP($A293,'HIDDEN Testrun Results'!$A:$B,2,FALSE),"")</f>
        <v/>
      </c>
      <c r="H293" s="11" t="b">
        <f t="shared" si="5"/>
        <v>0</v>
      </c>
      <c r="I293" s="11" t="b">
        <f>IF(VLOOKUP(A293&amp;" "&amp;B293,'HIDDEN import'!A:G,5,FALSE)="M",TRUE,IFERROR(VLOOKUP(E293,'Optional features'!B:D,3,FALSE)="Yes",IFERROR(VLOOKUP(E293,'HIDDEN calc sheet'!A:B,2,FALSE),IFERROR(VLOOKUP(E293,'Additional questions'!B:D,3,FALSE)="Yes",VLOOKUP(E293,'Hardware Feature set'!B:D,3,FALSE)="No"))))</f>
        <v>1</v>
      </c>
      <c r="J293" s="11" t="b">
        <f>IF(VLOOKUP(B293,'Profile selection'!B:C,2,FALSE)="Yes",TRUE,FALSE)</f>
        <v>0</v>
      </c>
      <c r="K293" s="53"/>
      <c r="L293" s="53"/>
    </row>
    <row r="294" spans="1:12" x14ac:dyDescent="0.25">
      <c r="A294" t="str">
        <f>'HIDDEN import'!B294</f>
        <v>TC_B_55_CS</v>
      </c>
      <c r="B294" t="str">
        <f>'HIDDEN import'!C294</f>
        <v>Advanced Device Management</v>
      </c>
      <c r="C294" t="str">
        <f>'HIDDEN import'!D294</f>
        <v>Get Custom Report - with component/variable/instance</v>
      </c>
      <c r="D294" t="str">
        <f>IF(VLOOKUP(A294&amp;" "&amp;B294,'HIDDEN import'!A:G,5,FALSE)="M",MD!$A$1,(IF(AND(VLOOKUP(A294,'HIDDEN import'!B:E,4,FALSE)="C",OR(NOT(ISERROR(VLOOKUP(E294,'Optional features'!B:D,1,FALSE)=E294)),NOT(ISERROR(VLOOKUP(E294,'HIDDEN calc sheet'!A:C,1,FALSE)=E294)))),MD!$A$3,MD!$A$2)))</f>
        <v>Mandatory test for a mandatory feature</v>
      </c>
      <c r="E294" t="str">
        <f>IF('HIDDEN import'!F294=0,"",'HIDDEN import'!F294)</f>
        <v/>
      </c>
      <c r="F294" t="str">
        <f>IF('HIDDEN import'!G294=0,"",'HIDDEN import'!G294)</f>
        <v/>
      </c>
      <c r="G294" s="181" t="str">
        <f>IFERROR(VLOOKUP($A294,'HIDDEN Testrun Results'!$A:$B,2,FALSE),"")</f>
        <v/>
      </c>
      <c r="H294" s="11" t="b">
        <f t="shared" si="5"/>
        <v>0</v>
      </c>
      <c r="I294" s="11" t="b">
        <f>IF(VLOOKUP(A294&amp;" "&amp;B294,'HIDDEN import'!A:G,5,FALSE)="M",TRUE,IFERROR(VLOOKUP(E294,'Optional features'!B:D,3,FALSE)="Yes",IFERROR(VLOOKUP(E294,'HIDDEN calc sheet'!A:B,2,FALSE),IFERROR(VLOOKUP(E294,'Additional questions'!B:D,3,FALSE)="Yes",VLOOKUP(E294,'Hardware Feature set'!B:D,3,FALSE)="No"))))</f>
        <v>1</v>
      </c>
      <c r="J294" s="11" t="b">
        <f>IF(VLOOKUP(B294,'Profile selection'!B:C,2,FALSE)="Yes",TRUE,FALSE)</f>
        <v>0</v>
      </c>
      <c r="K294" s="53"/>
      <c r="L294" s="53"/>
    </row>
    <row r="295" spans="1:12" x14ac:dyDescent="0.25">
      <c r="A295" t="str">
        <f>'HIDDEN import'!B295</f>
        <v>TC_B_56_CS</v>
      </c>
      <c r="B295" t="str">
        <f>'HIDDEN import'!C295</f>
        <v>Advanced Device Management</v>
      </c>
      <c r="C295" t="str">
        <f>'HIDDEN import'!D295</f>
        <v>Get Custom Report - with component/variable, but no evseId</v>
      </c>
      <c r="D295" t="str">
        <f>IF(VLOOKUP(A295&amp;" "&amp;B295,'HIDDEN import'!A:G,5,FALSE)="M",MD!$A$1,(IF(AND(VLOOKUP(A295,'HIDDEN import'!B:E,4,FALSE)="C",OR(NOT(ISERROR(VLOOKUP(E295,'Optional features'!B:D,1,FALSE)=E295)),NOT(ISERROR(VLOOKUP(E295,'HIDDEN calc sheet'!A:C,1,FALSE)=E295)))),MD!$A$3,MD!$A$2)))</f>
        <v>Mandatory test for a mandatory feature</v>
      </c>
      <c r="E295" t="str">
        <f>IF('HIDDEN import'!F295=0,"",'HIDDEN import'!F295)</f>
        <v/>
      </c>
      <c r="F295" t="str">
        <f>IF('HIDDEN import'!G295=0,"",'HIDDEN import'!G295)</f>
        <v/>
      </c>
      <c r="G295" s="181" t="str">
        <f>IFERROR(VLOOKUP($A295,'HIDDEN Testrun Results'!$A:$B,2,FALSE),"")</f>
        <v/>
      </c>
      <c r="H295" s="11" t="b">
        <f t="shared" si="5"/>
        <v>0</v>
      </c>
      <c r="I295" s="11" t="b">
        <f>IF(VLOOKUP(A295&amp;" "&amp;B295,'HIDDEN import'!A:G,5,FALSE)="M",TRUE,IFERROR(VLOOKUP(E295,'Optional features'!B:D,3,FALSE)="Yes",IFERROR(VLOOKUP(E295,'HIDDEN calc sheet'!A:B,2,FALSE),IFERROR(VLOOKUP(E295,'Additional questions'!B:D,3,FALSE)="Yes",VLOOKUP(E295,'Hardware Feature set'!B:D,3,FALSE)="No"))))</f>
        <v>1</v>
      </c>
      <c r="J295" s="11" t="b">
        <f>IF(VLOOKUP(B295,'Profile selection'!B:C,2,FALSE)="Yes",TRUE,FALSE)</f>
        <v>0</v>
      </c>
      <c r="K295" s="53"/>
      <c r="L295" s="53"/>
    </row>
    <row r="296" spans="1:12" x14ac:dyDescent="0.25">
      <c r="A296" t="str">
        <f>'HIDDEN import'!B296</f>
        <v>TC_N_01_CS</v>
      </c>
      <c r="B296" t="str">
        <f>'HIDDEN import'!C296</f>
        <v>Advanced Device Management</v>
      </c>
      <c r="C296" t="str">
        <f>'HIDDEN import'!D296</f>
        <v>Get Monitoring Report - with monitoringCriteria</v>
      </c>
      <c r="D296" t="str">
        <f>IF(VLOOKUP(A296&amp;" "&amp;B296,'HIDDEN import'!A:G,5,FALSE)="M",MD!$A$1,(IF(AND(VLOOKUP(A296,'HIDDEN import'!B:E,4,FALSE)="C",OR(NOT(ISERROR(VLOOKUP(E296,'Optional features'!B:D,1,FALSE)=E296)),NOT(ISERROR(VLOOKUP(E296,'HIDDEN calc sheet'!A:C,1,FALSE)=E296)))),MD!$A$3,MD!$A$2)))</f>
        <v>Mandatory test for a mandatory feature</v>
      </c>
      <c r="E296" t="str">
        <f>IF('HIDDEN import'!F296=0,"",'HIDDEN import'!F296)</f>
        <v/>
      </c>
      <c r="F296" t="str">
        <f>IF('HIDDEN import'!G296=0,"",'HIDDEN import'!G296)</f>
        <v/>
      </c>
      <c r="G296" s="181" t="str">
        <f>IFERROR(VLOOKUP($A296,'HIDDEN Testrun Results'!$A:$B,2,FALSE),"")</f>
        <v/>
      </c>
      <c r="H296" s="11" t="b">
        <f t="shared" si="5"/>
        <v>0</v>
      </c>
      <c r="I296" s="11" t="b">
        <f>IF(VLOOKUP(A296&amp;" "&amp;B296,'HIDDEN import'!A:G,5,FALSE)="M",TRUE,IFERROR(VLOOKUP(E296,'Optional features'!B:D,3,FALSE)="Yes",IFERROR(VLOOKUP(E296,'HIDDEN calc sheet'!A:B,2,FALSE),IFERROR(VLOOKUP(E296,'Additional questions'!B:D,3,FALSE)="Yes",VLOOKUP(E296,'Hardware Feature set'!B:D,3,FALSE)="No"))))</f>
        <v>1</v>
      </c>
      <c r="J296" s="11" t="b">
        <f>IF(VLOOKUP(B296,'Profile selection'!B:C,2,FALSE)="Yes",TRUE,FALSE)</f>
        <v>0</v>
      </c>
      <c r="K296" s="53"/>
      <c r="L296" s="53"/>
    </row>
    <row r="297" spans="1:12" x14ac:dyDescent="0.25">
      <c r="A297" t="str">
        <f>'HIDDEN import'!B297</f>
        <v>TC_N_02_CS</v>
      </c>
      <c r="B297" t="str">
        <f>'HIDDEN import'!C297</f>
        <v>Advanced Device Management</v>
      </c>
      <c r="C297" t="str">
        <f>'HIDDEN import'!D297</f>
        <v>Get Monitoring Report - with component/variable</v>
      </c>
      <c r="D297" t="str">
        <f>IF(VLOOKUP(A297&amp;" "&amp;B297,'HIDDEN import'!A:G,5,FALSE)="M",MD!$A$1,(IF(AND(VLOOKUP(A297,'HIDDEN import'!B:E,4,FALSE)="C",OR(NOT(ISERROR(VLOOKUP(E297,'Optional features'!B:D,1,FALSE)=E297)),NOT(ISERROR(VLOOKUP(E297,'HIDDEN calc sheet'!A:C,1,FALSE)=E297)))),MD!$A$3,MD!$A$2)))</f>
        <v>Mandatory test for a mandatory feature</v>
      </c>
      <c r="E297" t="str">
        <f>IF('HIDDEN import'!F297=0,"",'HIDDEN import'!F297)</f>
        <v/>
      </c>
      <c r="F297" t="str">
        <f>IF('HIDDEN import'!G297=0,"",'HIDDEN import'!G297)</f>
        <v/>
      </c>
      <c r="G297" s="181" t="str">
        <f>IFERROR(VLOOKUP($A297,'HIDDEN Testrun Results'!$A:$B,2,FALSE),"")</f>
        <v/>
      </c>
      <c r="H297" s="11" t="b">
        <f t="shared" si="5"/>
        <v>0</v>
      </c>
      <c r="I297" s="11" t="b">
        <f>IF(VLOOKUP(A297&amp;" "&amp;B297,'HIDDEN import'!A:G,5,FALSE)="M",TRUE,IFERROR(VLOOKUP(E297,'Optional features'!B:D,3,FALSE)="Yes",IFERROR(VLOOKUP(E297,'HIDDEN calc sheet'!A:B,2,FALSE),IFERROR(VLOOKUP(E297,'Additional questions'!B:D,3,FALSE)="Yes",VLOOKUP(E297,'Hardware Feature set'!B:D,3,FALSE)="No"))))</f>
        <v>1</v>
      </c>
      <c r="J297" s="11" t="b">
        <f>IF(VLOOKUP(B297,'Profile selection'!B:C,2,FALSE)="Yes",TRUE,FALSE)</f>
        <v>0</v>
      </c>
      <c r="K297" s="53"/>
      <c r="L297" s="53"/>
    </row>
    <row r="298" spans="1:12" x14ac:dyDescent="0.25">
      <c r="A298" t="str">
        <f>'HIDDEN import'!B298</f>
        <v>TC_N_03_CS</v>
      </c>
      <c r="B298" t="str">
        <f>'HIDDEN import'!C298</f>
        <v>Advanced Device Management</v>
      </c>
      <c r="C298" t="str">
        <f>'HIDDEN import'!D298</f>
        <v>Get Monitoring Report - with component criteria and component/variable</v>
      </c>
      <c r="D298" t="str">
        <f>IF(VLOOKUP(A298&amp;" "&amp;B298,'HIDDEN import'!A:G,5,FALSE)="M",MD!$A$1,(IF(AND(VLOOKUP(A298,'HIDDEN import'!B:E,4,FALSE)="C",OR(NOT(ISERROR(VLOOKUP(E298,'Optional features'!B:D,1,FALSE)=E298)),NOT(ISERROR(VLOOKUP(E298,'HIDDEN calc sheet'!A:C,1,FALSE)=E298)))),MD!$A$3,MD!$A$2)))</f>
        <v>Mandatory test for a mandatory feature</v>
      </c>
      <c r="E298" t="str">
        <f>IF('HIDDEN import'!F298=0,"",'HIDDEN import'!F298)</f>
        <v/>
      </c>
      <c r="F298" t="str">
        <f>IF('HIDDEN import'!G298=0,"",'HIDDEN import'!G298)</f>
        <v/>
      </c>
      <c r="G298" s="181" t="str">
        <f>IFERROR(VLOOKUP($A298,'HIDDEN Testrun Results'!$A:$B,2,FALSE),"")</f>
        <v/>
      </c>
      <c r="H298" s="11" t="b">
        <f t="shared" si="5"/>
        <v>0</v>
      </c>
      <c r="I298" s="11" t="b">
        <f>IF(VLOOKUP(A298&amp;" "&amp;B298,'HIDDEN import'!A:G,5,FALSE)="M",TRUE,IFERROR(VLOOKUP(E298,'Optional features'!B:D,3,FALSE)="Yes",IFERROR(VLOOKUP(E298,'HIDDEN calc sheet'!A:B,2,FALSE),IFERROR(VLOOKUP(E298,'Additional questions'!B:D,3,FALSE)="Yes",VLOOKUP(E298,'Hardware Feature set'!B:D,3,FALSE)="No"))))</f>
        <v>1</v>
      </c>
      <c r="J298" s="11" t="b">
        <f>IF(VLOOKUP(B298,'Profile selection'!B:C,2,FALSE)="Yes",TRUE,FALSE)</f>
        <v>0</v>
      </c>
      <c r="K298" s="53"/>
      <c r="L298" s="53"/>
    </row>
    <row r="299" spans="1:12" x14ac:dyDescent="0.25">
      <c r="A299" t="str">
        <f>'HIDDEN import'!B299</f>
        <v>TC_N_47_CS</v>
      </c>
      <c r="B299" t="str">
        <f>'HIDDEN import'!C299</f>
        <v>Advanced Device Management</v>
      </c>
      <c r="C299" t="str">
        <f>'HIDDEN import'!D299</f>
        <v>Get Monitoring Report - Report all</v>
      </c>
      <c r="D299" t="str">
        <f>IF(VLOOKUP(A299&amp;" "&amp;B299,'HIDDEN import'!A:G,5,FALSE)="M",MD!$A$1,(IF(AND(VLOOKUP(A299,'HIDDEN import'!B:E,4,FALSE)="C",OR(NOT(ISERROR(VLOOKUP(E299,'Optional features'!B:D,1,FALSE)=E299)),NOT(ISERROR(VLOOKUP(E299,'HIDDEN calc sheet'!A:C,1,FALSE)=E299)))),MD!$A$3,MD!$A$2)))</f>
        <v>Mandatory test for a mandatory feature</v>
      </c>
      <c r="E299" t="str">
        <f>IF('HIDDEN import'!F299=0,"",'HIDDEN import'!F299)</f>
        <v/>
      </c>
      <c r="F299" t="str">
        <f>IF('HIDDEN import'!G299=0,"",'HIDDEN import'!G299)</f>
        <v/>
      </c>
      <c r="G299" s="181" t="str">
        <f>IFERROR(VLOOKUP($A299,'HIDDEN Testrun Results'!$A:$B,2,FALSE),"")</f>
        <v/>
      </c>
      <c r="H299" s="11" t="b">
        <f t="shared" si="5"/>
        <v>0</v>
      </c>
      <c r="I299" s="11" t="b">
        <f>IF(VLOOKUP(A299&amp;" "&amp;B299,'HIDDEN import'!A:G,5,FALSE)="M",TRUE,IFERROR(VLOOKUP(E299,'Optional features'!B:D,3,FALSE)="Yes",IFERROR(VLOOKUP(E299,'HIDDEN calc sheet'!A:B,2,FALSE),IFERROR(VLOOKUP(E299,'Additional questions'!B:D,3,FALSE)="Yes",VLOOKUP(E299,'Hardware Feature set'!B:D,3,FALSE)="No"))))</f>
        <v>1</v>
      </c>
      <c r="J299" s="11" t="b">
        <f>IF(VLOOKUP(B299,'Profile selection'!B:C,2,FALSE)="Yes",TRUE,FALSE)</f>
        <v>0</v>
      </c>
      <c r="K299" s="53"/>
      <c r="L299" s="53"/>
    </row>
    <row r="300" spans="1:12" x14ac:dyDescent="0.25">
      <c r="A300" t="str">
        <f>'HIDDEN import'!B300</f>
        <v>TC_N_05_CS</v>
      </c>
      <c r="B300" t="str">
        <f>'HIDDEN import'!C300</f>
        <v>Advanced Device Management</v>
      </c>
      <c r="C300" t="str">
        <f>'HIDDEN import'!D300</f>
        <v>Set Monitoring Base - success</v>
      </c>
      <c r="D300" t="str">
        <f>IF(VLOOKUP(A300&amp;" "&amp;B300,'HIDDEN import'!A:G,5,FALSE)="M",MD!$A$1,(IF(AND(VLOOKUP(A300,'HIDDEN import'!B:E,4,FALSE)="C",OR(NOT(ISERROR(VLOOKUP(E300,'Optional features'!B:D,1,FALSE)=E300)),NOT(ISERROR(VLOOKUP(E300,'HIDDEN calc sheet'!A:C,1,FALSE)=E300)))),MD!$A$3,MD!$A$2)))</f>
        <v>Mandatory test for a mandatory feature</v>
      </c>
      <c r="E300" t="str">
        <f>IF('HIDDEN import'!F300=0,"",'HIDDEN import'!F300)</f>
        <v/>
      </c>
      <c r="F300" t="str">
        <f>IF('HIDDEN import'!G300=0,"",'HIDDEN import'!G300)</f>
        <v/>
      </c>
      <c r="G300" s="181" t="str">
        <f>IFERROR(VLOOKUP($A300,'HIDDEN Testrun Results'!$A:$B,2,FALSE),"")</f>
        <v/>
      </c>
      <c r="H300" s="11" t="b">
        <f t="shared" si="5"/>
        <v>0</v>
      </c>
      <c r="I300" s="11" t="b">
        <f>IF(VLOOKUP(A300&amp;" "&amp;B300,'HIDDEN import'!A:G,5,FALSE)="M",TRUE,IFERROR(VLOOKUP(E300,'Optional features'!B:D,3,FALSE)="Yes",IFERROR(VLOOKUP(E300,'HIDDEN calc sheet'!A:B,2,FALSE),IFERROR(VLOOKUP(E300,'Additional questions'!B:D,3,FALSE)="Yes",VLOOKUP(E300,'Hardware Feature set'!B:D,3,FALSE)="No"))))</f>
        <v>1</v>
      </c>
      <c r="J300" s="11" t="b">
        <f>IF(VLOOKUP(B300,'Profile selection'!B:C,2,FALSE)="Yes",TRUE,FALSE)</f>
        <v>0</v>
      </c>
      <c r="K300" s="53"/>
      <c r="L300" s="53"/>
    </row>
    <row r="301" spans="1:12" x14ac:dyDescent="0.25">
      <c r="A301" t="str">
        <f>'HIDDEN import'!B301</f>
        <v>TC_N_06_CS</v>
      </c>
      <c r="B301" t="str">
        <f>'HIDDEN import'!C301</f>
        <v>Advanced Device Management</v>
      </c>
      <c r="C301" t="str">
        <f>'HIDDEN import'!D301</f>
        <v>Set Monitoring Base - test removal custom monitors</v>
      </c>
      <c r="D301" t="str">
        <f>IF(VLOOKUP(A301&amp;" "&amp;B301,'HIDDEN import'!A:G,5,FALSE)="M",MD!$A$1,(IF(AND(VLOOKUP(A301,'HIDDEN import'!B:E,4,FALSE)="C",OR(NOT(ISERROR(VLOOKUP(E301,'Optional features'!B:D,1,FALSE)=E301)),NOT(ISERROR(VLOOKUP(E301,'HIDDEN calc sheet'!A:C,1,FALSE)=E301)))),MD!$A$3,MD!$A$2)))</f>
        <v>Mandatory test for a mandatory feature</v>
      </c>
      <c r="E301" t="str">
        <f>IF('HIDDEN import'!F301=0,"",'HIDDEN import'!F301)</f>
        <v/>
      </c>
      <c r="F301" t="str">
        <f>IF('HIDDEN import'!G301=0,"",'HIDDEN import'!G301)</f>
        <v/>
      </c>
      <c r="G301" s="181" t="str">
        <f>IFERROR(VLOOKUP($A301,'HIDDEN Testrun Results'!$A:$B,2,FALSE),"")</f>
        <v/>
      </c>
      <c r="H301" s="11" t="b">
        <f t="shared" si="5"/>
        <v>0</v>
      </c>
      <c r="I301" s="11" t="b">
        <f>IF(VLOOKUP(A301&amp;" "&amp;B301,'HIDDEN import'!A:G,5,FALSE)="M",TRUE,IFERROR(VLOOKUP(E301,'Optional features'!B:D,3,FALSE)="Yes",IFERROR(VLOOKUP(E301,'HIDDEN calc sheet'!A:B,2,FALSE),IFERROR(VLOOKUP(E301,'Additional questions'!B:D,3,FALSE)="Yes",VLOOKUP(E301,'Hardware Feature set'!B:D,3,FALSE)="No"))))</f>
        <v>1</v>
      </c>
      <c r="J301" s="11" t="b">
        <f>IF(VLOOKUP(B301,'Profile selection'!B:C,2,FALSE)="Yes",TRUE,FALSE)</f>
        <v>0</v>
      </c>
      <c r="K301" s="53"/>
      <c r="L301" s="53"/>
    </row>
    <row r="302" spans="1:12" x14ac:dyDescent="0.25">
      <c r="A302" t="str">
        <f>'HIDDEN import'!B302</f>
        <v>TC_N_08_CS</v>
      </c>
      <c r="B302" t="str">
        <f>'HIDDEN import'!C302</f>
        <v>Advanced Device Management</v>
      </c>
      <c r="C302" t="str">
        <f>'HIDDEN import'!D302</f>
        <v>Set Variable Monitoring - One SetMonitoringData element</v>
      </c>
      <c r="D302" t="str">
        <f>IF(VLOOKUP(A302&amp;" "&amp;B302,'HIDDEN import'!A:G,5,FALSE)="M",MD!$A$1,(IF(AND(VLOOKUP(A302,'HIDDEN import'!B:E,4,FALSE)="C",OR(NOT(ISERROR(VLOOKUP(E302,'Optional features'!B:D,1,FALSE)=E302)),NOT(ISERROR(VLOOKUP(E302,'HIDDEN calc sheet'!A:C,1,FALSE)=E302)))),MD!$A$3,MD!$A$2)))</f>
        <v>Mandatory test for a mandatory feature</v>
      </c>
      <c r="E302" t="str">
        <f>IF('HIDDEN import'!F302=0,"",'HIDDEN import'!F302)</f>
        <v/>
      </c>
      <c r="F302" t="str">
        <f>IF('HIDDEN import'!G302=0,"",'HIDDEN import'!G302)</f>
        <v/>
      </c>
      <c r="G302" s="181" t="str">
        <f>IFERROR(VLOOKUP($A302,'HIDDEN Testrun Results'!$A:$B,2,FALSE),"")</f>
        <v/>
      </c>
      <c r="H302" s="11" t="b">
        <f t="shared" si="5"/>
        <v>0</v>
      </c>
      <c r="I302" s="11" t="b">
        <f>IF(VLOOKUP(A302&amp;" "&amp;B302,'HIDDEN import'!A:G,5,FALSE)="M",TRUE,IFERROR(VLOOKUP(E302,'Optional features'!B:D,3,FALSE)="Yes",IFERROR(VLOOKUP(E302,'HIDDEN calc sheet'!A:B,2,FALSE),IFERROR(VLOOKUP(E302,'Additional questions'!B:D,3,FALSE)="Yes",VLOOKUP(E302,'Hardware Feature set'!B:D,3,FALSE)="No"))))</f>
        <v>1</v>
      </c>
      <c r="J302" s="11" t="b">
        <f>IF(VLOOKUP(B302,'Profile selection'!B:C,2,FALSE)="Yes",TRUE,FALSE)</f>
        <v>0</v>
      </c>
      <c r="K302" s="53"/>
      <c r="L302" s="53"/>
    </row>
    <row r="303" spans="1:12" x14ac:dyDescent="0.25">
      <c r="A303" t="str">
        <f>'HIDDEN import'!B303</f>
        <v>TC_N_09_CS</v>
      </c>
      <c r="B303" t="str">
        <f>'HIDDEN import'!C303</f>
        <v>Advanced Device Management</v>
      </c>
      <c r="C303" t="str">
        <f>'HIDDEN import'!D303</f>
        <v>Set Variable Monitoring - Multiple elements on different component and variable</v>
      </c>
      <c r="D303" t="str">
        <f>IF(VLOOKUP(A303&amp;" "&amp;B303,'HIDDEN import'!A:G,5,FALSE)="M",MD!$A$1,(IF(AND(VLOOKUP(A303,'HIDDEN import'!B:E,4,FALSE)="C",OR(NOT(ISERROR(VLOOKUP(E303,'Optional features'!B:D,1,FALSE)=E303)),NOT(ISERROR(VLOOKUP(E303,'HIDDEN calc sheet'!A:C,1,FALSE)=E303)))),MD!$A$3,MD!$A$2)))</f>
        <v>Mandatory test for a mandatory feature</v>
      </c>
      <c r="E303" t="str">
        <f>IF('HIDDEN import'!F303=0,"",'HIDDEN import'!F303)</f>
        <v/>
      </c>
      <c r="F303" t="str">
        <f>IF('HIDDEN import'!G303=0,"",'HIDDEN import'!G303)</f>
        <v/>
      </c>
      <c r="G303" s="181" t="str">
        <f>IFERROR(VLOOKUP($A303,'HIDDEN Testrun Results'!$A:$B,2,FALSE),"")</f>
        <v/>
      </c>
      <c r="H303" s="11" t="b">
        <f t="shared" si="5"/>
        <v>0</v>
      </c>
      <c r="I303" s="11" t="b">
        <f>IF(VLOOKUP(A303&amp;" "&amp;B303,'HIDDEN import'!A:G,5,FALSE)="M",TRUE,IFERROR(VLOOKUP(E303,'Optional features'!B:D,3,FALSE)="Yes",IFERROR(VLOOKUP(E303,'HIDDEN calc sheet'!A:B,2,FALSE),IFERROR(VLOOKUP(E303,'Additional questions'!B:D,3,FALSE)="Yes",VLOOKUP(E303,'Hardware Feature set'!B:D,3,FALSE)="No"))))</f>
        <v>1</v>
      </c>
      <c r="J303" s="11" t="b">
        <f>IF(VLOOKUP(B303,'Profile selection'!B:C,2,FALSE)="Yes",TRUE,FALSE)</f>
        <v>0</v>
      </c>
      <c r="K303" s="53"/>
      <c r="L303" s="53"/>
    </row>
    <row r="304" spans="1:12" x14ac:dyDescent="0.25">
      <c r="A304" t="str">
        <f>'HIDDEN import'!B304</f>
        <v>TC_N_10_CS</v>
      </c>
      <c r="B304" t="str">
        <f>'HIDDEN import'!C304</f>
        <v>Advanced Device Management</v>
      </c>
      <c r="C304" t="str">
        <f>'HIDDEN import'!D304</f>
        <v>Set Variable Monitoring - Multiple monitors on the same component and variable</v>
      </c>
      <c r="D304" t="str">
        <f>IF(VLOOKUP(A304&amp;" "&amp;B304,'HIDDEN import'!A:G,5,FALSE)="M",MD!$A$1,(IF(AND(VLOOKUP(A304,'HIDDEN import'!B:E,4,FALSE)="C",OR(NOT(ISERROR(VLOOKUP(E304,'Optional features'!B:D,1,FALSE)=E304)),NOT(ISERROR(VLOOKUP(E304,'HIDDEN calc sheet'!A:C,1,FALSE)=E304)))),MD!$A$3,MD!$A$2)))</f>
        <v>Mandatory test for a mandatory feature</v>
      </c>
      <c r="E304" t="str">
        <f>IF('HIDDEN import'!F304=0,"",'HIDDEN import'!F304)</f>
        <v/>
      </c>
      <c r="F304" t="str">
        <f>IF('HIDDEN import'!G304=0,"",'HIDDEN import'!G304)</f>
        <v/>
      </c>
      <c r="G304" s="181" t="str">
        <f>IFERROR(VLOOKUP($A304,'HIDDEN Testrun Results'!$A:$B,2,FALSE),"")</f>
        <v/>
      </c>
      <c r="H304" s="11" t="b">
        <f t="shared" si="5"/>
        <v>0</v>
      </c>
      <c r="I304" s="11" t="b">
        <f>IF(VLOOKUP(A304&amp;" "&amp;B304,'HIDDEN import'!A:G,5,FALSE)="M",TRUE,IFERROR(VLOOKUP(E304,'Optional features'!B:D,3,FALSE)="Yes",IFERROR(VLOOKUP(E304,'HIDDEN calc sheet'!A:B,2,FALSE),IFERROR(VLOOKUP(E304,'Additional questions'!B:D,3,FALSE)="Yes",VLOOKUP(E304,'Hardware Feature set'!B:D,3,FALSE)="No"))))</f>
        <v>1</v>
      </c>
      <c r="J304" s="11" t="b">
        <f>IF(VLOOKUP(B304,'Profile selection'!B:C,2,FALSE)="Yes",TRUE,FALSE)</f>
        <v>0</v>
      </c>
      <c r="K304" s="53"/>
      <c r="L304" s="53"/>
    </row>
    <row r="305" spans="1:12" x14ac:dyDescent="0.25">
      <c r="A305" t="str">
        <f>'HIDDEN import'!B305</f>
        <v>TC_N_11_CS</v>
      </c>
      <c r="B305" t="str">
        <f>'HIDDEN import'!C305</f>
        <v>Advanced Device Management</v>
      </c>
      <c r="C305" t="str">
        <f>'HIDDEN import'!D305</f>
        <v>Set Variable Monitoring - Unknown component</v>
      </c>
      <c r="D305" t="str">
        <f>IF(VLOOKUP(A305&amp;" "&amp;B305,'HIDDEN import'!A:G,5,FALSE)="M",MD!$A$1,(IF(AND(VLOOKUP(A305,'HIDDEN import'!B:E,4,FALSE)="C",OR(NOT(ISERROR(VLOOKUP(E305,'Optional features'!B:D,1,FALSE)=E305)),NOT(ISERROR(VLOOKUP(E305,'HIDDEN calc sheet'!A:C,1,FALSE)=E305)))),MD!$A$3,MD!$A$2)))</f>
        <v>Mandatory test for a mandatory feature</v>
      </c>
      <c r="E305" t="str">
        <f>IF('HIDDEN import'!F305=0,"",'HIDDEN import'!F305)</f>
        <v/>
      </c>
      <c r="F305" t="str">
        <f>IF('HIDDEN import'!G305=0,"",'HIDDEN import'!G305)</f>
        <v/>
      </c>
      <c r="G305" s="181" t="str">
        <f>IFERROR(VLOOKUP($A305,'HIDDEN Testrun Results'!$A:$B,2,FALSE),"")</f>
        <v/>
      </c>
      <c r="H305" s="11" t="b">
        <f t="shared" si="5"/>
        <v>0</v>
      </c>
      <c r="I305" s="11" t="b">
        <f>IF(VLOOKUP(A305&amp;" "&amp;B305,'HIDDEN import'!A:G,5,FALSE)="M",TRUE,IFERROR(VLOOKUP(E305,'Optional features'!B:D,3,FALSE)="Yes",IFERROR(VLOOKUP(E305,'HIDDEN calc sheet'!A:B,2,FALSE),IFERROR(VLOOKUP(E305,'Additional questions'!B:D,3,FALSE)="Yes",VLOOKUP(E305,'Hardware Feature set'!B:D,3,FALSE)="No"))))</f>
        <v>1</v>
      </c>
      <c r="J305" s="11" t="b">
        <f>IF(VLOOKUP(B305,'Profile selection'!B:C,2,FALSE)="Yes",TRUE,FALSE)</f>
        <v>0</v>
      </c>
      <c r="K305" s="53"/>
      <c r="L305" s="53"/>
    </row>
    <row r="306" spans="1:12" x14ac:dyDescent="0.25">
      <c r="A306" t="str">
        <f>'HIDDEN import'!B306</f>
        <v>TC_N_12_CS</v>
      </c>
      <c r="B306" t="str">
        <f>'HIDDEN import'!C306</f>
        <v>Advanced Device Management</v>
      </c>
      <c r="C306" t="str">
        <f>'HIDDEN import'!D306</f>
        <v>Set Variable Monitoring - Value out of range - Delta monitor</v>
      </c>
      <c r="D306" t="str">
        <f>IF(VLOOKUP(A306&amp;" "&amp;B306,'HIDDEN import'!A:G,5,FALSE)="M",MD!$A$1,(IF(AND(VLOOKUP(A306,'HIDDEN import'!B:E,4,FALSE)="C",OR(NOT(ISERROR(VLOOKUP(E306,'Optional features'!B:D,1,FALSE)=E306)),NOT(ISERROR(VLOOKUP(E306,'HIDDEN calc sheet'!A:C,1,FALSE)=E306)))),MD!$A$3,MD!$A$2)))</f>
        <v>Mandatory test for a mandatory feature</v>
      </c>
      <c r="E306" t="str">
        <f>IF('HIDDEN import'!F306=0,"",'HIDDEN import'!F306)</f>
        <v/>
      </c>
      <c r="F306" t="str">
        <f>IF('HIDDEN import'!G306=0,"",'HIDDEN import'!G306)</f>
        <v/>
      </c>
      <c r="G306" s="181" t="str">
        <f>IFERROR(VLOOKUP($A306,'HIDDEN Testrun Results'!$A:$B,2,FALSE),"")</f>
        <v/>
      </c>
      <c r="H306" s="11" t="b">
        <f t="shared" ref="H306:H369" si="6">IF(NOT(J306),FALSE,IF(NOT(ISLOGICAL(I306)),I306,AND(I306,J306)))</f>
        <v>0</v>
      </c>
      <c r="I306" s="11" t="b">
        <f>IF(VLOOKUP(A306&amp;" "&amp;B306,'HIDDEN import'!A:G,5,FALSE)="M",TRUE,IFERROR(VLOOKUP(E306,'Optional features'!B:D,3,FALSE)="Yes",IFERROR(VLOOKUP(E306,'HIDDEN calc sheet'!A:B,2,FALSE),IFERROR(VLOOKUP(E306,'Additional questions'!B:D,3,FALSE)="Yes",VLOOKUP(E306,'Hardware Feature set'!B:D,3,FALSE)="No"))))</f>
        <v>1</v>
      </c>
      <c r="J306" s="11" t="b">
        <f>IF(VLOOKUP(B306,'Profile selection'!B:C,2,FALSE)="Yes",TRUE,FALSE)</f>
        <v>0</v>
      </c>
      <c r="K306" s="53"/>
      <c r="L306" s="53"/>
    </row>
    <row r="307" spans="1:12" x14ac:dyDescent="0.25">
      <c r="A307" t="str">
        <f>'HIDDEN import'!B307</f>
        <v>TC_N_13_CS</v>
      </c>
      <c r="B307" t="str">
        <f>'HIDDEN import'!C307</f>
        <v>Advanced Device Management</v>
      </c>
      <c r="C307" t="str">
        <f>'HIDDEN import'!D307</f>
        <v>Set Variable Monitoring - Value out of range - Threshold monitor</v>
      </c>
      <c r="D307" t="str">
        <f>IF(VLOOKUP(A307&amp;" "&amp;B307,'HIDDEN import'!A:G,5,FALSE)="M",MD!$A$1,(IF(AND(VLOOKUP(A307,'HIDDEN import'!B:E,4,FALSE)="C",OR(NOT(ISERROR(VLOOKUP(E307,'Optional features'!B:D,1,FALSE)=E307)),NOT(ISERROR(VLOOKUP(E307,'HIDDEN calc sheet'!A:C,1,FALSE)=E307)))),MD!$A$3,MD!$A$2)))</f>
        <v>Mandatory test for a mandatory feature</v>
      </c>
      <c r="E307" t="str">
        <f>IF('HIDDEN import'!F307=0,"",'HIDDEN import'!F307)</f>
        <v/>
      </c>
      <c r="F307" t="str">
        <f>IF('HIDDEN import'!G307=0,"",'HIDDEN import'!G307)</f>
        <v/>
      </c>
      <c r="G307" s="181" t="str">
        <f>IFERROR(VLOOKUP($A307,'HIDDEN Testrun Results'!$A:$B,2,FALSE),"")</f>
        <v/>
      </c>
      <c r="H307" s="11" t="b">
        <f t="shared" si="6"/>
        <v>0</v>
      </c>
      <c r="I307" s="11" t="b">
        <f>IF(VLOOKUP(A307&amp;" "&amp;B307,'HIDDEN import'!A:G,5,FALSE)="M",TRUE,IFERROR(VLOOKUP(E307,'Optional features'!B:D,3,FALSE)="Yes",IFERROR(VLOOKUP(E307,'HIDDEN calc sheet'!A:B,2,FALSE),IFERROR(VLOOKUP(E307,'Additional questions'!B:D,3,FALSE)="Yes",VLOOKUP(E307,'Hardware Feature set'!B:D,3,FALSE)="No"))))</f>
        <v>1</v>
      </c>
      <c r="J307" s="11" t="b">
        <f>IF(VLOOKUP(B307,'Profile selection'!B:C,2,FALSE)="Yes",TRUE,FALSE)</f>
        <v>0</v>
      </c>
      <c r="K307" s="53"/>
      <c r="L307" s="53"/>
    </row>
    <row r="308" spans="1:12" x14ac:dyDescent="0.25">
      <c r="A308" t="str">
        <f>'HIDDEN import'!B308</f>
        <v>TC_N_15_CS</v>
      </c>
      <c r="B308" t="str">
        <f>'HIDDEN import'!C308</f>
        <v>Advanced Device Management</v>
      </c>
      <c r="C308" t="str">
        <f>'HIDDEN import'!D308</f>
        <v>Set Variable Monitoring - Duplicate Variable type/severity combination</v>
      </c>
      <c r="D308" t="str">
        <f>IF(VLOOKUP(A308&amp;" "&amp;B308,'HIDDEN import'!A:G,5,FALSE)="M",MD!$A$1,(IF(AND(VLOOKUP(A308,'HIDDEN import'!B:E,4,FALSE)="C",OR(NOT(ISERROR(VLOOKUP(E308,'Optional features'!B:D,1,FALSE)=E308)),NOT(ISERROR(VLOOKUP(E308,'HIDDEN calc sheet'!A:C,1,FALSE)=E308)))),MD!$A$3,MD!$A$2)))</f>
        <v>Mandatory test for a mandatory feature</v>
      </c>
      <c r="E308" t="str">
        <f>IF('HIDDEN import'!F308=0,"",'HIDDEN import'!F308)</f>
        <v/>
      </c>
      <c r="F308" t="str">
        <f>IF('HIDDEN import'!G308=0,"",'HIDDEN import'!G308)</f>
        <v/>
      </c>
      <c r="G308" s="181" t="str">
        <f>IFERROR(VLOOKUP($A308,'HIDDEN Testrun Results'!$A:$B,2,FALSE),"")</f>
        <v/>
      </c>
      <c r="H308" s="11" t="b">
        <f t="shared" si="6"/>
        <v>0</v>
      </c>
      <c r="I308" s="11" t="b">
        <f>IF(VLOOKUP(A308&amp;" "&amp;B308,'HIDDEN import'!A:G,5,FALSE)="M",TRUE,IFERROR(VLOOKUP(E308,'Optional features'!B:D,3,FALSE)="Yes",IFERROR(VLOOKUP(E308,'HIDDEN calc sheet'!A:B,2,FALSE),IFERROR(VLOOKUP(E308,'Additional questions'!B:D,3,FALSE)="Yes",VLOOKUP(E308,'Hardware Feature set'!B:D,3,FALSE)="No"))))</f>
        <v>1</v>
      </c>
      <c r="J308" s="11" t="b">
        <f>IF(VLOOKUP(B308,'Profile selection'!B:C,2,FALSE)="Yes",TRUE,FALSE)</f>
        <v>0</v>
      </c>
      <c r="K308" s="53"/>
      <c r="L308" s="53"/>
    </row>
    <row r="309" spans="1:12" x14ac:dyDescent="0.25">
      <c r="A309" t="str">
        <f>'HIDDEN import'!B309</f>
        <v>TC_N_24_CS</v>
      </c>
      <c r="B309" t="str">
        <f>'HIDDEN import'!C309</f>
        <v>Advanced Device Management</v>
      </c>
      <c r="C309" t="str">
        <f>'HIDDEN import'!D309</f>
        <v>Set Variable Monitoring - Periodic event</v>
      </c>
      <c r="D309" t="str">
        <f>IF(VLOOKUP(A309&amp;" "&amp;B309,'HIDDEN import'!A:G,5,FALSE)="M",MD!$A$1,(IF(AND(VLOOKUP(A309,'HIDDEN import'!B:E,4,FALSE)="C",OR(NOT(ISERROR(VLOOKUP(E309,'Optional features'!B:D,1,FALSE)=E309)),NOT(ISERROR(VLOOKUP(E309,'HIDDEN calc sheet'!A:C,1,FALSE)=E309)))),MD!$A$3,MD!$A$2)))</f>
        <v>Mandatory test for a mandatory feature</v>
      </c>
      <c r="E309" t="str">
        <f>IF('HIDDEN import'!F309=0,"",'HIDDEN import'!F309)</f>
        <v/>
      </c>
      <c r="F309" t="str">
        <f>IF('HIDDEN import'!G309=0,"",'HIDDEN import'!G309)</f>
        <v/>
      </c>
      <c r="G309" s="181" t="str">
        <f>IFERROR(VLOOKUP($A309,'HIDDEN Testrun Results'!$A:$B,2,FALSE),"")</f>
        <v/>
      </c>
      <c r="H309" s="11" t="b">
        <f t="shared" si="6"/>
        <v>0</v>
      </c>
      <c r="I309" s="11" t="b">
        <f>IF(VLOOKUP(A309&amp;" "&amp;B309,'HIDDEN import'!A:G,5,FALSE)="M",TRUE,IFERROR(VLOOKUP(E309,'Optional features'!B:D,3,FALSE)="Yes",IFERROR(VLOOKUP(E309,'HIDDEN calc sheet'!A:B,2,FALSE),IFERROR(VLOOKUP(E309,'Additional questions'!B:D,3,FALSE)="Yes",VLOOKUP(E309,'Hardware Feature set'!B:D,3,FALSE)="No"))))</f>
        <v>1</v>
      </c>
      <c r="J309" s="11" t="b">
        <f>IF(VLOOKUP(B309,'Profile selection'!B:C,2,FALSE)="Yes",TRUE,FALSE)</f>
        <v>0</v>
      </c>
      <c r="K309" s="53"/>
      <c r="L309" s="53"/>
    </row>
    <row r="310" spans="1:12" x14ac:dyDescent="0.25">
      <c r="A310" t="str">
        <f>'HIDDEN import'!B310</f>
        <v>TC_N_37_CS</v>
      </c>
      <c r="B310" t="str">
        <f>'HIDDEN import'!C310</f>
        <v>Advanced Device Management</v>
      </c>
      <c r="C310" t="str">
        <f>'HIDDEN import'!D310</f>
        <v>Set Variable Monitoring - Unknown Variable</v>
      </c>
      <c r="D310" t="str">
        <f>IF(VLOOKUP(A310&amp;" "&amp;B310,'HIDDEN import'!A:G,5,FALSE)="M",MD!$A$1,(IF(AND(VLOOKUP(A310,'HIDDEN import'!B:E,4,FALSE)="C",OR(NOT(ISERROR(VLOOKUP(E310,'Optional features'!B:D,1,FALSE)=E310)),NOT(ISERROR(VLOOKUP(E310,'HIDDEN calc sheet'!A:C,1,FALSE)=E310)))),MD!$A$3,MD!$A$2)))</f>
        <v>Mandatory test for a mandatory feature</v>
      </c>
      <c r="E310" t="str">
        <f>IF('HIDDEN import'!F310=0,"",'HIDDEN import'!F310)</f>
        <v/>
      </c>
      <c r="F310" t="str">
        <f>IF('HIDDEN import'!G310=0,"",'HIDDEN import'!G310)</f>
        <v/>
      </c>
      <c r="G310" s="181" t="str">
        <f>IFERROR(VLOOKUP($A310,'HIDDEN Testrun Results'!$A:$B,2,FALSE),"")</f>
        <v/>
      </c>
      <c r="H310" s="11" t="b">
        <f t="shared" si="6"/>
        <v>0</v>
      </c>
      <c r="I310" s="11" t="b">
        <f>IF(VLOOKUP(A310&amp;" "&amp;B310,'HIDDEN import'!A:G,5,FALSE)="M",TRUE,IFERROR(VLOOKUP(E310,'Optional features'!B:D,3,FALSE)="Yes",IFERROR(VLOOKUP(E310,'HIDDEN calc sheet'!A:B,2,FALSE),IFERROR(VLOOKUP(E310,'Additional questions'!B:D,3,FALSE)="Yes",VLOOKUP(E310,'Hardware Feature set'!B:D,3,FALSE)="No"))))</f>
        <v>1</v>
      </c>
      <c r="J310" s="11" t="b">
        <f>IF(VLOOKUP(B310,'Profile selection'!B:C,2,FALSE)="Yes",TRUE,FALSE)</f>
        <v>0</v>
      </c>
      <c r="K310" s="53"/>
      <c r="L310" s="53"/>
    </row>
    <row r="311" spans="1:12" x14ac:dyDescent="0.25">
      <c r="A311" t="str">
        <f>'HIDDEN import'!B311</f>
        <v>TC_N_39_CS</v>
      </c>
      <c r="B311" t="str">
        <f>'HIDDEN import'!C311</f>
        <v>Advanced Device Management</v>
      </c>
      <c r="C311" t="str">
        <f>'HIDDEN import'!D311</f>
        <v>Set Variable Monitoring - Component/Variable combination does NOT correspond</v>
      </c>
      <c r="D311" t="str">
        <f>IF(VLOOKUP(A311&amp;" "&amp;B311,'HIDDEN import'!A:G,5,FALSE)="M",MD!$A$1,(IF(AND(VLOOKUP(A311,'HIDDEN import'!B:E,4,FALSE)="C",OR(NOT(ISERROR(VLOOKUP(E311,'Optional features'!B:D,1,FALSE)=E311)),NOT(ISERROR(VLOOKUP(E311,'HIDDEN calc sheet'!A:C,1,FALSE)=E311)))),MD!$A$3,MD!$A$2)))</f>
        <v>Mandatory test for a mandatory feature</v>
      </c>
      <c r="E311" t="str">
        <f>IF('HIDDEN import'!F311=0,"",'HIDDEN import'!F311)</f>
        <v/>
      </c>
      <c r="F311" t="str">
        <f>IF('HIDDEN import'!G311=0,"",'HIDDEN import'!G311)</f>
        <v/>
      </c>
      <c r="G311" s="181" t="str">
        <f>IFERROR(VLOOKUP($A311,'HIDDEN Testrun Results'!$A:$B,2,FALSE),"")</f>
        <v/>
      </c>
      <c r="H311" s="11" t="b">
        <f t="shared" si="6"/>
        <v>0</v>
      </c>
      <c r="I311" s="11" t="b">
        <f>IF(VLOOKUP(A311&amp;" "&amp;B311,'HIDDEN import'!A:G,5,FALSE)="M",TRUE,IFERROR(VLOOKUP(E311,'Optional features'!B:D,3,FALSE)="Yes",IFERROR(VLOOKUP(E311,'HIDDEN calc sheet'!A:B,2,FALSE),IFERROR(VLOOKUP(E311,'Additional questions'!B:D,3,FALSE)="Yes",VLOOKUP(E311,'Hardware Feature set'!B:D,3,FALSE)="No"))))</f>
        <v>1</v>
      </c>
      <c r="J311" s="11" t="b">
        <f>IF(VLOOKUP(B311,'Profile selection'!B:C,2,FALSE)="Yes",TRUE,FALSE)</f>
        <v>0</v>
      </c>
      <c r="K311" s="53"/>
      <c r="L311" s="53"/>
    </row>
    <row r="312" spans="1:12" x14ac:dyDescent="0.25">
      <c r="A312" t="str">
        <f>'HIDDEN import'!B312</f>
        <v>TC_N_40_CS</v>
      </c>
      <c r="B312" t="str">
        <f>'HIDDEN import'!C312</f>
        <v>Advanced Device Management</v>
      </c>
      <c r="C312" t="str">
        <f>'HIDDEN import'!D312</f>
        <v>Set Variable Monitoring - Replace Variable Monitor</v>
      </c>
      <c r="D312" t="str">
        <f>IF(VLOOKUP(A312&amp;" "&amp;B312,'HIDDEN import'!A:G,5,FALSE)="M",MD!$A$1,(IF(AND(VLOOKUP(A312,'HIDDEN import'!B:E,4,FALSE)="C",OR(NOT(ISERROR(VLOOKUP(E312,'Optional features'!B:D,1,FALSE)=E312)),NOT(ISERROR(VLOOKUP(E312,'HIDDEN calc sheet'!A:C,1,FALSE)=E312)))),MD!$A$3,MD!$A$2)))</f>
        <v>Mandatory test for a mandatory feature</v>
      </c>
      <c r="E312" t="str">
        <f>IF('HIDDEN import'!F312=0,"",'HIDDEN import'!F312)</f>
        <v/>
      </c>
      <c r="F312" t="str">
        <f>IF('HIDDEN import'!G312=0,"",'HIDDEN import'!G312)</f>
        <v/>
      </c>
      <c r="G312" s="181" t="str">
        <f>IFERROR(VLOOKUP($A312,'HIDDEN Testrun Results'!$A:$B,2,FALSE),"")</f>
        <v/>
      </c>
      <c r="H312" s="11" t="b">
        <f t="shared" si="6"/>
        <v>0</v>
      </c>
      <c r="I312" s="11" t="b">
        <f>IF(VLOOKUP(A312&amp;" "&amp;B312,'HIDDEN import'!A:G,5,FALSE)="M",TRUE,IFERROR(VLOOKUP(E312,'Optional features'!B:D,3,FALSE)="Yes",IFERROR(VLOOKUP(E312,'HIDDEN calc sheet'!A:B,2,FALSE),IFERROR(VLOOKUP(E312,'Additional questions'!B:D,3,FALSE)="Yes",VLOOKUP(E312,'Hardware Feature set'!B:D,3,FALSE)="No"))))</f>
        <v>1</v>
      </c>
      <c r="J312" s="11" t="b">
        <f>IF(VLOOKUP(B312,'Profile selection'!B:C,2,FALSE)="Yes",TRUE,FALSE)</f>
        <v>0</v>
      </c>
      <c r="K312" s="53"/>
      <c r="L312" s="53"/>
    </row>
    <row r="313" spans="1:12" x14ac:dyDescent="0.25">
      <c r="A313" t="str">
        <f>'HIDDEN import'!B313</f>
        <v>TC_N_41_CS</v>
      </c>
      <c r="B313" t="str">
        <f>'HIDDEN import'!C313</f>
        <v>Advanced Device Management</v>
      </c>
      <c r="C313" t="str">
        <f>'HIDDEN import'!D313</f>
        <v>Set Variable Monitoring - Return to FactoryDefault</v>
      </c>
      <c r="D313" t="str">
        <f>IF(VLOOKUP(A313&amp;" "&amp;B313,'HIDDEN import'!A:G,5,FALSE)="M",MD!$A$1,(IF(AND(VLOOKUP(A313,'HIDDEN import'!B:E,4,FALSE)="C",OR(NOT(ISERROR(VLOOKUP(E313,'Optional features'!B:D,1,FALSE)=E313)),NOT(ISERROR(VLOOKUP(E313,'HIDDEN calc sheet'!A:C,1,FALSE)=E313)))),MD!$A$3,MD!$A$2)))</f>
        <v>Mandatory test for a mandatory feature</v>
      </c>
      <c r="E313" t="str">
        <f>IF('HIDDEN import'!F313=0,"",'HIDDEN import'!F313)</f>
        <v/>
      </c>
      <c r="F313" t="str">
        <f>IF('HIDDEN import'!G313=0,"",'HIDDEN import'!G313)</f>
        <v/>
      </c>
      <c r="G313" s="181" t="str">
        <f>IFERROR(VLOOKUP($A313,'HIDDEN Testrun Results'!$A:$B,2,FALSE),"")</f>
        <v/>
      </c>
      <c r="H313" s="11" t="b">
        <f t="shared" si="6"/>
        <v>0</v>
      </c>
      <c r="I313" s="11" t="b">
        <f>IF(VLOOKUP(A313&amp;" "&amp;B313,'HIDDEN import'!A:G,5,FALSE)="M",TRUE,IFERROR(VLOOKUP(E313,'Optional features'!B:D,3,FALSE)="Yes",IFERROR(VLOOKUP(E313,'HIDDEN calc sheet'!A:B,2,FALSE),IFERROR(VLOOKUP(E313,'Additional questions'!B:D,3,FALSE)="Yes",VLOOKUP(E313,'Hardware Feature set'!B:D,3,FALSE)="No"))))</f>
        <v>1</v>
      </c>
      <c r="J313" s="11" t="b">
        <f>IF(VLOOKUP(B313,'Profile selection'!B:C,2,FALSE)="Yes",TRUE,FALSE)</f>
        <v>0</v>
      </c>
      <c r="K313" s="53"/>
      <c r="L313" s="53"/>
    </row>
    <row r="314" spans="1:12" x14ac:dyDescent="0.25">
      <c r="A314" t="str">
        <f>'HIDDEN import'!B314</f>
        <v>TC_N_43_CS</v>
      </c>
      <c r="B314" t="str">
        <f>'HIDDEN import'!C314</f>
        <v>Advanced Device Management</v>
      </c>
      <c r="C314" t="str">
        <f>'HIDDEN import'!D314</f>
        <v>Set Variable Monitoring - First SetMonitoringData and third SetMonitoringData are valid, but the second contains an out of range value</v>
      </c>
      <c r="D314" t="str">
        <f>IF(VLOOKUP(A314&amp;" "&amp;B314,'HIDDEN import'!A:G,5,FALSE)="M",MD!$A$1,(IF(AND(VLOOKUP(A314,'HIDDEN import'!B:E,4,FALSE)="C",OR(NOT(ISERROR(VLOOKUP(E314,'Optional features'!B:D,1,FALSE)=E314)),NOT(ISERROR(VLOOKUP(E314,'HIDDEN calc sheet'!A:C,1,FALSE)=E314)))),MD!$A$3,MD!$A$2)))</f>
        <v>Mandatory test for a mandatory feature</v>
      </c>
      <c r="E314" t="str">
        <f>IF('HIDDEN import'!F314=0,"",'HIDDEN import'!F314)</f>
        <v/>
      </c>
      <c r="F314" t="str">
        <f>IF('HIDDEN import'!G314=0,"",'HIDDEN import'!G314)</f>
        <v/>
      </c>
      <c r="G314" s="181" t="str">
        <f>IFERROR(VLOOKUP($A314,'HIDDEN Testrun Results'!$A:$B,2,FALSE),"")</f>
        <v/>
      </c>
      <c r="H314" s="11" t="b">
        <f t="shared" si="6"/>
        <v>0</v>
      </c>
      <c r="I314" s="11" t="b">
        <f>IF(VLOOKUP(A314&amp;" "&amp;B314,'HIDDEN import'!A:G,5,FALSE)="M",TRUE,IFERROR(VLOOKUP(E314,'Optional features'!B:D,3,FALSE)="Yes",IFERROR(VLOOKUP(E314,'HIDDEN calc sheet'!A:B,2,FALSE),IFERROR(VLOOKUP(E314,'Additional questions'!B:D,3,FALSE)="Yes",VLOOKUP(E314,'Hardware Feature set'!B:D,3,FALSE)="No"))))</f>
        <v>1</v>
      </c>
      <c r="J314" s="11" t="b">
        <f>IF(VLOOKUP(B314,'Profile selection'!B:C,2,FALSE)="Yes",TRUE,FALSE)</f>
        <v>0</v>
      </c>
      <c r="K314" s="53"/>
      <c r="L314" s="53"/>
    </row>
    <row r="315" spans="1:12" x14ac:dyDescent="0.25">
      <c r="A315" t="str">
        <f>'HIDDEN import'!B315</f>
        <v>TC_N_51_CS</v>
      </c>
      <c r="B315" t="str">
        <f>'HIDDEN import'!C315</f>
        <v>Advanced Device Management</v>
      </c>
      <c r="C315" t="str">
        <f>'HIDDEN import'!D315</f>
        <v>Set Variable Monitoring - Modifying a VariableMonitor and trigger</v>
      </c>
      <c r="D315" t="str">
        <f>IF(VLOOKUP(A315&amp;" "&amp;B315,'HIDDEN import'!A:G,5,FALSE)="M",MD!$A$1,(IF(AND(VLOOKUP(A315,'HIDDEN import'!B:E,4,FALSE)="C",OR(NOT(ISERROR(VLOOKUP(E315,'Optional features'!B:D,1,FALSE)=E315)),NOT(ISERROR(VLOOKUP(E315,'HIDDEN calc sheet'!A:C,1,FALSE)=E315)))),MD!$A$3,MD!$A$2)))</f>
        <v>Mandatory test for a mandatory feature</v>
      </c>
      <c r="E315" t="str">
        <f>IF('HIDDEN import'!F315=0,"",'HIDDEN import'!F315)</f>
        <v/>
      </c>
      <c r="F315" t="str">
        <f>IF('HIDDEN import'!G315=0,"",'HIDDEN import'!G315)</f>
        <v/>
      </c>
      <c r="G315" s="181" t="str">
        <f>IFERROR(VLOOKUP($A315,'HIDDEN Testrun Results'!$A:$B,2,FALSE),"")</f>
        <v/>
      </c>
      <c r="H315" s="11" t="b">
        <f t="shared" si="6"/>
        <v>0</v>
      </c>
      <c r="I315" s="11" t="b">
        <f>IF(VLOOKUP(A315&amp;" "&amp;B315,'HIDDEN import'!A:G,5,FALSE)="M",TRUE,IFERROR(VLOOKUP(E315,'Optional features'!B:D,3,FALSE)="Yes",IFERROR(VLOOKUP(E315,'HIDDEN calc sheet'!A:B,2,FALSE),IFERROR(VLOOKUP(E315,'Additional questions'!B:D,3,FALSE)="Yes",VLOOKUP(E315,'Hardware Feature set'!B:D,3,FALSE)="No"))))</f>
        <v>1</v>
      </c>
      <c r="J315" s="11" t="b">
        <f>IF(VLOOKUP(B315,'Profile selection'!B:C,2,FALSE)="Yes",TRUE,FALSE)</f>
        <v>0</v>
      </c>
      <c r="K315" s="53"/>
      <c r="L315" s="53"/>
    </row>
    <row r="316" spans="1:12" x14ac:dyDescent="0.25">
      <c r="A316" t="str">
        <f>'HIDDEN import'!B316</f>
        <v>TC_N_52_CS</v>
      </c>
      <c r="B316" t="str">
        <f>'HIDDEN import'!C316</f>
        <v>Advanced Device Management</v>
      </c>
      <c r="C316" t="str">
        <f>'HIDDEN import'!D316</f>
        <v>Set Variable Monitoring - Removing a VariableMonitor</v>
      </c>
      <c r="D316" t="str">
        <f>IF(VLOOKUP(A316&amp;" "&amp;B316,'HIDDEN import'!A:G,5,FALSE)="M",MD!$A$1,(IF(AND(VLOOKUP(A316,'HIDDEN import'!B:E,4,FALSE)="C",OR(NOT(ISERROR(VLOOKUP(E316,'Optional features'!B:D,1,FALSE)=E316)),NOT(ISERROR(VLOOKUP(E316,'HIDDEN calc sheet'!A:C,1,FALSE)=E316)))),MD!$A$3,MD!$A$2)))</f>
        <v>Mandatory test for a mandatory feature</v>
      </c>
      <c r="E316" t="str">
        <f>IF('HIDDEN import'!F316=0,"",'HIDDEN import'!F316)</f>
        <v/>
      </c>
      <c r="F316" t="str">
        <f>IF('HIDDEN import'!G316=0,"",'HIDDEN import'!G316)</f>
        <v/>
      </c>
      <c r="G316" s="181" t="str">
        <f>IFERROR(VLOOKUP($A316,'HIDDEN Testrun Results'!$A:$B,2,FALSE),"")</f>
        <v/>
      </c>
      <c r="H316" s="11" t="b">
        <f t="shared" si="6"/>
        <v>0</v>
      </c>
      <c r="I316" s="11" t="b">
        <f>IF(VLOOKUP(A316&amp;" "&amp;B316,'HIDDEN import'!A:G,5,FALSE)="M",TRUE,IFERROR(VLOOKUP(E316,'Optional features'!B:D,3,FALSE)="Yes",IFERROR(VLOOKUP(E316,'HIDDEN calc sheet'!A:B,2,FALSE),IFERROR(VLOOKUP(E316,'Additional questions'!B:D,3,FALSE)="Yes",VLOOKUP(E316,'Hardware Feature set'!B:D,3,FALSE)="No"))))</f>
        <v>1</v>
      </c>
      <c r="J316" s="11" t="b">
        <f>IF(VLOOKUP(B316,'Profile selection'!B:C,2,FALSE)="Yes",TRUE,FALSE)</f>
        <v>0</v>
      </c>
      <c r="K316" s="53"/>
      <c r="L316" s="53"/>
    </row>
    <row r="317" spans="1:12" x14ac:dyDescent="0.25">
      <c r="A317" t="str">
        <f>'HIDDEN import'!B317</f>
        <v>TC_N_16_CS</v>
      </c>
      <c r="B317" t="str">
        <f>'HIDDEN import'!C317</f>
        <v>Advanced Device Management</v>
      </c>
      <c r="C317" t="str">
        <f>'HIDDEN import'!D317</f>
        <v>Set Monitoring Level - Success</v>
      </c>
      <c r="D317" t="str">
        <f>IF(VLOOKUP(A317&amp;" "&amp;B317,'HIDDEN import'!A:G,5,FALSE)="M",MD!$A$1,(IF(AND(VLOOKUP(A317,'HIDDEN import'!B:E,4,FALSE)="C",OR(NOT(ISERROR(VLOOKUP(E317,'Optional features'!B:D,1,FALSE)=E317)),NOT(ISERROR(VLOOKUP(E317,'HIDDEN calc sheet'!A:C,1,FALSE)=E317)))),MD!$A$3,MD!$A$2)))</f>
        <v>Mandatory test for a mandatory feature</v>
      </c>
      <c r="E317" t="str">
        <f>IF('HIDDEN import'!F317=0,"",'HIDDEN import'!F317)</f>
        <v/>
      </c>
      <c r="F317" t="str">
        <f>IF('HIDDEN import'!G317=0,"",'HIDDEN import'!G317)</f>
        <v/>
      </c>
      <c r="G317" s="181" t="str">
        <f>IFERROR(VLOOKUP($A317,'HIDDEN Testrun Results'!$A:$B,2,FALSE),"")</f>
        <v/>
      </c>
      <c r="H317" s="11" t="b">
        <f t="shared" si="6"/>
        <v>0</v>
      </c>
      <c r="I317" s="11" t="b">
        <f>IF(VLOOKUP(A317&amp;" "&amp;B317,'HIDDEN import'!A:G,5,FALSE)="M",TRUE,IFERROR(VLOOKUP(E317,'Optional features'!B:D,3,FALSE)="Yes",IFERROR(VLOOKUP(E317,'HIDDEN calc sheet'!A:B,2,FALSE),IFERROR(VLOOKUP(E317,'Additional questions'!B:D,3,FALSE)="Yes",VLOOKUP(E317,'Hardware Feature set'!B:D,3,FALSE)="No"))))</f>
        <v>1</v>
      </c>
      <c r="J317" s="11" t="b">
        <f>IF(VLOOKUP(B317,'Profile selection'!B:C,2,FALSE)="Yes",TRUE,FALSE)</f>
        <v>0</v>
      </c>
      <c r="K317" s="53"/>
      <c r="L317" s="53"/>
    </row>
    <row r="318" spans="1:12" x14ac:dyDescent="0.25">
      <c r="A318" t="str">
        <f>'HIDDEN import'!B318</f>
        <v>TC_N_17_CS</v>
      </c>
      <c r="B318" t="str">
        <f>'HIDDEN import'!C318</f>
        <v>Advanced Device Management</v>
      </c>
      <c r="C318" t="str">
        <f>'HIDDEN import'!D318</f>
        <v>Set Monitoring Level - Out of range</v>
      </c>
      <c r="D318" t="str">
        <f>IF(VLOOKUP(A318&amp;" "&amp;B318,'HIDDEN import'!A:G,5,FALSE)="M",MD!$A$1,(IF(AND(VLOOKUP(A318,'HIDDEN import'!B:E,4,FALSE)="C",OR(NOT(ISERROR(VLOOKUP(E318,'Optional features'!B:D,1,FALSE)=E318)),NOT(ISERROR(VLOOKUP(E318,'HIDDEN calc sheet'!A:C,1,FALSE)=E318)))),MD!$A$3,MD!$A$2)))</f>
        <v>Mandatory test for a mandatory feature</v>
      </c>
      <c r="E318" t="str">
        <f>IF('HIDDEN import'!F318=0,"",'HIDDEN import'!F318)</f>
        <v/>
      </c>
      <c r="F318" t="str">
        <f>IF('HIDDEN import'!G318=0,"",'HIDDEN import'!G318)</f>
        <v/>
      </c>
      <c r="G318" s="181" t="str">
        <f>IFERROR(VLOOKUP($A318,'HIDDEN Testrun Results'!$A:$B,2,FALSE),"")</f>
        <v/>
      </c>
      <c r="H318" s="11" t="b">
        <f t="shared" si="6"/>
        <v>0</v>
      </c>
      <c r="I318" s="11" t="b">
        <f>IF(VLOOKUP(A318&amp;" "&amp;B318,'HIDDEN import'!A:G,5,FALSE)="M",TRUE,IFERROR(VLOOKUP(E318,'Optional features'!B:D,3,FALSE)="Yes",IFERROR(VLOOKUP(E318,'HIDDEN calc sheet'!A:B,2,FALSE),IFERROR(VLOOKUP(E318,'Additional questions'!B:D,3,FALSE)="Yes",VLOOKUP(E318,'Hardware Feature set'!B:D,3,FALSE)="No"))))</f>
        <v>1</v>
      </c>
      <c r="J318" s="11" t="b">
        <f>IF(VLOOKUP(B318,'Profile selection'!B:C,2,FALSE)="Yes",TRUE,FALSE)</f>
        <v>0</v>
      </c>
      <c r="K318" s="53"/>
      <c r="L318" s="53"/>
    </row>
    <row r="319" spans="1:12" x14ac:dyDescent="0.25">
      <c r="A319" t="str">
        <f>'HIDDEN import'!B319</f>
        <v>TC_N_18_CS</v>
      </c>
      <c r="B319" t="str">
        <f>'HIDDEN import'!C319</f>
        <v>Advanced Device Management</v>
      </c>
      <c r="C319" t="str">
        <f>'HIDDEN import'!D319</f>
        <v>Clear Monitoring - Success</v>
      </c>
      <c r="D319" t="str">
        <f>IF(VLOOKUP(A319&amp;" "&amp;B319,'HIDDEN import'!A:G,5,FALSE)="M",MD!$A$1,(IF(AND(VLOOKUP(A319,'HIDDEN import'!B:E,4,FALSE)="C",OR(NOT(ISERROR(VLOOKUP(E319,'Optional features'!B:D,1,FALSE)=E319)),NOT(ISERROR(VLOOKUP(E319,'HIDDEN calc sheet'!A:C,1,FALSE)=E319)))),MD!$A$3,MD!$A$2)))</f>
        <v>Mandatory test for a mandatory feature</v>
      </c>
      <c r="E319" t="str">
        <f>IF('HIDDEN import'!F319=0,"",'HIDDEN import'!F319)</f>
        <v/>
      </c>
      <c r="F319" t="str">
        <f>IF('HIDDEN import'!G319=0,"",'HIDDEN import'!G319)</f>
        <v/>
      </c>
      <c r="G319" s="181" t="str">
        <f>IFERROR(VLOOKUP($A319,'HIDDEN Testrun Results'!$A:$B,2,FALSE),"")</f>
        <v/>
      </c>
      <c r="H319" s="11" t="b">
        <f t="shared" si="6"/>
        <v>0</v>
      </c>
      <c r="I319" s="11" t="b">
        <f>IF(VLOOKUP(A319&amp;" "&amp;B319,'HIDDEN import'!A:G,5,FALSE)="M",TRUE,IFERROR(VLOOKUP(E319,'Optional features'!B:D,3,FALSE)="Yes",IFERROR(VLOOKUP(E319,'HIDDEN calc sheet'!A:B,2,FALSE),IFERROR(VLOOKUP(E319,'Additional questions'!B:D,3,FALSE)="Yes",VLOOKUP(E319,'Hardware Feature set'!B:D,3,FALSE)="No"))))</f>
        <v>1</v>
      </c>
      <c r="J319" s="11" t="b">
        <f>IF(VLOOKUP(B319,'Profile selection'!B:C,2,FALSE)="Yes",TRUE,FALSE)</f>
        <v>0</v>
      </c>
      <c r="K319" s="53"/>
      <c r="L319" s="53"/>
    </row>
    <row r="320" spans="1:12" x14ac:dyDescent="0.25">
      <c r="A320" t="str">
        <f>'HIDDEN import'!B320</f>
        <v>TC_N_19_CS</v>
      </c>
      <c r="B320" t="str">
        <f>'HIDDEN import'!C320</f>
        <v>Advanced Device Management</v>
      </c>
      <c r="C320" t="str">
        <f>'HIDDEN import'!D320</f>
        <v>Clear Monitoring - Not found</v>
      </c>
      <c r="D320" t="str">
        <f>IF(VLOOKUP(A320&amp;" "&amp;B320,'HIDDEN import'!A:G,5,FALSE)="M",MD!$A$1,(IF(AND(VLOOKUP(A320,'HIDDEN import'!B:E,4,FALSE)="C",OR(NOT(ISERROR(VLOOKUP(E320,'Optional features'!B:D,1,FALSE)=E320)),NOT(ISERROR(VLOOKUP(E320,'HIDDEN calc sheet'!A:C,1,FALSE)=E320)))),MD!$A$3,MD!$A$2)))</f>
        <v>Mandatory test for a mandatory feature</v>
      </c>
      <c r="E320" t="str">
        <f>IF('HIDDEN import'!F320=0,"",'HIDDEN import'!F320)</f>
        <v/>
      </c>
      <c r="F320" t="str">
        <f>IF('HIDDEN import'!G320=0,"",'HIDDEN import'!G320)</f>
        <v/>
      </c>
      <c r="G320" s="181" t="str">
        <f>IFERROR(VLOOKUP($A320,'HIDDEN Testrun Results'!$A:$B,2,FALSE),"")</f>
        <v/>
      </c>
      <c r="H320" s="11" t="b">
        <f t="shared" si="6"/>
        <v>0</v>
      </c>
      <c r="I320" s="11" t="b">
        <f>IF(VLOOKUP(A320&amp;" "&amp;B320,'HIDDEN import'!A:G,5,FALSE)="M",TRUE,IFERROR(VLOOKUP(E320,'Optional features'!B:D,3,FALSE)="Yes",IFERROR(VLOOKUP(E320,'HIDDEN calc sheet'!A:B,2,FALSE),IFERROR(VLOOKUP(E320,'Additional questions'!B:D,3,FALSE)="Yes",VLOOKUP(E320,'Hardware Feature set'!B:D,3,FALSE)="No"))))</f>
        <v>1</v>
      </c>
      <c r="J320" s="11" t="b">
        <f>IF(VLOOKUP(B320,'Profile selection'!B:C,2,FALSE)="Yes",TRUE,FALSE)</f>
        <v>0</v>
      </c>
      <c r="K320" s="53"/>
      <c r="L320" s="53"/>
    </row>
    <row r="321" spans="1:12" x14ac:dyDescent="0.25">
      <c r="A321" t="str">
        <f>'HIDDEN import'!B321</f>
        <v>TC_N_44_CS</v>
      </c>
      <c r="B321" t="str">
        <f>'HIDDEN import'!C321</f>
        <v>Advanced Device Management</v>
      </c>
      <c r="C321" t="str">
        <f>'HIDDEN import'!D321</f>
        <v>Clear Monitoring - Rejected</v>
      </c>
      <c r="D321" t="str">
        <f>IF(VLOOKUP(A321&amp;" "&amp;B321,'HIDDEN import'!A:G,5,FALSE)="M",MD!$A$1,(IF(AND(VLOOKUP(A321,'HIDDEN import'!B:E,4,FALSE)="C",OR(NOT(ISERROR(VLOOKUP(E321,'Optional features'!B:D,1,FALSE)=E321)),NOT(ISERROR(VLOOKUP(E321,'HIDDEN calc sheet'!A:C,1,FALSE)=E321)))),MD!$A$3,MD!$A$2)))</f>
        <v>Possibly mandatory, depending on your system</v>
      </c>
      <c r="E321" t="str">
        <f>IF('HIDDEN import'!F321=0,"",'HIDDEN import'!F321)</f>
        <v>AQ-5</v>
      </c>
      <c r="F321" t="str">
        <f>IF('HIDDEN import'!G321=0,"",'HIDDEN import'!G321)</f>
        <v/>
      </c>
      <c r="G321" s="181" t="str">
        <f>IFERROR(VLOOKUP($A321,'HIDDEN Testrun Results'!$A:$B,2,FALSE),"")</f>
        <v/>
      </c>
      <c r="H321" s="11" t="b">
        <f t="shared" si="6"/>
        <v>0</v>
      </c>
      <c r="I321" s="11" t="b">
        <f>IF(VLOOKUP(A321&amp;" "&amp;B321,'HIDDEN import'!A:G,5,FALSE)="M",TRUE,IFERROR(VLOOKUP(E321,'Optional features'!B:D,3,FALSE)="Yes",IFERROR(VLOOKUP(E321,'HIDDEN calc sheet'!A:B,2,FALSE),IFERROR(VLOOKUP(E321,'Additional questions'!B:D,3,FALSE)="Yes",VLOOKUP(E321,'Hardware Feature set'!B:D,3,FALSE)="No"))))</f>
        <v>0</v>
      </c>
      <c r="J321" s="11" t="b">
        <f>IF(VLOOKUP(B321,'Profile selection'!B:C,2,FALSE)="Yes",TRUE,FALSE)</f>
        <v>0</v>
      </c>
      <c r="K321" s="53"/>
      <c r="L321" s="53"/>
    </row>
    <row r="322" spans="1:12" x14ac:dyDescent="0.25">
      <c r="A322" t="str">
        <f>'HIDDEN import'!B322</f>
        <v>TC_N_20_CS</v>
      </c>
      <c r="B322" t="str">
        <f>'HIDDEN import'!C322</f>
        <v>Advanced Device Management</v>
      </c>
      <c r="C322" t="str">
        <f>'HIDDEN import'!D322</f>
        <v>Alert Event - Threshold value exceeded</v>
      </c>
      <c r="D322" t="str">
        <f>IF(VLOOKUP(A322&amp;" "&amp;B322,'HIDDEN import'!A:G,5,FALSE)="M",MD!$A$1,(IF(AND(VLOOKUP(A322,'HIDDEN import'!B:E,4,FALSE)="C",OR(NOT(ISERROR(VLOOKUP(E322,'Optional features'!B:D,1,FALSE)=E322)),NOT(ISERROR(VLOOKUP(E322,'HIDDEN calc sheet'!A:C,1,FALSE)=E322)))),MD!$A$3,MD!$A$2)))</f>
        <v>Mandatory test for a mandatory feature</v>
      </c>
      <c r="E322" t="str">
        <f>IF('HIDDEN import'!F322=0,"",'HIDDEN import'!F322)</f>
        <v/>
      </c>
      <c r="F322" t="str">
        <f>IF('HIDDEN import'!G322=0,"",'HIDDEN import'!G322)</f>
        <v/>
      </c>
      <c r="G322" s="181" t="str">
        <f>IFERROR(VLOOKUP($A322,'HIDDEN Testrun Results'!$A:$B,2,FALSE),"")</f>
        <v/>
      </c>
      <c r="H322" s="11" t="b">
        <f t="shared" si="6"/>
        <v>0</v>
      </c>
      <c r="I322" s="11" t="b">
        <f>IF(VLOOKUP(A322&amp;" "&amp;B322,'HIDDEN import'!A:G,5,FALSE)="M",TRUE,IFERROR(VLOOKUP(E322,'Optional features'!B:D,3,FALSE)="Yes",IFERROR(VLOOKUP(E322,'HIDDEN calc sheet'!A:B,2,FALSE),IFERROR(VLOOKUP(E322,'Additional questions'!B:D,3,FALSE)="Yes",VLOOKUP(E322,'Hardware Feature set'!B:D,3,FALSE)="No"))))</f>
        <v>1</v>
      </c>
      <c r="J322" s="11" t="b">
        <f>IF(VLOOKUP(B322,'Profile selection'!B:C,2,FALSE)="Yes",TRUE,FALSE)</f>
        <v>0</v>
      </c>
      <c r="K322" s="53"/>
      <c r="L322" s="53"/>
    </row>
    <row r="323" spans="1:12" x14ac:dyDescent="0.25">
      <c r="A323" t="str">
        <f>'HIDDEN import'!B323</f>
        <v>TC_N_21_CS</v>
      </c>
      <c r="B323" t="str">
        <f>'HIDDEN import'!C323</f>
        <v>Advanced Device Management</v>
      </c>
      <c r="C323" t="str">
        <f>'HIDDEN import'!D323</f>
        <v>Alert Event - HardWiredMonitor</v>
      </c>
      <c r="D323" t="str">
        <f>IF(VLOOKUP(A323&amp;" "&amp;B323,'HIDDEN import'!A:G,5,FALSE)="M",MD!$A$1,(IF(AND(VLOOKUP(A323,'HIDDEN import'!B:E,4,FALSE)="C",OR(NOT(ISERROR(VLOOKUP(E323,'Optional features'!B:D,1,FALSE)=E323)),NOT(ISERROR(VLOOKUP(E323,'HIDDEN calc sheet'!A:C,1,FALSE)=E323)))),MD!$A$3,MD!$A$2)))</f>
        <v>Possibly mandatory, depending on your system</v>
      </c>
      <c r="E323" t="str">
        <f>IF('HIDDEN import'!F323=0,"",'HIDDEN import'!F323)</f>
        <v>AQ-5</v>
      </c>
      <c r="F323" t="str">
        <f>IF('HIDDEN import'!G323=0,"",'HIDDEN import'!G323)</f>
        <v/>
      </c>
      <c r="G323" s="181" t="str">
        <f>IFERROR(VLOOKUP($A323,'HIDDEN Testrun Results'!$A:$B,2,FALSE),"")</f>
        <v/>
      </c>
      <c r="H323" s="11" t="b">
        <f t="shared" si="6"/>
        <v>0</v>
      </c>
      <c r="I323" s="11" t="b">
        <f>IF(VLOOKUP(A323&amp;" "&amp;B323,'HIDDEN import'!A:G,5,FALSE)="M",TRUE,IFERROR(VLOOKUP(E323,'Optional features'!B:D,3,FALSE)="Yes",IFERROR(VLOOKUP(E323,'HIDDEN calc sheet'!A:B,2,FALSE),IFERROR(VLOOKUP(E323,'Additional questions'!B:D,3,FALSE)="Yes",VLOOKUP(E323,'Hardware Feature set'!B:D,3,FALSE)="No"))))</f>
        <v>0</v>
      </c>
      <c r="J323" s="11" t="b">
        <f>IF(VLOOKUP(B323,'Profile selection'!B:C,2,FALSE)="Yes",TRUE,FALSE)</f>
        <v>0</v>
      </c>
      <c r="K323" s="53"/>
      <c r="L323" s="53"/>
    </row>
    <row r="324" spans="1:12" x14ac:dyDescent="0.25">
      <c r="A324" t="str">
        <f>'HIDDEN import'!B324</f>
        <v>TC_N_45_CS</v>
      </c>
      <c r="B324" t="str">
        <f>'HIDDEN import'!C324</f>
        <v>Advanced Device Management</v>
      </c>
      <c r="C324" t="str">
        <f>'HIDDEN import'!D324</f>
        <v>Alert Event - Delta value exceeded</v>
      </c>
      <c r="D324" t="str">
        <f>IF(VLOOKUP(A324&amp;" "&amp;B324,'HIDDEN import'!A:G,5,FALSE)="M",MD!$A$1,(IF(AND(VLOOKUP(A324,'HIDDEN import'!B:E,4,FALSE)="C",OR(NOT(ISERROR(VLOOKUP(E324,'Optional features'!B:D,1,FALSE)=E324)),NOT(ISERROR(VLOOKUP(E324,'HIDDEN calc sheet'!A:C,1,FALSE)=E324)))),MD!$A$3,MD!$A$2)))</f>
        <v>Mandatory test for a mandatory feature</v>
      </c>
      <c r="E324" t="str">
        <f>IF('HIDDEN import'!F324=0,"",'HIDDEN import'!F324)</f>
        <v/>
      </c>
      <c r="F324" t="str">
        <f>IF('HIDDEN import'!G324=0,"",'HIDDEN import'!G324)</f>
        <v/>
      </c>
      <c r="G324" s="181" t="str">
        <f>IFERROR(VLOOKUP($A324,'HIDDEN Testrun Results'!$A:$B,2,FALSE),"")</f>
        <v/>
      </c>
      <c r="H324" s="11" t="b">
        <f t="shared" si="6"/>
        <v>0</v>
      </c>
      <c r="I324" s="11" t="b">
        <f>IF(VLOOKUP(A324&amp;" "&amp;B324,'HIDDEN import'!A:G,5,FALSE)="M",TRUE,IFERROR(VLOOKUP(E324,'Optional features'!B:D,3,FALSE)="Yes",IFERROR(VLOOKUP(E324,'HIDDEN calc sheet'!A:B,2,FALSE),IFERROR(VLOOKUP(E324,'Additional questions'!B:D,3,FALSE)="Yes",VLOOKUP(E324,'Hardware Feature set'!B:D,3,FALSE)="No"))))</f>
        <v>1</v>
      </c>
      <c r="J324" s="11" t="b">
        <f>IF(VLOOKUP(B324,'Profile selection'!B:C,2,FALSE)="Yes",TRUE,FALSE)</f>
        <v>0</v>
      </c>
      <c r="K324" s="53"/>
      <c r="L324" s="53"/>
    </row>
    <row r="325" spans="1:12" x14ac:dyDescent="0.25">
      <c r="A325" t="str">
        <f>'HIDDEN import'!B325</f>
        <v>TC_N_48_CS</v>
      </c>
      <c r="B325" t="str">
        <f>'HIDDEN import'!C325</f>
        <v>Advanced Device Management</v>
      </c>
      <c r="C325" t="str">
        <f>'HIDDEN import'!D325</f>
        <v>Alert Event - Variable monitoring on write only</v>
      </c>
      <c r="D325" t="str">
        <f>IF(VLOOKUP(A325&amp;" "&amp;B325,'HIDDEN import'!A:G,5,FALSE)="M",MD!$A$1,(IF(AND(VLOOKUP(A325,'HIDDEN import'!B:E,4,FALSE)="C",OR(NOT(ISERROR(VLOOKUP(E325,'Optional features'!B:D,1,FALSE)=E325)),NOT(ISERROR(VLOOKUP(E325,'HIDDEN calc sheet'!A:C,1,FALSE)=E325)))),MD!$A$3,MD!$A$2)))</f>
        <v>Mandatory test for a mandatory feature</v>
      </c>
      <c r="E325" t="str">
        <f>IF('HIDDEN import'!F325=0,"",'HIDDEN import'!F325)</f>
        <v/>
      </c>
      <c r="F325" t="str">
        <f>IF('HIDDEN import'!G325=0,"",'HIDDEN import'!G325)</f>
        <v/>
      </c>
      <c r="G325" s="181" t="str">
        <f>IFERROR(VLOOKUP($A325,'HIDDEN Testrun Results'!$A:$B,2,FALSE),"")</f>
        <v/>
      </c>
      <c r="H325" s="11" t="b">
        <f t="shared" si="6"/>
        <v>0</v>
      </c>
      <c r="I325" s="11" t="b">
        <f>IF(VLOOKUP(A325&amp;" "&amp;B325,'HIDDEN import'!A:G,5,FALSE)="M",TRUE,IFERROR(VLOOKUP(E325,'Optional features'!B:D,3,FALSE)="Yes",IFERROR(VLOOKUP(E325,'HIDDEN calc sheet'!A:B,2,FALSE),IFERROR(VLOOKUP(E325,'Additional questions'!B:D,3,FALSE)="Yes",VLOOKUP(E325,'Hardware Feature set'!B:D,3,FALSE)="No"))))</f>
        <v>1</v>
      </c>
      <c r="J325" s="11" t="b">
        <f>IF(VLOOKUP(B325,'Profile selection'!B:C,2,FALSE)="Yes",TRUE,FALSE)</f>
        <v>0</v>
      </c>
      <c r="K325" s="53"/>
      <c r="L325" s="53"/>
    </row>
    <row r="326" spans="1:12" x14ac:dyDescent="0.25">
      <c r="A326" t="str">
        <f>'HIDDEN import'!B326</f>
        <v>TC_N_53_CS</v>
      </c>
      <c r="B326" t="str">
        <f>'HIDDEN import'!C326</f>
        <v>Advanced Device Management</v>
      </c>
      <c r="C326" t="str">
        <f>'HIDDEN import'!D326</f>
        <v>Alert Event - Persistant over reboot</v>
      </c>
      <c r="D326" t="str">
        <f>IF(VLOOKUP(A326&amp;" "&amp;B326,'HIDDEN import'!A:G,5,FALSE)="M",MD!$A$1,(IF(AND(VLOOKUP(A326,'HIDDEN import'!B:E,4,FALSE)="C",OR(NOT(ISERROR(VLOOKUP(E326,'Optional features'!B:D,1,FALSE)=E326)),NOT(ISERROR(VLOOKUP(E326,'HIDDEN calc sheet'!A:C,1,FALSE)=E326)))),MD!$A$3,MD!$A$2)))</f>
        <v>Mandatory test for a mandatory feature</v>
      </c>
      <c r="E326" t="str">
        <f>IF('HIDDEN import'!F326=0,"",'HIDDEN import'!F326)</f>
        <v/>
      </c>
      <c r="F326" t="str">
        <f>IF('HIDDEN import'!G326=0,"",'HIDDEN import'!G326)</f>
        <v/>
      </c>
      <c r="G326" s="181" t="str">
        <f>IFERROR(VLOOKUP($A326,'HIDDEN Testrun Results'!$A:$B,2,FALSE),"")</f>
        <v/>
      </c>
      <c r="H326" s="11" t="b">
        <f t="shared" si="6"/>
        <v>0</v>
      </c>
      <c r="I326" s="11" t="b">
        <f>IF(VLOOKUP(A326&amp;" "&amp;B326,'HIDDEN import'!A:G,5,FALSE)="M",TRUE,IFERROR(VLOOKUP(E326,'Optional features'!B:D,3,FALSE)="Yes",IFERROR(VLOOKUP(E326,'HIDDEN calc sheet'!A:B,2,FALSE),IFERROR(VLOOKUP(E326,'Additional questions'!B:D,3,FALSE)="Yes",VLOOKUP(E326,'Hardware Feature set'!B:D,3,FALSE)="No"))))</f>
        <v>1</v>
      </c>
      <c r="J326" s="11" t="b">
        <f>IF(VLOOKUP(B326,'Profile selection'!B:C,2,FALSE)="Yes",TRUE,FALSE)</f>
        <v>0</v>
      </c>
      <c r="K326" s="53"/>
      <c r="L326" s="53"/>
    </row>
    <row r="327" spans="1:12" x14ac:dyDescent="0.25">
      <c r="A327" t="str">
        <f>'HIDDEN import'!B327</f>
        <v>TC_N_56_CS</v>
      </c>
      <c r="B327" t="str">
        <f>'HIDDEN import'!C327</f>
        <v>Advanced Device Management</v>
      </c>
      <c r="C327" t="str">
        <f>'HIDDEN import'!D327</f>
        <v>Alert Event - Delta value NOT numeric exceeded</v>
      </c>
      <c r="D327" t="str">
        <f>IF(VLOOKUP(A327&amp;" "&amp;B327,'HIDDEN import'!A:G,5,FALSE)="M",MD!$A$1,(IF(AND(VLOOKUP(A327,'HIDDEN import'!B:E,4,FALSE)="C",OR(NOT(ISERROR(VLOOKUP(E327,'Optional features'!B:D,1,FALSE)=E327)),NOT(ISERROR(VLOOKUP(E327,'HIDDEN calc sheet'!A:C,1,FALSE)=E327)))),MD!$A$3,MD!$A$2)))</f>
        <v>Mandatory test for a mandatory feature</v>
      </c>
      <c r="E327" t="str">
        <f>IF('HIDDEN import'!F327=0,"",'HIDDEN import'!F327)</f>
        <v/>
      </c>
      <c r="F327" t="str">
        <f>IF('HIDDEN import'!G327=0,"",'HIDDEN import'!G327)</f>
        <v/>
      </c>
      <c r="G327" s="181" t="str">
        <f>IFERROR(VLOOKUP($A327,'HIDDEN Testrun Results'!$A:$B,2,FALSE),"")</f>
        <v/>
      </c>
      <c r="H327" s="11" t="b">
        <f t="shared" si="6"/>
        <v>0</v>
      </c>
      <c r="I327" s="11" t="b">
        <f>IF(VLOOKUP(A327&amp;" "&amp;B327,'HIDDEN import'!A:G,5,FALSE)="M",TRUE,IFERROR(VLOOKUP(E327,'Optional features'!B:D,3,FALSE)="Yes",IFERROR(VLOOKUP(E327,'HIDDEN calc sheet'!A:B,2,FALSE),IFERROR(VLOOKUP(E327,'Additional questions'!B:D,3,FALSE)="Yes",VLOOKUP(E327,'Hardware Feature set'!B:D,3,FALSE)="No"))))</f>
        <v>1</v>
      </c>
      <c r="J327" s="11" t="b">
        <f>IF(VLOOKUP(B327,'Profile selection'!B:C,2,FALSE)="Yes",TRUE,FALSE)</f>
        <v>0</v>
      </c>
      <c r="K327" s="53"/>
      <c r="L327" s="53"/>
    </row>
    <row r="328" spans="1:12" x14ac:dyDescent="0.25">
      <c r="A328" t="str">
        <f>'HIDDEN import'!B328</f>
        <v>TC_N_22_CS</v>
      </c>
      <c r="B328" t="str">
        <f>'HIDDEN import'!C328</f>
        <v>Advanced Device Management</v>
      </c>
      <c r="C328" t="str">
        <f>'HIDDEN import'!D328</f>
        <v>Offline Notification - OfflineMonitoringEventQueuingSeverity set equal or lower</v>
      </c>
      <c r="D328" t="str">
        <f>IF(VLOOKUP(A328&amp;" "&amp;B328,'HIDDEN import'!A:G,5,FALSE)="M",MD!$A$1,(IF(AND(VLOOKUP(A328,'HIDDEN import'!B:E,4,FALSE)="C",OR(NOT(ISERROR(VLOOKUP(E328,'Optional features'!B:D,1,FALSE)=E328)),NOT(ISERROR(VLOOKUP(E328,'HIDDEN calc sheet'!A:C,1,FALSE)=E328)))),MD!$A$3,MD!$A$2)))</f>
        <v>Mandatory for optional feature</v>
      </c>
      <c r="E328" t="str">
        <f>IF('HIDDEN import'!F328=0,"",'HIDDEN import'!F328)</f>
        <v>DM-3</v>
      </c>
      <c r="F328" t="str">
        <f>IF('HIDDEN import'!G328=0,"",'HIDDEN import'!G328)</f>
        <v>OfflineMonitoringEventQueuingSeverity</v>
      </c>
      <c r="G328" s="181" t="str">
        <f>IFERROR(VLOOKUP($A328,'HIDDEN Testrun Results'!$A:$B,2,FALSE),"")</f>
        <v/>
      </c>
      <c r="H328" s="11" t="b">
        <f t="shared" si="6"/>
        <v>0</v>
      </c>
      <c r="I328" s="11" t="b">
        <f>IF(VLOOKUP(A328&amp;" "&amp;B328,'HIDDEN import'!A:G,5,FALSE)="M",TRUE,IFERROR(VLOOKUP(E328,'Optional features'!B:D,3,FALSE)="Yes",IFERROR(VLOOKUP(E328,'HIDDEN calc sheet'!A:B,2,FALSE),IFERROR(VLOOKUP(E328,'Additional questions'!B:D,3,FALSE)="Yes",VLOOKUP(E328,'Hardware Feature set'!B:D,3,FALSE)="No"))))</f>
        <v>0</v>
      </c>
      <c r="J328" s="11" t="b">
        <f>IF(VLOOKUP(B328,'Profile selection'!B:C,2,FALSE)="Yes",TRUE,FALSE)</f>
        <v>0</v>
      </c>
      <c r="K328" s="53"/>
      <c r="L328" s="53"/>
    </row>
    <row r="329" spans="1:12" x14ac:dyDescent="0.25">
      <c r="A329" t="str">
        <f>'HIDDEN import'!B329</f>
        <v>TC_N_23_CS</v>
      </c>
      <c r="B329" t="str">
        <f>'HIDDEN import'!C329</f>
        <v>Advanced Device Management</v>
      </c>
      <c r="C329" t="str">
        <f>'HIDDEN import'!D329</f>
        <v>Offline Notification - OfflineMonitoringEventQueuingSeverity set higher</v>
      </c>
      <c r="D329" t="str">
        <f>IF(VLOOKUP(A329&amp;" "&amp;B329,'HIDDEN import'!A:G,5,FALSE)="M",MD!$A$1,(IF(AND(VLOOKUP(A329,'HIDDEN import'!B:E,4,FALSE)="C",OR(NOT(ISERROR(VLOOKUP(E329,'Optional features'!B:D,1,FALSE)=E329)),NOT(ISERROR(VLOOKUP(E329,'HIDDEN calc sheet'!A:C,1,FALSE)=E329)))),MD!$A$3,MD!$A$2)))</f>
        <v>Mandatory for optional feature</v>
      </c>
      <c r="E329" t="str">
        <f>IF('HIDDEN import'!F329=0,"",'HIDDEN import'!F329)</f>
        <v>DM-3</v>
      </c>
      <c r="F329" t="str">
        <f>IF('HIDDEN import'!G329=0,"",'HIDDEN import'!G329)</f>
        <v>OfflineMonitoringEventQueuingSeverity</v>
      </c>
      <c r="G329" s="181" t="str">
        <f>IFERROR(VLOOKUP($A329,'HIDDEN Testrun Results'!$A:$B,2,FALSE),"")</f>
        <v/>
      </c>
      <c r="H329" s="11" t="b">
        <f t="shared" si="6"/>
        <v>0</v>
      </c>
      <c r="I329" s="11" t="b">
        <f>IF(VLOOKUP(A329&amp;" "&amp;B329,'HIDDEN import'!A:G,5,FALSE)="M",TRUE,IFERROR(VLOOKUP(E329,'Optional features'!B:D,3,FALSE)="Yes",IFERROR(VLOOKUP(E329,'HIDDEN calc sheet'!A:B,2,FALSE),IFERROR(VLOOKUP(E329,'Additional questions'!B:D,3,FALSE)="Yes",VLOOKUP(E329,'Hardware Feature set'!B:D,3,FALSE)="No"))))</f>
        <v>0</v>
      </c>
      <c r="J329" s="11" t="b">
        <f>IF(VLOOKUP(B329,'Profile selection'!B:C,2,FALSE)="Yes",TRUE,FALSE)</f>
        <v>0</v>
      </c>
      <c r="K329" s="53"/>
      <c r="L329" s="53"/>
    </row>
    <row r="330" spans="1:12" x14ac:dyDescent="0.25">
      <c r="A330" t="str">
        <f>'HIDDEN import'!B330</f>
        <v>TC_B_24_CS</v>
      </c>
      <c r="B330" t="str">
        <f>'HIDDEN import'!C330</f>
        <v>Reservation</v>
      </c>
      <c r="C330" t="str">
        <f>'HIDDEN import'!D330</f>
        <v>Reset Charging Station - Reserved persists reset</v>
      </c>
      <c r="D330" t="str">
        <f>IF(VLOOKUP(A330&amp;" "&amp;B330,'HIDDEN import'!A:G,5,FALSE)="M",MD!$A$1,(IF(AND(VLOOKUP(A330,'HIDDEN import'!B:E,4,FALSE)="C",OR(NOT(ISERROR(VLOOKUP(E330,'Optional features'!B:D,1,FALSE)=E330)),NOT(ISERROR(VLOOKUP(E330,'HIDDEN calc sheet'!A:C,1,FALSE)=E330)))),MD!$A$3,MD!$A$2)))</f>
        <v>Mandatory test for a mandatory feature</v>
      </c>
      <c r="E330" t="str">
        <f>IF('HIDDEN import'!F330=0,"",'HIDDEN import'!F330)</f>
        <v/>
      </c>
      <c r="F330" t="str">
        <f>IF('HIDDEN import'!G330=0,"",'HIDDEN import'!G330)</f>
        <v/>
      </c>
      <c r="G330" s="181" t="str">
        <f>IFERROR(VLOOKUP($A330,'HIDDEN Testrun Results'!$A:$B,2,FALSE),"")</f>
        <v/>
      </c>
      <c r="H330" s="11" t="b">
        <f t="shared" si="6"/>
        <v>0</v>
      </c>
      <c r="I330" s="11" t="b">
        <f>IF(VLOOKUP(A330&amp;" "&amp;B330,'HIDDEN import'!A:G,5,FALSE)="M",TRUE,IFERROR(VLOOKUP(E330,'Optional features'!B:D,3,FALSE)="Yes",IFERROR(VLOOKUP(E330,'HIDDEN calc sheet'!A:B,2,FALSE),IFERROR(VLOOKUP(E330,'Additional questions'!B:D,3,FALSE)="Yes",VLOOKUP(E330,'Hardware Feature set'!B:D,3,FALSE)="No"))))</f>
        <v>1</v>
      </c>
      <c r="J330" s="11" t="b">
        <f>IF(VLOOKUP(B330,'Profile selection'!B:C,2,FALSE)="Yes",TRUE,FALSE)</f>
        <v>0</v>
      </c>
      <c r="K330" s="53"/>
      <c r="L330" s="53"/>
    </row>
    <row r="331" spans="1:12" x14ac:dyDescent="0.25">
      <c r="A331" t="str">
        <f>'HIDDEN import'!B331</f>
        <v>TC_H_01_CS</v>
      </c>
      <c r="B331" t="str">
        <f>'HIDDEN import'!C331</f>
        <v>Reservation</v>
      </c>
      <c r="C331" t="str">
        <f>'HIDDEN import'!D331</f>
        <v>Reserve a specific EVSE - Accepted - Valid idToken</v>
      </c>
      <c r="D331" t="str">
        <f>IF(VLOOKUP(A331&amp;" "&amp;B331,'HIDDEN import'!A:G,5,FALSE)="M",MD!$A$1,(IF(AND(VLOOKUP(A331,'HIDDEN import'!B:E,4,FALSE)="C",OR(NOT(ISERROR(VLOOKUP(E331,'Optional features'!B:D,1,FALSE)=E331)),NOT(ISERROR(VLOOKUP(E331,'HIDDEN calc sheet'!A:C,1,FALSE)=E331)))),MD!$A$3,MD!$A$2)))</f>
        <v>Mandatory test for a mandatory feature</v>
      </c>
      <c r="E331" t="str">
        <f>IF('HIDDEN import'!F331=0,"",'HIDDEN import'!F331)</f>
        <v/>
      </c>
      <c r="F331" t="str">
        <f>IF('HIDDEN import'!G331=0,"",'HIDDEN import'!G331)</f>
        <v/>
      </c>
      <c r="G331" s="181" t="str">
        <f>IFERROR(VLOOKUP($A331,'HIDDEN Testrun Results'!$A:$B,2,FALSE),"")</f>
        <v/>
      </c>
      <c r="H331" s="11" t="b">
        <f t="shared" si="6"/>
        <v>0</v>
      </c>
      <c r="I331" s="11" t="b">
        <f>IF(VLOOKUP(A331&amp;" "&amp;B331,'HIDDEN import'!A:G,5,FALSE)="M",TRUE,IFERROR(VLOOKUP(E331,'Optional features'!B:D,3,FALSE)="Yes",IFERROR(VLOOKUP(E331,'HIDDEN calc sheet'!A:B,2,FALSE),IFERROR(VLOOKUP(E331,'Additional questions'!B:D,3,FALSE)="Yes",VLOOKUP(E331,'Hardware Feature set'!B:D,3,FALSE)="No"))))</f>
        <v>1</v>
      </c>
      <c r="J331" s="11" t="b">
        <f>IF(VLOOKUP(B331,'Profile selection'!B:C,2,FALSE)="Yes",TRUE,FALSE)</f>
        <v>0</v>
      </c>
      <c r="K331" s="53"/>
      <c r="L331" s="53"/>
    </row>
    <row r="332" spans="1:12" x14ac:dyDescent="0.25">
      <c r="A332" t="str">
        <f>'HIDDEN import'!B332</f>
        <v>TC_H_02_CS</v>
      </c>
      <c r="B332" t="str">
        <f>'HIDDEN import'!C332</f>
        <v>Reservation</v>
      </c>
      <c r="C332" t="str">
        <f>'HIDDEN import'!D332</f>
        <v>Reserve a specific EVSE - Accepted - Different idToken</v>
      </c>
      <c r="D332" t="str">
        <f>IF(VLOOKUP(A332&amp;" "&amp;B332,'HIDDEN import'!A:G,5,FALSE)="M",MD!$A$1,(IF(AND(VLOOKUP(A332,'HIDDEN import'!B:E,4,FALSE)="C",OR(NOT(ISERROR(VLOOKUP(E332,'Optional features'!B:D,1,FALSE)=E332)),NOT(ISERROR(VLOOKUP(E332,'HIDDEN calc sheet'!A:C,1,FALSE)=E332)))),MD!$A$3,MD!$A$2)))</f>
        <v>Mandatory test for a mandatory feature</v>
      </c>
      <c r="E332" t="str">
        <f>IF('HIDDEN import'!F332=0,"",'HIDDEN import'!F332)</f>
        <v/>
      </c>
      <c r="F332" t="str">
        <f>IF('HIDDEN import'!G332=0,"",'HIDDEN import'!G332)</f>
        <v/>
      </c>
      <c r="G332" s="181" t="str">
        <f>IFERROR(VLOOKUP($A332,'HIDDEN Testrun Results'!$A:$B,2,FALSE),"")</f>
        <v/>
      </c>
      <c r="H332" s="11" t="b">
        <f t="shared" si="6"/>
        <v>0</v>
      </c>
      <c r="I332" s="11" t="b">
        <f>IF(VLOOKUP(A332&amp;" "&amp;B332,'HIDDEN import'!A:G,5,FALSE)="M",TRUE,IFERROR(VLOOKUP(E332,'Optional features'!B:D,3,FALSE)="Yes",IFERROR(VLOOKUP(E332,'HIDDEN calc sheet'!A:B,2,FALSE),IFERROR(VLOOKUP(E332,'Additional questions'!B:D,3,FALSE)="Yes",VLOOKUP(E332,'Hardware Feature set'!B:D,3,FALSE)="No"))))</f>
        <v>1</v>
      </c>
      <c r="J332" s="11" t="b">
        <f>IF(VLOOKUP(B332,'Profile selection'!B:C,2,FALSE)="Yes",TRUE,FALSE)</f>
        <v>0</v>
      </c>
      <c r="K332" s="53"/>
      <c r="L332" s="53"/>
    </row>
    <row r="333" spans="1:12" x14ac:dyDescent="0.25">
      <c r="A333" t="str">
        <f>'HIDDEN import'!B333</f>
        <v>TC_H_03_CS</v>
      </c>
      <c r="B333" t="str">
        <f>'HIDDEN import'!C333</f>
        <v>Reservation</v>
      </c>
      <c r="C333" t="str">
        <f>'HIDDEN import'!D333</f>
        <v>Reserve a specific EVSE - Occupied - EVSE Reserved</v>
      </c>
      <c r="D333" t="str">
        <f>IF(VLOOKUP(A333&amp;" "&amp;B333,'HIDDEN import'!A:G,5,FALSE)="M",MD!$A$1,(IF(AND(VLOOKUP(A333,'HIDDEN import'!B:E,4,FALSE)="C",OR(NOT(ISERROR(VLOOKUP(E333,'Optional features'!B:D,1,FALSE)=E333)),NOT(ISERROR(VLOOKUP(E333,'HIDDEN calc sheet'!A:C,1,FALSE)=E333)))),MD!$A$3,MD!$A$2)))</f>
        <v>Mandatory test for a mandatory feature</v>
      </c>
      <c r="E333" t="str">
        <f>IF('HIDDEN import'!F333=0,"",'HIDDEN import'!F333)</f>
        <v/>
      </c>
      <c r="F333" t="str">
        <f>IF('HIDDEN import'!G333=0,"",'HIDDEN import'!G333)</f>
        <v/>
      </c>
      <c r="G333" s="181" t="str">
        <f>IFERROR(VLOOKUP($A333,'HIDDEN Testrun Results'!$A:$B,2,FALSE),"")</f>
        <v/>
      </c>
      <c r="H333" s="11" t="b">
        <f t="shared" si="6"/>
        <v>0</v>
      </c>
      <c r="I333" s="11" t="b">
        <f>IF(VLOOKUP(A333&amp;" "&amp;B333,'HIDDEN import'!A:G,5,FALSE)="M",TRUE,IFERROR(VLOOKUP(E333,'Optional features'!B:D,3,FALSE)="Yes",IFERROR(VLOOKUP(E333,'HIDDEN calc sheet'!A:B,2,FALSE),IFERROR(VLOOKUP(E333,'Additional questions'!B:D,3,FALSE)="Yes",VLOOKUP(E333,'Hardware Feature set'!B:D,3,FALSE)="No"))))</f>
        <v>1</v>
      </c>
      <c r="J333" s="11" t="b">
        <f>IF(VLOOKUP(B333,'Profile selection'!B:C,2,FALSE)="Yes",TRUE,FALSE)</f>
        <v>0</v>
      </c>
      <c r="K333" s="53"/>
      <c r="L333" s="53"/>
    </row>
    <row r="334" spans="1:12" x14ac:dyDescent="0.25">
      <c r="A334" t="str">
        <f>'HIDDEN import'!B334</f>
        <v>TC_H_04_CS</v>
      </c>
      <c r="B334" t="str">
        <f>'HIDDEN import'!C334</f>
        <v>Reservation</v>
      </c>
      <c r="C334" t="str">
        <f>'HIDDEN import'!D334</f>
        <v>Reserve a specific EVSE - Occupied - EVSE Occupied</v>
      </c>
      <c r="D334" t="str">
        <f>IF(VLOOKUP(A334&amp;" "&amp;B334,'HIDDEN import'!A:G,5,FALSE)="M",MD!$A$1,(IF(AND(VLOOKUP(A334,'HIDDEN import'!B:E,4,FALSE)="C",OR(NOT(ISERROR(VLOOKUP(E334,'Optional features'!B:D,1,FALSE)=E334)),NOT(ISERROR(VLOOKUP(E334,'HIDDEN calc sheet'!A:C,1,FALSE)=E334)))),MD!$A$3,MD!$A$2)))</f>
        <v>Mandatory test for a mandatory feature</v>
      </c>
      <c r="E334" t="str">
        <f>IF('HIDDEN import'!F334=0,"",'HIDDEN import'!F334)</f>
        <v/>
      </c>
      <c r="F334" t="str">
        <f>IF('HIDDEN import'!G334=0,"",'HIDDEN import'!G334)</f>
        <v/>
      </c>
      <c r="G334" s="181" t="str">
        <f>IFERROR(VLOOKUP($A334,'HIDDEN Testrun Results'!$A:$B,2,FALSE),"")</f>
        <v/>
      </c>
      <c r="H334" s="11" t="b">
        <f t="shared" si="6"/>
        <v>0</v>
      </c>
      <c r="I334" s="11" t="b">
        <f>IF(VLOOKUP(A334&amp;" "&amp;B334,'HIDDEN import'!A:G,5,FALSE)="M",TRUE,IFERROR(VLOOKUP(E334,'Optional features'!B:D,3,FALSE)="Yes",IFERROR(VLOOKUP(E334,'HIDDEN calc sheet'!A:B,2,FALSE),IFERROR(VLOOKUP(E334,'Additional questions'!B:D,3,FALSE)="Yes",VLOOKUP(E334,'Hardware Feature set'!B:D,3,FALSE)="No"))))</f>
        <v>1</v>
      </c>
      <c r="J334" s="11" t="b">
        <f>IF(VLOOKUP(B334,'Profile selection'!B:C,2,FALSE)="Yes",TRUE,FALSE)</f>
        <v>0</v>
      </c>
      <c r="K334" s="53"/>
      <c r="L334" s="53"/>
    </row>
    <row r="335" spans="1:12" x14ac:dyDescent="0.25">
      <c r="A335" t="str">
        <f>'HIDDEN import'!B335</f>
        <v>TC_H_06_CS</v>
      </c>
      <c r="B335" t="str">
        <f>'HIDDEN import'!C335</f>
        <v>Reservation</v>
      </c>
      <c r="C335" t="str">
        <f>'HIDDEN import'!D335</f>
        <v>Reserve a specific EVSE - Unavailable</v>
      </c>
      <c r="D335" t="str">
        <f>IF(VLOOKUP(A335&amp;" "&amp;B335,'HIDDEN import'!A:G,5,FALSE)="M",MD!$A$1,(IF(AND(VLOOKUP(A335,'HIDDEN import'!B:E,4,FALSE)="C",OR(NOT(ISERROR(VLOOKUP(E335,'Optional features'!B:D,1,FALSE)=E335)),NOT(ISERROR(VLOOKUP(E335,'HIDDEN calc sheet'!A:C,1,FALSE)=E335)))),MD!$A$3,MD!$A$2)))</f>
        <v>Mandatory test for a mandatory feature</v>
      </c>
      <c r="E335" t="str">
        <f>IF('HIDDEN import'!F335=0,"",'HIDDEN import'!F335)</f>
        <v/>
      </c>
      <c r="F335" t="str">
        <f>IF('HIDDEN import'!G335=0,"",'HIDDEN import'!G335)</f>
        <v/>
      </c>
      <c r="G335" s="181" t="str">
        <f>IFERROR(VLOOKUP($A335,'HIDDEN Testrun Results'!$A:$B,2,FALSE),"")</f>
        <v/>
      </c>
      <c r="H335" s="11" t="b">
        <f t="shared" si="6"/>
        <v>0</v>
      </c>
      <c r="I335" s="11" t="b">
        <f>IF(VLOOKUP(A335&amp;" "&amp;B335,'HIDDEN import'!A:G,5,FALSE)="M",TRUE,IFERROR(VLOOKUP(E335,'Optional features'!B:D,3,FALSE)="Yes",IFERROR(VLOOKUP(E335,'HIDDEN calc sheet'!A:B,2,FALSE),IFERROR(VLOOKUP(E335,'Additional questions'!B:D,3,FALSE)="Yes",VLOOKUP(E335,'Hardware Feature set'!B:D,3,FALSE)="No"))))</f>
        <v>1</v>
      </c>
      <c r="J335" s="11" t="b">
        <f>IF(VLOOKUP(B335,'Profile selection'!B:C,2,FALSE)="Yes",TRUE,FALSE)</f>
        <v>0</v>
      </c>
      <c r="K335" s="53"/>
      <c r="L335" s="53"/>
    </row>
    <row r="336" spans="1:12" x14ac:dyDescent="0.25">
      <c r="A336" t="str">
        <f>'HIDDEN import'!B336</f>
        <v>TC_H_07_CS</v>
      </c>
      <c r="B336" t="str">
        <f>'HIDDEN import'!C336</f>
        <v>Reservation</v>
      </c>
      <c r="C336" t="str">
        <f>'HIDDEN import'!D336</f>
        <v>Reserve a specific EVSE - Reservation Ended / not used</v>
      </c>
      <c r="D336" t="str">
        <f>IF(VLOOKUP(A336&amp;" "&amp;B336,'HIDDEN import'!A:G,5,FALSE)="M",MD!$A$1,(IF(AND(VLOOKUP(A336,'HIDDEN import'!B:E,4,FALSE)="C",OR(NOT(ISERROR(VLOOKUP(E336,'Optional features'!B:D,1,FALSE)=E336)),NOT(ISERROR(VLOOKUP(E336,'HIDDEN calc sheet'!A:C,1,FALSE)=E336)))),MD!$A$3,MD!$A$2)))</f>
        <v>Mandatory test for a mandatory feature</v>
      </c>
      <c r="E336" t="str">
        <f>IF('HIDDEN import'!F336=0,"",'HIDDEN import'!F336)</f>
        <v/>
      </c>
      <c r="F336" t="str">
        <f>IF('HIDDEN import'!G336=0,"",'HIDDEN import'!G336)</f>
        <v/>
      </c>
      <c r="G336" s="181" t="str">
        <f>IFERROR(VLOOKUP($A336,'HIDDEN Testrun Results'!$A:$B,2,FALSE),"")</f>
        <v/>
      </c>
      <c r="H336" s="11" t="b">
        <f t="shared" si="6"/>
        <v>0</v>
      </c>
      <c r="I336" s="11" t="b">
        <f>IF(VLOOKUP(A336&amp;" "&amp;B336,'HIDDEN import'!A:G,5,FALSE)="M",TRUE,IFERROR(VLOOKUP(E336,'Optional features'!B:D,3,FALSE)="Yes",IFERROR(VLOOKUP(E336,'HIDDEN calc sheet'!A:B,2,FALSE),IFERROR(VLOOKUP(E336,'Additional questions'!B:D,3,FALSE)="Yes",VLOOKUP(E336,'Hardware Feature set'!B:D,3,FALSE)="No"))))</f>
        <v>1</v>
      </c>
      <c r="J336" s="11" t="b">
        <f>IF(VLOOKUP(B336,'Profile selection'!B:C,2,FALSE)="Yes",TRUE,FALSE)</f>
        <v>0</v>
      </c>
      <c r="K336" s="53"/>
      <c r="L336" s="53"/>
    </row>
    <row r="337" spans="1:12" x14ac:dyDescent="0.25">
      <c r="A337" t="str">
        <f>'HIDDEN import'!B337</f>
        <v>TC_H_22_CS</v>
      </c>
      <c r="B337" t="str">
        <f>'HIDDEN import'!C337</f>
        <v>Reservation</v>
      </c>
      <c r="C337" t="str">
        <f>'HIDDEN import'!D337</f>
        <v>Reserve a specific EVSE - Configured to Reject</v>
      </c>
      <c r="D337" t="str">
        <f>IF(VLOOKUP(A337&amp;" "&amp;B337,'HIDDEN import'!A:G,5,FALSE)="M",MD!$A$1,(IF(AND(VLOOKUP(A337,'HIDDEN import'!B:E,4,FALSE)="C",OR(NOT(ISERROR(VLOOKUP(E337,'Optional features'!B:D,1,FALSE)=E337)),NOT(ISERROR(VLOOKUP(E337,'HIDDEN calc sheet'!A:C,1,FALSE)=E337)))),MD!$A$3,MD!$A$2)))</f>
        <v>Mandatory for optional feature</v>
      </c>
      <c r="E337" t="str">
        <f>IF('HIDDEN import'!F337=0,"",'HIDDEN import'!F337)</f>
        <v>R-3</v>
      </c>
      <c r="F337" t="str">
        <f>IF('HIDDEN import'!G337=0,"",'HIDDEN import'!G337)</f>
        <v/>
      </c>
      <c r="G337" s="181" t="str">
        <f>IFERROR(VLOOKUP($A337,'HIDDEN Testrun Results'!$A:$B,2,FALSE),"")</f>
        <v/>
      </c>
      <c r="H337" s="11" t="b">
        <f t="shared" si="6"/>
        <v>0</v>
      </c>
      <c r="I337" s="11" t="b">
        <f>IF(VLOOKUP(A337&amp;" "&amp;B337,'HIDDEN import'!A:G,5,FALSE)="M",TRUE,IFERROR(VLOOKUP(E337,'Optional features'!B:D,3,FALSE)="Yes",IFERROR(VLOOKUP(E337,'HIDDEN calc sheet'!A:B,2,FALSE),IFERROR(VLOOKUP(E337,'Additional questions'!B:D,3,FALSE)="Yes",VLOOKUP(E337,'Hardware Feature set'!B:D,3,FALSE)="No"))))</f>
        <v>0</v>
      </c>
      <c r="J337" s="11" t="b">
        <f>IF(VLOOKUP(B337,'Profile selection'!B:C,2,FALSE)="Yes",TRUE,FALSE)</f>
        <v>0</v>
      </c>
      <c r="K337" s="53"/>
      <c r="L337" s="53"/>
    </row>
    <row r="338" spans="1:12" x14ac:dyDescent="0.25">
      <c r="A338" t="str">
        <f>'HIDDEN import'!B338</f>
        <v>TC_H_23_CS</v>
      </c>
      <c r="B338" t="str">
        <f>'HIDDEN import'!C338</f>
        <v>Reservation</v>
      </c>
      <c r="C338" t="str">
        <f>'HIDDEN import'!D338</f>
        <v>Reserve a specific EVSE - Replace reservation</v>
      </c>
      <c r="D338" t="str">
        <f>IF(VLOOKUP(A338&amp;" "&amp;B338,'HIDDEN import'!A:G,5,FALSE)="M",MD!$A$1,(IF(AND(VLOOKUP(A338,'HIDDEN import'!B:E,4,FALSE)="C",OR(NOT(ISERROR(VLOOKUP(E338,'Optional features'!B:D,1,FALSE)=E338)),NOT(ISERROR(VLOOKUP(E338,'HIDDEN calc sheet'!A:C,1,FALSE)=E338)))),MD!$A$3,MD!$A$2)))</f>
        <v>Mandatory test for a mandatory feature</v>
      </c>
      <c r="E338" t="str">
        <f>IF('HIDDEN import'!F338=0,"",'HIDDEN import'!F338)</f>
        <v/>
      </c>
      <c r="F338" t="str">
        <f>IF('HIDDEN import'!G338=0,"",'HIDDEN import'!G338)</f>
        <v/>
      </c>
      <c r="G338" s="181" t="str">
        <f>IFERROR(VLOOKUP($A338,'HIDDEN Testrun Results'!$A:$B,2,FALSE),"")</f>
        <v/>
      </c>
      <c r="H338" s="11" t="b">
        <f t="shared" si="6"/>
        <v>0</v>
      </c>
      <c r="I338" s="11" t="b">
        <f>IF(VLOOKUP(A338&amp;" "&amp;B338,'HIDDEN import'!A:G,5,FALSE)="M",TRUE,IFERROR(VLOOKUP(E338,'Optional features'!B:D,3,FALSE)="Yes",IFERROR(VLOOKUP(E338,'HIDDEN calc sheet'!A:B,2,FALSE),IFERROR(VLOOKUP(E338,'Additional questions'!B:D,3,FALSE)="Yes",VLOOKUP(E338,'Hardware Feature set'!B:D,3,FALSE)="No"))))</f>
        <v>1</v>
      </c>
      <c r="J338" s="11" t="b">
        <f>IF(VLOOKUP(B338,'Profile selection'!B:C,2,FALSE)="Yes",TRUE,FALSE)</f>
        <v>0</v>
      </c>
      <c r="K338" s="53"/>
      <c r="L338" s="53"/>
    </row>
    <row r="339" spans="1:12" x14ac:dyDescent="0.25">
      <c r="A339" t="str">
        <f>'HIDDEN import'!B339</f>
        <v>TC_H_19_CS</v>
      </c>
      <c r="B339" t="str">
        <f>'HIDDEN import'!C339</f>
        <v>Reservation</v>
      </c>
      <c r="C339" t="str">
        <f>'HIDDEN import'!D339</f>
        <v>Reserve a specific EVSE - Use a reserved EVSE with GroupId</v>
      </c>
      <c r="D339" t="str">
        <f>IF(VLOOKUP(A339&amp;" "&amp;B339,'HIDDEN import'!A:G,5,FALSE)="M",MD!$A$1,(IF(AND(VLOOKUP(A339,'HIDDEN import'!B:E,4,FALSE)="C",OR(NOT(ISERROR(VLOOKUP(E339,'Optional features'!B:D,1,FALSE)=E339)),NOT(ISERROR(VLOOKUP(E339,'HIDDEN calc sheet'!A:C,1,FALSE)=E339)))),MD!$A$3,MD!$A$2)))</f>
        <v>Mandatory test for a mandatory feature</v>
      </c>
      <c r="E339" t="str">
        <f>IF('HIDDEN import'!F339=0,"",'HIDDEN import'!F339)</f>
        <v/>
      </c>
      <c r="F339" t="str">
        <f>IF('HIDDEN import'!G339=0,"",'HIDDEN import'!G339)</f>
        <v/>
      </c>
      <c r="G339" s="181" t="str">
        <f>IFERROR(VLOOKUP($A339,'HIDDEN Testrun Results'!$A:$B,2,FALSE),"")</f>
        <v/>
      </c>
      <c r="H339" s="11" t="b">
        <f t="shared" si="6"/>
        <v>0</v>
      </c>
      <c r="I339" s="11" t="b">
        <f>IF(VLOOKUP(A339&amp;" "&amp;B339,'HIDDEN import'!A:G,5,FALSE)="M",TRUE,IFERROR(VLOOKUP(E339,'Optional features'!B:D,3,FALSE)="Yes",IFERROR(VLOOKUP(E339,'HIDDEN calc sheet'!A:B,2,FALSE),IFERROR(VLOOKUP(E339,'Additional questions'!B:D,3,FALSE)="Yes",VLOOKUP(E339,'Hardware Feature set'!B:D,3,FALSE)="No"))))</f>
        <v>1</v>
      </c>
      <c r="J339" s="11" t="b">
        <f>IF(VLOOKUP(B339,'Profile selection'!B:C,2,FALSE)="Yes",TRUE,FALSE)</f>
        <v>0</v>
      </c>
      <c r="K339" s="53"/>
      <c r="L339" s="53"/>
    </row>
    <row r="340" spans="1:12" x14ac:dyDescent="0.25">
      <c r="A340" t="str">
        <f>'HIDDEN import'!B340</f>
        <v>TC_H_08_CS</v>
      </c>
      <c r="B340" t="str">
        <f>'HIDDEN import'!C340</f>
        <v>Reservation</v>
      </c>
      <c r="C340" t="str">
        <f>'HIDDEN import'!D340</f>
        <v>Reserve an unspecified EVSE - Accepted</v>
      </c>
      <c r="D340" t="str">
        <f>IF(VLOOKUP(A340&amp;" "&amp;B340,'HIDDEN import'!A:G,5,FALSE)="M",MD!$A$1,(IF(AND(VLOOKUP(A340,'HIDDEN import'!B:E,4,FALSE)="C",OR(NOT(ISERROR(VLOOKUP(E340,'Optional features'!B:D,1,FALSE)=E340)),NOT(ISERROR(VLOOKUP(E340,'HIDDEN calc sheet'!A:C,1,FALSE)=E340)))),MD!$A$3,MD!$A$2)))</f>
        <v>Mandatory for optional feature</v>
      </c>
      <c r="E340" t="str">
        <f>IF('HIDDEN import'!F340=0,"",'HIDDEN import'!F340)</f>
        <v>R-2</v>
      </c>
      <c r="F340" t="str">
        <f>IF('HIDDEN import'!G340=0,"",'HIDDEN import'!G340)</f>
        <v>Support reservations of unspecified EVSE</v>
      </c>
      <c r="G340" s="181" t="str">
        <f>IFERROR(VLOOKUP($A340,'HIDDEN Testrun Results'!$A:$B,2,FALSE),"")</f>
        <v/>
      </c>
      <c r="H340" s="11" t="b">
        <f t="shared" si="6"/>
        <v>0</v>
      </c>
      <c r="I340" s="11" t="b">
        <f>IF(VLOOKUP(A340&amp;" "&amp;B340,'HIDDEN import'!A:G,5,FALSE)="M",TRUE,IFERROR(VLOOKUP(E340,'Optional features'!B:D,3,FALSE)="Yes",IFERROR(VLOOKUP(E340,'HIDDEN calc sheet'!A:B,2,FALSE),IFERROR(VLOOKUP(E340,'Additional questions'!B:D,3,FALSE)="Yes",VLOOKUP(E340,'Hardware Feature set'!B:D,3,FALSE)="No"))))</f>
        <v>0</v>
      </c>
      <c r="J340" s="11" t="b">
        <f>IF(VLOOKUP(B340,'Profile selection'!B:C,2,FALSE)="Yes",TRUE,FALSE)</f>
        <v>0</v>
      </c>
      <c r="K340" s="53"/>
      <c r="L340" s="53"/>
    </row>
    <row r="341" spans="1:12" x14ac:dyDescent="0.25">
      <c r="A341" t="str">
        <f>'HIDDEN import'!B341</f>
        <v>TC_H_09_CS</v>
      </c>
      <c r="B341" t="str">
        <f>'HIDDEN import'!C341</f>
        <v>Reservation</v>
      </c>
      <c r="C341" t="str">
        <f>'HIDDEN import'!D341</f>
        <v>Reserve an unspecified EVSE - Occupied - EVSE Reserved</v>
      </c>
      <c r="D341" t="str">
        <f>IF(VLOOKUP(A341&amp;" "&amp;B341,'HIDDEN import'!A:G,5,FALSE)="M",MD!$A$1,(IF(AND(VLOOKUP(A341,'HIDDEN import'!B:E,4,FALSE)="C",OR(NOT(ISERROR(VLOOKUP(E341,'Optional features'!B:D,1,FALSE)=E341)),NOT(ISERROR(VLOOKUP(E341,'HIDDEN calc sheet'!A:C,1,FALSE)=E341)))),MD!$A$3,MD!$A$2)))</f>
        <v>Mandatory for optional feature</v>
      </c>
      <c r="E341" t="str">
        <f>IF('HIDDEN import'!F341=0,"",'HIDDEN import'!F341)</f>
        <v>R-2</v>
      </c>
      <c r="F341" t="str">
        <f>IF('HIDDEN import'!G341=0,"",'HIDDEN import'!G341)</f>
        <v>Support reservations of unspecified EVSE</v>
      </c>
      <c r="G341" s="181" t="str">
        <f>IFERROR(VLOOKUP($A341,'HIDDEN Testrun Results'!$A:$B,2,FALSE),"")</f>
        <v/>
      </c>
      <c r="H341" s="11" t="b">
        <f t="shared" si="6"/>
        <v>0</v>
      </c>
      <c r="I341" s="11" t="b">
        <f>IF(VLOOKUP(A341&amp;" "&amp;B341,'HIDDEN import'!A:G,5,FALSE)="M",TRUE,IFERROR(VLOOKUP(E341,'Optional features'!B:D,3,FALSE)="Yes",IFERROR(VLOOKUP(E341,'HIDDEN calc sheet'!A:B,2,FALSE),IFERROR(VLOOKUP(E341,'Additional questions'!B:D,3,FALSE)="Yes",VLOOKUP(E341,'Hardware Feature set'!B:D,3,FALSE)="No"))))</f>
        <v>0</v>
      </c>
      <c r="J341" s="11" t="b">
        <f>IF(VLOOKUP(B341,'Profile selection'!B:C,2,FALSE)="Yes",TRUE,FALSE)</f>
        <v>0</v>
      </c>
      <c r="K341" s="53"/>
      <c r="L341" s="53"/>
    </row>
    <row r="342" spans="1:12" x14ac:dyDescent="0.25">
      <c r="A342" t="str">
        <f>'HIDDEN import'!B342</f>
        <v>TC_H_10_CS</v>
      </c>
      <c r="B342" t="str">
        <f>'HIDDEN import'!C342</f>
        <v>Reservation</v>
      </c>
      <c r="C342" t="str">
        <f>'HIDDEN import'!D342</f>
        <v>Reserve an unspecified EVSE - Occupied - EVSE Occupied</v>
      </c>
      <c r="D342" t="str">
        <f>IF(VLOOKUP(A342&amp;" "&amp;B342,'HIDDEN import'!A:G,5,FALSE)="M",MD!$A$1,(IF(AND(VLOOKUP(A342,'HIDDEN import'!B:E,4,FALSE)="C",OR(NOT(ISERROR(VLOOKUP(E342,'Optional features'!B:D,1,FALSE)=E342)),NOT(ISERROR(VLOOKUP(E342,'HIDDEN calc sheet'!A:C,1,FALSE)=E342)))),MD!$A$3,MD!$A$2)))</f>
        <v>Mandatory for optional feature</v>
      </c>
      <c r="E342" t="str">
        <f>IF('HIDDEN import'!F342=0,"",'HIDDEN import'!F342)</f>
        <v>R-2</v>
      </c>
      <c r="F342" t="str">
        <f>IF('HIDDEN import'!G342=0,"",'HIDDEN import'!G342)</f>
        <v>Support reservations of unspecified EVSE</v>
      </c>
      <c r="G342" s="181" t="str">
        <f>IFERROR(VLOOKUP($A342,'HIDDEN Testrun Results'!$A:$B,2,FALSE),"")</f>
        <v/>
      </c>
      <c r="H342" s="11" t="b">
        <f t="shared" si="6"/>
        <v>0</v>
      </c>
      <c r="I342" s="11" t="b">
        <f>IF(VLOOKUP(A342&amp;" "&amp;B342,'HIDDEN import'!A:G,5,FALSE)="M",TRUE,IFERROR(VLOOKUP(E342,'Optional features'!B:D,3,FALSE)="Yes",IFERROR(VLOOKUP(E342,'HIDDEN calc sheet'!A:B,2,FALSE),IFERROR(VLOOKUP(E342,'Additional questions'!B:D,3,FALSE)="Yes",VLOOKUP(E342,'Hardware Feature set'!B:D,3,FALSE)="No"))))</f>
        <v>0</v>
      </c>
      <c r="J342" s="11" t="b">
        <f>IF(VLOOKUP(B342,'Profile selection'!B:C,2,FALSE)="Yes",TRUE,FALSE)</f>
        <v>0</v>
      </c>
      <c r="K342" s="53"/>
      <c r="L342" s="53"/>
    </row>
    <row r="343" spans="1:12" x14ac:dyDescent="0.25">
      <c r="A343" t="str">
        <f>'HIDDEN import'!B343</f>
        <v>TC_H_12_CS</v>
      </c>
      <c r="B343" t="str">
        <f>'HIDDEN import'!C343</f>
        <v>Reservation</v>
      </c>
      <c r="C343" t="str">
        <f>'HIDDEN import'!D343</f>
        <v>Reserve an unspecified EVSE - Unavailable</v>
      </c>
      <c r="D343" t="str">
        <f>IF(VLOOKUP(A343&amp;" "&amp;B343,'HIDDEN import'!A:G,5,FALSE)="M",MD!$A$1,(IF(AND(VLOOKUP(A343,'HIDDEN import'!B:E,4,FALSE)="C",OR(NOT(ISERROR(VLOOKUP(E343,'Optional features'!B:D,1,FALSE)=E343)),NOT(ISERROR(VLOOKUP(E343,'HIDDEN calc sheet'!A:C,1,FALSE)=E343)))),MD!$A$3,MD!$A$2)))</f>
        <v>Mandatory for optional feature</v>
      </c>
      <c r="E343" t="str">
        <f>IF('HIDDEN import'!F343=0,"",'HIDDEN import'!F343)</f>
        <v>R-2</v>
      </c>
      <c r="F343" t="str">
        <f>IF('HIDDEN import'!G343=0,"",'HIDDEN import'!G343)</f>
        <v>Support reservations of unspecified EVSE</v>
      </c>
      <c r="G343" s="181" t="str">
        <f>IFERROR(VLOOKUP($A343,'HIDDEN Testrun Results'!$A:$B,2,FALSE),"")</f>
        <v/>
      </c>
      <c r="H343" s="11" t="b">
        <f t="shared" si="6"/>
        <v>0</v>
      </c>
      <c r="I343" s="11" t="b">
        <f>IF(VLOOKUP(A343&amp;" "&amp;B343,'HIDDEN import'!A:G,5,FALSE)="M",TRUE,IFERROR(VLOOKUP(E343,'Optional features'!B:D,3,FALSE)="Yes",IFERROR(VLOOKUP(E343,'HIDDEN calc sheet'!A:B,2,FALSE),IFERROR(VLOOKUP(E343,'Additional questions'!B:D,3,FALSE)="Yes",VLOOKUP(E343,'Hardware Feature set'!B:D,3,FALSE)="No"))))</f>
        <v>0</v>
      </c>
      <c r="J343" s="11" t="b">
        <f>IF(VLOOKUP(B343,'Profile selection'!B:C,2,FALSE)="Yes",TRUE,FALSE)</f>
        <v>0</v>
      </c>
      <c r="K343" s="53"/>
      <c r="L343" s="53"/>
    </row>
    <row r="344" spans="1:12" x14ac:dyDescent="0.25">
      <c r="A344" t="str">
        <f>'HIDDEN import'!B344</f>
        <v>TC_H_13_CS</v>
      </c>
      <c r="B344" t="str">
        <f>'HIDDEN import'!C344</f>
        <v>Reservation</v>
      </c>
      <c r="C344" t="str">
        <f>'HIDDEN import'!D344</f>
        <v>Reserve an unspecified EVSE - Rejected</v>
      </c>
      <c r="D344" t="str">
        <f>IF(VLOOKUP(A344&amp;" "&amp;B344,'HIDDEN import'!A:G,5,FALSE)="M",MD!$A$1,(IF(AND(VLOOKUP(A344,'HIDDEN import'!B:E,4,FALSE)="C",OR(NOT(ISERROR(VLOOKUP(E344,'Optional features'!B:D,1,FALSE)=E344)),NOT(ISERROR(VLOOKUP(E344,'HIDDEN calc sheet'!A:C,1,FALSE)=E344)))),MD!$A$3,MD!$A$2)))</f>
        <v>Mandatory for optional feature</v>
      </c>
      <c r="E344" t="str">
        <f>IF('HIDDEN import'!F344=0,"",'HIDDEN import'!F344)</f>
        <v>R-2</v>
      </c>
      <c r="F344" t="str">
        <f>IF('HIDDEN import'!G344=0,"",'HIDDEN import'!G344)</f>
        <v>Support reservations of unspecified EVSE</v>
      </c>
      <c r="G344" s="181" t="str">
        <f>IFERROR(VLOOKUP($A344,'HIDDEN Testrun Results'!$A:$B,2,FALSE),"")</f>
        <v/>
      </c>
      <c r="H344" s="11" t="b">
        <f t="shared" si="6"/>
        <v>0</v>
      </c>
      <c r="I344" s="11" t="b">
        <f>IF(VLOOKUP(A344&amp;" "&amp;B344,'HIDDEN import'!A:G,5,FALSE)="M",TRUE,IFERROR(VLOOKUP(E344,'Optional features'!B:D,3,FALSE)="Yes",IFERROR(VLOOKUP(E344,'HIDDEN calc sheet'!A:B,2,FALSE),IFERROR(VLOOKUP(E344,'Additional questions'!B:D,3,FALSE)="Yes",VLOOKUP(E344,'Hardware Feature set'!B:D,3,FALSE)="No"))))</f>
        <v>0</v>
      </c>
      <c r="J344" s="11" t="b">
        <f>IF(VLOOKUP(B344,'Profile selection'!B:C,2,FALSE)="Yes",TRUE,FALSE)</f>
        <v>0</v>
      </c>
      <c r="K344" s="53"/>
      <c r="L344" s="53"/>
    </row>
    <row r="345" spans="1:12" x14ac:dyDescent="0.25">
      <c r="A345" t="str">
        <f>'HIDDEN import'!B345</f>
        <v>TC_H_14_CS</v>
      </c>
      <c r="B345" t="str">
        <f>'HIDDEN import'!C345</f>
        <v>Reservation</v>
      </c>
      <c r="C345" t="str">
        <f>'HIDDEN import'!D345</f>
        <v>Reserve an unspecified EVSE - Amount of EVSEs available equals the amount of reservations</v>
      </c>
      <c r="D345" t="str">
        <f>IF(VLOOKUP(A345&amp;" "&amp;B345,'HIDDEN import'!A:G,5,FALSE)="M",MD!$A$1,(IF(AND(VLOOKUP(A345,'HIDDEN import'!B:E,4,FALSE)="C",OR(NOT(ISERROR(VLOOKUP(E345,'Optional features'!B:D,1,FALSE)=E345)),NOT(ISERROR(VLOOKUP(E345,'HIDDEN calc sheet'!A:C,1,FALSE)=E345)))),MD!$A$3,MD!$A$2)))</f>
        <v>Mandatory for optional feature</v>
      </c>
      <c r="E345" t="str">
        <f>IF('HIDDEN import'!F345=0,"",'HIDDEN import'!F345)</f>
        <v>R-2</v>
      </c>
      <c r="F345" t="str">
        <f>IF('HIDDEN import'!G345=0,"",'HIDDEN import'!G345)</f>
        <v>Support reservations of unspecified EVSE</v>
      </c>
      <c r="G345" s="181" t="str">
        <f>IFERROR(VLOOKUP($A345,'HIDDEN Testrun Results'!$A:$B,2,FALSE),"")</f>
        <v/>
      </c>
      <c r="H345" s="11" t="b">
        <f t="shared" si="6"/>
        <v>0</v>
      </c>
      <c r="I345" s="11" t="b">
        <f>IF(VLOOKUP(A345&amp;" "&amp;B345,'HIDDEN import'!A:G,5,FALSE)="M",TRUE,IFERROR(VLOOKUP(E345,'Optional features'!B:D,3,FALSE)="Yes",IFERROR(VLOOKUP(E345,'HIDDEN calc sheet'!A:B,2,FALSE),IFERROR(VLOOKUP(E345,'Additional questions'!B:D,3,FALSE)="Yes",VLOOKUP(E345,'Hardware Feature set'!B:D,3,FALSE)="No"))))</f>
        <v>0</v>
      </c>
      <c r="J345" s="11" t="b">
        <f>IF(VLOOKUP(B345,'Profile selection'!B:C,2,FALSE)="Yes",TRUE,FALSE)</f>
        <v>0</v>
      </c>
      <c r="K345" s="53"/>
      <c r="L345" s="53"/>
    </row>
    <row r="346" spans="1:12" x14ac:dyDescent="0.25">
      <c r="A346" t="str">
        <f>'HIDDEN import'!B346</f>
        <v>TC_H_24_CS</v>
      </c>
      <c r="B346" t="str">
        <f>'HIDDEN import'!C346</f>
        <v>Reservation</v>
      </c>
      <c r="C346" t="str">
        <f>'HIDDEN import'!D346</f>
        <v>Reserve an unspecified EVSE - GroupIdToken</v>
      </c>
      <c r="D346" t="str">
        <f>IF(VLOOKUP(A346&amp;" "&amp;B346,'HIDDEN import'!A:G,5,FALSE)="M",MD!$A$1,(IF(AND(VLOOKUP(A346,'HIDDEN import'!B:E,4,FALSE)="C",OR(NOT(ISERROR(VLOOKUP(E346,'Optional features'!B:D,1,FALSE)=E346)),NOT(ISERROR(VLOOKUP(E346,'HIDDEN calc sheet'!A:C,1,FALSE)=E346)))),MD!$A$3,MD!$A$2)))</f>
        <v>Mandatory for optional feature</v>
      </c>
      <c r="E346" t="str">
        <f>IF('HIDDEN import'!F346=0,"",'HIDDEN import'!F346)</f>
        <v>R-2</v>
      </c>
      <c r="F346" t="str">
        <f>IF('HIDDEN import'!G346=0,"",'HIDDEN import'!G346)</f>
        <v>Support reservations of unspecified EVSE</v>
      </c>
      <c r="G346" s="181" t="str">
        <f>IFERROR(VLOOKUP($A346,'HIDDEN Testrun Results'!$A:$B,2,FALSE),"")</f>
        <v/>
      </c>
      <c r="H346" s="11" t="b">
        <f t="shared" si="6"/>
        <v>0</v>
      </c>
      <c r="I346" s="11" t="b">
        <f>IF(VLOOKUP(A346&amp;" "&amp;B346,'HIDDEN import'!A:G,5,FALSE)="M",TRUE,IFERROR(VLOOKUP(E346,'Optional features'!B:D,3,FALSE)="Yes",IFERROR(VLOOKUP(E346,'HIDDEN calc sheet'!A:B,2,FALSE),IFERROR(VLOOKUP(E346,'Additional questions'!B:D,3,FALSE)="Yes",VLOOKUP(E346,'Hardware Feature set'!B:D,3,FALSE)="No"))))</f>
        <v>0</v>
      </c>
      <c r="J346" s="11" t="b">
        <f>IF(VLOOKUP(B346,'Profile selection'!B:C,2,FALSE)="Yes",TRUE,FALSE)</f>
        <v>0</v>
      </c>
      <c r="K346" s="53"/>
      <c r="L346" s="53"/>
    </row>
    <row r="347" spans="1:12" x14ac:dyDescent="0.25">
      <c r="A347" t="str">
        <f>'HIDDEN import'!B347</f>
        <v>TC_H_15_CS</v>
      </c>
      <c r="B347" t="str">
        <f>'HIDDEN import'!C347</f>
        <v>Reservation</v>
      </c>
      <c r="C347" t="str">
        <f>'HIDDEN import'!D347</f>
        <v>Reserve a connector with a specific type - Success</v>
      </c>
      <c r="D347" t="str">
        <f>IF(VLOOKUP(A347&amp;" "&amp;B347,'HIDDEN import'!A:G,5,FALSE)="M",MD!$A$1,(IF(AND(VLOOKUP(A347,'HIDDEN import'!B:E,4,FALSE)="C",OR(NOT(ISERROR(VLOOKUP(E347,'Optional features'!B:D,1,FALSE)=E347)),NOT(ISERROR(VLOOKUP(E347,'HIDDEN calc sheet'!A:C,1,FALSE)=E347)))),MD!$A$3,MD!$A$2)))</f>
        <v>Mandatory for optional feature</v>
      </c>
      <c r="E347" t="str">
        <f>IF('HIDDEN import'!F347=0,"",'HIDDEN import'!F347)</f>
        <v>R-2</v>
      </c>
      <c r="F347" t="str">
        <f>IF('HIDDEN import'!G347=0,"",'HIDDEN import'!G347)</f>
        <v>Support for reservation of unspecified EVSE</v>
      </c>
      <c r="G347" s="181" t="str">
        <f>IFERROR(VLOOKUP($A347,'HIDDEN Testrun Results'!$A:$B,2,FALSE),"")</f>
        <v/>
      </c>
      <c r="H347" s="11" t="b">
        <f t="shared" si="6"/>
        <v>0</v>
      </c>
      <c r="I347" s="11" t="b">
        <f>IF(VLOOKUP(A347&amp;" "&amp;B347,'HIDDEN import'!A:G,5,FALSE)="M",TRUE,IFERROR(VLOOKUP(E347,'Optional features'!B:D,3,FALSE)="Yes",IFERROR(VLOOKUP(E347,'HIDDEN calc sheet'!A:B,2,FALSE),IFERROR(VLOOKUP(E347,'Additional questions'!B:D,3,FALSE)="Yes",VLOOKUP(E347,'Hardware Feature set'!B:D,3,FALSE)="No"))))</f>
        <v>0</v>
      </c>
      <c r="J347" s="11" t="b">
        <f>IF(VLOOKUP(B347,'Profile selection'!B:C,2,FALSE)="Yes",TRUE,FALSE)</f>
        <v>0</v>
      </c>
      <c r="K347" s="53"/>
      <c r="L347" s="53"/>
    </row>
    <row r="348" spans="1:12" x14ac:dyDescent="0.25">
      <c r="A348" t="str">
        <f>'HIDDEN import'!B348</f>
        <v>TC_H_16_CS</v>
      </c>
      <c r="B348" t="str">
        <f>'HIDDEN import'!C348</f>
        <v>Reservation</v>
      </c>
      <c r="C348" t="str">
        <f>'HIDDEN import'!D348</f>
        <v>Reserve a connector with a specific type - Amount of available connectors of a type equals the amount of reservations</v>
      </c>
      <c r="D348" t="str">
        <f>IF(VLOOKUP(A348&amp;" "&amp;B348,'HIDDEN import'!A:G,5,FALSE)="M",MD!$A$1,(IF(AND(VLOOKUP(A348,'HIDDEN import'!B:E,4,FALSE)="C",OR(NOT(ISERROR(VLOOKUP(E348,'Optional features'!B:D,1,FALSE)=E348)),NOT(ISERROR(VLOOKUP(E348,'HIDDEN calc sheet'!A:C,1,FALSE)=E348)))),MD!$A$3,MD!$A$2)))</f>
        <v>Mandatory for optional feature</v>
      </c>
      <c r="E348" t="str">
        <f>IF('HIDDEN import'!F348=0,"",'HIDDEN import'!F348)</f>
        <v>R-2</v>
      </c>
      <c r="F348" t="str">
        <f>IF('HIDDEN import'!G348=0,"",'HIDDEN import'!G348)</f>
        <v>Support for reservation of unspecified EVSE</v>
      </c>
      <c r="G348" s="181" t="str">
        <f>IFERROR(VLOOKUP($A348,'HIDDEN Testrun Results'!$A:$B,2,FALSE),"")</f>
        <v/>
      </c>
      <c r="H348" s="11" t="b">
        <f t="shared" si="6"/>
        <v>0</v>
      </c>
      <c r="I348" s="11" t="b">
        <f>IF(VLOOKUP(A348&amp;" "&amp;B348,'HIDDEN import'!A:G,5,FALSE)="M",TRUE,IFERROR(VLOOKUP(E348,'Optional features'!B:D,3,FALSE)="Yes",IFERROR(VLOOKUP(E348,'HIDDEN calc sheet'!A:B,2,FALSE),IFERROR(VLOOKUP(E348,'Additional questions'!B:D,3,FALSE)="Yes",VLOOKUP(E348,'Hardware Feature set'!B:D,3,FALSE)="No"))))</f>
        <v>0</v>
      </c>
      <c r="J348" s="11" t="b">
        <f>IF(VLOOKUP(B348,'Profile selection'!B:C,2,FALSE)="Yes",TRUE,FALSE)</f>
        <v>0</v>
      </c>
      <c r="K348" s="53"/>
      <c r="L348" s="53"/>
    </row>
    <row r="349" spans="1:12" x14ac:dyDescent="0.25">
      <c r="A349" t="str">
        <f>'HIDDEN import'!B349</f>
        <v>TC_H_17_CS</v>
      </c>
      <c r="B349" t="str">
        <f>'HIDDEN import'!C349</f>
        <v>Reservation</v>
      </c>
      <c r="C349" t="str">
        <f>'HIDDEN import'!D349</f>
        <v>Cancel reservation of an EVSE - Success</v>
      </c>
      <c r="D349" t="str">
        <f>IF(VLOOKUP(A349&amp;" "&amp;B349,'HIDDEN import'!A:G,5,FALSE)="M",MD!$A$1,(IF(AND(VLOOKUP(A349,'HIDDEN import'!B:E,4,FALSE)="C",OR(NOT(ISERROR(VLOOKUP(E349,'Optional features'!B:D,1,FALSE)=E349)),NOT(ISERROR(VLOOKUP(E349,'HIDDEN calc sheet'!A:C,1,FALSE)=E349)))),MD!$A$3,MD!$A$2)))</f>
        <v>Mandatory test for a mandatory feature</v>
      </c>
      <c r="E349" t="str">
        <f>IF('HIDDEN import'!F349=0,"",'HIDDEN import'!F349)</f>
        <v/>
      </c>
      <c r="F349" t="str">
        <f>IF('HIDDEN import'!G349=0,"",'HIDDEN import'!G349)</f>
        <v/>
      </c>
      <c r="G349" s="181" t="str">
        <f>IFERROR(VLOOKUP($A349,'HIDDEN Testrun Results'!$A:$B,2,FALSE),"")</f>
        <v/>
      </c>
      <c r="H349" s="11" t="b">
        <f t="shared" si="6"/>
        <v>0</v>
      </c>
      <c r="I349" s="11" t="b">
        <f>IF(VLOOKUP(A349&amp;" "&amp;B349,'HIDDEN import'!A:G,5,FALSE)="M",TRUE,IFERROR(VLOOKUP(E349,'Optional features'!B:D,3,FALSE)="Yes",IFERROR(VLOOKUP(E349,'HIDDEN calc sheet'!A:B,2,FALSE),IFERROR(VLOOKUP(E349,'Additional questions'!B:D,3,FALSE)="Yes",VLOOKUP(E349,'Hardware Feature set'!B:D,3,FALSE)="No"))))</f>
        <v>1</v>
      </c>
      <c r="J349" s="11" t="b">
        <f>IF(VLOOKUP(B349,'Profile selection'!B:C,2,FALSE)="Yes",TRUE,FALSE)</f>
        <v>0</v>
      </c>
      <c r="K349" s="53"/>
      <c r="L349" s="53"/>
    </row>
    <row r="350" spans="1:12" x14ac:dyDescent="0.25">
      <c r="A350" t="str">
        <f>'HIDDEN import'!B350</f>
        <v>TC_H_18_CS</v>
      </c>
      <c r="B350" t="str">
        <f>'HIDDEN import'!C350</f>
        <v>Reservation</v>
      </c>
      <c r="C350" t="str">
        <f>'HIDDEN import'!D350</f>
        <v>Cancel reservation of an EVSE - Rejected</v>
      </c>
      <c r="D350" t="str">
        <f>IF(VLOOKUP(A350&amp;" "&amp;B350,'HIDDEN import'!A:G,5,FALSE)="M",MD!$A$1,(IF(AND(VLOOKUP(A350,'HIDDEN import'!B:E,4,FALSE)="C",OR(NOT(ISERROR(VLOOKUP(E350,'Optional features'!B:D,1,FALSE)=E350)),NOT(ISERROR(VLOOKUP(E350,'HIDDEN calc sheet'!A:C,1,FALSE)=E350)))),MD!$A$3,MD!$A$2)))</f>
        <v>Mandatory test for a mandatory feature</v>
      </c>
      <c r="E350" t="str">
        <f>IF('HIDDEN import'!F350=0,"",'HIDDEN import'!F350)</f>
        <v/>
      </c>
      <c r="F350" t="str">
        <f>IF('HIDDEN import'!G350=0,"",'HIDDEN import'!G350)</f>
        <v/>
      </c>
      <c r="G350" s="181" t="str">
        <f>IFERROR(VLOOKUP($A350,'HIDDEN Testrun Results'!$A:$B,2,FALSE),"")</f>
        <v/>
      </c>
      <c r="H350" s="11" t="b">
        <f t="shared" si="6"/>
        <v>0</v>
      </c>
      <c r="I350" s="11" t="b">
        <f>IF(VLOOKUP(A350&amp;" "&amp;B350,'HIDDEN import'!A:G,5,FALSE)="M",TRUE,IFERROR(VLOOKUP(E350,'Optional features'!B:D,3,FALSE)="Yes",IFERROR(VLOOKUP(E350,'HIDDEN calc sheet'!A:B,2,FALSE),IFERROR(VLOOKUP(E350,'Additional questions'!B:D,3,FALSE)="Yes",VLOOKUP(E350,'Hardware Feature set'!B:D,3,FALSE)="No"))))</f>
        <v>1</v>
      </c>
      <c r="J350" s="11" t="b">
        <f>IF(VLOOKUP(B350,'Profile selection'!B:C,2,FALSE)="Yes",TRUE,FALSE)</f>
        <v>0</v>
      </c>
      <c r="K350" s="53"/>
      <c r="L350" s="53"/>
    </row>
    <row r="351" spans="1:12" x14ac:dyDescent="0.25">
      <c r="A351" t="str">
        <f>'HIDDEN import'!B351</f>
        <v>TC_H_21_CS</v>
      </c>
      <c r="B351" t="str">
        <f>'HIDDEN import'!C351</f>
        <v>Reservation</v>
      </c>
      <c r="C351" t="str">
        <f>'HIDDEN import'!D351</f>
        <v>Cancel reservation of an EVSE - Charging Station cancels reservation when Unavailable</v>
      </c>
      <c r="D351" t="str">
        <f>IF(VLOOKUP(A351&amp;" "&amp;B351,'HIDDEN import'!A:G,5,FALSE)="M",MD!$A$1,(IF(AND(VLOOKUP(A351,'HIDDEN import'!B:E,4,FALSE)="C",OR(NOT(ISERROR(VLOOKUP(E351,'Optional features'!B:D,1,FALSE)=E351)),NOT(ISERROR(VLOOKUP(E351,'HIDDEN calc sheet'!A:C,1,FALSE)=E351)))),MD!$A$3,MD!$A$2)))</f>
        <v>Mandatory test for a mandatory feature</v>
      </c>
      <c r="E351" t="str">
        <f>IF('HIDDEN import'!F351=0,"",'HIDDEN import'!F351)</f>
        <v/>
      </c>
      <c r="F351" t="str">
        <f>IF('HIDDEN import'!G351=0,"",'HIDDEN import'!G351)</f>
        <v/>
      </c>
      <c r="G351" s="181" t="str">
        <f>IFERROR(VLOOKUP($A351,'HIDDEN Testrun Results'!$A:$B,2,FALSE),"")</f>
        <v/>
      </c>
      <c r="H351" s="11" t="b">
        <f t="shared" si="6"/>
        <v>0</v>
      </c>
      <c r="I351" s="11" t="b">
        <f>IF(VLOOKUP(A351&amp;" "&amp;B351,'HIDDEN import'!A:G,5,FALSE)="M",TRUE,IFERROR(VLOOKUP(E351,'Optional features'!B:D,3,FALSE)="Yes",IFERROR(VLOOKUP(E351,'HIDDEN calc sheet'!A:B,2,FALSE),IFERROR(VLOOKUP(E351,'Additional questions'!B:D,3,FALSE)="Yes",VLOOKUP(E351,'Hardware Feature set'!B:D,3,FALSE)="No"))))</f>
        <v>1</v>
      </c>
      <c r="J351" s="11" t="b">
        <f>IF(VLOOKUP(B351,'Profile selection'!B:C,2,FALSE)="Yes",TRUE,FALSE)</f>
        <v>0</v>
      </c>
      <c r="K351" s="53"/>
      <c r="L351" s="53"/>
    </row>
    <row r="352" spans="1:12" x14ac:dyDescent="0.25">
      <c r="A352" t="str">
        <f>'HIDDEN import'!B352</f>
        <v>TC_I_01_CS</v>
      </c>
      <c r="B352" t="str">
        <f>'HIDDEN import'!C352</f>
        <v>Advanced User Interface</v>
      </c>
      <c r="C352" t="str">
        <f>'HIDDEN import'!D352</f>
        <v>Show costs to EV Driver - Show EV Driver running total cost during charging</v>
      </c>
      <c r="D352" t="str">
        <f>IF(VLOOKUP(A352&amp;" "&amp;B352,'HIDDEN import'!A:G,5,FALSE)="M",MD!$A$1,(IF(AND(VLOOKUP(A352,'HIDDEN import'!B:E,4,FALSE)="C",OR(NOT(ISERROR(VLOOKUP(E352,'Optional features'!B:D,1,FALSE)=E352)),NOT(ISERROR(VLOOKUP(E352,'HIDDEN calc sheet'!A:C,1,FALSE)=E352)))),MD!$A$3,MD!$A$2)))</f>
        <v>Mandatory test for a mandatory feature</v>
      </c>
      <c r="E352" t="str">
        <f>IF('HIDDEN import'!F352=0,"",'HIDDEN import'!F352)</f>
        <v/>
      </c>
      <c r="F352" t="str">
        <f>IF('HIDDEN import'!G352=0,"",'HIDDEN import'!G352)</f>
        <v/>
      </c>
      <c r="G352" s="181" t="str">
        <f>IFERROR(VLOOKUP($A352,'HIDDEN Testrun Results'!$A:$B,2,FALSE),"")</f>
        <v/>
      </c>
      <c r="H352" s="11" t="b">
        <f t="shared" si="6"/>
        <v>0</v>
      </c>
      <c r="I352" s="11" t="b">
        <f>IF(VLOOKUP(A352&amp;" "&amp;B352,'HIDDEN import'!A:G,5,FALSE)="M",TRUE,IFERROR(VLOOKUP(E352,'Optional features'!B:D,3,FALSE)="Yes",IFERROR(VLOOKUP(E352,'HIDDEN calc sheet'!A:B,2,FALSE),IFERROR(VLOOKUP(E352,'Additional questions'!B:D,3,FALSE)="Yes",VLOOKUP(E352,'Hardware Feature set'!B:D,3,FALSE)="No"))))</f>
        <v>1</v>
      </c>
      <c r="J352" s="11" t="b">
        <f>IF(VLOOKUP(B352,'Profile selection'!B:C,2,FALSE)="Yes",TRUE,FALSE)</f>
        <v>0</v>
      </c>
      <c r="K352" s="53"/>
      <c r="L352" s="53"/>
    </row>
    <row r="353" spans="1:12" x14ac:dyDescent="0.25">
      <c r="A353" t="str">
        <f>'HIDDEN import'!B353</f>
        <v>TC_I_02_CS</v>
      </c>
      <c r="B353" t="str">
        <f>'HIDDEN import'!C353</f>
        <v>Advanced User Interface</v>
      </c>
      <c r="C353" t="str">
        <f>'HIDDEN import'!D353</f>
        <v>Show costs to EV Driver - Show EV Driver Final Total Cost After Charging</v>
      </c>
      <c r="D353" t="str">
        <f>IF(VLOOKUP(A353&amp;" "&amp;B353,'HIDDEN import'!A:G,5,FALSE)="M",MD!$A$1,(IF(AND(VLOOKUP(A353,'HIDDEN import'!B:E,4,FALSE)="C",OR(NOT(ISERROR(VLOOKUP(E353,'Optional features'!B:D,1,FALSE)=E353)),NOT(ISERROR(VLOOKUP(E353,'HIDDEN calc sheet'!A:C,1,FALSE)=E353)))),MD!$A$3,MD!$A$2)))</f>
        <v>Mandatory test for a mandatory feature</v>
      </c>
      <c r="E353" t="str">
        <f>IF('HIDDEN import'!F353=0,"",'HIDDEN import'!F353)</f>
        <v/>
      </c>
      <c r="F353" t="str">
        <f>IF('HIDDEN import'!G353=0,"",'HIDDEN import'!G353)</f>
        <v/>
      </c>
      <c r="G353" s="181" t="str">
        <f>IFERROR(VLOOKUP($A353,'HIDDEN Testrun Results'!$A:$B,2,FALSE),"")</f>
        <v/>
      </c>
      <c r="H353" s="11" t="b">
        <f t="shared" si="6"/>
        <v>0</v>
      </c>
      <c r="I353" s="11" t="b">
        <f>IF(VLOOKUP(A353&amp;" "&amp;B353,'HIDDEN import'!A:G,5,FALSE)="M",TRUE,IFERROR(VLOOKUP(E353,'Optional features'!B:D,3,FALSE)="Yes",IFERROR(VLOOKUP(E353,'HIDDEN calc sheet'!A:B,2,FALSE),IFERROR(VLOOKUP(E353,'Additional questions'!B:D,3,FALSE)="Yes",VLOOKUP(E353,'Hardware Feature set'!B:D,3,FALSE)="No"))))</f>
        <v>1</v>
      </c>
      <c r="J353" s="11" t="b">
        <f>IF(VLOOKUP(B353,'Profile selection'!B:C,2,FALSE)="Yes",TRUE,FALSE)</f>
        <v>0</v>
      </c>
      <c r="K353" s="53"/>
      <c r="L353" s="53"/>
    </row>
    <row r="354" spans="1:12" x14ac:dyDescent="0.25">
      <c r="A354" t="str">
        <f>'HIDDEN import'!B354</f>
        <v>TC_I_07_CS</v>
      </c>
      <c r="B354" t="str">
        <f>'HIDDEN import'!C354</f>
        <v>Advanced User Interface</v>
      </c>
      <c r="C354" t="str">
        <f>'HIDDEN import'!D354</f>
        <v>Show costs to EV Driver - Show EV Driver running total cost during charging - transactionEventResponse</v>
      </c>
      <c r="D354" t="str">
        <f>IF(VLOOKUP(A354&amp;" "&amp;B354,'HIDDEN import'!A:G,5,FALSE)="M",MD!$A$1,(IF(AND(VLOOKUP(A354,'HIDDEN import'!B:E,4,FALSE)="C",OR(NOT(ISERROR(VLOOKUP(E354,'Optional features'!B:D,1,FALSE)=E354)),NOT(ISERROR(VLOOKUP(E354,'HIDDEN calc sheet'!A:C,1,FALSE)=E354)))),MD!$A$3,MD!$A$2)))</f>
        <v>Mandatory test for a mandatory feature</v>
      </c>
      <c r="E354" t="str">
        <f>IF('HIDDEN import'!F354=0,"",'HIDDEN import'!F354)</f>
        <v/>
      </c>
      <c r="F354" t="str">
        <f>IF('HIDDEN import'!G354=0,"",'HIDDEN import'!G354)</f>
        <v/>
      </c>
      <c r="G354" s="181" t="str">
        <f>IFERROR(VLOOKUP($A354,'HIDDEN Testrun Results'!$A:$B,2,FALSE),"")</f>
        <v/>
      </c>
      <c r="H354" s="11" t="b">
        <f t="shared" si="6"/>
        <v>0</v>
      </c>
      <c r="I354" s="11" t="b">
        <f>IF(VLOOKUP(A354&amp;" "&amp;B354,'HIDDEN import'!A:G,5,FALSE)="M",TRUE,IFERROR(VLOOKUP(E354,'Optional features'!B:D,3,FALSE)="Yes",IFERROR(VLOOKUP(E354,'HIDDEN calc sheet'!A:B,2,FALSE),IFERROR(VLOOKUP(E354,'Additional questions'!B:D,3,FALSE)="Yes",VLOOKUP(E354,'Hardware Feature set'!B:D,3,FALSE)="No"))))</f>
        <v>1</v>
      </c>
      <c r="J354" s="11" t="b">
        <f>IF(VLOOKUP(B354,'Profile selection'!B:C,2,FALSE)="Yes",TRUE,FALSE)</f>
        <v>0</v>
      </c>
      <c r="K354" s="53"/>
      <c r="L354" s="53"/>
    </row>
    <row r="355" spans="1:12" x14ac:dyDescent="0.25">
      <c r="A355" t="str">
        <f>'HIDDEN import'!B355</f>
        <v>TC_O_01_CS</v>
      </c>
      <c r="B355" t="str">
        <f>'HIDDEN import'!C355</f>
        <v>Advanced User Interface</v>
      </c>
      <c r="C355" t="str">
        <f>'HIDDEN import'!D355</f>
        <v>Set Display Message - Success</v>
      </c>
      <c r="D355" t="str">
        <f>IF(VLOOKUP(A355&amp;" "&amp;B355,'HIDDEN import'!A:G,5,FALSE)="M",MD!$A$1,(IF(AND(VLOOKUP(A355,'HIDDEN import'!B:E,4,FALSE)="C",OR(NOT(ISERROR(VLOOKUP(E355,'Optional features'!B:D,1,FALSE)=E355)),NOT(ISERROR(VLOOKUP(E355,'HIDDEN calc sheet'!A:C,1,FALSE)=E355)))),MD!$A$3,MD!$A$2)))</f>
        <v>Mandatory test for a mandatory feature</v>
      </c>
      <c r="E355" t="str">
        <f>IF('HIDDEN import'!F355=0,"",'HIDDEN import'!F355)</f>
        <v>UI-1 and UI-2</v>
      </c>
      <c r="F355" t="str">
        <f>IF('HIDDEN import'!G355=0,"",'HIDDEN import'!G355)</f>
        <v>Supported MessagePriorities &amp; Supported MessageFormats</v>
      </c>
      <c r="G355" s="181" t="str">
        <f>IFERROR(VLOOKUP($A355,'HIDDEN Testrun Results'!$A:$B,2,FALSE),"")</f>
        <v/>
      </c>
      <c r="H355" s="11" t="b">
        <f t="shared" si="6"/>
        <v>0</v>
      </c>
      <c r="I355" s="11" t="b">
        <f>IF(VLOOKUP(A355&amp;" "&amp;B355,'HIDDEN import'!A:G,5,FALSE)="M",TRUE,IFERROR(VLOOKUP(E355,'Optional features'!B:D,3,FALSE)="Yes",IFERROR(VLOOKUP(E355,'HIDDEN calc sheet'!A:B,2,FALSE),IFERROR(VLOOKUP(E355,'Additional questions'!B:D,3,FALSE)="Yes",VLOOKUP(E355,'Hardware Feature set'!B:D,3,FALSE)="No"))))</f>
        <v>1</v>
      </c>
      <c r="J355" s="11" t="b">
        <f>IF(VLOOKUP(B355,'Profile selection'!B:C,2,FALSE)="Yes",TRUE,FALSE)</f>
        <v>0</v>
      </c>
      <c r="K355" s="53"/>
      <c r="L355" s="53"/>
    </row>
    <row r="356" spans="1:12" x14ac:dyDescent="0.25">
      <c r="A356" t="str">
        <f>'HIDDEN import'!B356</f>
        <v>TC_O_13_CS</v>
      </c>
      <c r="B356" t="str">
        <f>'HIDDEN import'!C356</f>
        <v>Advanced User Interface</v>
      </c>
      <c r="C356" t="str">
        <f>'HIDDEN import'!D356</f>
        <v>Set Display Message - Display message at StartTime</v>
      </c>
      <c r="D356" t="str">
        <f>IF(VLOOKUP(A356&amp;" "&amp;B356,'HIDDEN import'!A:G,5,FALSE)="M",MD!$A$1,(IF(AND(VLOOKUP(A356,'HIDDEN import'!B:E,4,FALSE)="C",OR(NOT(ISERROR(VLOOKUP(E356,'Optional features'!B:D,1,FALSE)=E356)),NOT(ISERROR(VLOOKUP(E356,'HIDDEN calc sheet'!A:C,1,FALSE)=E356)))),MD!$A$3,MD!$A$2)))</f>
        <v>Mandatory test for a mandatory feature</v>
      </c>
      <c r="E356" t="str">
        <f>IF('HIDDEN import'!F356=0,"",'HIDDEN import'!F356)</f>
        <v/>
      </c>
      <c r="F356" t="str">
        <f>IF('HIDDEN import'!G356=0,"",'HIDDEN import'!G356)</f>
        <v/>
      </c>
      <c r="G356" s="181" t="str">
        <f>IFERROR(VLOOKUP($A356,'HIDDEN Testrun Results'!$A:$B,2,FALSE),"")</f>
        <v/>
      </c>
      <c r="H356" s="11" t="b">
        <f t="shared" si="6"/>
        <v>0</v>
      </c>
      <c r="I356" s="11" t="b">
        <f>IF(VLOOKUP(A356&amp;" "&amp;B356,'HIDDEN import'!A:G,5,FALSE)="M",TRUE,IFERROR(VLOOKUP(E356,'Optional features'!B:D,3,FALSE)="Yes",IFERROR(VLOOKUP(E356,'HIDDEN calc sheet'!A:B,2,FALSE),IFERROR(VLOOKUP(E356,'Additional questions'!B:D,3,FALSE)="Yes",VLOOKUP(E356,'Hardware Feature set'!B:D,3,FALSE)="No"))))</f>
        <v>1</v>
      </c>
      <c r="J356" s="11" t="b">
        <f>IF(VLOOKUP(B356,'Profile selection'!B:C,2,FALSE)="Yes",TRUE,FALSE)</f>
        <v>0</v>
      </c>
      <c r="K356" s="53"/>
      <c r="L356" s="53"/>
    </row>
    <row r="357" spans="1:12" x14ac:dyDescent="0.25">
      <c r="A357" t="str">
        <f>'HIDDEN import'!B357</f>
        <v>TC_O_14_CS</v>
      </c>
      <c r="B357" t="str">
        <f>'HIDDEN import'!C357</f>
        <v>Advanced User Interface</v>
      </c>
      <c r="C357" t="str">
        <f>'HIDDEN import'!D357</f>
        <v>Set Display Message - Remove message after EndTime</v>
      </c>
      <c r="D357" t="str">
        <f>IF(VLOOKUP(A357&amp;" "&amp;B357,'HIDDEN import'!A:G,5,FALSE)="M",MD!$A$1,(IF(AND(VLOOKUP(A357,'HIDDEN import'!B:E,4,FALSE)="C",OR(NOT(ISERROR(VLOOKUP(E357,'Optional features'!B:D,1,FALSE)=E357)),NOT(ISERROR(VLOOKUP(E357,'HIDDEN calc sheet'!A:C,1,FALSE)=E357)))),MD!$A$3,MD!$A$2)))</f>
        <v>Mandatory test for a mandatory feature</v>
      </c>
      <c r="E357" t="str">
        <f>IF('HIDDEN import'!F357=0,"",'HIDDEN import'!F357)</f>
        <v/>
      </c>
      <c r="F357" t="str">
        <f>IF('HIDDEN import'!G357=0,"",'HIDDEN import'!G357)</f>
        <v/>
      </c>
      <c r="G357" s="181" t="str">
        <f>IFERROR(VLOOKUP($A357,'HIDDEN Testrun Results'!$A:$B,2,FALSE),"")</f>
        <v/>
      </c>
      <c r="H357" s="11" t="b">
        <f t="shared" si="6"/>
        <v>0</v>
      </c>
      <c r="I357" s="11" t="b">
        <f>IF(VLOOKUP(A357&amp;" "&amp;B357,'HIDDEN import'!A:G,5,FALSE)="M",TRUE,IFERROR(VLOOKUP(E357,'Optional features'!B:D,3,FALSE)="Yes",IFERROR(VLOOKUP(E357,'HIDDEN calc sheet'!A:B,2,FALSE),IFERROR(VLOOKUP(E357,'Additional questions'!B:D,3,FALSE)="Yes",VLOOKUP(E357,'Hardware Feature set'!B:D,3,FALSE)="No"))))</f>
        <v>1</v>
      </c>
      <c r="J357" s="11" t="b">
        <f>IF(VLOOKUP(B357,'Profile selection'!B:C,2,FALSE)="Yes",TRUE,FALSE)</f>
        <v>0</v>
      </c>
      <c r="K357" s="53"/>
      <c r="L357" s="53"/>
    </row>
    <row r="358" spans="1:12" x14ac:dyDescent="0.25">
      <c r="A358" t="str">
        <f>'HIDDEN import'!B358</f>
        <v>TC_O_17_CS</v>
      </c>
      <c r="B358" t="str">
        <f>'HIDDEN import'!C358</f>
        <v>Advanced User Interface</v>
      </c>
      <c r="C358" t="str">
        <f>'HIDDEN import'!D358</f>
        <v>Set Display Message - NotSupportedPriority</v>
      </c>
      <c r="D358" t="str">
        <f>IF(VLOOKUP(A358&amp;" "&amp;B358,'HIDDEN import'!A:G,5,FALSE)="M",MD!$A$1,(IF(AND(VLOOKUP(A358,'HIDDEN import'!B:E,4,FALSE)="C",OR(NOT(ISERROR(VLOOKUP(E358,'Optional features'!B:D,1,FALSE)=E358)),NOT(ISERROR(VLOOKUP(E358,'HIDDEN calc sheet'!A:C,1,FALSE)=E358)))),MD!$A$3,MD!$A$2)))</f>
        <v>Mandatory for optional feature</v>
      </c>
      <c r="E358" t="str">
        <f>IF('HIDDEN import'!F358=0,"",'HIDDEN import'!F358)</f>
        <v>NOT (UI-1.1 and UI-1.2 and UI-1.3)</v>
      </c>
      <c r="F358" t="str">
        <f>IF('HIDDEN import'!G358=0,"",'HIDDEN import'!G358)</f>
        <v/>
      </c>
      <c r="G358" s="181" t="str">
        <f>IFERROR(VLOOKUP($A358,'HIDDEN Testrun Results'!$A:$B,2,FALSE),"")</f>
        <v/>
      </c>
      <c r="H358" s="11" t="b">
        <f t="shared" si="6"/>
        <v>0</v>
      </c>
      <c r="I358" s="11" t="b">
        <f>IF(VLOOKUP(A358&amp;" "&amp;B358,'HIDDEN import'!A:G,5,FALSE)="M",TRUE,IFERROR(VLOOKUP(E358,'Optional features'!B:D,3,FALSE)="Yes",IFERROR(VLOOKUP(E358,'HIDDEN calc sheet'!A:B,2,FALSE),IFERROR(VLOOKUP(E358,'Additional questions'!B:D,3,FALSE)="Yes",VLOOKUP(E358,'Hardware Feature set'!B:D,3,FALSE)="No"))))</f>
        <v>1</v>
      </c>
      <c r="J358" s="11" t="b">
        <f>IF(VLOOKUP(B358,'Profile selection'!B:C,2,FALSE)="Yes",TRUE,FALSE)</f>
        <v>0</v>
      </c>
      <c r="K358" s="53"/>
      <c r="L358" s="53"/>
    </row>
    <row r="359" spans="1:12" x14ac:dyDescent="0.25">
      <c r="A359" t="str">
        <f>'HIDDEN import'!B359</f>
        <v>TC_O_19_CS</v>
      </c>
      <c r="B359" t="str">
        <f>'HIDDEN import'!C359</f>
        <v>Advanced User Interface</v>
      </c>
      <c r="C359" t="str">
        <f>'HIDDEN import'!D359</f>
        <v>Set Display Message - NotSupportedMessageFormat</v>
      </c>
      <c r="D359" t="str">
        <f>IF(VLOOKUP(A359&amp;" "&amp;B359,'HIDDEN import'!A:G,5,FALSE)="M",MD!$A$1,(IF(AND(VLOOKUP(A359,'HIDDEN import'!B:E,4,FALSE)="C",OR(NOT(ISERROR(VLOOKUP(E359,'Optional features'!B:D,1,FALSE)=E359)),NOT(ISERROR(VLOOKUP(E359,'HIDDEN calc sheet'!A:C,1,FALSE)=E359)))),MD!$A$3,MD!$A$2)))</f>
        <v>Mandatory for optional feature</v>
      </c>
      <c r="E359" t="str">
        <f>IF('HIDDEN import'!F359=0,"",'HIDDEN import'!F359)</f>
        <v>NOT (UI-2.1 and UI-2.2 and UI-2.3 and UI-2.4)</v>
      </c>
      <c r="F359" t="str">
        <f>IF('HIDDEN import'!G359=0,"",'HIDDEN import'!G359)</f>
        <v/>
      </c>
      <c r="G359" s="181" t="str">
        <f>IFERROR(VLOOKUP($A359,'HIDDEN Testrun Results'!$A:$B,2,FALSE),"")</f>
        <v/>
      </c>
      <c r="H359" s="11" t="b">
        <f t="shared" si="6"/>
        <v>0</v>
      </c>
      <c r="I359" s="11" t="b">
        <f>IF(VLOOKUP(A359&amp;" "&amp;B359,'HIDDEN import'!A:G,5,FALSE)="M",TRUE,IFERROR(VLOOKUP(E359,'Optional features'!B:D,3,FALSE)="Yes",IFERROR(VLOOKUP(E359,'HIDDEN calc sheet'!A:B,2,FALSE),IFERROR(VLOOKUP(E359,'Additional questions'!B:D,3,FALSE)="Yes",VLOOKUP(E359,'Hardware Feature set'!B:D,3,FALSE)="No"))))</f>
        <v>1</v>
      </c>
      <c r="J359" s="11" t="b">
        <f>IF(VLOOKUP(B359,'Profile selection'!B:C,2,FALSE)="Yes",TRUE,FALSE)</f>
        <v>0</v>
      </c>
      <c r="K359" s="53"/>
      <c r="L359" s="53"/>
    </row>
    <row r="360" spans="1:12" x14ac:dyDescent="0.25">
      <c r="A360" t="str">
        <f>'HIDDEN import'!B360</f>
        <v>TC_O_20_CS</v>
      </c>
      <c r="B360" t="str">
        <f>'HIDDEN import'!C360</f>
        <v>Advanced User Interface</v>
      </c>
      <c r="C360" t="str">
        <f>'HIDDEN import'!D360</f>
        <v>Set Display Message - Persistent over reboot</v>
      </c>
      <c r="D360" t="str">
        <f>IF(VLOOKUP(A360&amp;" "&amp;B360,'HIDDEN import'!A:G,5,FALSE)="M",MD!$A$1,(IF(AND(VLOOKUP(A360,'HIDDEN import'!B:E,4,FALSE)="C",OR(NOT(ISERROR(VLOOKUP(E360,'Optional features'!B:D,1,FALSE)=E360)),NOT(ISERROR(VLOOKUP(E360,'HIDDEN calc sheet'!A:C,1,FALSE)=E360)))),MD!$A$3,MD!$A$2)))</f>
        <v>Mandatory test for a mandatory feature</v>
      </c>
      <c r="E360" t="str">
        <f>IF('HIDDEN import'!F360=0,"",'HIDDEN import'!F360)</f>
        <v/>
      </c>
      <c r="F360" t="str">
        <f>IF('HIDDEN import'!G360=0,"",'HIDDEN import'!G360)</f>
        <v/>
      </c>
      <c r="G360" s="181" t="str">
        <f>IFERROR(VLOOKUP($A360,'HIDDEN Testrun Results'!$A:$B,2,FALSE),"")</f>
        <v/>
      </c>
      <c r="H360" s="11" t="b">
        <f t="shared" si="6"/>
        <v>0</v>
      </c>
      <c r="I360" s="11" t="b">
        <f>IF(VLOOKUP(A360&amp;" "&amp;B360,'HIDDEN import'!A:G,5,FALSE)="M",TRUE,IFERROR(VLOOKUP(E360,'Optional features'!B:D,3,FALSE)="Yes",IFERROR(VLOOKUP(E360,'HIDDEN calc sheet'!A:B,2,FALSE),IFERROR(VLOOKUP(E360,'Additional questions'!B:D,3,FALSE)="Yes",VLOOKUP(E360,'Hardware Feature set'!B:D,3,FALSE)="No"))))</f>
        <v>1</v>
      </c>
      <c r="J360" s="11" t="b">
        <f>IF(VLOOKUP(B360,'Profile selection'!B:C,2,FALSE)="Yes",TRUE,FALSE)</f>
        <v>0</v>
      </c>
      <c r="K360" s="53"/>
      <c r="L360" s="53"/>
    </row>
    <row r="361" spans="1:12" x14ac:dyDescent="0.25">
      <c r="A361" t="str">
        <f>'HIDDEN import'!B361</f>
        <v>TC_O_22_CS</v>
      </c>
      <c r="B361" t="str">
        <f>'HIDDEN import'!C361</f>
        <v>Advanced User Interface</v>
      </c>
      <c r="C361" t="str">
        <f>'HIDDEN import'!D361</f>
        <v>Set Display Message - Multiple In front priority</v>
      </c>
      <c r="D361" t="str">
        <f>IF(VLOOKUP(A361&amp;" "&amp;B361,'HIDDEN import'!A:G,5,FALSE)="M",MD!$A$1,(IF(AND(VLOOKUP(A361,'HIDDEN import'!B:E,4,FALSE)="C",OR(NOT(ISERROR(VLOOKUP(E361,'Optional features'!B:D,1,FALSE)=E361)),NOT(ISERROR(VLOOKUP(E361,'HIDDEN calc sheet'!A:C,1,FALSE)=E361)))),MD!$A$3,MD!$A$2)))</f>
        <v>Mandatory for optional feature</v>
      </c>
      <c r="E361" t="str">
        <f>IF('HIDDEN import'!F361=0,"",'HIDDEN import'!F361)</f>
        <v>UI-1.2</v>
      </c>
      <c r="F361" t="str">
        <f>IF('HIDDEN import'!G361=0,"",'HIDDEN import'!G361)</f>
        <v>Supported MessagePriorities InFront</v>
      </c>
      <c r="G361" s="181" t="str">
        <f>IFERROR(VLOOKUP($A361,'HIDDEN Testrun Results'!$A:$B,2,FALSE),"")</f>
        <v/>
      </c>
      <c r="H361" s="11" t="b">
        <f t="shared" si="6"/>
        <v>0</v>
      </c>
      <c r="I361" s="11" t="b">
        <f>IF(VLOOKUP(A361&amp;" "&amp;B361,'HIDDEN import'!A:G,5,FALSE)="M",TRUE,IFERROR(VLOOKUP(E361,'Optional features'!B:D,3,FALSE)="Yes",IFERROR(VLOOKUP(E361,'HIDDEN calc sheet'!A:B,2,FALSE),IFERROR(VLOOKUP(E361,'Additional questions'!B:D,3,FALSE)="Yes",VLOOKUP(E361,'Hardware Feature set'!B:D,3,FALSE)="No"))))</f>
        <v>0</v>
      </c>
      <c r="J361" s="11" t="b">
        <f>IF(VLOOKUP(B361,'Profile selection'!B:C,2,FALSE)="Yes",TRUE,FALSE)</f>
        <v>0</v>
      </c>
      <c r="K361" s="53"/>
      <c r="L361" s="53"/>
    </row>
    <row r="362" spans="1:12" x14ac:dyDescent="0.25">
      <c r="A362" t="str">
        <f>'HIDDEN import'!B362</f>
        <v>TC_O_24_CS</v>
      </c>
      <c r="B362" t="str">
        <f>'HIDDEN import'!C362</f>
        <v>Advanced User Interface</v>
      </c>
      <c r="C362" t="str">
        <f>'HIDDEN import'!D362</f>
        <v>Set Display Message - Second Alwaysfront priority</v>
      </c>
      <c r="D362" t="str">
        <f>IF(VLOOKUP(A362&amp;" "&amp;B362,'HIDDEN import'!A:G,5,FALSE)="M",MD!$A$1,(IF(AND(VLOOKUP(A362,'HIDDEN import'!B:E,4,FALSE)="C",OR(NOT(ISERROR(VLOOKUP(E362,'Optional features'!B:D,1,FALSE)=E362)),NOT(ISERROR(VLOOKUP(E362,'HIDDEN calc sheet'!A:C,1,FALSE)=E362)))),MD!$A$3,MD!$A$2)))</f>
        <v>Mandatory for optional feature</v>
      </c>
      <c r="E362" t="str">
        <f>IF('HIDDEN import'!F362=0,"",'HIDDEN import'!F362)</f>
        <v>UI-1.1</v>
      </c>
      <c r="F362" t="str">
        <f>IF('HIDDEN import'!G362=0,"",'HIDDEN import'!G362)</f>
        <v>Supported MessagePriorities AlwaysFront</v>
      </c>
      <c r="G362" s="181" t="str">
        <f>IFERROR(VLOOKUP($A362,'HIDDEN Testrun Results'!$A:$B,2,FALSE),"")</f>
        <v/>
      </c>
      <c r="H362" s="11" t="b">
        <f t="shared" si="6"/>
        <v>0</v>
      </c>
      <c r="I362" s="11" t="b">
        <f>IF(VLOOKUP(A362&amp;" "&amp;B362,'HIDDEN import'!A:G,5,FALSE)="M",TRUE,IFERROR(VLOOKUP(E362,'Optional features'!B:D,3,FALSE)="Yes",IFERROR(VLOOKUP(E362,'HIDDEN calc sheet'!A:B,2,FALSE),IFERROR(VLOOKUP(E362,'Additional questions'!B:D,3,FALSE)="Yes",VLOOKUP(E362,'Hardware Feature set'!B:D,3,FALSE)="No"))))</f>
        <v>0</v>
      </c>
      <c r="J362" s="11" t="b">
        <f>IF(VLOOKUP(B362,'Profile selection'!B:C,2,FALSE)="Yes",TRUE,FALSE)</f>
        <v>0</v>
      </c>
      <c r="K362" s="53"/>
      <c r="L362" s="53"/>
    </row>
    <row r="363" spans="1:12" x14ac:dyDescent="0.25">
      <c r="A363" t="str">
        <f>'HIDDEN import'!B363</f>
        <v>TC_O_36_CS</v>
      </c>
      <c r="B363" t="str">
        <f>'HIDDEN import'!C363</f>
        <v>Advanced User Interface</v>
      </c>
      <c r="C363" t="str">
        <f>'HIDDEN import'!D363</f>
        <v>Set Display Message - State Charging</v>
      </c>
      <c r="D363" t="str">
        <f>IF(VLOOKUP(A363&amp;" "&amp;B363,'HIDDEN import'!A:G,5,FALSE)="M",MD!$A$1,(IF(AND(VLOOKUP(A363,'HIDDEN import'!B:E,4,FALSE)="C",OR(NOT(ISERROR(VLOOKUP(E363,'Optional features'!B:D,1,FALSE)=E363)),NOT(ISERROR(VLOOKUP(E363,'HIDDEN calc sheet'!A:C,1,FALSE)=E363)))),MD!$A$3,MD!$A$2)))</f>
        <v>Mandatory test for a mandatory feature</v>
      </c>
      <c r="E363" t="str">
        <f>IF('HIDDEN import'!F363=0,"",'HIDDEN import'!F363)</f>
        <v/>
      </c>
      <c r="F363" t="str">
        <f>IF('HIDDEN import'!G363=0,"",'HIDDEN import'!G363)</f>
        <v/>
      </c>
      <c r="G363" s="181" t="str">
        <f>IFERROR(VLOOKUP($A363,'HIDDEN Testrun Results'!$A:$B,2,FALSE),"")</f>
        <v/>
      </c>
      <c r="H363" s="11" t="b">
        <f t="shared" si="6"/>
        <v>0</v>
      </c>
      <c r="I363" s="11" t="b">
        <f>IF(VLOOKUP(A363&amp;" "&amp;B363,'HIDDEN import'!A:G,5,FALSE)="M",TRUE,IFERROR(VLOOKUP(E363,'Optional features'!B:D,3,FALSE)="Yes",IFERROR(VLOOKUP(E363,'HIDDEN calc sheet'!A:B,2,FALSE),IFERROR(VLOOKUP(E363,'Additional questions'!B:D,3,FALSE)="Yes",VLOOKUP(E363,'Hardware Feature set'!B:D,3,FALSE)="No"))))</f>
        <v>1</v>
      </c>
      <c r="J363" s="11" t="b">
        <f>IF(VLOOKUP(B363,'Profile selection'!B:C,2,FALSE)="Yes",TRUE,FALSE)</f>
        <v>0</v>
      </c>
      <c r="K363" s="53"/>
      <c r="L363" s="53"/>
    </row>
    <row r="364" spans="1:12" x14ac:dyDescent="0.25">
      <c r="A364" t="str">
        <f>'HIDDEN import'!B364</f>
        <v>TC_O_37_CS</v>
      </c>
      <c r="B364" t="str">
        <f>'HIDDEN import'!C364</f>
        <v>Advanced User Interface</v>
      </c>
      <c r="C364" t="str">
        <f>'HIDDEN import'!D364</f>
        <v>Set Display Message - State Idle</v>
      </c>
      <c r="D364" t="str">
        <f>IF(VLOOKUP(A364&amp;" "&amp;B364,'HIDDEN import'!A:G,5,FALSE)="M",MD!$A$1,(IF(AND(VLOOKUP(A364,'HIDDEN import'!B:E,4,FALSE)="C",OR(NOT(ISERROR(VLOOKUP(E364,'Optional features'!B:D,1,FALSE)=E364)),NOT(ISERROR(VLOOKUP(E364,'HIDDEN calc sheet'!A:C,1,FALSE)=E364)))),MD!$A$3,MD!$A$2)))</f>
        <v>Mandatory test for a mandatory feature</v>
      </c>
      <c r="E364" t="str">
        <f>IF('HIDDEN import'!F364=0,"",'HIDDEN import'!F364)</f>
        <v/>
      </c>
      <c r="F364" t="str">
        <f>IF('HIDDEN import'!G364=0,"",'HIDDEN import'!G364)</f>
        <v/>
      </c>
      <c r="G364" s="181" t="str">
        <f>IFERROR(VLOOKUP($A364,'HIDDEN Testrun Results'!$A:$B,2,FALSE),"")</f>
        <v/>
      </c>
      <c r="H364" s="11" t="b">
        <f t="shared" si="6"/>
        <v>0</v>
      </c>
      <c r="I364" s="11" t="b">
        <f>IF(VLOOKUP(A364&amp;" "&amp;B364,'HIDDEN import'!A:G,5,FALSE)="M",TRUE,IFERROR(VLOOKUP(E364,'Optional features'!B:D,3,FALSE)="Yes",IFERROR(VLOOKUP(E364,'HIDDEN calc sheet'!A:B,2,FALSE),IFERROR(VLOOKUP(E364,'Additional questions'!B:D,3,FALSE)="Yes",VLOOKUP(E364,'Hardware Feature set'!B:D,3,FALSE)="No"))))</f>
        <v>1</v>
      </c>
      <c r="J364" s="11" t="b">
        <f>IF(VLOOKUP(B364,'Profile selection'!B:C,2,FALSE)="Yes",TRUE,FALSE)</f>
        <v>0</v>
      </c>
      <c r="K364" s="53"/>
      <c r="L364" s="53"/>
    </row>
    <row r="365" spans="1:12" x14ac:dyDescent="0.25">
      <c r="A365" t="str">
        <f>'HIDDEN import'!B365</f>
        <v>TC_O_38_CS</v>
      </c>
      <c r="B365" t="str">
        <f>'HIDDEN import'!C365</f>
        <v>Advanced User Interface</v>
      </c>
      <c r="C365" t="str">
        <f>'HIDDEN import'!D365</f>
        <v>Set Display Message - State Unavailable</v>
      </c>
      <c r="D365" t="str">
        <f>IF(VLOOKUP(A365&amp;" "&amp;B365,'HIDDEN import'!A:G,5,FALSE)="M",MD!$A$1,(IF(AND(VLOOKUP(A365,'HIDDEN import'!B:E,4,FALSE)="C",OR(NOT(ISERROR(VLOOKUP(E365,'Optional features'!B:D,1,FALSE)=E365)),NOT(ISERROR(VLOOKUP(E365,'HIDDEN calc sheet'!A:C,1,FALSE)=E365)))),MD!$A$3,MD!$A$2)))</f>
        <v>Mandatory test for a mandatory feature</v>
      </c>
      <c r="E365" t="str">
        <f>IF('HIDDEN import'!F365=0,"",'HIDDEN import'!F365)</f>
        <v/>
      </c>
      <c r="F365" t="str">
        <f>IF('HIDDEN import'!G365=0,"",'HIDDEN import'!G365)</f>
        <v/>
      </c>
      <c r="G365" s="181" t="str">
        <f>IFERROR(VLOOKUP($A365,'HIDDEN Testrun Results'!$A:$B,2,FALSE),"")</f>
        <v/>
      </c>
      <c r="H365" s="11" t="b">
        <f t="shared" si="6"/>
        <v>0</v>
      </c>
      <c r="I365" s="11" t="b">
        <f>IF(VLOOKUP(A365&amp;" "&amp;B365,'HIDDEN import'!A:G,5,FALSE)="M",TRUE,IFERROR(VLOOKUP(E365,'Optional features'!B:D,3,FALSE)="Yes",IFERROR(VLOOKUP(E365,'HIDDEN calc sheet'!A:B,2,FALSE),IFERROR(VLOOKUP(E365,'Additional questions'!B:D,3,FALSE)="Yes",VLOOKUP(E365,'Hardware Feature set'!B:D,3,FALSE)="No"))))</f>
        <v>1</v>
      </c>
      <c r="J365" s="11" t="b">
        <f>IF(VLOOKUP(B365,'Profile selection'!B:C,2,FALSE)="Yes",TRUE,FALSE)</f>
        <v>0</v>
      </c>
      <c r="K365" s="53"/>
      <c r="L365" s="53"/>
    </row>
    <row r="366" spans="1:12" x14ac:dyDescent="0.25">
      <c r="A366" t="str">
        <f>'HIDDEN import'!B366</f>
        <v>TC_O_15_CS</v>
      </c>
      <c r="B366" t="str">
        <f>'HIDDEN import'!C366</f>
        <v>Advanced User Interface</v>
      </c>
      <c r="C366" t="str">
        <f>'HIDDEN import'!D366</f>
        <v>Set Display Message - Language preference of the EV Driver</v>
      </c>
      <c r="D366" t="str">
        <f>IF(VLOOKUP(A366&amp;" "&amp;B366,'HIDDEN import'!A:G,5,FALSE)="M",MD!$A$1,(IF(AND(VLOOKUP(A366,'HIDDEN import'!B:E,4,FALSE)="C",OR(NOT(ISERROR(VLOOKUP(E366,'Optional features'!B:D,1,FALSE)=E366)),NOT(ISERROR(VLOOKUP(E366,'HIDDEN calc sheet'!A:C,1,FALSE)=E366)))),MD!$A$3,MD!$A$2)))</f>
        <v>Mandatory test for a mandatory feature</v>
      </c>
      <c r="E366" t="str">
        <f>IF('HIDDEN import'!F366=0,"",'HIDDEN import'!F366)</f>
        <v/>
      </c>
      <c r="F366" t="str">
        <f>IF('HIDDEN import'!G366=0,"",'HIDDEN import'!G366)</f>
        <v/>
      </c>
      <c r="G366" s="181" t="str">
        <f>IFERROR(VLOOKUP($A366,'HIDDEN Testrun Results'!$A:$B,2,FALSE),"")</f>
        <v/>
      </c>
      <c r="H366" s="11" t="b">
        <f t="shared" si="6"/>
        <v>0</v>
      </c>
      <c r="I366" s="11" t="b">
        <f>IF(VLOOKUP(A366&amp;" "&amp;B366,'HIDDEN import'!A:G,5,FALSE)="M",TRUE,IFERROR(VLOOKUP(E366,'Optional features'!B:D,3,FALSE)="Yes",IFERROR(VLOOKUP(E366,'HIDDEN calc sheet'!A:B,2,FALSE),IFERROR(VLOOKUP(E366,'Additional questions'!B:D,3,FALSE)="Yes",VLOOKUP(E366,'Hardware Feature set'!B:D,3,FALSE)="No"))))</f>
        <v>1</v>
      </c>
      <c r="J366" s="11" t="b">
        <f>IF(VLOOKUP(B366,'Profile selection'!B:C,2,FALSE)="Yes",TRUE,FALSE)</f>
        <v>0</v>
      </c>
      <c r="K366" s="53"/>
      <c r="L366" s="53"/>
    </row>
    <row r="367" spans="1:12" x14ac:dyDescent="0.25">
      <c r="A367" t="str">
        <f>'HIDDEN import'!B367</f>
        <v>TC_O_12_CS</v>
      </c>
      <c r="B367" t="str">
        <f>'HIDDEN import'!C367</f>
        <v>Advanced User Interface</v>
      </c>
      <c r="C367" t="str">
        <f>'HIDDEN import'!D367</f>
        <v>Set Display Message - Replace DisplayMessage</v>
      </c>
      <c r="D367" t="str">
        <f>IF(VLOOKUP(A367&amp;" "&amp;B367,'HIDDEN import'!A:G,5,FALSE)="M",MD!$A$1,(IF(AND(VLOOKUP(A367,'HIDDEN import'!B:E,4,FALSE)="C",OR(NOT(ISERROR(VLOOKUP(E367,'Optional features'!B:D,1,FALSE)=E367)),NOT(ISERROR(VLOOKUP(E367,'HIDDEN calc sheet'!A:C,1,FALSE)=E367)))),MD!$A$3,MD!$A$2)))</f>
        <v>Mandatory test for a mandatory feature</v>
      </c>
      <c r="E367" t="str">
        <f>IF('HIDDEN import'!F367=0,"",'HIDDEN import'!F367)</f>
        <v/>
      </c>
      <c r="F367" t="str">
        <f>IF('HIDDEN import'!G367=0,"",'HIDDEN import'!G367)</f>
        <v/>
      </c>
      <c r="G367" s="181" t="str">
        <f>IFERROR(VLOOKUP($A367,'HIDDEN Testrun Results'!$A:$B,2,FALSE),"")</f>
        <v/>
      </c>
      <c r="H367" s="11" t="b">
        <f t="shared" si="6"/>
        <v>0</v>
      </c>
      <c r="I367" s="11" t="b">
        <f>IF(VLOOKUP(A367&amp;" "&amp;B367,'HIDDEN import'!A:G,5,FALSE)="M",TRUE,IFERROR(VLOOKUP(E367,'Optional features'!B:D,3,FALSE)="Yes",IFERROR(VLOOKUP(E367,'HIDDEN calc sheet'!A:B,2,FALSE),IFERROR(VLOOKUP(E367,'Additional questions'!B:D,3,FALSE)="Yes",VLOOKUP(E367,'Hardware Feature set'!B:D,3,FALSE)="No"))))</f>
        <v>1</v>
      </c>
      <c r="J367" s="11" t="b">
        <f>IF(VLOOKUP(B367,'Profile selection'!B:C,2,FALSE)="Yes",TRUE,FALSE)</f>
        <v>0</v>
      </c>
      <c r="K367" s="53"/>
      <c r="L367" s="53"/>
    </row>
    <row r="368" spans="1:12" x14ac:dyDescent="0.25">
      <c r="A368" t="str">
        <f>'HIDDEN import'!B368</f>
        <v>TC_O_06_CS</v>
      </c>
      <c r="B368" t="str">
        <f>'HIDDEN import'!C368</f>
        <v>Advanced User Interface</v>
      </c>
      <c r="C368" t="str">
        <f>'HIDDEN import'!D368</f>
        <v>Set Display Message - Specific transaction - Success</v>
      </c>
      <c r="D368" t="str">
        <f>IF(VLOOKUP(A368&amp;" "&amp;B368,'HIDDEN import'!A:G,5,FALSE)="M",MD!$A$1,(IF(AND(VLOOKUP(A368,'HIDDEN import'!B:E,4,FALSE)="C",OR(NOT(ISERROR(VLOOKUP(E368,'Optional features'!B:D,1,FALSE)=E368)),NOT(ISERROR(VLOOKUP(E368,'HIDDEN calc sheet'!A:C,1,FALSE)=E368)))),MD!$A$3,MD!$A$2)))</f>
        <v>Mandatory test for a mandatory feature</v>
      </c>
      <c r="E368" t="str">
        <f>IF('HIDDEN import'!F368=0,"",'HIDDEN import'!F368)</f>
        <v/>
      </c>
      <c r="F368" t="str">
        <f>IF('HIDDEN import'!G368=0,"",'HIDDEN import'!G368)</f>
        <v/>
      </c>
      <c r="G368" s="181" t="str">
        <f>IFERROR(VLOOKUP($A368,'HIDDEN Testrun Results'!$A:$B,2,FALSE),"")</f>
        <v/>
      </c>
      <c r="H368" s="11" t="b">
        <f t="shared" si="6"/>
        <v>0</v>
      </c>
      <c r="I368" s="11" t="b">
        <f>IF(VLOOKUP(A368&amp;" "&amp;B368,'HIDDEN import'!A:G,5,FALSE)="M",TRUE,IFERROR(VLOOKUP(E368,'Optional features'!B:D,3,FALSE)="Yes",IFERROR(VLOOKUP(E368,'HIDDEN calc sheet'!A:B,2,FALSE),IFERROR(VLOOKUP(E368,'Additional questions'!B:D,3,FALSE)="Yes",VLOOKUP(E368,'Hardware Feature set'!B:D,3,FALSE)="No"))))</f>
        <v>1</v>
      </c>
      <c r="J368" s="11" t="b">
        <f>IF(VLOOKUP(B368,'Profile selection'!B:C,2,FALSE)="Yes",TRUE,FALSE)</f>
        <v>0</v>
      </c>
      <c r="K368" s="53"/>
      <c r="L368" s="53"/>
    </row>
    <row r="369" spans="1:12" x14ac:dyDescent="0.25">
      <c r="A369" t="str">
        <f>'HIDDEN import'!B369</f>
        <v>TC_O_10_CS</v>
      </c>
      <c r="B369" t="str">
        <f>'HIDDEN import'!C369</f>
        <v>Advanced User Interface</v>
      </c>
      <c r="C369" t="str">
        <f>'HIDDEN import'!D369</f>
        <v>Set Display Message - Specific transaction - UnknownTransaction</v>
      </c>
      <c r="D369" t="str">
        <f>IF(VLOOKUP(A369&amp;" "&amp;B369,'HIDDEN import'!A:G,5,FALSE)="M",MD!$A$1,(IF(AND(VLOOKUP(A369,'HIDDEN import'!B:E,4,FALSE)="C",OR(NOT(ISERROR(VLOOKUP(E369,'Optional features'!B:D,1,FALSE)=E369)),NOT(ISERROR(VLOOKUP(E369,'HIDDEN calc sheet'!A:C,1,FALSE)=E369)))),MD!$A$3,MD!$A$2)))</f>
        <v>Mandatory test for a mandatory feature</v>
      </c>
      <c r="E369" t="str">
        <f>IF('HIDDEN import'!F369=0,"",'HIDDEN import'!F369)</f>
        <v/>
      </c>
      <c r="F369" t="str">
        <f>IF('HIDDEN import'!G369=0,"",'HIDDEN import'!G369)</f>
        <v/>
      </c>
      <c r="G369" s="181" t="str">
        <f>IFERROR(VLOOKUP($A369,'HIDDEN Testrun Results'!$A:$B,2,FALSE),"")</f>
        <v/>
      </c>
      <c r="H369" s="11" t="b">
        <f t="shared" si="6"/>
        <v>0</v>
      </c>
      <c r="I369" s="11" t="b">
        <f>IF(VLOOKUP(A369&amp;" "&amp;B369,'HIDDEN import'!A:G,5,FALSE)="M",TRUE,IFERROR(VLOOKUP(E369,'Optional features'!B:D,3,FALSE)="Yes",IFERROR(VLOOKUP(E369,'HIDDEN calc sheet'!A:B,2,FALSE),IFERROR(VLOOKUP(E369,'Additional questions'!B:D,3,FALSE)="Yes",VLOOKUP(E369,'Hardware Feature set'!B:D,3,FALSE)="No"))))</f>
        <v>1</v>
      </c>
      <c r="J369" s="11" t="b">
        <f>IF(VLOOKUP(B369,'Profile selection'!B:C,2,FALSE)="Yes",TRUE,FALSE)</f>
        <v>0</v>
      </c>
      <c r="K369" s="53"/>
      <c r="L369" s="53"/>
    </row>
    <row r="370" spans="1:12" x14ac:dyDescent="0.25">
      <c r="A370" t="str">
        <f>'HIDDEN import'!B370</f>
        <v>TC_O_27_CS</v>
      </c>
      <c r="B370" t="str">
        <f>'HIDDEN import'!C370</f>
        <v>Advanced User Interface</v>
      </c>
      <c r="C370" t="str">
        <f>'HIDDEN import'!D370</f>
        <v>Set Display Message - Specific transaction - Display message at StartTime</v>
      </c>
      <c r="D370" t="str">
        <f>IF(VLOOKUP(A370&amp;" "&amp;B370,'HIDDEN import'!A:G,5,FALSE)="M",MD!$A$1,(IF(AND(VLOOKUP(A370,'HIDDEN import'!B:E,4,FALSE)="C",OR(NOT(ISERROR(VLOOKUP(E370,'Optional features'!B:D,1,FALSE)=E370)),NOT(ISERROR(VLOOKUP(E370,'HIDDEN calc sheet'!A:C,1,FALSE)=E370)))),MD!$A$3,MD!$A$2)))</f>
        <v>Mandatory test for a mandatory feature</v>
      </c>
      <c r="E370" t="str">
        <f>IF('HIDDEN import'!F370=0,"",'HIDDEN import'!F370)</f>
        <v/>
      </c>
      <c r="F370" t="str">
        <f>IF('HIDDEN import'!G370=0,"",'HIDDEN import'!G370)</f>
        <v/>
      </c>
      <c r="G370" s="181" t="str">
        <f>IFERROR(VLOOKUP($A370,'HIDDEN Testrun Results'!$A:$B,2,FALSE),"")</f>
        <v/>
      </c>
      <c r="H370" s="11" t="b">
        <f t="shared" ref="H370:H433" si="7">IF(NOT(J370),FALSE,IF(NOT(ISLOGICAL(I370)),I370,AND(I370,J370)))</f>
        <v>0</v>
      </c>
      <c r="I370" s="11" t="b">
        <f>IF(VLOOKUP(A370&amp;" "&amp;B370,'HIDDEN import'!A:G,5,FALSE)="M",TRUE,IFERROR(VLOOKUP(E370,'Optional features'!B:D,3,FALSE)="Yes",IFERROR(VLOOKUP(E370,'HIDDEN calc sheet'!A:B,2,FALSE),IFERROR(VLOOKUP(E370,'Additional questions'!B:D,3,FALSE)="Yes",VLOOKUP(E370,'Hardware Feature set'!B:D,3,FALSE)="No"))))</f>
        <v>1</v>
      </c>
      <c r="J370" s="11" t="b">
        <f>IF(VLOOKUP(B370,'Profile selection'!B:C,2,FALSE)="Yes",TRUE,FALSE)</f>
        <v>0</v>
      </c>
      <c r="K370" s="53"/>
      <c r="L370" s="53"/>
    </row>
    <row r="371" spans="1:12" x14ac:dyDescent="0.25">
      <c r="A371" t="str">
        <f>'HIDDEN import'!B371</f>
        <v>TC_O_28_CS</v>
      </c>
      <c r="B371" t="str">
        <f>'HIDDEN import'!C371</f>
        <v>Advanced User Interface</v>
      </c>
      <c r="C371" t="str">
        <f>'HIDDEN import'!D371</f>
        <v>Set Display Message - Specific transaction - Remove message after EndTime</v>
      </c>
      <c r="D371" t="str">
        <f>IF(VLOOKUP(A371&amp;" "&amp;B371,'HIDDEN import'!A:G,5,FALSE)="M",MD!$A$1,(IF(AND(VLOOKUP(A371,'HIDDEN import'!B:E,4,FALSE)="C",OR(NOT(ISERROR(VLOOKUP(E371,'Optional features'!B:D,1,FALSE)=E371)),NOT(ISERROR(VLOOKUP(E371,'HIDDEN calc sheet'!A:C,1,FALSE)=E371)))),MD!$A$3,MD!$A$2)))</f>
        <v>Mandatory test for a mandatory feature</v>
      </c>
      <c r="E371" t="str">
        <f>IF('HIDDEN import'!F371=0,"",'HIDDEN import'!F371)</f>
        <v/>
      </c>
      <c r="F371" t="str">
        <f>IF('HIDDEN import'!G371=0,"",'HIDDEN import'!G371)</f>
        <v/>
      </c>
      <c r="G371" s="181" t="str">
        <f>IFERROR(VLOOKUP($A371,'HIDDEN Testrun Results'!$A:$B,2,FALSE),"")</f>
        <v/>
      </c>
      <c r="H371" s="11" t="b">
        <f t="shared" si="7"/>
        <v>0</v>
      </c>
      <c r="I371" s="11" t="b">
        <f>IF(VLOOKUP(A371&amp;" "&amp;B371,'HIDDEN import'!A:G,5,FALSE)="M",TRUE,IFERROR(VLOOKUP(E371,'Optional features'!B:D,3,FALSE)="Yes",IFERROR(VLOOKUP(E371,'HIDDEN calc sheet'!A:B,2,FALSE),IFERROR(VLOOKUP(E371,'Additional questions'!B:D,3,FALSE)="Yes",VLOOKUP(E371,'Hardware Feature set'!B:D,3,FALSE)="No"))))</f>
        <v>1</v>
      </c>
      <c r="J371" s="11" t="b">
        <f>IF(VLOOKUP(B371,'Profile selection'!B:C,2,FALSE)="Yes",TRUE,FALSE)</f>
        <v>0</v>
      </c>
      <c r="K371" s="53"/>
      <c r="L371" s="53"/>
    </row>
    <row r="372" spans="1:12" x14ac:dyDescent="0.25">
      <c r="A372" t="str">
        <f>'HIDDEN import'!B372</f>
        <v>TC_O_30_CS</v>
      </c>
      <c r="B372" t="str">
        <f>'HIDDEN import'!C372</f>
        <v>Advanced User Interface</v>
      </c>
      <c r="C372" t="str">
        <f>'HIDDEN import'!D372</f>
        <v>Set Display Message - Specific transaction - Multiple In front priority</v>
      </c>
      <c r="D372" t="str">
        <f>IF(VLOOKUP(A372&amp;" "&amp;B372,'HIDDEN import'!A:G,5,FALSE)="M",MD!$A$1,(IF(AND(VLOOKUP(A372,'HIDDEN import'!B:E,4,FALSE)="C",OR(NOT(ISERROR(VLOOKUP(E372,'Optional features'!B:D,1,FALSE)=E372)),NOT(ISERROR(VLOOKUP(E372,'HIDDEN calc sheet'!A:C,1,FALSE)=E372)))),MD!$A$3,MD!$A$2)))</f>
        <v>Mandatory for optional feature</v>
      </c>
      <c r="E372" t="str">
        <f>IF('HIDDEN import'!F372=0,"",'HIDDEN import'!F372)</f>
        <v>UI-1.2</v>
      </c>
      <c r="F372" t="str">
        <f>IF('HIDDEN import'!G372=0,"",'HIDDEN import'!G372)</f>
        <v>Supported MessagePriorities InFront</v>
      </c>
      <c r="G372" s="181" t="str">
        <f>IFERROR(VLOOKUP($A372,'HIDDEN Testrun Results'!$A:$B,2,FALSE),"")</f>
        <v/>
      </c>
      <c r="H372" s="11" t="b">
        <f t="shared" si="7"/>
        <v>0</v>
      </c>
      <c r="I372" s="11" t="b">
        <f>IF(VLOOKUP(A372&amp;" "&amp;B372,'HIDDEN import'!A:G,5,FALSE)="M",TRUE,IFERROR(VLOOKUP(E372,'Optional features'!B:D,3,FALSE)="Yes",IFERROR(VLOOKUP(E372,'HIDDEN calc sheet'!A:B,2,FALSE),IFERROR(VLOOKUP(E372,'Additional questions'!B:D,3,FALSE)="Yes",VLOOKUP(E372,'Hardware Feature set'!B:D,3,FALSE)="No"))))</f>
        <v>0</v>
      </c>
      <c r="J372" s="11" t="b">
        <f>IF(VLOOKUP(B372,'Profile selection'!B:C,2,FALSE)="Yes",TRUE,FALSE)</f>
        <v>0</v>
      </c>
      <c r="K372" s="53"/>
      <c r="L372" s="53"/>
    </row>
    <row r="373" spans="1:12" x14ac:dyDescent="0.25">
      <c r="A373" t="str">
        <f>'HIDDEN import'!B373</f>
        <v>TC_O_32_CS</v>
      </c>
      <c r="B373" t="str">
        <f>'HIDDEN import'!C373</f>
        <v>Advanced User Interface</v>
      </c>
      <c r="C373" t="str">
        <f>'HIDDEN import'!D373</f>
        <v>Set Display Message - Specific transaction - Second Alwaysfront priority</v>
      </c>
      <c r="D373" t="str">
        <f>IF(VLOOKUP(A373&amp;" "&amp;B373,'HIDDEN import'!A:G,5,FALSE)="M",MD!$A$1,(IF(AND(VLOOKUP(A373,'HIDDEN import'!B:E,4,FALSE)="C",OR(NOT(ISERROR(VLOOKUP(E373,'Optional features'!B:D,1,FALSE)=E373)),NOT(ISERROR(VLOOKUP(E373,'HIDDEN calc sheet'!A:C,1,FALSE)=E373)))),MD!$A$3,MD!$A$2)))</f>
        <v>Mandatory for optional feature</v>
      </c>
      <c r="E373" t="str">
        <f>IF('HIDDEN import'!F373=0,"",'HIDDEN import'!F373)</f>
        <v>UI-1.1</v>
      </c>
      <c r="F373" t="str">
        <f>IF('HIDDEN import'!G373=0,"",'HIDDEN import'!G373)</f>
        <v>Supported MessagePriorities AlwaysFront</v>
      </c>
      <c r="G373" s="181" t="str">
        <f>IFERROR(VLOOKUP($A373,'HIDDEN Testrun Results'!$A:$B,2,FALSE),"")</f>
        <v/>
      </c>
      <c r="H373" s="11" t="b">
        <f t="shared" si="7"/>
        <v>0</v>
      </c>
      <c r="I373" s="11" t="b">
        <f>IF(VLOOKUP(A373&amp;" "&amp;B373,'HIDDEN import'!A:G,5,FALSE)="M",TRUE,IFERROR(VLOOKUP(E373,'Optional features'!B:D,3,FALSE)="Yes",IFERROR(VLOOKUP(E373,'HIDDEN calc sheet'!A:B,2,FALSE),IFERROR(VLOOKUP(E373,'Additional questions'!B:D,3,FALSE)="Yes",VLOOKUP(E373,'Hardware Feature set'!B:D,3,FALSE)="No"))))</f>
        <v>0</v>
      </c>
      <c r="J373" s="11" t="b">
        <f>IF(VLOOKUP(B373,'Profile selection'!B:C,2,FALSE)="Yes",TRUE,FALSE)</f>
        <v>0</v>
      </c>
      <c r="K373" s="53"/>
      <c r="L373" s="53"/>
    </row>
    <row r="374" spans="1:12" x14ac:dyDescent="0.25">
      <c r="A374" t="str">
        <f>'HIDDEN import'!B374</f>
        <v>TC_O_02_CS</v>
      </c>
      <c r="B374" t="str">
        <f>'HIDDEN import'!C374</f>
        <v>Advanced User Interface</v>
      </c>
      <c r="C374" t="str">
        <f>'HIDDEN import'!D374</f>
        <v>Get all Display Messages - Success</v>
      </c>
      <c r="D374" t="str">
        <f>IF(VLOOKUP(A374&amp;" "&amp;B374,'HIDDEN import'!A:G,5,FALSE)="M",MD!$A$1,(IF(AND(VLOOKUP(A374,'HIDDEN import'!B:E,4,FALSE)="C",OR(NOT(ISERROR(VLOOKUP(E374,'Optional features'!B:D,1,FALSE)=E374)),NOT(ISERROR(VLOOKUP(E374,'HIDDEN calc sheet'!A:C,1,FALSE)=E374)))),MD!$A$3,MD!$A$2)))</f>
        <v>Mandatory test for a mandatory feature</v>
      </c>
      <c r="E374" t="str">
        <f>IF('HIDDEN import'!F374=0,"",'HIDDEN import'!F374)</f>
        <v/>
      </c>
      <c r="F374" t="str">
        <f>IF('HIDDEN import'!G374=0,"",'HIDDEN import'!G374)</f>
        <v/>
      </c>
      <c r="G374" s="181" t="str">
        <f>IFERROR(VLOOKUP($A374,'HIDDEN Testrun Results'!$A:$B,2,FALSE),"")</f>
        <v/>
      </c>
      <c r="H374" s="11" t="b">
        <f t="shared" si="7"/>
        <v>0</v>
      </c>
      <c r="I374" s="11" t="b">
        <f>IF(VLOOKUP(A374&amp;" "&amp;B374,'HIDDEN import'!A:G,5,FALSE)="M",TRUE,IFERROR(VLOOKUP(E374,'Optional features'!B:D,3,FALSE)="Yes",IFERROR(VLOOKUP(E374,'HIDDEN calc sheet'!A:B,2,FALSE),IFERROR(VLOOKUP(E374,'Additional questions'!B:D,3,FALSE)="Yes",VLOOKUP(E374,'Hardware Feature set'!B:D,3,FALSE)="No"))))</f>
        <v>1</v>
      </c>
      <c r="J374" s="11" t="b">
        <f>IF(VLOOKUP(B374,'Profile selection'!B:C,2,FALSE)="Yes",TRUE,FALSE)</f>
        <v>0</v>
      </c>
      <c r="K374" s="53"/>
      <c r="L374" s="53"/>
    </row>
    <row r="375" spans="1:12" x14ac:dyDescent="0.25">
      <c r="A375" t="str">
        <f>'HIDDEN import'!B375</f>
        <v>TC_O_03_CS</v>
      </c>
      <c r="B375" t="str">
        <f>'HIDDEN import'!C375</f>
        <v>Advanced User Interface</v>
      </c>
      <c r="C375" t="str">
        <f>'HIDDEN import'!D375</f>
        <v>Get all Display Messages - No DisplayMessages configured</v>
      </c>
      <c r="D375" t="str">
        <f>IF(VLOOKUP(A375&amp;" "&amp;B375,'HIDDEN import'!A:G,5,FALSE)="M",MD!$A$1,(IF(AND(VLOOKUP(A375,'HIDDEN import'!B:E,4,FALSE)="C",OR(NOT(ISERROR(VLOOKUP(E375,'Optional features'!B:D,1,FALSE)=E375)),NOT(ISERROR(VLOOKUP(E375,'HIDDEN calc sheet'!A:C,1,FALSE)=E375)))),MD!$A$3,MD!$A$2)))</f>
        <v>Mandatory test for a mandatory feature</v>
      </c>
      <c r="E375" t="str">
        <f>IF('HIDDEN import'!F375=0,"",'HIDDEN import'!F375)</f>
        <v/>
      </c>
      <c r="F375" t="str">
        <f>IF('HIDDEN import'!G375=0,"",'HIDDEN import'!G375)</f>
        <v/>
      </c>
      <c r="G375" s="181" t="str">
        <f>IFERROR(VLOOKUP($A375,'HIDDEN Testrun Results'!$A:$B,2,FALSE),"")</f>
        <v/>
      </c>
      <c r="H375" s="11" t="b">
        <f t="shared" si="7"/>
        <v>0</v>
      </c>
      <c r="I375" s="11" t="b">
        <f>IF(VLOOKUP(A375&amp;" "&amp;B375,'HIDDEN import'!A:G,5,FALSE)="M",TRUE,IFERROR(VLOOKUP(E375,'Optional features'!B:D,3,FALSE)="Yes",IFERROR(VLOOKUP(E375,'HIDDEN calc sheet'!A:B,2,FALSE),IFERROR(VLOOKUP(E375,'Additional questions'!B:D,3,FALSE)="Yes",VLOOKUP(E375,'Hardware Feature set'!B:D,3,FALSE)="No"))))</f>
        <v>1</v>
      </c>
      <c r="J375" s="11" t="b">
        <f>IF(VLOOKUP(B375,'Profile selection'!B:C,2,FALSE)="Yes",TRUE,FALSE)</f>
        <v>0</v>
      </c>
      <c r="K375" s="53"/>
      <c r="L375" s="53"/>
    </row>
    <row r="376" spans="1:12" x14ac:dyDescent="0.25">
      <c r="A376" t="str">
        <f>'HIDDEN import'!B376</f>
        <v>TC_O_07_CS</v>
      </c>
      <c r="B376" t="str">
        <f>'HIDDEN import'!C376</f>
        <v>Advanced User Interface</v>
      </c>
      <c r="C376" t="str">
        <f>'HIDDEN import'!D376</f>
        <v>Get a Specific Display Message - Id</v>
      </c>
      <c r="D376" t="str">
        <f>IF(VLOOKUP(A376&amp;" "&amp;B376,'HIDDEN import'!A:G,5,FALSE)="M",MD!$A$1,(IF(AND(VLOOKUP(A376,'HIDDEN import'!B:E,4,FALSE)="C",OR(NOT(ISERROR(VLOOKUP(E376,'Optional features'!B:D,1,FALSE)=E376)),NOT(ISERROR(VLOOKUP(E376,'HIDDEN calc sheet'!A:C,1,FALSE)=E376)))),MD!$A$3,MD!$A$2)))</f>
        <v>Mandatory test for a mandatory feature</v>
      </c>
      <c r="E376" t="str">
        <f>IF('HIDDEN import'!F376=0,"",'HIDDEN import'!F376)</f>
        <v/>
      </c>
      <c r="F376" t="str">
        <f>IF('HIDDEN import'!G376=0,"",'HIDDEN import'!G376)</f>
        <v/>
      </c>
      <c r="G376" s="181" t="str">
        <f>IFERROR(VLOOKUP($A376,'HIDDEN Testrun Results'!$A:$B,2,FALSE),"")</f>
        <v/>
      </c>
      <c r="H376" s="11" t="b">
        <f t="shared" si="7"/>
        <v>0</v>
      </c>
      <c r="I376" s="11" t="b">
        <f>IF(VLOOKUP(A376&amp;" "&amp;B376,'HIDDEN import'!A:G,5,FALSE)="M",TRUE,IFERROR(VLOOKUP(E376,'Optional features'!B:D,3,FALSE)="Yes",IFERROR(VLOOKUP(E376,'HIDDEN calc sheet'!A:B,2,FALSE),IFERROR(VLOOKUP(E376,'Additional questions'!B:D,3,FALSE)="Yes",VLOOKUP(E376,'Hardware Feature set'!B:D,3,FALSE)="No"))))</f>
        <v>1</v>
      </c>
      <c r="J376" s="11" t="b">
        <f>IF(VLOOKUP(B376,'Profile selection'!B:C,2,FALSE)="Yes",TRUE,FALSE)</f>
        <v>0</v>
      </c>
      <c r="K376" s="53"/>
      <c r="L376" s="53"/>
    </row>
    <row r="377" spans="1:12" x14ac:dyDescent="0.25">
      <c r="A377" t="str">
        <f>'HIDDEN import'!B377</f>
        <v>TC_O_08_CS</v>
      </c>
      <c r="B377" t="str">
        <f>'HIDDEN import'!C377</f>
        <v>Advanced User Interface</v>
      </c>
      <c r="C377" t="str">
        <f>'HIDDEN import'!D377</f>
        <v>Get a Specific Display Message - Priority</v>
      </c>
      <c r="D377" t="str">
        <f>IF(VLOOKUP(A377&amp;" "&amp;B377,'HIDDEN import'!A:G,5,FALSE)="M",MD!$A$1,(IF(AND(VLOOKUP(A377,'HIDDEN import'!B:E,4,FALSE)="C",OR(NOT(ISERROR(VLOOKUP(E377,'Optional features'!B:D,1,FALSE)=E377)),NOT(ISERROR(VLOOKUP(E377,'HIDDEN calc sheet'!A:C,1,FALSE)=E377)))),MD!$A$3,MD!$A$2)))</f>
        <v>Mandatory test for a mandatory feature</v>
      </c>
      <c r="E377" t="str">
        <f>IF('HIDDEN import'!F377=0,"",'HIDDEN import'!F377)</f>
        <v>UI-1</v>
      </c>
      <c r="F377" t="str">
        <f>IF('HIDDEN import'!G377=0,"",'HIDDEN import'!G377)</f>
        <v>Supported MessagePriorities</v>
      </c>
      <c r="G377" s="181" t="str">
        <f>IFERROR(VLOOKUP($A377,'HIDDEN Testrun Results'!$A:$B,2,FALSE),"")</f>
        <v/>
      </c>
      <c r="H377" s="11" t="b">
        <f t="shared" si="7"/>
        <v>0</v>
      </c>
      <c r="I377" s="11" t="b">
        <f>IF(VLOOKUP(A377&amp;" "&amp;B377,'HIDDEN import'!A:G,5,FALSE)="M",TRUE,IFERROR(VLOOKUP(E377,'Optional features'!B:D,3,FALSE)="Yes",IFERROR(VLOOKUP(E377,'HIDDEN calc sheet'!A:B,2,FALSE),IFERROR(VLOOKUP(E377,'Additional questions'!B:D,3,FALSE)="Yes",VLOOKUP(E377,'Hardware Feature set'!B:D,3,FALSE)="No"))))</f>
        <v>1</v>
      </c>
      <c r="J377" s="11" t="b">
        <f>IF(VLOOKUP(B377,'Profile selection'!B:C,2,FALSE)="Yes",TRUE,FALSE)</f>
        <v>0</v>
      </c>
      <c r="K377" s="53"/>
      <c r="L377" s="53"/>
    </row>
    <row r="378" spans="1:12" x14ac:dyDescent="0.25">
      <c r="A378" t="str">
        <f>'HIDDEN import'!B378</f>
        <v>TC_O_09_CS</v>
      </c>
      <c r="B378" t="str">
        <f>'HIDDEN import'!C378</f>
        <v>Advanced User Interface</v>
      </c>
      <c r="C378" t="str">
        <f>'HIDDEN import'!D378</f>
        <v>Get a Specific Display Message - State</v>
      </c>
      <c r="D378" t="str">
        <f>IF(VLOOKUP(A378&amp;" "&amp;B378,'HIDDEN import'!A:G,5,FALSE)="M",MD!$A$1,(IF(AND(VLOOKUP(A378,'HIDDEN import'!B:E,4,FALSE)="C",OR(NOT(ISERROR(VLOOKUP(E378,'Optional features'!B:D,1,FALSE)=E378)),NOT(ISERROR(VLOOKUP(E378,'HIDDEN calc sheet'!A:C,1,FALSE)=E378)))),MD!$A$3,MD!$A$2)))</f>
        <v>Mandatory test for a mandatory feature</v>
      </c>
      <c r="E378" t="str">
        <f>IF('HIDDEN import'!F378=0,"",'HIDDEN import'!F378)</f>
        <v/>
      </c>
      <c r="F378" t="str">
        <f>IF('HIDDEN import'!G378=0,"",'HIDDEN import'!G378)</f>
        <v/>
      </c>
      <c r="G378" s="181" t="str">
        <f>IFERROR(VLOOKUP($A378,'HIDDEN Testrun Results'!$A:$B,2,FALSE),"")</f>
        <v/>
      </c>
      <c r="H378" s="11" t="b">
        <f t="shared" si="7"/>
        <v>0</v>
      </c>
      <c r="I378" s="11" t="b">
        <f>IF(VLOOKUP(A378&amp;" "&amp;B378,'HIDDEN import'!A:G,5,FALSE)="M",TRUE,IFERROR(VLOOKUP(E378,'Optional features'!B:D,3,FALSE)="Yes",IFERROR(VLOOKUP(E378,'HIDDEN calc sheet'!A:B,2,FALSE),IFERROR(VLOOKUP(E378,'Additional questions'!B:D,3,FALSE)="Yes",VLOOKUP(E378,'Hardware Feature set'!B:D,3,FALSE)="No"))))</f>
        <v>1</v>
      </c>
      <c r="J378" s="11" t="b">
        <f>IF(VLOOKUP(B378,'Profile selection'!B:C,2,FALSE)="Yes",TRUE,FALSE)</f>
        <v>0</v>
      </c>
      <c r="K378" s="53"/>
      <c r="L378" s="53"/>
    </row>
    <row r="379" spans="1:12" x14ac:dyDescent="0.25">
      <c r="A379" t="str">
        <f>'HIDDEN import'!B379</f>
        <v>TC_O_11_CS</v>
      </c>
      <c r="B379" t="str">
        <f>'HIDDEN import'!C379</f>
        <v>Advanced User Interface</v>
      </c>
      <c r="C379" t="str">
        <f>'HIDDEN import'!D379</f>
        <v>Get a Specific Display Message - Unknown parameters</v>
      </c>
      <c r="D379" t="str">
        <f>IF(VLOOKUP(A379&amp;" "&amp;B379,'HIDDEN import'!A:G,5,FALSE)="M",MD!$A$1,(IF(AND(VLOOKUP(A379,'HIDDEN import'!B:E,4,FALSE)="C",OR(NOT(ISERROR(VLOOKUP(E379,'Optional features'!B:D,1,FALSE)=E379)),NOT(ISERROR(VLOOKUP(E379,'HIDDEN calc sheet'!A:C,1,FALSE)=E379)))),MD!$A$3,MD!$A$2)))</f>
        <v>Mandatory test for a mandatory feature</v>
      </c>
      <c r="E379" t="str">
        <f>IF('HIDDEN import'!F379=0,"",'HIDDEN import'!F379)</f>
        <v/>
      </c>
      <c r="F379" t="str">
        <f>IF('HIDDEN import'!G379=0,"",'HIDDEN import'!G379)</f>
        <v/>
      </c>
      <c r="G379" s="181" t="str">
        <f>IFERROR(VLOOKUP($A379,'HIDDEN Testrun Results'!$A:$B,2,FALSE),"")</f>
        <v/>
      </c>
      <c r="H379" s="11" t="b">
        <f t="shared" si="7"/>
        <v>0</v>
      </c>
      <c r="I379" s="11" t="b">
        <f>IF(VLOOKUP(A379&amp;" "&amp;B379,'HIDDEN import'!A:G,5,FALSE)="M",TRUE,IFERROR(VLOOKUP(E379,'Optional features'!B:D,3,FALSE)="Yes",IFERROR(VLOOKUP(E379,'HIDDEN calc sheet'!A:B,2,FALSE),IFERROR(VLOOKUP(E379,'Additional questions'!B:D,3,FALSE)="Yes",VLOOKUP(E379,'Hardware Feature set'!B:D,3,FALSE)="No"))))</f>
        <v>1</v>
      </c>
      <c r="J379" s="11" t="b">
        <f>IF(VLOOKUP(B379,'Profile selection'!B:C,2,FALSE)="Yes",TRUE,FALSE)</f>
        <v>0</v>
      </c>
      <c r="K379" s="53"/>
      <c r="L379" s="53"/>
    </row>
    <row r="380" spans="1:12" x14ac:dyDescent="0.25">
      <c r="A380" t="str">
        <f>'HIDDEN import'!B380</f>
        <v>TC_O_33_CS</v>
      </c>
      <c r="B380" t="str">
        <f>'HIDDEN import'!C380</f>
        <v>Advanced User Interface</v>
      </c>
      <c r="C380" t="str">
        <f>'HIDDEN import'!D380</f>
        <v>Get a Specific Display Message - No DisplayMessages configured</v>
      </c>
      <c r="D380" t="str">
        <f>IF(VLOOKUP(A380&amp;" "&amp;B380,'HIDDEN import'!A:G,5,FALSE)="M",MD!$A$1,(IF(AND(VLOOKUP(A380,'HIDDEN import'!B:E,4,FALSE)="C",OR(NOT(ISERROR(VLOOKUP(E380,'Optional features'!B:D,1,FALSE)=E380)),NOT(ISERROR(VLOOKUP(E380,'HIDDEN calc sheet'!A:C,1,FALSE)=E380)))),MD!$A$3,MD!$A$2)))</f>
        <v>Mandatory test for a mandatory feature</v>
      </c>
      <c r="E380" t="str">
        <f>IF('HIDDEN import'!F380=0,"",'HIDDEN import'!F380)</f>
        <v/>
      </c>
      <c r="F380" t="str">
        <f>IF('HIDDEN import'!G380=0,"",'HIDDEN import'!G380)</f>
        <v/>
      </c>
      <c r="G380" s="181" t="str">
        <f>IFERROR(VLOOKUP($A380,'HIDDEN Testrun Results'!$A:$B,2,FALSE),"")</f>
        <v/>
      </c>
      <c r="H380" s="11" t="b">
        <f t="shared" si="7"/>
        <v>0</v>
      </c>
      <c r="I380" s="11" t="b">
        <f>IF(VLOOKUP(A380&amp;" "&amp;B380,'HIDDEN import'!A:G,5,FALSE)="M",TRUE,IFERROR(VLOOKUP(E380,'Optional features'!B:D,3,FALSE)="Yes",IFERROR(VLOOKUP(E380,'HIDDEN calc sheet'!A:B,2,FALSE),IFERROR(VLOOKUP(E380,'Additional questions'!B:D,3,FALSE)="Yes",VLOOKUP(E380,'Hardware Feature set'!B:D,3,FALSE)="No"))))</f>
        <v>1</v>
      </c>
      <c r="J380" s="11" t="b">
        <f>IF(VLOOKUP(B380,'Profile selection'!B:C,2,FALSE)="Yes",TRUE,FALSE)</f>
        <v>0</v>
      </c>
      <c r="K380" s="53"/>
      <c r="L380" s="53"/>
    </row>
    <row r="381" spans="1:12" x14ac:dyDescent="0.25">
      <c r="A381" t="str">
        <f>'HIDDEN import'!B381</f>
        <v>TC_O_34_CS</v>
      </c>
      <c r="B381" t="str">
        <f>'HIDDEN import'!C381</f>
        <v>Advanced User Interface</v>
      </c>
      <c r="C381" t="str">
        <f>'HIDDEN import'!D381</f>
        <v>Get a Specific Display Message - Known Id, but not matching State</v>
      </c>
      <c r="D381" t="str">
        <f>IF(VLOOKUP(A381&amp;" "&amp;B381,'HIDDEN import'!A:G,5,FALSE)="M",MD!$A$1,(IF(AND(VLOOKUP(A381,'HIDDEN import'!B:E,4,FALSE)="C",OR(NOT(ISERROR(VLOOKUP(E381,'Optional features'!B:D,1,FALSE)=E381)),NOT(ISERROR(VLOOKUP(E381,'HIDDEN calc sheet'!A:C,1,FALSE)=E381)))),MD!$A$3,MD!$A$2)))</f>
        <v>Mandatory test for a mandatory feature</v>
      </c>
      <c r="E381" t="str">
        <f>IF('HIDDEN import'!F381=0,"",'HIDDEN import'!F381)</f>
        <v/>
      </c>
      <c r="F381" t="str">
        <f>IF('HIDDEN import'!G381=0,"",'HIDDEN import'!G381)</f>
        <v/>
      </c>
      <c r="G381" s="181" t="str">
        <f>IFERROR(VLOOKUP($A381,'HIDDEN Testrun Results'!$A:$B,2,FALSE),"")</f>
        <v/>
      </c>
      <c r="H381" s="11" t="b">
        <f t="shared" si="7"/>
        <v>0</v>
      </c>
      <c r="I381" s="11" t="b">
        <f>IF(VLOOKUP(A381&amp;" "&amp;B381,'HIDDEN import'!A:G,5,FALSE)="M",TRUE,IFERROR(VLOOKUP(E381,'Optional features'!B:D,3,FALSE)="Yes",IFERROR(VLOOKUP(E381,'HIDDEN calc sheet'!A:B,2,FALSE),IFERROR(VLOOKUP(E381,'Additional questions'!B:D,3,FALSE)="Yes",VLOOKUP(E381,'Hardware Feature set'!B:D,3,FALSE)="No"))))</f>
        <v>1</v>
      </c>
      <c r="J381" s="11" t="b">
        <f>IF(VLOOKUP(B381,'Profile selection'!B:C,2,FALSE)="Yes",TRUE,FALSE)</f>
        <v>0</v>
      </c>
      <c r="K381" s="53"/>
      <c r="L381" s="53"/>
    </row>
    <row r="382" spans="1:12" x14ac:dyDescent="0.25">
      <c r="A382" t="str">
        <f>'HIDDEN import'!B382</f>
        <v>TC_O_35_CS</v>
      </c>
      <c r="B382" t="str">
        <f>'HIDDEN import'!C382</f>
        <v>Advanced User Interface</v>
      </c>
      <c r="C382" t="str">
        <f>'HIDDEN import'!D382</f>
        <v>Get a Specific Display Message - Known Id, but not matching Priority</v>
      </c>
      <c r="D382" t="str">
        <f>IF(VLOOKUP(A382&amp;" "&amp;B382,'HIDDEN import'!A:G,5,FALSE)="M",MD!$A$1,(IF(AND(VLOOKUP(A382,'HIDDEN import'!B:E,4,FALSE)="C",OR(NOT(ISERROR(VLOOKUP(E382,'Optional features'!B:D,1,FALSE)=E382)),NOT(ISERROR(VLOOKUP(E382,'HIDDEN calc sheet'!A:C,1,FALSE)=E382)))),MD!$A$3,MD!$A$2)))</f>
        <v>Mandatory for optional feature</v>
      </c>
      <c r="E382" t="str">
        <f>IF('HIDDEN import'!F382=0,"",'HIDDEN import'!F382)</f>
        <v>(UI-1.1 and UI-1.2) or (UI-1.2 and UI-1.3) or (UI-1.3 and UI-1.1)</v>
      </c>
      <c r="F382" t="str">
        <f>IF('HIDDEN import'!G382=0,"",'HIDDEN import'!G382)</f>
        <v>Supported MessagePriorities</v>
      </c>
      <c r="G382" s="181" t="str">
        <f>IFERROR(VLOOKUP($A382,'HIDDEN Testrun Results'!$A:$B,2,FALSE),"")</f>
        <v/>
      </c>
      <c r="H382" s="11" t="b">
        <f t="shared" si="7"/>
        <v>0</v>
      </c>
      <c r="I382" s="11" t="b">
        <f>IF(VLOOKUP(A382&amp;" "&amp;B382,'HIDDEN import'!A:G,5,FALSE)="M",TRUE,IFERROR(VLOOKUP(E382,'Optional features'!B:D,3,FALSE)="Yes",IFERROR(VLOOKUP(E382,'HIDDEN calc sheet'!A:B,2,FALSE),IFERROR(VLOOKUP(E382,'Additional questions'!B:D,3,FALSE)="Yes",VLOOKUP(E382,'Hardware Feature set'!B:D,3,FALSE)="No"))))</f>
        <v>0</v>
      </c>
      <c r="J382" s="11" t="b">
        <f>IF(VLOOKUP(B382,'Profile selection'!B:C,2,FALSE)="Yes",TRUE,FALSE)</f>
        <v>0</v>
      </c>
      <c r="K382" s="53"/>
      <c r="L382" s="53"/>
    </row>
    <row r="383" spans="1:12" x14ac:dyDescent="0.25">
      <c r="A383" t="str">
        <f>'HIDDEN import'!B383</f>
        <v>TC_O_04_CS</v>
      </c>
      <c r="B383" t="str">
        <f>'HIDDEN import'!C383</f>
        <v>Advanced User Interface</v>
      </c>
      <c r="C383" t="str">
        <f>'HIDDEN import'!D383</f>
        <v>Clear Display Message - Success</v>
      </c>
      <c r="D383" t="str">
        <f>IF(VLOOKUP(A383&amp;" "&amp;B383,'HIDDEN import'!A:G,5,FALSE)="M",MD!$A$1,(IF(AND(VLOOKUP(A383,'HIDDEN import'!B:E,4,FALSE)="C",OR(NOT(ISERROR(VLOOKUP(E383,'Optional features'!B:D,1,FALSE)=E383)),NOT(ISERROR(VLOOKUP(E383,'HIDDEN calc sheet'!A:C,1,FALSE)=E383)))),MD!$A$3,MD!$A$2)))</f>
        <v>Mandatory test for a mandatory feature</v>
      </c>
      <c r="E383" t="str">
        <f>IF('HIDDEN import'!F383=0,"",'HIDDEN import'!F383)</f>
        <v/>
      </c>
      <c r="F383" t="str">
        <f>IF('HIDDEN import'!G383=0,"",'HIDDEN import'!G383)</f>
        <v/>
      </c>
      <c r="G383" s="181" t="str">
        <f>IFERROR(VLOOKUP($A383,'HIDDEN Testrun Results'!$A:$B,2,FALSE),"")</f>
        <v/>
      </c>
      <c r="H383" s="11" t="b">
        <f t="shared" si="7"/>
        <v>0</v>
      </c>
      <c r="I383" s="11" t="b">
        <f>IF(VLOOKUP(A383&amp;" "&amp;B383,'HIDDEN import'!A:G,5,FALSE)="M",TRUE,IFERROR(VLOOKUP(E383,'Optional features'!B:D,3,FALSE)="Yes",IFERROR(VLOOKUP(E383,'HIDDEN calc sheet'!A:B,2,FALSE),IFERROR(VLOOKUP(E383,'Additional questions'!B:D,3,FALSE)="Yes",VLOOKUP(E383,'Hardware Feature set'!B:D,3,FALSE)="No"))))</f>
        <v>1</v>
      </c>
      <c r="J383" s="11" t="b">
        <f>IF(VLOOKUP(B383,'Profile selection'!B:C,2,FALSE)="Yes",TRUE,FALSE)</f>
        <v>0</v>
      </c>
      <c r="K383" s="53"/>
      <c r="L383" s="53"/>
    </row>
    <row r="384" spans="1:12" x14ac:dyDescent="0.25">
      <c r="A384" t="str">
        <f>'HIDDEN import'!B384</f>
        <v>TC_O_05_CS</v>
      </c>
      <c r="B384" t="str">
        <f>'HIDDEN import'!C384</f>
        <v>Advanced User Interface</v>
      </c>
      <c r="C384" t="str">
        <f>'HIDDEN import'!D384</f>
        <v>Clear Display Message - Unknown Key</v>
      </c>
      <c r="D384" t="str">
        <f>IF(VLOOKUP(A384&amp;" "&amp;B384,'HIDDEN import'!A:G,5,FALSE)="M",MD!$A$1,(IF(AND(VLOOKUP(A384,'HIDDEN import'!B:E,4,FALSE)="C",OR(NOT(ISERROR(VLOOKUP(E384,'Optional features'!B:D,1,FALSE)=E384)),NOT(ISERROR(VLOOKUP(E384,'HIDDEN calc sheet'!A:C,1,FALSE)=E384)))),MD!$A$3,MD!$A$2)))</f>
        <v>Mandatory test for a mandatory feature</v>
      </c>
      <c r="E384" t="str">
        <f>IF('HIDDEN import'!F384=0,"",'HIDDEN import'!F384)</f>
        <v/>
      </c>
      <c r="F384" t="str">
        <f>IF('HIDDEN import'!G384=0,"",'HIDDEN import'!G384)</f>
        <v/>
      </c>
      <c r="G384" s="181" t="str">
        <f>IFERROR(VLOOKUP($A384,'HIDDEN Testrun Results'!$A:$B,2,FALSE),"")</f>
        <v/>
      </c>
      <c r="H384" s="11" t="b">
        <f t="shared" si="7"/>
        <v>0</v>
      </c>
      <c r="I384" s="11" t="b">
        <f>IF(VLOOKUP(A384&amp;" "&amp;B384,'HIDDEN import'!A:G,5,FALSE)="M",TRUE,IFERROR(VLOOKUP(E384,'Optional features'!B:D,3,FALSE)="Yes",IFERROR(VLOOKUP(E384,'HIDDEN calc sheet'!A:B,2,FALSE),IFERROR(VLOOKUP(E384,'Additional questions'!B:D,3,FALSE)="Yes",VLOOKUP(E384,'Hardware Feature set'!B:D,3,FALSE)="No"))))</f>
        <v>1</v>
      </c>
      <c r="J384" s="11" t="b">
        <f>IF(VLOOKUP(B384,'Profile selection'!B:C,2,FALSE)="Yes",TRUE,FALSE)</f>
        <v>0</v>
      </c>
      <c r="K384" s="53"/>
      <c r="L384" s="53"/>
    </row>
    <row r="385" spans="1:12" x14ac:dyDescent="0.25">
      <c r="A385" t="str">
        <f>'HIDDEN import'!B385</f>
        <v>TC_A_12_CS</v>
      </c>
      <c r="B385" t="str">
        <f>'HIDDEN import'!C385</f>
        <v>ISO 15118 Support</v>
      </c>
      <c r="C385" t="str">
        <f>'HIDDEN import'!D385</f>
        <v>Update Charging Station Certificate by request of CSMS - Success - V2G Certificate</v>
      </c>
      <c r="D385" t="str">
        <f>IF(VLOOKUP(A385&amp;" "&amp;B385,'HIDDEN import'!A:G,5,FALSE)="M",MD!$A$1,(IF(AND(VLOOKUP(A385,'HIDDEN import'!B:E,4,FALSE)="C",OR(NOT(ISERROR(VLOOKUP(E385,'Optional features'!B:D,1,FALSE)=E385)),NOT(ISERROR(VLOOKUP(E385,'HIDDEN calc sheet'!A:C,1,FALSE)=E385)))),MD!$A$3,MD!$A$2)))</f>
        <v>Mandatory test for a mandatory feature</v>
      </c>
      <c r="E385" t="str">
        <f>IF('HIDDEN import'!F385=0,"",'HIDDEN import'!F385)</f>
        <v/>
      </c>
      <c r="F385" t="str">
        <f>IF('HIDDEN import'!G385=0,"",'HIDDEN import'!G385)</f>
        <v/>
      </c>
      <c r="G385" s="181" t="str">
        <f>IFERROR(VLOOKUP($A385,'HIDDEN Testrun Results'!$A:$B,2,FALSE),"")</f>
        <v/>
      </c>
      <c r="H385" s="11" t="b">
        <f t="shared" si="7"/>
        <v>0</v>
      </c>
      <c r="I385" s="11" t="b">
        <f>IF(VLOOKUP(A385&amp;" "&amp;B385,'HIDDEN import'!A:G,5,FALSE)="M",TRUE,IFERROR(VLOOKUP(E385,'Optional features'!B:D,3,FALSE)="Yes",IFERROR(VLOOKUP(E385,'HIDDEN calc sheet'!A:B,2,FALSE),IFERROR(VLOOKUP(E385,'Additional questions'!B:D,3,FALSE)="Yes",VLOOKUP(E385,'Hardware Feature set'!B:D,3,FALSE)="No"))))</f>
        <v>1</v>
      </c>
      <c r="J385" s="11" t="b">
        <f>IF(VLOOKUP(B385,'Profile selection'!B:C,2,FALSE)="Yes",TRUE,FALSE)</f>
        <v>0</v>
      </c>
      <c r="K385" s="53"/>
      <c r="L385" s="53"/>
    </row>
    <row r="386" spans="1:12" x14ac:dyDescent="0.25">
      <c r="A386" t="str">
        <f>'HIDDEN import'!B386</f>
        <v>TC_A_13_CS</v>
      </c>
      <c r="B386" t="str">
        <f>'HIDDEN import'!C386</f>
        <v>ISO 15118 Support</v>
      </c>
      <c r="C386" t="str">
        <f>'HIDDEN import'!D386</f>
        <v>Update Charging Station Certificate by request of CSMS - Success - Combined Certificate</v>
      </c>
      <c r="D386" t="str">
        <f>IF(VLOOKUP(A386&amp;" "&amp;B386,'HIDDEN import'!A:G,5,FALSE)="M",MD!$A$1,(IF(AND(VLOOKUP(A386,'HIDDEN import'!B:E,4,FALSE)="C",OR(NOT(ISERROR(VLOOKUP(E386,'Optional features'!B:D,1,FALSE)=E386)),NOT(ISERROR(VLOOKUP(E386,'HIDDEN calc sheet'!A:C,1,FALSE)=E386)))),MD!$A$3,MD!$A$2)))</f>
        <v>Mandatory for optional feature</v>
      </c>
      <c r="E386" t="str">
        <f>IF('HIDDEN import'!F386=0,"",'HIDDEN import'!F386)</f>
        <v>ISO-3</v>
      </c>
      <c r="F386" t="str">
        <f>IF('HIDDEN import'!G386=0,"",'HIDDEN import'!G386)</f>
        <v>Combined Charging Station Certificate</v>
      </c>
      <c r="G386" s="181" t="str">
        <f>IFERROR(VLOOKUP($A386,'HIDDEN Testrun Results'!$A:$B,2,FALSE),"")</f>
        <v/>
      </c>
      <c r="H386" s="11" t="b">
        <f t="shared" si="7"/>
        <v>0</v>
      </c>
      <c r="I386" s="11" t="b">
        <f>IF(VLOOKUP(A386&amp;" "&amp;B386,'HIDDEN import'!A:G,5,FALSE)="M",TRUE,IFERROR(VLOOKUP(E386,'Optional features'!B:D,3,FALSE)="Yes",IFERROR(VLOOKUP(E386,'HIDDEN calc sheet'!A:B,2,FALSE),IFERROR(VLOOKUP(E386,'Additional questions'!B:D,3,FALSE)="Yes",VLOOKUP(E386,'Hardware Feature set'!B:D,3,FALSE)="No"))))</f>
        <v>0</v>
      </c>
      <c r="J386" s="11" t="b">
        <f>IF(VLOOKUP(B386,'Profile selection'!B:C,2,FALSE)="Yes",TRUE,FALSE)</f>
        <v>0</v>
      </c>
      <c r="K386" s="53"/>
      <c r="L386" s="53"/>
    </row>
    <row r="387" spans="1:12" x14ac:dyDescent="0.25">
      <c r="A387" t="str">
        <f>'HIDDEN import'!B387</f>
        <v>TC_C_50_CS</v>
      </c>
      <c r="B387" t="str">
        <f>'HIDDEN import'!C387</f>
        <v>ISO 15118 Support</v>
      </c>
      <c r="C387" t="str">
        <f>'HIDDEN import'!D387</f>
        <v>Authorization using Contract Certificates 15118 - Online - Local contract certificate validation - Accepted</v>
      </c>
      <c r="D387" t="str">
        <f>IF(VLOOKUP(A387&amp;" "&amp;B387,'HIDDEN import'!A:G,5,FALSE)="M",MD!$A$1,(IF(AND(VLOOKUP(A387,'HIDDEN import'!B:E,4,FALSE)="C",OR(NOT(ISERROR(VLOOKUP(E387,'Optional features'!B:D,1,FALSE)=E387)),NOT(ISERROR(VLOOKUP(E387,'HIDDEN calc sheet'!A:C,1,FALSE)=E387)))),MD!$A$3,MD!$A$2)))</f>
        <v>Mandatory test for a mandatory feature</v>
      </c>
      <c r="E387" t="str">
        <f>IF('HIDDEN import'!F387=0,"",'HIDDEN import'!F387)</f>
        <v/>
      </c>
      <c r="F387" t="str">
        <f>IF('HIDDEN import'!G387=0,"",'HIDDEN import'!G387)</f>
        <v/>
      </c>
      <c r="G387" s="181" t="str">
        <f>IFERROR(VLOOKUP($A387,'HIDDEN Testrun Results'!$A:$B,2,FALSE),"")</f>
        <v/>
      </c>
      <c r="H387" s="11" t="b">
        <f t="shared" si="7"/>
        <v>0</v>
      </c>
      <c r="I387" s="11" t="b">
        <f>IF(VLOOKUP(A387&amp;" "&amp;B387,'HIDDEN import'!A:G,5,FALSE)="M",TRUE,IFERROR(VLOOKUP(E387,'Optional features'!B:D,3,FALSE)="Yes",IFERROR(VLOOKUP(E387,'HIDDEN calc sheet'!A:B,2,FALSE),IFERROR(VLOOKUP(E387,'Additional questions'!B:D,3,FALSE)="Yes",VLOOKUP(E387,'Hardware Feature set'!B:D,3,FALSE)="No"))))</f>
        <v>1</v>
      </c>
      <c r="J387" s="11" t="b">
        <f>IF(VLOOKUP(B387,'Profile selection'!B:C,2,FALSE)="Yes",TRUE,FALSE)</f>
        <v>0</v>
      </c>
      <c r="K387" s="53"/>
      <c r="L387" s="53"/>
    </row>
    <row r="388" spans="1:12" x14ac:dyDescent="0.25">
      <c r="A388" t="str">
        <f>'HIDDEN import'!B388</f>
        <v>TC_C_51_CS</v>
      </c>
      <c r="B388" t="str">
        <f>'HIDDEN import'!C388</f>
        <v>ISO 15118 Support</v>
      </c>
      <c r="C388" t="str">
        <f>'HIDDEN import'!D388</f>
        <v>Authorization using Contract Certificates 15118 - Online - Local contract certificate validation - Rejected</v>
      </c>
      <c r="D388" t="str">
        <f>IF(VLOOKUP(A388&amp;" "&amp;B388,'HIDDEN import'!A:G,5,FALSE)="M",MD!$A$1,(IF(AND(VLOOKUP(A388,'HIDDEN import'!B:E,4,FALSE)="C",OR(NOT(ISERROR(VLOOKUP(E388,'Optional features'!B:D,1,FALSE)=E388)),NOT(ISERROR(VLOOKUP(E388,'HIDDEN calc sheet'!A:C,1,FALSE)=E388)))),MD!$A$3,MD!$A$2)))</f>
        <v>Mandatory test for a mandatory feature</v>
      </c>
      <c r="E388" t="str">
        <f>IF('HIDDEN import'!F388=0,"",'HIDDEN import'!F388)</f>
        <v/>
      </c>
      <c r="F388" t="str">
        <f>IF('HIDDEN import'!G388=0,"",'HIDDEN import'!G388)</f>
        <v/>
      </c>
      <c r="G388" s="181" t="str">
        <f>IFERROR(VLOOKUP($A388,'HIDDEN Testrun Results'!$A:$B,2,FALSE),"")</f>
        <v/>
      </c>
      <c r="H388" s="11" t="b">
        <f t="shared" si="7"/>
        <v>0</v>
      </c>
      <c r="I388" s="11" t="b">
        <f>IF(VLOOKUP(A388&amp;" "&amp;B388,'HIDDEN import'!A:G,5,FALSE)="M",TRUE,IFERROR(VLOOKUP(E388,'Optional features'!B:D,3,FALSE)="Yes",IFERROR(VLOOKUP(E388,'HIDDEN calc sheet'!A:B,2,FALSE),IFERROR(VLOOKUP(E388,'Additional questions'!B:D,3,FALSE)="Yes",VLOOKUP(E388,'Hardware Feature set'!B:D,3,FALSE)="No"))))</f>
        <v>1</v>
      </c>
      <c r="J388" s="11" t="b">
        <f>IF(VLOOKUP(B388,'Profile selection'!B:C,2,FALSE)="Yes",TRUE,FALSE)</f>
        <v>0</v>
      </c>
      <c r="K388" s="53"/>
      <c r="L388" s="53"/>
    </row>
    <row r="389" spans="1:12" x14ac:dyDescent="0.25">
      <c r="A389" t="str">
        <f>'HIDDEN import'!B389</f>
        <v>TC_C_52_CS</v>
      </c>
      <c r="B389" t="str">
        <f>'HIDDEN import'!C389</f>
        <v>ISO 15118 Support</v>
      </c>
      <c r="C389" t="str">
        <f>'HIDDEN import'!D389</f>
        <v>Authorization using Contract Certificates 15118 - Online - Central contract certificate validation - Accepted</v>
      </c>
      <c r="D389" t="str">
        <f>IF(VLOOKUP(A389&amp;" "&amp;B389,'HIDDEN import'!A:G,5,FALSE)="M",MD!$A$1,(IF(AND(VLOOKUP(A389,'HIDDEN import'!B:E,4,FALSE)="C",OR(NOT(ISERROR(VLOOKUP(E389,'Optional features'!B:D,1,FALSE)=E389)),NOT(ISERROR(VLOOKUP(E389,'HIDDEN calc sheet'!A:C,1,FALSE)=E389)))),MD!$A$3,MD!$A$2)))</f>
        <v>Mandatory for optional feature</v>
      </c>
      <c r="E389" t="str">
        <f>IF('HIDDEN import'!F389=0,"",'HIDDEN import'!F389)</f>
        <v>ISO-5</v>
      </c>
      <c r="F389" t="str">
        <f>IF('HIDDEN import'!G389=0,"",'HIDDEN import'!G389)</f>
        <v/>
      </c>
      <c r="G389" s="181" t="str">
        <f>IFERROR(VLOOKUP($A389,'HIDDEN Testrun Results'!$A:$B,2,FALSE),"")</f>
        <v/>
      </c>
      <c r="H389" s="11" t="b">
        <f t="shared" si="7"/>
        <v>0</v>
      </c>
      <c r="I389" s="11" t="b">
        <f>IF(VLOOKUP(A389&amp;" "&amp;B389,'HIDDEN import'!A:G,5,FALSE)="M",TRUE,IFERROR(VLOOKUP(E389,'Optional features'!B:D,3,FALSE)="Yes",IFERROR(VLOOKUP(E389,'HIDDEN calc sheet'!A:B,2,FALSE),IFERROR(VLOOKUP(E389,'Additional questions'!B:D,3,FALSE)="Yes",VLOOKUP(E389,'Hardware Feature set'!B:D,3,FALSE)="No"))))</f>
        <v>0</v>
      </c>
      <c r="J389" s="11" t="b">
        <f>IF(VLOOKUP(B389,'Profile selection'!B:C,2,FALSE)="Yes",TRUE,FALSE)</f>
        <v>0</v>
      </c>
      <c r="K389" s="53"/>
      <c r="L389" s="53"/>
    </row>
    <row r="390" spans="1:12" x14ac:dyDescent="0.25">
      <c r="A390" t="str">
        <f>'HIDDEN import'!B390</f>
        <v>TC_C_53_CS</v>
      </c>
      <c r="B390" t="str">
        <f>'HIDDEN import'!C390</f>
        <v>ISO 15118 Support</v>
      </c>
      <c r="C390" t="str">
        <f>'HIDDEN import'!D390</f>
        <v>Authorization using Contract Certificates 15118 - Online - Central contract validation fails</v>
      </c>
      <c r="D390" t="str">
        <f>IF(VLOOKUP(A390&amp;" "&amp;B390,'HIDDEN import'!A:G,5,FALSE)="M",MD!$A$1,(IF(AND(VLOOKUP(A390,'HIDDEN import'!B:E,4,FALSE)="C",OR(NOT(ISERROR(VLOOKUP(E390,'Optional features'!B:D,1,FALSE)=E390)),NOT(ISERROR(VLOOKUP(E390,'HIDDEN calc sheet'!A:C,1,FALSE)=E390)))),MD!$A$3,MD!$A$2)))</f>
        <v>Mandatory for optional feature</v>
      </c>
      <c r="E390" t="str">
        <f>IF('HIDDEN import'!F390=0,"",'HIDDEN import'!F390)</f>
        <v>ISO-5</v>
      </c>
      <c r="F390" t="str">
        <f>IF('HIDDEN import'!G390=0,"",'HIDDEN import'!G390)</f>
        <v/>
      </c>
      <c r="G390" s="181" t="str">
        <f>IFERROR(VLOOKUP($A390,'HIDDEN Testrun Results'!$A:$B,2,FALSE),"")</f>
        <v/>
      </c>
      <c r="H390" s="11" t="b">
        <f t="shared" si="7"/>
        <v>0</v>
      </c>
      <c r="I390" s="11" t="b">
        <f>IF(VLOOKUP(A390&amp;" "&amp;B390,'HIDDEN import'!A:G,5,FALSE)="M",TRUE,IFERROR(VLOOKUP(E390,'Optional features'!B:D,3,FALSE)="Yes",IFERROR(VLOOKUP(E390,'HIDDEN calc sheet'!A:B,2,FALSE),IFERROR(VLOOKUP(E390,'Additional questions'!B:D,3,FALSE)="Yes",VLOOKUP(E390,'Hardware Feature set'!B:D,3,FALSE)="No"))))</f>
        <v>0</v>
      </c>
      <c r="J390" s="11" t="b">
        <f>IF(VLOOKUP(B390,'Profile selection'!B:C,2,FALSE)="Yes",TRUE,FALSE)</f>
        <v>0</v>
      </c>
      <c r="K390" s="53"/>
      <c r="L390" s="53"/>
    </row>
    <row r="391" spans="1:12" x14ac:dyDescent="0.25">
      <c r="A391" t="str">
        <f>'HIDDEN import'!B391</f>
        <v>TC_C_54_CS</v>
      </c>
      <c r="B391" t="str">
        <f>'HIDDEN import'!C391</f>
        <v>ISO 15118 Support</v>
      </c>
      <c r="C391" t="str">
        <f>'HIDDEN import'!D391</f>
        <v>Authorization using Contract Certificates 15118 - Offline - ContractValidationOffline is true</v>
      </c>
      <c r="D391" t="str">
        <f>IF(VLOOKUP(A391&amp;" "&amp;B391,'HIDDEN import'!A:G,5,FALSE)="M",MD!$A$1,(IF(AND(VLOOKUP(A391,'HIDDEN import'!B:E,4,FALSE)="C",OR(NOT(ISERROR(VLOOKUP(E391,'Optional features'!B:D,1,FALSE)=E391)),NOT(ISERROR(VLOOKUP(E391,'HIDDEN calc sheet'!A:C,1,FALSE)=E391)))),MD!$A$3,MD!$A$2)))</f>
        <v>Mandatory test for a mandatory feature</v>
      </c>
      <c r="E391" t="str">
        <f>IF('HIDDEN import'!F391=0,"",'HIDDEN import'!F391)</f>
        <v/>
      </c>
      <c r="F391" t="str">
        <f>IF('HIDDEN import'!G391=0,"",'HIDDEN import'!G391)</f>
        <v/>
      </c>
      <c r="G391" s="181" t="str">
        <f>IFERROR(VLOOKUP($A391,'HIDDEN Testrun Results'!$A:$B,2,FALSE),"")</f>
        <v/>
      </c>
      <c r="H391" s="11" t="b">
        <f t="shared" si="7"/>
        <v>0</v>
      </c>
      <c r="I391" s="11" t="b">
        <f>IF(VLOOKUP(A391&amp;" "&amp;B391,'HIDDEN import'!A:G,5,FALSE)="M",TRUE,IFERROR(VLOOKUP(E391,'Optional features'!B:D,3,FALSE)="Yes",IFERROR(VLOOKUP(E391,'HIDDEN calc sheet'!A:B,2,FALSE),IFERROR(VLOOKUP(E391,'Additional questions'!B:D,3,FALSE)="Yes",VLOOKUP(E391,'Hardware Feature set'!B:D,3,FALSE)="No"))))</f>
        <v>1</v>
      </c>
      <c r="J391" s="11" t="b">
        <f>IF(VLOOKUP(B391,'Profile selection'!B:C,2,FALSE)="Yes",TRUE,FALSE)</f>
        <v>0</v>
      </c>
      <c r="K391" s="53"/>
      <c r="L391" s="53"/>
    </row>
    <row r="392" spans="1:12" x14ac:dyDescent="0.25">
      <c r="A392" t="str">
        <f>'HIDDEN import'!B392</f>
        <v>TC_C_55_CS</v>
      </c>
      <c r="B392" t="str">
        <f>'HIDDEN import'!C392</f>
        <v>ISO 15118 Support</v>
      </c>
      <c r="C392" t="str">
        <f>'HIDDEN import'!D392</f>
        <v>Authorization using Contract Certificates 15118 - Offline - ContractValidationOffline is false</v>
      </c>
      <c r="D392" t="str">
        <f>IF(VLOOKUP(A392&amp;" "&amp;B392,'HIDDEN import'!A:G,5,FALSE)="M",MD!$A$1,(IF(AND(VLOOKUP(A392,'HIDDEN import'!B:E,4,FALSE)="C",OR(NOT(ISERROR(VLOOKUP(E392,'Optional features'!B:D,1,FALSE)=E392)),NOT(ISERROR(VLOOKUP(E392,'HIDDEN calc sheet'!A:C,1,FALSE)=E392)))),MD!$A$3,MD!$A$2)))</f>
        <v>Mandatory test for a mandatory feature</v>
      </c>
      <c r="E392" t="str">
        <f>IF('HIDDEN import'!F392=0,"",'HIDDEN import'!F392)</f>
        <v/>
      </c>
      <c r="F392" t="str">
        <f>IF('HIDDEN import'!G392=0,"",'HIDDEN import'!G392)</f>
        <v/>
      </c>
      <c r="G392" s="181" t="str">
        <f>IFERROR(VLOOKUP($A392,'HIDDEN Testrun Results'!$A:$B,2,FALSE),"")</f>
        <v/>
      </c>
      <c r="H392" s="11" t="b">
        <f t="shared" si="7"/>
        <v>0</v>
      </c>
      <c r="I392" s="11" t="b">
        <f>IF(VLOOKUP(A392&amp;" "&amp;B392,'HIDDEN import'!A:G,5,FALSE)="M",TRUE,IFERROR(VLOOKUP(E392,'Optional features'!B:D,3,FALSE)="Yes",IFERROR(VLOOKUP(E392,'HIDDEN calc sheet'!A:B,2,FALSE),IFERROR(VLOOKUP(E392,'Additional questions'!B:D,3,FALSE)="Yes",VLOOKUP(E392,'Hardware Feature set'!B:D,3,FALSE)="No"))))</f>
        <v>1</v>
      </c>
      <c r="J392" s="11" t="b">
        <f>IF(VLOOKUP(B392,'Profile selection'!B:C,2,FALSE)="Yes",TRUE,FALSE)</f>
        <v>0</v>
      </c>
      <c r="K392" s="53"/>
      <c r="L392" s="53"/>
    </row>
    <row r="393" spans="1:12" x14ac:dyDescent="0.25">
      <c r="A393" t="str">
        <f>'HIDDEN import'!B393</f>
        <v>TC_E_46_CS</v>
      </c>
      <c r="B393" t="str">
        <f>'HIDDEN import'!C393</f>
        <v>ISO 15118 Support</v>
      </c>
      <c r="C393" t="str">
        <f>'HIDDEN import'!D393</f>
        <v>End of charging process 15118 - End of charging process 15118</v>
      </c>
      <c r="D393" t="str">
        <f>IF(VLOOKUP(A393&amp;" "&amp;B393,'HIDDEN import'!A:G,5,FALSE)="M",MD!$A$1,(IF(AND(VLOOKUP(A393,'HIDDEN import'!B:E,4,FALSE)="C",OR(NOT(ISERROR(VLOOKUP(E393,'Optional features'!B:D,1,FALSE)=E393)),NOT(ISERROR(VLOOKUP(E393,'HIDDEN calc sheet'!A:C,1,FALSE)=E393)))),MD!$A$3,MD!$A$2)))</f>
        <v>Mandatory test for a mandatory feature</v>
      </c>
      <c r="E393" t="str">
        <f>IF('HIDDEN import'!F393=0,"",'HIDDEN import'!F393)</f>
        <v/>
      </c>
      <c r="F393" t="str">
        <f>IF('HIDDEN import'!G393=0,"",'HIDDEN import'!G393)</f>
        <v/>
      </c>
      <c r="G393" s="181" t="str">
        <f>IFERROR(VLOOKUP($A393,'HIDDEN Testrun Results'!$A:$B,2,FALSE),"")</f>
        <v/>
      </c>
      <c r="H393" s="11" t="b">
        <f t="shared" si="7"/>
        <v>0</v>
      </c>
      <c r="I393" s="11" t="b">
        <f>IF(VLOOKUP(A393&amp;" "&amp;B393,'HIDDEN import'!A:G,5,FALSE)="M",TRUE,IFERROR(VLOOKUP(E393,'Optional features'!B:D,3,FALSE)="Yes",IFERROR(VLOOKUP(E393,'HIDDEN calc sheet'!A:B,2,FALSE),IFERROR(VLOOKUP(E393,'Additional questions'!B:D,3,FALSE)="Yes",VLOOKUP(E393,'Hardware Feature set'!B:D,3,FALSE)="No"))))</f>
        <v>1</v>
      </c>
      <c r="J393" s="11" t="b">
        <f>IF(VLOOKUP(B393,'Profile selection'!B:C,2,FALSE)="Yes",TRUE,FALSE)</f>
        <v>0</v>
      </c>
      <c r="K393" s="53"/>
      <c r="L393" s="53"/>
    </row>
    <row r="394" spans="1:12" x14ac:dyDescent="0.25">
      <c r="A394" t="str">
        <f>'HIDDEN import'!B394</f>
        <v>TC_K_01_CS</v>
      </c>
      <c r="B394" t="str">
        <f>'HIDDEN import'!C394</f>
        <v>ISO 15118 Support</v>
      </c>
      <c r="C394" t="str">
        <f>'HIDDEN import'!D394</f>
        <v>Set Charging Profile - TxDefaultProfile - Specific EVSE</v>
      </c>
      <c r="D394" t="str">
        <f>IF(VLOOKUP(A394&amp;" "&amp;B394,'HIDDEN import'!A:G,5,FALSE)="M",MD!$A$1,(IF(AND(VLOOKUP(A394,'HIDDEN import'!B:E,4,FALSE)="C",OR(NOT(ISERROR(VLOOKUP(E394,'Optional features'!B:D,1,FALSE)=E394)),NOT(ISERROR(VLOOKUP(E394,'HIDDEN calc sheet'!A:C,1,FALSE)=E394)))),MD!$A$3,MD!$A$2)))</f>
        <v>Mandatory test for a mandatory feature</v>
      </c>
      <c r="E394" t="str">
        <f>IF('HIDDEN import'!F394=0,"",'HIDDEN import'!F394)</f>
        <v/>
      </c>
      <c r="F394" t="str">
        <f>IF('HIDDEN import'!G394=0,"",'HIDDEN import'!G394)</f>
        <v/>
      </c>
      <c r="G394" s="181" t="str">
        <f>IFERROR(VLOOKUP($A394,'HIDDEN Testrun Results'!$A:$B,2,FALSE),"")</f>
        <v/>
      </c>
      <c r="H394" s="11" t="b">
        <f t="shared" si="7"/>
        <v>0</v>
      </c>
      <c r="I394" s="11" t="b">
        <f>IF(VLOOKUP(A394&amp;" "&amp;B394,'HIDDEN import'!A:G,5,FALSE)="M",TRUE,IFERROR(VLOOKUP(E394,'Optional features'!B:D,3,FALSE)="Yes",IFERROR(VLOOKUP(E394,'HIDDEN calc sheet'!A:B,2,FALSE),IFERROR(VLOOKUP(E394,'Additional questions'!B:D,3,FALSE)="Yes",VLOOKUP(E394,'Hardware Feature set'!B:D,3,FALSE)="No"))))</f>
        <v>1</v>
      </c>
      <c r="J394" s="11" t="b">
        <f>IF(VLOOKUP(B394,'Profile selection'!B:C,2,FALSE)="Yes",TRUE,FALSE)</f>
        <v>0</v>
      </c>
      <c r="K394" s="53"/>
      <c r="L394" s="53"/>
    </row>
    <row r="395" spans="1:12" x14ac:dyDescent="0.25">
      <c r="A395" t="str">
        <f>'HIDDEN import'!B395</f>
        <v>TC_K_10_CS</v>
      </c>
      <c r="B395" t="str">
        <f>'HIDDEN import'!C395</f>
        <v>ISO 15118 Support</v>
      </c>
      <c r="C395" t="str">
        <f>'HIDDEN import'!D395</f>
        <v>Set Charging Profile - TxDefaultProfile - All EVSE</v>
      </c>
      <c r="D395" t="str">
        <f>IF(VLOOKUP(A395&amp;" "&amp;B395,'HIDDEN import'!A:G,5,FALSE)="M",MD!$A$1,(IF(AND(VLOOKUP(A395,'HIDDEN import'!B:E,4,FALSE)="C",OR(NOT(ISERROR(VLOOKUP(E395,'Optional features'!B:D,1,FALSE)=E395)),NOT(ISERROR(VLOOKUP(E395,'HIDDEN calc sheet'!A:C,1,FALSE)=E395)))),MD!$A$3,MD!$A$2)))</f>
        <v>Mandatory test for a mandatory feature</v>
      </c>
      <c r="E395" t="str">
        <f>IF('HIDDEN import'!F395=0,"",'HIDDEN import'!F395)</f>
        <v/>
      </c>
      <c r="F395" t="str">
        <f>IF('HIDDEN import'!G395=0,"",'HIDDEN import'!G395)</f>
        <v/>
      </c>
      <c r="G395" s="181" t="str">
        <f>IFERROR(VLOOKUP($A395,'HIDDEN Testrun Results'!$A:$B,2,FALSE),"")</f>
        <v/>
      </c>
      <c r="H395" s="11" t="b">
        <f t="shared" si="7"/>
        <v>0</v>
      </c>
      <c r="I395" s="11" t="b">
        <f>IF(VLOOKUP(A395&amp;" "&amp;B395,'HIDDEN import'!A:G,5,FALSE)="M",TRUE,IFERROR(VLOOKUP(E395,'Optional features'!B:D,3,FALSE)="Yes",IFERROR(VLOOKUP(E395,'HIDDEN calc sheet'!A:B,2,FALSE),IFERROR(VLOOKUP(E395,'Additional questions'!B:D,3,FALSE)="Yes",VLOOKUP(E395,'Hardware Feature set'!B:D,3,FALSE)="No"))))</f>
        <v>1</v>
      </c>
      <c r="J395" s="11" t="b">
        <f>IF(VLOOKUP(B395,'Profile selection'!B:C,2,FALSE)="Yes",TRUE,FALSE)</f>
        <v>0</v>
      </c>
      <c r="K395" s="53"/>
      <c r="L395" s="53"/>
    </row>
    <row r="396" spans="1:12" x14ac:dyDescent="0.25">
      <c r="A396" t="str">
        <f>'HIDDEN import'!B396</f>
        <v>TC_K_60_CS</v>
      </c>
      <c r="B396" t="str">
        <f>'HIDDEN import'!C396</f>
        <v>ISO 15118 Support</v>
      </c>
      <c r="C396" t="str">
        <f>'HIDDEN import'!D396</f>
        <v>Set Charging Profile - TxProfile with ongoing transaction on the specified EVSE</v>
      </c>
      <c r="D396" t="str">
        <f>IF(VLOOKUP(A396&amp;" "&amp;B396,'HIDDEN import'!A:G,5,FALSE)="M",MD!$A$1,(IF(AND(VLOOKUP(A396,'HIDDEN import'!B:E,4,FALSE)="C",OR(NOT(ISERROR(VLOOKUP(E396,'Optional features'!B:D,1,FALSE)=E396)),NOT(ISERROR(VLOOKUP(E396,'HIDDEN calc sheet'!A:C,1,FALSE)=E396)))),MD!$A$3,MD!$A$2)))</f>
        <v>Mandatory test for a mandatory feature</v>
      </c>
      <c r="E396" t="str">
        <f>IF('HIDDEN import'!F396=0,"",'HIDDEN import'!F396)</f>
        <v/>
      </c>
      <c r="F396" t="str">
        <f>IF('HIDDEN import'!G396=0,"",'HIDDEN import'!G396)</f>
        <v/>
      </c>
      <c r="G396" s="181" t="str">
        <f>IFERROR(VLOOKUP($A396,'HIDDEN Testrun Results'!$A:$B,2,FALSE),"")</f>
        <v/>
      </c>
      <c r="H396" s="11" t="b">
        <f t="shared" si="7"/>
        <v>0</v>
      </c>
      <c r="I396" s="11" t="b">
        <f>IF(VLOOKUP(A396&amp;" "&amp;B396,'HIDDEN import'!A:G,5,FALSE)="M",TRUE,IFERROR(VLOOKUP(E396,'Optional features'!B:D,3,FALSE)="Yes",IFERROR(VLOOKUP(E396,'HIDDEN calc sheet'!A:B,2,FALSE),IFERROR(VLOOKUP(E396,'Additional questions'!B:D,3,FALSE)="Yes",VLOOKUP(E396,'Hardware Feature set'!B:D,3,FALSE)="No"))))</f>
        <v>1</v>
      </c>
      <c r="J396" s="11" t="b">
        <f>IF(VLOOKUP(B396,'Profile selection'!B:C,2,FALSE)="Yes",TRUE,FALSE)</f>
        <v>0</v>
      </c>
      <c r="K396" s="53"/>
      <c r="L396" s="53"/>
    </row>
    <row r="397" spans="1:12" x14ac:dyDescent="0.25">
      <c r="A397" t="str">
        <f>'HIDDEN import'!B397</f>
        <v>TC_K_02_CS</v>
      </c>
      <c r="B397" t="str">
        <f>'HIDDEN import'!C397</f>
        <v>ISO 15118 Support</v>
      </c>
      <c r="C397" t="str">
        <f>'HIDDEN import'!D397</f>
        <v>Set Charging Profile - TxProfile without ongoing transaction on the specified EVSE</v>
      </c>
      <c r="D397" t="str">
        <f>IF(VLOOKUP(A397&amp;" "&amp;B397,'HIDDEN import'!A:G,5,FALSE)="M",MD!$A$1,(IF(AND(VLOOKUP(A397,'HIDDEN import'!B:E,4,FALSE)="C",OR(NOT(ISERROR(VLOOKUP(E397,'Optional features'!B:D,1,FALSE)=E397)),NOT(ISERROR(VLOOKUP(E397,'HIDDEN calc sheet'!A:C,1,FALSE)=E397)))),MD!$A$3,MD!$A$2)))</f>
        <v>Mandatory test for a mandatory feature</v>
      </c>
      <c r="E397" t="str">
        <f>IF('HIDDEN import'!F397=0,"",'HIDDEN import'!F397)</f>
        <v/>
      </c>
      <c r="F397" t="str">
        <f>IF('HIDDEN import'!G397=0,"",'HIDDEN import'!G397)</f>
        <v/>
      </c>
      <c r="G397" s="181" t="str">
        <f>IFERROR(VLOOKUP($A397,'HIDDEN Testrun Results'!$A:$B,2,FALSE),"")</f>
        <v/>
      </c>
      <c r="H397" s="11" t="b">
        <f t="shared" si="7"/>
        <v>0</v>
      </c>
      <c r="I397" s="11" t="b">
        <f>IF(VLOOKUP(A397&amp;" "&amp;B397,'HIDDEN import'!A:G,5,FALSE)="M",TRUE,IFERROR(VLOOKUP(E397,'Optional features'!B:D,3,FALSE)="Yes",IFERROR(VLOOKUP(E397,'HIDDEN calc sheet'!A:B,2,FALSE),IFERROR(VLOOKUP(E397,'Additional questions'!B:D,3,FALSE)="Yes",VLOOKUP(E397,'Hardware Feature set'!B:D,3,FALSE)="No"))))</f>
        <v>1</v>
      </c>
      <c r="J397" s="11" t="b">
        <f>IF(VLOOKUP(B397,'Profile selection'!B:C,2,FALSE)="Yes",TRUE,FALSE)</f>
        <v>0</v>
      </c>
      <c r="K397" s="53"/>
      <c r="L397" s="53"/>
    </row>
    <row r="398" spans="1:12" x14ac:dyDescent="0.25">
      <c r="A398" t="str">
        <f>'HIDDEN import'!B398</f>
        <v>TC_K_11_CS</v>
      </c>
      <c r="B398" t="str">
        <f>'HIDDEN import'!C398</f>
        <v>ISO 15118 Support</v>
      </c>
      <c r="C398" t="str">
        <f>'HIDDEN import'!D398</f>
        <v>Set Charging Profile - Unable to set TxProfile on all EVSE at once</v>
      </c>
      <c r="D398" t="str">
        <f>IF(VLOOKUP(A398&amp;" "&amp;B398,'HIDDEN import'!A:G,5,FALSE)="M",MD!$A$1,(IF(AND(VLOOKUP(A398,'HIDDEN import'!B:E,4,FALSE)="C",OR(NOT(ISERROR(VLOOKUP(E398,'Optional features'!B:D,1,FALSE)=E398)),NOT(ISERROR(VLOOKUP(E398,'HIDDEN calc sheet'!A:C,1,FALSE)=E398)))),MD!$A$3,MD!$A$2)))</f>
        <v>Mandatory test for a mandatory feature</v>
      </c>
      <c r="E398" t="str">
        <f>IF('HIDDEN import'!F398=0,"",'HIDDEN import'!F398)</f>
        <v/>
      </c>
      <c r="F398" t="str">
        <f>IF('HIDDEN import'!G398=0,"",'HIDDEN import'!G398)</f>
        <v/>
      </c>
      <c r="G398" s="181" t="str">
        <f>IFERROR(VLOOKUP($A398,'HIDDEN Testrun Results'!$A:$B,2,FALSE),"")</f>
        <v/>
      </c>
      <c r="H398" s="11" t="b">
        <f t="shared" si="7"/>
        <v>0</v>
      </c>
      <c r="I398" s="11" t="b">
        <f>IF(VLOOKUP(A398&amp;" "&amp;B398,'HIDDEN import'!A:G,5,FALSE)="M",TRUE,IFERROR(VLOOKUP(E398,'Optional features'!B:D,3,FALSE)="Yes",IFERROR(VLOOKUP(E398,'HIDDEN calc sheet'!A:B,2,FALSE),IFERROR(VLOOKUP(E398,'Additional questions'!B:D,3,FALSE)="Yes",VLOOKUP(E398,'Hardware Feature set'!B:D,3,FALSE)="No"))))</f>
        <v>1</v>
      </c>
      <c r="J398" s="11" t="b">
        <f>IF(VLOOKUP(B398,'Profile selection'!B:C,2,FALSE)="Yes",TRUE,FALSE)</f>
        <v>0</v>
      </c>
      <c r="K398" s="53"/>
      <c r="L398" s="53"/>
    </row>
    <row r="399" spans="1:12" x14ac:dyDescent="0.25">
      <c r="A399" t="str">
        <f>'HIDDEN import'!B399</f>
        <v>TC_K_03_CS</v>
      </c>
      <c r="B399" t="str">
        <f>'HIDDEN import'!C399</f>
        <v>ISO 15118 Support</v>
      </c>
      <c r="C399" t="str">
        <f>'HIDDEN import'!D399</f>
        <v>Set Charging Profile - ChargingStationMaxProfile</v>
      </c>
      <c r="D399" t="str">
        <f>IF(VLOOKUP(A399&amp;" "&amp;B399,'HIDDEN import'!A:G,5,FALSE)="M",MD!$A$1,(IF(AND(VLOOKUP(A399,'HIDDEN import'!B:E,4,FALSE)="C",OR(NOT(ISERROR(VLOOKUP(E399,'Optional features'!B:D,1,FALSE)=E399)),NOT(ISERROR(VLOOKUP(E399,'HIDDEN calc sheet'!A:C,1,FALSE)=E399)))),MD!$A$3,MD!$A$2)))</f>
        <v>Mandatory test for a mandatory feature</v>
      </c>
      <c r="E399" t="str">
        <f>IF('HIDDEN import'!F399=0,"",'HIDDEN import'!F399)</f>
        <v/>
      </c>
      <c r="F399" t="str">
        <f>IF('HIDDEN import'!G399=0,"",'HIDDEN import'!G399)</f>
        <v/>
      </c>
      <c r="G399" s="181" t="str">
        <f>IFERROR(VLOOKUP($A399,'HIDDEN Testrun Results'!$A:$B,2,FALSE),"")</f>
        <v/>
      </c>
      <c r="H399" s="11" t="b">
        <f t="shared" si="7"/>
        <v>0</v>
      </c>
      <c r="I399" s="11" t="b">
        <f>IF(VLOOKUP(A399&amp;" "&amp;B399,'HIDDEN import'!A:G,5,FALSE)="M",TRUE,IFERROR(VLOOKUP(E399,'Optional features'!B:D,3,FALSE)="Yes",IFERROR(VLOOKUP(E399,'HIDDEN calc sheet'!A:B,2,FALSE),IFERROR(VLOOKUP(E399,'Additional questions'!B:D,3,FALSE)="Yes",VLOOKUP(E399,'Hardware Feature set'!B:D,3,FALSE)="No"))))</f>
        <v>1</v>
      </c>
      <c r="J399" s="11" t="b">
        <f>IF(VLOOKUP(B399,'Profile selection'!B:C,2,FALSE)="Yes",TRUE,FALSE)</f>
        <v>0</v>
      </c>
      <c r="K399" s="53"/>
      <c r="L399" s="53"/>
    </row>
    <row r="400" spans="1:12" x14ac:dyDescent="0.25">
      <c r="A400" t="str">
        <f>'HIDDEN import'!B400</f>
        <v>TC_K_19_CS</v>
      </c>
      <c r="B400" t="str">
        <f>'HIDDEN import'!C400</f>
        <v>ISO 15118 Support</v>
      </c>
      <c r="C400" t="str">
        <f>'HIDDEN import'!D400</f>
        <v>Set Charging Profile - ChargingProfileKind is Recurring</v>
      </c>
      <c r="D400" t="str">
        <f>IF(VLOOKUP(A400&amp;" "&amp;B400,'HIDDEN import'!A:G,5,FALSE)="M",MD!$A$1,(IF(AND(VLOOKUP(A400,'HIDDEN import'!B:E,4,FALSE)="C",OR(NOT(ISERROR(VLOOKUP(E400,'Optional features'!B:D,1,FALSE)=E400)),NOT(ISERROR(VLOOKUP(E400,'HIDDEN calc sheet'!A:C,1,FALSE)=E400)))),MD!$A$3,MD!$A$2)))</f>
        <v>Mandatory test for a mandatory feature</v>
      </c>
      <c r="E400" t="str">
        <f>IF('HIDDEN import'!F400=0,"",'HIDDEN import'!F400)</f>
        <v/>
      </c>
      <c r="F400" t="str">
        <f>IF('HIDDEN import'!G400=0,"",'HIDDEN import'!G400)</f>
        <v/>
      </c>
      <c r="G400" s="181" t="str">
        <f>IFERROR(VLOOKUP($A400,'HIDDEN Testrun Results'!$A:$B,2,FALSE),"")</f>
        <v/>
      </c>
      <c r="H400" s="11" t="b">
        <f t="shared" si="7"/>
        <v>0</v>
      </c>
      <c r="I400" s="11" t="b">
        <f>IF(VLOOKUP(A400&amp;" "&amp;B400,'HIDDEN import'!A:G,5,FALSE)="M",TRUE,IFERROR(VLOOKUP(E400,'Optional features'!B:D,3,FALSE)="Yes",IFERROR(VLOOKUP(E400,'HIDDEN calc sheet'!A:B,2,FALSE),IFERROR(VLOOKUP(E400,'Additional questions'!B:D,3,FALSE)="Yes",VLOOKUP(E400,'Hardware Feature set'!B:D,3,FALSE)="No"))))</f>
        <v>1</v>
      </c>
      <c r="J400" s="11" t="b">
        <f>IF(VLOOKUP(B400,'Profile selection'!B:C,2,FALSE)="Yes",TRUE,FALSE)</f>
        <v>0</v>
      </c>
      <c r="K400" s="53"/>
      <c r="L400" s="53"/>
    </row>
    <row r="401" spans="1:12" x14ac:dyDescent="0.25">
      <c r="A401" t="str">
        <f>'HIDDEN import'!B401</f>
        <v>TC_K_12_CS</v>
      </c>
      <c r="B401" t="str">
        <f>'HIDDEN import'!C401</f>
        <v>ISO 15118 Support</v>
      </c>
      <c r="C401" t="str">
        <f>'HIDDEN import'!D401</f>
        <v>Set Charging Profile - ChargerRateUnit Rejected</v>
      </c>
      <c r="D401" t="str">
        <f>IF(VLOOKUP(A401&amp;" "&amp;B401,'HIDDEN import'!A:G,5,FALSE)="M",MD!$A$1,(IF(AND(VLOOKUP(A401,'HIDDEN import'!B:E,4,FALSE)="C",OR(NOT(ISERROR(VLOOKUP(E401,'Optional features'!B:D,1,FALSE)=E401)),NOT(ISERROR(VLOOKUP(E401,'HIDDEN calc sheet'!A:C,1,FALSE)=E401)))),MD!$A$3,MD!$A$2)))</f>
        <v>Mandatory for optional feature</v>
      </c>
      <c r="E401" t="str">
        <f>IF('HIDDEN import'!F401=0,"",'HIDDEN import'!F401)</f>
        <v>NOT (SC-2.1 and SC-2.2)</v>
      </c>
      <c r="F401" t="str">
        <f>IF('HIDDEN import'!G401=0,"",'HIDDEN import'!G401)</f>
        <v/>
      </c>
      <c r="G401" s="181" t="str">
        <f>IFERROR(VLOOKUP($A401,'HIDDEN Testrun Results'!$A:$B,2,FALSE),"")</f>
        <v/>
      </c>
      <c r="H401" s="11" t="b">
        <f t="shared" si="7"/>
        <v>0</v>
      </c>
      <c r="I401" s="11" t="b">
        <f>IF(VLOOKUP(A401&amp;" "&amp;B401,'HIDDEN import'!A:G,5,FALSE)="M",TRUE,IFERROR(VLOOKUP(E401,'Optional features'!B:D,3,FALSE)="Yes",IFERROR(VLOOKUP(E401,'HIDDEN calc sheet'!A:B,2,FALSE),IFERROR(VLOOKUP(E401,'Additional questions'!B:D,3,FALSE)="Yes",VLOOKUP(E401,'Hardware Feature set'!B:D,3,FALSE)="No"))))</f>
        <v>1</v>
      </c>
      <c r="J401" s="11" t="b">
        <f>IF(VLOOKUP(B401,'Profile selection'!B:C,2,FALSE)="Yes",TRUE,FALSE)</f>
        <v>0</v>
      </c>
      <c r="K401" s="53"/>
      <c r="L401" s="53"/>
    </row>
    <row r="402" spans="1:12" x14ac:dyDescent="0.25">
      <c r="A402" t="str">
        <f>'HIDDEN import'!B402</f>
        <v>TC_K_13_CS</v>
      </c>
      <c r="B402" t="str">
        <f>'HIDDEN import'!C402</f>
        <v>ISO 15118 Support</v>
      </c>
      <c r="C402" t="str">
        <f>'HIDDEN import'!D402</f>
        <v>Set Charging Profile - Persistent over reboot</v>
      </c>
      <c r="D402" t="str">
        <f>IF(VLOOKUP(A402&amp;" "&amp;B402,'HIDDEN import'!A:G,5,FALSE)="M",MD!$A$1,(IF(AND(VLOOKUP(A402,'HIDDEN import'!B:E,4,FALSE)="C",OR(NOT(ISERROR(VLOOKUP(E402,'Optional features'!B:D,1,FALSE)=E402)),NOT(ISERROR(VLOOKUP(E402,'HIDDEN calc sheet'!A:C,1,FALSE)=E402)))),MD!$A$3,MD!$A$2)))</f>
        <v>Mandatory test for a mandatory feature</v>
      </c>
      <c r="E402" t="str">
        <f>IF('HIDDEN import'!F402=0,"",'HIDDEN import'!F402)</f>
        <v/>
      </c>
      <c r="F402" t="str">
        <f>IF('HIDDEN import'!G402=0,"",'HIDDEN import'!G402)</f>
        <v/>
      </c>
      <c r="G402" s="181" t="str">
        <f>IFERROR(VLOOKUP($A402,'HIDDEN Testrun Results'!$A:$B,2,FALSE),"")</f>
        <v/>
      </c>
      <c r="H402" s="11" t="b">
        <f t="shared" si="7"/>
        <v>0</v>
      </c>
      <c r="I402" s="11" t="b">
        <f>IF(VLOOKUP(A402&amp;" "&amp;B402,'HIDDEN import'!A:G,5,FALSE)="M",TRUE,IFERROR(VLOOKUP(E402,'Optional features'!B:D,3,FALSE)="Yes",IFERROR(VLOOKUP(E402,'HIDDEN calc sheet'!A:B,2,FALSE),IFERROR(VLOOKUP(E402,'Additional questions'!B:D,3,FALSE)="Yes",VLOOKUP(E402,'Hardware Feature set'!B:D,3,FALSE)="No"))))</f>
        <v>1</v>
      </c>
      <c r="J402" s="11" t="b">
        <f>IF(VLOOKUP(B402,'Profile selection'!B:C,2,FALSE)="Yes",TRUE,FALSE)</f>
        <v>0</v>
      </c>
      <c r="K402" s="53"/>
      <c r="L402" s="53"/>
    </row>
    <row r="403" spans="1:12" x14ac:dyDescent="0.25">
      <c r="A403" t="str">
        <f>'HIDDEN import'!B403</f>
        <v>TC_K_14_CS</v>
      </c>
      <c r="B403" t="str">
        <f>'HIDDEN import'!C403</f>
        <v>ISO 15118 Support</v>
      </c>
      <c r="C403" t="str">
        <f>'HIDDEN import'!D403</f>
        <v>Set Charging Profile - Unexisting EVSEid</v>
      </c>
      <c r="D403" t="str">
        <f>IF(VLOOKUP(A403&amp;" "&amp;B403,'HIDDEN import'!A:G,5,FALSE)="M",MD!$A$1,(IF(AND(VLOOKUP(A403,'HIDDEN import'!B:E,4,FALSE)="C",OR(NOT(ISERROR(VLOOKUP(E403,'Optional features'!B:D,1,FALSE)=E403)),NOT(ISERROR(VLOOKUP(E403,'HIDDEN calc sheet'!A:C,1,FALSE)=E403)))),MD!$A$3,MD!$A$2)))</f>
        <v>Mandatory test for a mandatory feature</v>
      </c>
      <c r="E403" t="str">
        <f>IF('HIDDEN import'!F403=0,"",'HIDDEN import'!F403)</f>
        <v/>
      </c>
      <c r="F403" t="str">
        <f>IF('HIDDEN import'!G403=0,"",'HIDDEN import'!G403)</f>
        <v/>
      </c>
      <c r="G403" s="181" t="str">
        <f>IFERROR(VLOOKUP($A403,'HIDDEN Testrun Results'!$A:$B,2,FALSE),"")</f>
        <v/>
      </c>
      <c r="H403" s="11" t="b">
        <f t="shared" si="7"/>
        <v>0</v>
      </c>
      <c r="I403" s="11" t="b">
        <f>IF(VLOOKUP(A403&amp;" "&amp;B403,'HIDDEN import'!A:G,5,FALSE)="M",TRUE,IFERROR(VLOOKUP(E403,'Optional features'!B:D,3,FALSE)="Yes",IFERROR(VLOOKUP(E403,'HIDDEN calc sheet'!A:B,2,FALSE),IFERROR(VLOOKUP(E403,'Additional questions'!B:D,3,FALSE)="Yes",VLOOKUP(E403,'Hardware Feature set'!B:D,3,FALSE)="No"))))</f>
        <v>1</v>
      </c>
      <c r="J403" s="11" t="b">
        <f>IF(VLOOKUP(B403,'Profile selection'!B:C,2,FALSE)="Yes",TRUE,FALSE)</f>
        <v>0</v>
      </c>
      <c r="K403" s="53"/>
      <c r="L403" s="53"/>
    </row>
    <row r="404" spans="1:12" x14ac:dyDescent="0.25">
      <c r="A404" t="str">
        <f>'HIDDEN import'!B404</f>
        <v>TC_K_28_CS</v>
      </c>
      <c r="B404" t="str">
        <f>'HIDDEN import'!C404</f>
        <v>ISO 15118 Support</v>
      </c>
      <c r="C404" t="str">
        <f>'HIDDEN import'!D404</f>
        <v>Set Charging Profile - TxDefaultProfile with transaction ongoing</v>
      </c>
      <c r="D404" t="str">
        <f>IF(VLOOKUP(A404&amp;" "&amp;B404,'HIDDEN import'!A:G,5,FALSE)="M",MD!$A$1,(IF(AND(VLOOKUP(A404,'HIDDEN import'!B:E,4,FALSE)="C",OR(NOT(ISERROR(VLOOKUP(E404,'Optional features'!B:D,1,FALSE)=E404)),NOT(ISERROR(VLOOKUP(E404,'HIDDEN calc sheet'!A:C,1,FALSE)=E404)))),MD!$A$3,MD!$A$2)))</f>
        <v>Mandatory test for a mandatory feature</v>
      </c>
      <c r="E404" t="str">
        <f>IF('HIDDEN import'!F404=0,"",'HIDDEN import'!F404)</f>
        <v/>
      </c>
      <c r="F404" t="str">
        <f>IF('HIDDEN import'!G404=0,"",'HIDDEN import'!G404)</f>
        <v/>
      </c>
      <c r="G404" s="181" t="str">
        <f>IFERROR(VLOOKUP($A404,'HIDDEN Testrun Results'!$A:$B,2,FALSE),"")</f>
        <v/>
      </c>
      <c r="H404" s="11" t="b">
        <f t="shared" si="7"/>
        <v>0</v>
      </c>
      <c r="I404" s="11" t="b">
        <f>IF(VLOOKUP(A404&amp;" "&amp;B404,'HIDDEN import'!A:G,5,FALSE)="M",TRUE,IFERROR(VLOOKUP(E404,'Optional features'!B:D,3,FALSE)="Yes",IFERROR(VLOOKUP(E404,'HIDDEN calc sheet'!A:B,2,FALSE),IFERROR(VLOOKUP(E404,'Additional questions'!B:D,3,FALSE)="Yes",VLOOKUP(E404,'Hardware Feature set'!B:D,3,FALSE)="No"))))</f>
        <v>1</v>
      </c>
      <c r="J404" s="11" t="b">
        <f>IF(VLOOKUP(B404,'Profile selection'!B:C,2,FALSE)="Yes",TRUE,FALSE)</f>
        <v>0</v>
      </c>
      <c r="K404" s="53"/>
      <c r="L404" s="53"/>
    </row>
    <row r="405" spans="1:12" x14ac:dyDescent="0.25">
      <c r="A405" t="str">
        <f>'HIDDEN import'!B405</f>
        <v>TC_K_16_CS</v>
      </c>
      <c r="B405" t="str">
        <f>'HIDDEN import'!C405</f>
        <v>ISO 15118 Support</v>
      </c>
      <c r="C405" t="str">
        <f>'HIDDEN import'!D405</f>
        <v>Set Charging Profile - Unknown transactionId</v>
      </c>
      <c r="D405" t="str">
        <f>IF(VLOOKUP(A405&amp;" "&amp;B405,'HIDDEN import'!A:G,5,FALSE)="M",MD!$A$1,(IF(AND(VLOOKUP(A405,'HIDDEN import'!B:E,4,FALSE)="C",OR(NOT(ISERROR(VLOOKUP(E405,'Optional features'!B:D,1,FALSE)=E405)),NOT(ISERROR(VLOOKUP(E405,'HIDDEN calc sheet'!A:C,1,FALSE)=E405)))),MD!$A$3,MD!$A$2)))</f>
        <v>Mandatory test for a mandatory feature</v>
      </c>
      <c r="E405" t="str">
        <f>IF('HIDDEN import'!F405=0,"",'HIDDEN import'!F405)</f>
        <v/>
      </c>
      <c r="F405" t="str">
        <f>IF('HIDDEN import'!G405=0,"",'HIDDEN import'!G405)</f>
        <v/>
      </c>
      <c r="G405" s="181" t="str">
        <f>IFERROR(VLOOKUP($A405,'HIDDEN Testrun Results'!$A:$B,2,FALSE),"")</f>
        <v/>
      </c>
      <c r="H405" s="11" t="b">
        <f t="shared" si="7"/>
        <v>0</v>
      </c>
      <c r="I405" s="11" t="b">
        <f>IF(VLOOKUP(A405&amp;" "&amp;B405,'HIDDEN import'!A:G,5,FALSE)="M",TRUE,IFERROR(VLOOKUP(E405,'Optional features'!B:D,3,FALSE)="Yes",IFERROR(VLOOKUP(E405,'HIDDEN calc sheet'!A:B,2,FALSE),IFERROR(VLOOKUP(E405,'Additional questions'!B:D,3,FALSE)="Yes",VLOOKUP(E405,'Hardware Feature set'!B:D,3,FALSE)="No"))))</f>
        <v>1</v>
      </c>
      <c r="J405" s="11" t="b">
        <f>IF(VLOOKUP(B405,'Profile selection'!B:C,2,FALSE)="Yes",TRUE,FALSE)</f>
        <v>0</v>
      </c>
      <c r="K405" s="53"/>
      <c r="L405" s="53"/>
    </row>
    <row r="406" spans="1:12" x14ac:dyDescent="0.25">
      <c r="A406" t="str">
        <f>'HIDDEN import'!B406</f>
        <v>TC_K_21_CS</v>
      </c>
      <c r="B406" t="str">
        <f>'HIDDEN import'!C406</f>
        <v>ISO 15118 Support</v>
      </c>
      <c r="C406" t="str">
        <f>'HIDDEN import'!D406</f>
        <v>Set Charging Profile - ValidFrom</v>
      </c>
      <c r="D406" t="str">
        <f>IF(VLOOKUP(A406&amp;" "&amp;B406,'HIDDEN import'!A:G,5,FALSE)="M",MD!$A$1,(IF(AND(VLOOKUP(A406,'HIDDEN import'!B:E,4,FALSE)="C",OR(NOT(ISERROR(VLOOKUP(E406,'Optional features'!B:D,1,FALSE)=E406)),NOT(ISERROR(VLOOKUP(E406,'HIDDEN calc sheet'!A:C,1,FALSE)=E406)))),MD!$A$3,MD!$A$2)))</f>
        <v>Mandatory test for a mandatory feature</v>
      </c>
      <c r="E406" t="str">
        <f>IF('HIDDEN import'!F406=0,"",'HIDDEN import'!F406)</f>
        <v/>
      </c>
      <c r="F406" t="str">
        <f>IF('HIDDEN import'!G406=0,"",'HIDDEN import'!G406)</f>
        <v/>
      </c>
      <c r="G406" s="181" t="str">
        <f>IFERROR(VLOOKUP($A406,'HIDDEN Testrun Results'!$A:$B,2,FALSE),"")</f>
        <v/>
      </c>
      <c r="H406" s="11" t="b">
        <f t="shared" si="7"/>
        <v>0</v>
      </c>
      <c r="I406" s="11" t="b">
        <f>IF(VLOOKUP(A406&amp;" "&amp;B406,'HIDDEN import'!A:G,5,FALSE)="M",TRUE,IFERROR(VLOOKUP(E406,'Optional features'!B:D,3,FALSE)="Yes",IFERROR(VLOOKUP(E406,'HIDDEN calc sheet'!A:B,2,FALSE),IFERROR(VLOOKUP(E406,'Additional questions'!B:D,3,FALSE)="Yes",VLOOKUP(E406,'Hardware Feature set'!B:D,3,FALSE)="No"))))</f>
        <v>1</v>
      </c>
      <c r="J406" s="11" t="b">
        <f>IF(VLOOKUP(B406,'Profile selection'!B:C,2,FALSE)="Yes",TRUE,FALSE)</f>
        <v>0</v>
      </c>
      <c r="K406" s="53"/>
      <c r="L406" s="53"/>
    </row>
    <row r="407" spans="1:12" x14ac:dyDescent="0.25">
      <c r="A407" t="str">
        <f>'HIDDEN import'!B407</f>
        <v>TC_K_22_CS</v>
      </c>
      <c r="B407" t="str">
        <f>'HIDDEN import'!C407</f>
        <v>ISO 15118 Support</v>
      </c>
      <c r="C407" t="str">
        <f>'HIDDEN import'!D407</f>
        <v>Set Charging Profile - ValidTo</v>
      </c>
      <c r="D407" t="str">
        <f>IF(VLOOKUP(A407&amp;" "&amp;B407,'HIDDEN import'!A:G,5,FALSE)="M",MD!$A$1,(IF(AND(VLOOKUP(A407,'HIDDEN import'!B:E,4,FALSE)="C",OR(NOT(ISERROR(VLOOKUP(E407,'Optional features'!B:D,1,FALSE)=E407)),NOT(ISERROR(VLOOKUP(E407,'HIDDEN calc sheet'!A:C,1,FALSE)=E407)))),MD!$A$3,MD!$A$2)))</f>
        <v>Mandatory test for a mandatory feature</v>
      </c>
      <c r="E407" t="str">
        <f>IF('HIDDEN import'!F407=0,"",'HIDDEN import'!F407)</f>
        <v/>
      </c>
      <c r="F407" t="str">
        <f>IF('HIDDEN import'!G407=0,"",'HIDDEN import'!G407)</f>
        <v/>
      </c>
      <c r="G407" s="181" t="str">
        <f>IFERROR(VLOOKUP($A407,'HIDDEN Testrun Results'!$A:$B,2,FALSE),"")</f>
        <v/>
      </c>
      <c r="H407" s="11" t="b">
        <f t="shared" si="7"/>
        <v>0</v>
      </c>
      <c r="I407" s="11" t="b">
        <f>IF(VLOOKUP(A407&amp;" "&amp;B407,'HIDDEN import'!A:G,5,FALSE)="M",TRUE,IFERROR(VLOOKUP(E407,'Optional features'!B:D,3,FALSE)="Yes",IFERROR(VLOOKUP(E407,'HIDDEN calc sheet'!A:B,2,FALSE),IFERROR(VLOOKUP(E407,'Additional questions'!B:D,3,FALSE)="Yes",VLOOKUP(E407,'Hardware Feature set'!B:D,3,FALSE)="No"))))</f>
        <v>1</v>
      </c>
      <c r="J407" s="11" t="b">
        <f>IF(VLOOKUP(B407,'Profile selection'!B:C,2,FALSE)="Yes",TRUE,FALSE)</f>
        <v>0</v>
      </c>
      <c r="K407" s="53"/>
      <c r="L407" s="53"/>
    </row>
    <row r="408" spans="1:12" x14ac:dyDescent="0.25">
      <c r="A408" t="str">
        <f>'HIDDEN import'!B408</f>
        <v>TC_K_23_CS</v>
      </c>
      <c r="B408" t="str">
        <f>'HIDDEN import'!C408</f>
        <v>ISO 15118 Support</v>
      </c>
      <c r="C408" t="str">
        <f>'HIDDEN import'!D408</f>
        <v>Set Charging Profile - StartSchedule</v>
      </c>
      <c r="D408" t="str">
        <f>IF(VLOOKUP(A408&amp;" "&amp;B408,'HIDDEN import'!A:G,5,FALSE)="M",MD!$A$1,(IF(AND(VLOOKUP(A408,'HIDDEN import'!B:E,4,FALSE)="C",OR(NOT(ISERROR(VLOOKUP(E408,'Optional features'!B:D,1,FALSE)=E408)),NOT(ISERROR(VLOOKUP(E408,'HIDDEN calc sheet'!A:C,1,FALSE)=E408)))),MD!$A$3,MD!$A$2)))</f>
        <v>Mandatory test for a mandatory feature</v>
      </c>
      <c r="E408" t="str">
        <f>IF('HIDDEN import'!F408=0,"",'HIDDEN import'!F408)</f>
        <v/>
      </c>
      <c r="F408" t="str">
        <f>IF('HIDDEN import'!G408=0,"",'HIDDEN import'!G408)</f>
        <v/>
      </c>
      <c r="G408" s="181" t="str">
        <f>IFERROR(VLOOKUP($A408,'HIDDEN Testrun Results'!$A:$B,2,FALSE),"")</f>
        <v/>
      </c>
      <c r="H408" s="11" t="b">
        <f t="shared" si="7"/>
        <v>0</v>
      </c>
      <c r="I408" s="11" t="b">
        <f>IF(VLOOKUP(A408&amp;" "&amp;B408,'HIDDEN import'!A:G,5,FALSE)="M",TRUE,IFERROR(VLOOKUP(E408,'Optional features'!B:D,3,FALSE)="Yes",IFERROR(VLOOKUP(E408,'HIDDEN calc sheet'!A:B,2,FALSE),IFERROR(VLOOKUP(E408,'Additional questions'!B:D,3,FALSE)="Yes",VLOOKUP(E408,'Hardware Feature set'!B:D,3,FALSE)="No"))))</f>
        <v>1</v>
      </c>
      <c r="J408" s="11" t="b">
        <f>IF(VLOOKUP(B408,'Profile selection'!B:C,2,FALSE)="Yes",TRUE,FALSE)</f>
        <v>0</v>
      </c>
      <c r="K408" s="53"/>
      <c r="L408" s="53"/>
    </row>
    <row r="409" spans="1:12" x14ac:dyDescent="0.25">
      <c r="A409" t="str">
        <f>'HIDDEN import'!B409</f>
        <v>TC_K_04_CS</v>
      </c>
      <c r="B409" t="str">
        <f>'HIDDEN import'!C409</f>
        <v>ISO 15118 Support</v>
      </c>
      <c r="C409" t="str">
        <f>'HIDDEN import'!D409</f>
        <v>Replace charging profile - With chargingProfileId</v>
      </c>
      <c r="D409" t="str">
        <f>IF(VLOOKUP(A409&amp;" "&amp;B409,'HIDDEN import'!A:G,5,FALSE)="M",MD!$A$1,(IF(AND(VLOOKUP(A409,'HIDDEN import'!B:E,4,FALSE)="C",OR(NOT(ISERROR(VLOOKUP(E409,'Optional features'!B:D,1,FALSE)=E409)),NOT(ISERROR(VLOOKUP(E409,'HIDDEN calc sheet'!A:C,1,FALSE)=E409)))),MD!$A$3,MD!$A$2)))</f>
        <v>Mandatory test for a mandatory feature</v>
      </c>
      <c r="E409" t="str">
        <f>IF('HIDDEN import'!F409=0,"",'HIDDEN import'!F409)</f>
        <v/>
      </c>
      <c r="F409" t="str">
        <f>IF('HIDDEN import'!G409=0,"",'HIDDEN import'!G409)</f>
        <v/>
      </c>
      <c r="G409" s="181" t="str">
        <f>IFERROR(VLOOKUP($A409,'HIDDEN Testrun Results'!$A:$B,2,FALSE),"")</f>
        <v/>
      </c>
      <c r="H409" s="11" t="b">
        <f t="shared" si="7"/>
        <v>0</v>
      </c>
      <c r="I409" s="11" t="b">
        <f>IF(VLOOKUP(A409&amp;" "&amp;B409,'HIDDEN import'!A:G,5,FALSE)="M",TRUE,IFERROR(VLOOKUP(E409,'Optional features'!B:D,3,FALSE)="Yes",IFERROR(VLOOKUP(E409,'HIDDEN calc sheet'!A:B,2,FALSE),IFERROR(VLOOKUP(E409,'Additional questions'!B:D,3,FALSE)="Yes",VLOOKUP(E409,'Hardware Feature set'!B:D,3,FALSE)="No"))))</f>
        <v>1</v>
      </c>
      <c r="J409" s="11" t="b">
        <f>IF(VLOOKUP(B409,'Profile selection'!B:C,2,FALSE)="Yes",TRUE,FALSE)</f>
        <v>0</v>
      </c>
      <c r="K409" s="53"/>
      <c r="L409" s="53"/>
    </row>
    <row r="410" spans="1:12" x14ac:dyDescent="0.25">
      <c r="A410" t="str">
        <f>'HIDDEN import'!B410</f>
        <v>TC_K_39_CS</v>
      </c>
      <c r="B410" t="str">
        <f>'HIDDEN import'!C410</f>
        <v>ISO 15118 Support</v>
      </c>
      <c r="C410" t="str">
        <f>'HIDDEN import'!D410</f>
        <v>Get Composite Schedule - No ChargingProfile installed on Charging Station</v>
      </c>
      <c r="D410" t="str">
        <f>IF(VLOOKUP(A410&amp;" "&amp;B410,'HIDDEN import'!A:G,5,FALSE)="M",MD!$A$1,(IF(AND(VLOOKUP(A410,'HIDDEN import'!B:E,4,FALSE)="C",OR(NOT(ISERROR(VLOOKUP(E410,'Optional features'!B:D,1,FALSE)=E410)),NOT(ISERROR(VLOOKUP(E410,'HIDDEN calc sheet'!A:C,1,FALSE)=E410)))),MD!$A$3,MD!$A$2)))</f>
        <v>Mandatory test for a mandatory feature</v>
      </c>
      <c r="E410" t="str">
        <f>IF('HIDDEN import'!F410=0,"",'HIDDEN import'!F410)</f>
        <v/>
      </c>
      <c r="F410" t="str">
        <f>IF('HIDDEN import'!G410=0,"",'HIDDEN import'!G410)</f>
        <v/>
      </c>
      <c r="G410" s="181" t="str">
        <f>IFERROR(VLOOKUP($A410,'HIDDEN Testrun Results'!$A:$B,2,FALSE),"")</f>
        <v/>
      </c>
      <c r="H410" s="11" t="b">
        <f t="shared" si="7"/>
        <v>0</v>
      </c>
      <c r="I410" s="11" t="b">
        <f>IF(VLOOKUP(A410&amp;" "&amp;B410,'HIDDEN import'!A:G,5,FALSE)="M",TRUE,IFERROR(VLOOKUP(E410,'Optional features'!B:D,3,FALSE)="Yes",IFERROR(VLOOKUP(E410,'HIDDEN calc sheet'!A:B,2,FALSE),IFERROR(VLOOKUP(E410,'Additional questions'!B:D,3,FALSE)="Yes",VLOOKUP(E410,'Hardware Feature set'!B:D,3,FALSE)="No"))))</f>
        <v>1</v>
      </c>
      <c r="J410" s="11" t="b">
        <f>IF(VLOOKUP(B410,'Profile selection'!B:C,2,FALSE)="Yes",TRUE,FALSE)</f>
        <v>0</v>
      </c>
      <c r="K410" s="53"/>
      <c r="L410" s="53"/>
    </row>
    <row r="411" spans="1:12" x14ac:dyDescent="0.25">
      <c r="A411" t="str">
        <f>'HIDDEN import'!B411</f>
        <v>TC_K_40_CS</v>
      </c>
      <c r="B411" t="str">
        <f>'HIDDEN import'!C411</f>
        <v>ISO 15118 Support</v>
      </c>
      <c r="C411" t="str">
        <f>'HIDDEN import'!D411</f>
        <v>Get Composite Schedule - Stacking ChargingProfiles</v>
      </c>
      <c r="D411" t="str">
        <f>IF(VLOOKUP(A411&amp;" "&amp;B411,'HIDDEN import'!A:G,5,FALSE)="M",MD!$A$1,(IF(AND(VLOOKUP(A411,'HIDDEN import'!B:E,4,FALSE)="C",OR(NOT(ISERROR(VLOOKUP(E411,'Optional features'!B:D,1,FALSE)=E411)),NOT(ISERROR(VLOOKUP(E411,'HIDDEN calc sheet'!A:C,1,FALSE)=E411)))),MD!$A$3,MD!$A$2)))</f>
        <v>Mandatory test for a mandatory feature</v>
      </c>
      <c r="E411" t="str">
        <f>IF('HIDDEN import'!F411=0,"",'HIDDEN import'!F411)</f>
        <v/>
      </c>
      <c r="F411" t="str">
        <f>IF('HIDDEN import'!G411=0,"",'HIDDEN import'!G411)</f>
        <v/>
      </c>
      <c r="G411" s="181" t="str">
        <f>IFERROR(VLOOKUP($A411,'HIDDEN Testrun Results'!$A:$B,2,FALSE),"")</f>
        <v/>
      </c>
      <c r="H411" s="11" t="b">
        <f t="shared" si="7"/>
        <v>0</v>
      </c>
      <c r="I411" s="11" t="b">
        <f>IF(VLOOKUP(A411&amp;" "&amp;B411,'HIDDEN import'!A:G,5,FALSE)="M",TRUE,IFERROR(VLOOKUP(E411,'Optional features'!B:D,3,FALSE)="Yes",IFERROR(VLOOKUP(E411,'HIDDEN calc sheet'!A:B,2,FALSE),IFERROR(VLOOKUP(E411,'Additional questions'!B:D,3,FALSE)="Yes",VLOOKUP(E411,'Hardware Feature set'!B:D,3,FALSE)="No"))))</f>
        <v>1</v>
      </c>
      <c r="J411" s="11" t="b">
        <f>IF(VLOOKUP(B411,'Profile selection'!B:C,2,FALSE)="Yes",TRUE,FALSE)</f>
        <v>0</v>
      </c>
      <c r="K411" s="53"/>
      <c r="L411" s="53"/>
    </row>
    <row r="412" spans="1:12" x14ac:dyDescent="0.25">
      <c r="A412" t="str">
        <f>'HIDDEN import'!B412</f>
        <v>TC_K_41_CS</v>
      </c>
      <c r="B412" t="str">
        <f>'HIDDEN import'!C412</f>
        <v>ISO 15118 Support</v>
      </c>
      <c r="C412" t="str">
        <f>'HIDDEN import'!D412</f>
        <v>Get Composite Schedule - Combining chargingProfilePurposes</v>
      </c>
      <c r="D412" t="str">
        <f>IF(VLOOKUP(A412&amp;" "&amp;B412,'HIDDEN import'!A:G,5,FALSE)="M",MD!$A$1,(IF(AND(VLOOKUP(A412,'HIDDEN import'!B:E,4,FALSE)="C",OR(NOT(ISERROR(VLOOKUP(E412,'Optional features'!B:D,1,FALSE)=E412)),NOT(ISERROR(VLOOKUP(E412,'HIDDEN calc sheet'!A:C,1,FALSE)=E412)))),MD!$A$3,MD!$A$2)))</f>
        <v>Mandatory test for a mandatory feature</v>
      </c>
      <c r="E412" t="str">
        <f>IF('HIDDEN import'!F412=0,"",'HIDDEN import'!F412)</f>
        <v/>
      </c>
      <c r="F412" t="str">
        <f>IF('HIDDEN import'!G412=0,"",'HIDDEN import'!G412)</f>
        <v/>
      </c>
      <c r="G412" s="181" t="str">
        <f>IFERROR(VLOOKUP($A412,'HIDDEN Testrun Results'!$A:$B,2,FALSE),"")</f>
        <v/>
      </c>
      <c r="H412" s="11" t="b">
        <f t="shared" si="7"/>
        <v>0</v>
      </c>
      <c r="I412" s="11" t="b">
        <f>IF(VLOOKUP(A412&amp;" "&amp;B412,'HIDDEN import'!A:G,5,FALSE)="M",TRUE,IFERROR(VLOOKUP(E412,'Optional features'!B:D,3,FALSE)="Yes",IFERROR(VLOOKUP(E412,'HIDDEN calc sheet'!A:B,2,FALSE),IFERROR(VLOOKUP(E412,'Additional questions'!B:D,3,FALSE)="Yes",VLOOKUP(E412,'Hardware Feature set'!B:D,3,FALSE)="No"))))</f>
        <v>1</v>
      </c>
      <c r="J412" s="11" t="b">
        <f>IF(VLOOKUP(B412,'Profile selection'!B:C,2,FALSE)="Yes",TRUE,FALSE)</f>
        <v>0</v>
      </c>
      <c r="K412" s="53"/>
      <c r="L412" s="53"/>
    </row>
    <row r="413" spans="1:12" x14ac:dyDescent="0.25">
      <c r="A413" t="str">
        <f>'HIDDEN import'!B413</f>
        <v>TC_K_42_CS</v>
      </c>
      <c r="B413" t="str">
        <f>'HIDDEN import'!C413</f>
        <v>ISO 15118 Support</v>
      </c>
      <c r="C413" t="str">
        <f>'HIDDEN import'!D413</f>
        <v>Get Composite Schedule - chargingRateUnit  not supported</v>
      </c>
      <c r="D413" t="str">
        <f>IF(VLOOKUP(A413&amp;" "&amp;B413,'HIDDEN import'!A:G,5,FALSE)="M",MD!$A$1,(IF(AND(VLOOKUP(A413,'HIDDEN import'!B:E,4,FALSE)="C",OR(NOT(ISERROR(VLOOKUP(E413,'Optional features'!B:D,1,FALSE)=E413)),NOT(ISERROR(VLOOKUP(E413,'HIDDEN calc sheet'!A:C,1,FALSE)=E413)))),MD!$A$3,MD!$A$2)))</f>
        <v>Mandatory for optional feature</v>
      </c>
      <c r="E413" t="str">
        <f>IF('HIDDEN import'!F413=0,"",'HIDDEN import'!F413)</f>
        <v>NOT (SC-2.1 and SC-2.2)</v>
      </c>
      <c r="F413" t="str">
        <f>IF('HIDDEN import'!G413=0,"",'HIDDEN import'!G413)</f>
        <v/>
      </c>
      <c r="G413" s="181" t="str">
        <f>IFERROR(VLOOKUP($A413,'HIDDEN Testrun Results'!$A:$B,2,FALSE),"")</f>
        <v/>
      </c>
      <c r="H413" s="11" t="b">
        <f t="shared" si="7"/>
        <v>0</v>
      </c>
      <c r="I413" s="11" t="b">
        <f>IF(VLOOKUP(A413&amp;" "&amp;B413,'HIDDEN import'!A:G,5,FALSE)="M",TRUE,IFERROR(VLOOKUP(E413,'Optional features'!B:D,3,FALSE)="Yes",IFERROR(VLOOKUP(E413,'HIDDEN calc sheet'!A:B,2,FALSE),IFERROR(VLOOKUP(E413,'Additional questions'!B:D,3,FALSE)="Yes",VLOOKUP(E413,'Hardware Feature set'!B:D,3,FALSE)="No"))))</f>
        <v>1</v>
      </c>
      <c r="J413" s="11" t="b">
        <f>IF(VLOOKUP(B413,'Profile selection'!B:C,2,FALSE)="Yes",TRUE,FALSE)</f>
        <v>0</v>
      </c>
      <c r="K413" s="53"/>
      <c r="L413" s="53"/>
    </row>
    <row r="414" spans="1:12" x14ac:dyDescent="0.25">
      <c r="A414" t="str">
        <f>'HIDDEN import'!B414</f>
        <v>TC_K_47_CS</v>
      </c>
      <c r="B414" t="str">
        <f>'HIDDEN import'!C414</f>
        <v>ISO 15118 Support</v>
      </c>
      <c r="C414" t="str">
        <f>'HIDDEN import'!D414</f>
        <v>Get Composite Schedule - Unknown EVSEId</v>
      </c>
      <c r="D414" t="str">
        <f>IF(VLOOKUP(A414&amp;" "&amp;B414,'HIDDEN import'!A:G,5,FALSE)="M",MD!$A$1,(IF(AND(VLOOKUP(A414,'HIDDEN import'!B:E,4,FALSE)="C",OR(NOT(ISERROR(VLOOKUP(E414,'Optional features'!B:D,1,FALSE)=E414)),NOT(ISERROR(VLOOKUP(E414,'HIDDEN calc sheet'!A:C,1,FALSE)=E414)))),MD!$A$3,MD!$A$2)))</f>
        <v>Mandatory test for a mandatory feature</v>
      </c>
      <c r="E414" t="str">
        <f>IF('HIDDEN import'!F414=0,"",'HIDDEN import'!F414)</f>
        <v/>
      </c>
      <c r="F414" t="str">
        <f>IF('HIDDEN import'!G414=0,"",'HIDDEN import'!G414)</f>
        <v/>
      </c>
      <c r="G414" s="181" t="str">
        <f>IFERROR(VLOOKUP($A414,'HIDDEN Testrun Results'!$A:$B,2,FALSE),"")</f>
        <v/>
      </c>
      <c r="H414" s="11" t="b">
        <f t="shared" si="7"/>
        <v>0</v>
      </c>
      <c r="I414" s="11" t="b">
        <f>IF(VLOOKUP(A414&amp;" "&amp;B414,'HIDDEN import'!A:G,5,FALSE)="M",TRUE,IFERROR(VLOOKUP(E414,'Optional features'!B:D,3,FALSE)="Yes",IFERROR(VLOOKUP(E414,'HIDDEN calc sheet'!A:B,2,FALSE),IFERROR(VLOOKUP(E414,'Additional questions'!B:D,3,FALSE)="Yes",VLOOKUP(E414,'Hardware Feature set'!B:D,3,FALSE)="No"))))</f>
        <v>1</v>
      </c>
      <c r="J414" s="11" t="b">
        <f>IF(VLOOKUP(B414,'Profile selection'!B:C,2,FALSE)="Yes",TRUE,FALSE)</f>
        <v>0</v>
      </c>
      <c r="K414" s="53"/>
      <c r="L414" s="53"/>
    </row>
    <row r="415" spans="1:12" x14ac:dyDescent="0.25">
      <c r="A415" t="str">
        <f>'HIDDEN import'!B415</f>
        <v>TC_K_29_CS</v>
      </c>
      <c r="B415" t="str">
        <f>'HIDDEN import'!C415</f>
        <v>ISO 15118 Support</v>
      </c>
      <c r="C415" t="str">
        <f>'HIDDEN import'!D415</f>
        <v>Get Charging Profile - EvseId 0</v>
      </c>
      <c r="D415" t="str">
        <f>IF(VLOOKUP(A415&amp;" "&amp;B415,'HIDDEN import'!A:G,5,FALSE)="M",MD!$A$1,(IF(AND(VLOOKUP(A415,'HIDDEN import'!B:E,4,FALSE)="C",OR(NOT(ISERROR(VLOOKUP(E415,'Optional features'!B:D,1,FALSE)=E415)),NOT(ISERROR(VLOOKUP(E415,'HIDDEN calc sheet'!A:C,1,FALSE)=E415)))),MD!$A$3,MD!$A$2)))</f>
        <v>Mandatory test for a mandatory feature</v>
      </c>
      <c r="E415" t="str">
        <f>IF('HIDDEN import'!F415=0,"",'HIDDEN import'!F415)</f>
        <v/>
      </c>
      <c r="F415" t="str">
        <f>IF('HIDDEN import'!G415=0,"",'HIDDEN import'!G415)</f>
        <v/>
      </c>
      <c r="G415" s="181" t="str">
        <f>IFERROR(VLOOKUP($A415,'HIDDEN Testrun Results'!$A:$B,2,FALSE),"")</f>
        <v/>
      </c>
      <c r="H415" s="11" t="b">
        <f t="shared" si="7"/>
        <v>0</v>
      </c>
      <c r="I415" s="11" t="b">
        <f>IF(VLOOKUP(A415&amp;" "&amp;B415,'HIDDEN import'!A:G,5,FALSE)="M",TRUE,IFERROR(VLOOKUP(E415,'Optional features'!B:D,3,FALSE)="Yes",IFERROR(VLOOKUP(E415,'HIDDEN calc sheet'!A:B,2,FALSE),IFERROR(VLOOKUP(E415,'Additional questions'!B:D,3,FALSE)="Yes",VLOOKUP(E415,'Hardware Feature set'!B:D,3,FALSE)="No"))))</f>
        <v>1</v>
      </c>
      <c r="J415" s="11" t="b">
        <f>IF(VLOOKUP(B415,'Profile selection'!B:C,2,FALSE)="Yes",TRUE,FALSE)</f>
        <v>0</v>
      </c>
      <c r="K415" s="53"/>
      <c r="L415" s="53"/>
    </row>
    <row r="416" spans="1:12" x14ac:dyDescent="0.25">
      <c r="A416" t="str">
        <f>'HIDDEN import'!B416</f>
        <v>TC_K_30_CS</v>
      </c>
      <c r="B416" t="str">
        <f>'HIDDEN import'!C416</f>
        <v>ISO 15118 Support</v>
      </c>
      <c r="C416" t="str">
        <f>'HIDDEN import'!D416</f>
        <v>Get Charging Profile - EvseId &gt; 0</v>
      </c>
      <c r="D416" t="str">
        <f>IF(VLOOKUP(A416&amp;" "&amp;B416,'HIDDEN import'!A:G,5,FALSE)="M",MD!$A$1,(IF(AND(VLOOKUP(A416,'HIDDEN import'!B:E,4,FALSE)="C",OR(NOT(ISERROR(VLOOKUP(E416,'Optional features'!B:D,1,FALSE)=E416)),NOT(ISERROR(VLOOKUP(E416,'HIDDEN calc sheet'!A:C,1,FALSE)=E416)))),MD!$A$3,MD!$A$2)))</f>
        <v>Mandatory test for a mandatory feature</v>
      </c>
      <c r="E416" t="str">
        <f>IF('HIDDEN import'!F416=0,"",'HIDDEN import'!F416)</f>
        <v/>
      </c>
      <c r="F416" t="str">
        <f>IF('HIDDEN import'!G416=0,"",'HIDDEN import'!G416)</f>
        <v/>
      </c>
      <c r="G416" s="181" t="str">
        <f>IFERROR(VLOOKUP($A416,'HIDDEN Testrun Results'!$A:$B,2,FALSE),"")</f>
        <v/>
      </c>
      <c r="H416" s="11" t="b">
        <f t="shared" si="7"/>
        <v>0</v>
      </c>
      <c r="I416" s="11" t="b">
        <f>IF(VLOOKUP(A416&amp;" "&amp;B416,'HIDDEN import'!A:G,5,FALSE)="M",TRUE,IFERROR(VLOOKUP(E416,'Optional features'!B:D,3,FALSE)="Yes",IFERROR(VLOOKUP(E416,'HIDDEN calc sheet'!A:B,2,FALSE),IFERROR(VLOOKUP(E416,'Additional questions'!B:D,3,FALSE)="Yes",VLOOKUP(E416,'Hardware Feature set'!B:D,3,FALSE)="No"))))</f>
        <v>1</v>
      </c>
      <c r="J416" s="11" t="b">
        <f>IF(VLOOKUP(B416,'Profile selection'!B:C,2,FALSE)="Yes",TRUE,FALSE)</f>
        <v>0</v>
      </c>
      <c r="K416" s="53"/>
      <c r="L416" s="53"/>
    </row>
    <row r="417" spans="1:12" x14ac:dyDescent="0.25">
      <c r="A417" t="str">
        <f>'HIDDEN import'!B417</f>
        <v>TC_K_31_CS</v>
      </c>
      <c r="B417" t="str">
        <f>'HIDDEN import'!C417</f>
        <v>ISO 15118 Support</v>
      </c>
      <c r="C417" t="str">
        <f>'HIDDEN import'!D417</f>
        <v>Get Charging Profile - No EvseId</v>
      </c>
      <c r="D417" t="str">
        <f>IF(VLOOKUP(A417&amp;" "&amp;B417,'HIDDEN import'!A:G,5,FALSE)="M",MD!$A$1,(IF(AND(VLOOKUP(A417,'HIDDEN import'!B:E,4,FALSE)="C",OR(NOT(ISERROR(VLOOKUP(E417,'Optional features'!B:D,1,FALSE)=E417)),NOT(ISERROR(VLOOKUP(E417,'HIDDEN calc sheet'!A:C,1,FALSE)=E417)))),MD!$A$3,MD!$A$2)))</f>
        <v>Mandatory test for a mandatory feature</v>
      </c>
      <c r="E417" t="str">
        <f>IF('HIDDEN import'!F417=0,"",'HIDDEN import'!F417)</f>
        <v/>
      </c>
      <c r="F417" t="str">
        <f>IF('HIDDEN import'!G417=0,"",'HIDDEN import'!G417)</f>
        <v/>
      </c>
      <c r="G417" s="181" t="str">
        <f>IFERROR(VLOOKUP($A417,'HIDDEN Testrun Results'!$A:$B,2,FALSE),"")</f>
        <v/>
      </c>
      <c r="H417" s="11" t="b">
        <f t="shared" si="7"/>
        <v>0</v>
      </c>
      <c r="I417" s="11" t="b">
        <f>IF(VLOOKUP(A417&amp;" "&amp;B417,'HIDDEN import'!A:G,5,FALSE)="M",TRUE,IFERROR(VLOOKUP(E417,'Optional features'!B:D,3,FALSE)="Yes",IFERROR(VLOOKUP(E417,'HIDDEN calc sheet'!A:B,2,FALSE),IFERROR(VLOOKUP(E417,'Additional questions'!B:D,3,FALSE)="Yes",VLOOKUP(E417,'Hardware Feature set'!B:D,3,FALSE)="No"))))</f>
        <v>1</v>
      </c>
      <c r="J417" s="11" t="b">
        <f>IF(VLOOKUP(B417,'Profile selection'!B:C,2,FALSE)="Yes",TRUE,FALSE)</f>
        <v>0</v>
      </c>
      <c r="K417" s="53"/>
      <c r="L417" s="53"/>
    </row>
    <row r="418" spans="1:12" x14ac:dyDescent="0.25">
      <c r="A418" t="str">
        <f>'HIDDEN import'!B418</f>
        <v>TC_K_32_CS</v>
      </c>
      <c r="B418" t="str">
        <f>'HIDDEN import'!C418</f>
        <v>ISO 15118 Support</v>
      </c>
      <c r="C418" t="str">
        <f>'HIDDEN import'!D418</f>
        <v>Get Charging Profile - chargingProfileId</v>
      </c>
      <c r="D418" t="str">
        <f>IF(VLOOKUP(A418&amp;" "&amp;B418,'HIDDEN import'!A:G,5,FALSE)="M",MD!$A$1,(IF(AND(VLOOKUP(A418,'HIDDEN import'!B:E,4,FALSE)="C",OR(NOT(ISERROR(VLOOKUP(E418,'Optional features'!B:D,1,FALSE)=E418)),NOT(ISERROR(VLOOKUP(E418,'HIDDEN calc sheet'!A:C,1,FALSE)=E418)))),MD!$A$3,MD!$A$2)))</f>
        <v>Mandatory test for a mandatory feature</v>
      </c>
      <c r="E418" t="str">
        <f>IF('HIDDEN import'!F418=0,"",'HIDDEN import'!F418)</f>
        <v/>
      </c>
      <c r="F418" t="str">
        <f>IF('HIDDEN import'!G418=0,"",'HIDDEN import'!G418)</f>
        <v/>
      </c>
      <c r="G418" s="181" t="str">
        <f>IFERROR(VLOOKUP($A418,'HIDDEN Testrun Results'!$A:$B,2,FALSE),"")</f>
        <v/>
      </c>
      <c r="H418" s="11" t="b">
        <f t="shared" si="7"/>
        <v>0</v>
      </c>
      <c r="I418" s="11" t="b">
        <f>IF(VLOOKUP(A418&amp;" "&amp;B418,'HIDDEN import'!A:G,5,FALSE)="M",TRUE,IFERROR(VLOOKUP(E418,'Optional features'!B:D,3,FALSE)="Yes",IFERROR(VLOOKUP(E418,'HIDDEN calc sheet'!A:B,2,FALSE),IFERROR(VLOOKUP(E418,'Additional questions'!B:D,3,FALSE)="Yes",VLOOKUP(E418,'Hardware Feature set'!B:D,3,FALSE)="No"))))</f>
        <v>1</v>
      </c>
      <c r="J418" s="11" t="b">
        <f>IF(VLOOKUP(B418,'Profile selection'!B:C,2,FALSE)="Yes",TRUE,FALSE)</f>
        <v>0</v>
      </c>
      <c r="K418" s="53"/>
      <c r="L418" s="53"/>
    </row>
    <row r="419" spans="1:12" x14ac:dyDescent="0.25">
      <c r="A419" t="str">
        <f>'HIDDEN import'!B419</f>
        <v>TC_K_33_CS</v>
      </c>
      <c r="B419" t="str">
        <f>'HIDDEN import'!C419</f>
        <v>ISO 15118 Support</v>
      </c>
      <c r="C419" t="str">
        <f>'HIDDEN import'!D419</f>
        <v>Get Charging Profile - EvseId &gt; 0 + stackLevel</v>
      </c>
      <c r="D419" t="str">
        <f>IF(VLOOKUP(A419&amp;" "&amp;B419,'HIDDEN import'!A:G,5,FALSE)="M",MD!$A$1,(IF(AND(VLOOKUP(A419,'HIDDEN import'!B:E,4,FALSE)="C",OR(NOT(ISERROR(VLOOKUP(E419,'Optional features'!B:D,1,FALSE)=E419)),NOT(ISERROR(VLOOKUP(E419,'HIDDEN calc sheet'!A:C,1,FALSE)=E419)))),MD!$A$3,MD!$A$2)))</f>
        <v>Mandatory test for a mandatory feature</v>
      </c>
      <c r="E419" t="str">
        <f>IF('HIDDEN import'!F419=0,"",'HIDDEN import'!F419)</f>
        <v/>
      </c>
      <c r="F419" t="str">
        <f>IF('HIDDEN import'!G419=0,"",'HIDDEN import'!G419)</f>
        <v/>
      </c>
      <c r="G419" s="181" t="str">
        <f>IFERROR(VLOOKUP($A419,'HIDDEN Testrun Results'!$A:$B,2,FALSE),"")</f>
        <v/>
      </c>
      <c r="H419" s="11" t="b">
        <f t="shared" si="7"/>
        <v>0</v>
      </c>
      <c r="I419" s="11" t="b">
        <f>IF(VLOOKUP(A419&amp;" "&amp;B419,'HIDDEN import'!A:G,5,FALSE)="M",TRUE,IFERROR(VLOOKUP(E419,'Optional features'!B:D,3,FALSE)="Yes",IFERROR(VLOOKUP(E419,'HIDDEN calc sheet'!A:B,2,FALSE),IFERROR(VLOOKUP(E419,'Additional questions'!B:D,3,FALSE)="Yes",VLOOKUP(E419,'Hardware Feature set'!B:D,3,FALSE)="No"))))</f>
        <v>1</v>
      </c>
      <c r="J419" s="11" t="b">
        <f>IF(VLOOKUP(B419,'Profile selection'!B:C,2,FALSE)="Yes",TRUE,FALSE)</f>
        <v>0</v>
      </c>
      <c r="K419" s="53"/>
      <c r="L419" s="53"/>
    </row>
    <row r="420" spans="1:12" x14ac:dyDescent="0.25">
      <c r="A420" t="str">
        <f>'HIDDEN import'!B420</f>
        <v>TC_K_34_CS</v>
      </c>
      <c r="B420" t="str">
        <f>'HIDDEN import'!C420</f>
        <v>ISO 15118 Support</v>
      </c>
      <c r="C420" t="str">
        <f>'HIDDEN import'!D420</f>
        <v>Get Charging Profile - EvseId &gt; 0 + chargingLimitSource</v>
      </c>
      <c r="D420" t="str">
        <f>IF(VLOOKUP(A420&amp;" "&amp;B420,'HIDDEN import'!A:G,5,FALSE)="M",MD!$A$1,(IF(AND(VLOOKUP(A420,'HIDDEN import'!B:E,4,FALSE)="C",OR(NOT(ISERROR(VLOOKUP(E420,'Optional features'!B:D,1,FALSE)=E420)),NOT(ISERROR(VLOOKUP(E420,'HIDDEN calc sheet'!A:C,1,FALSE)=E420)))),MD!$A$3,MD!$A$2)))</f>
        <v>Mandatory test for a mandatory feature</v>
      </c>
      <c r="E420" t="str">
        <f>IF('HIDDEN import'!F420=0,"",'HIDDEN import'!F420)</f>
        <v/>
      </c>
      <c r="F420" t="str">
        <f>IF('HIDDEN import'!G420=0,"",'HIDDEN import'!G420)</f>
        <v/>
      </c>
      <c r="G420" s="181" t="str">
        <f>IFERROR(VLOOKUP($A420,'HIDDEN Testrun Results'!$A:$B,2,FALSE),"")</f>
        <v/>
      </c>
      <c r="H420" s="11" t="b">
        <f t="shared" si="7"/>
        <v>0</v>
      </c>
      <c r="I420" s="11" t="b">
        <f>IF(VLOOKUP(A420&amp;" "&amp;B420,'HIDDEN import'!A:G,5,FALSE)="M",TRUE,IFERROR(VLOOKUP(E420,'Optional features'!B:D,3,FALSE)="Yes",IFERROR(VLOOKUP(E420,'HIDDEN calc sheet'!A:B,2,FALSE),IFERROR(VLOOKUP(E420,'Additional questions'!B:D,3,FALSE)="Yes",VLOOKUP(E420,'Hardware Feature set'!B:D,3,FALSE)="No"))))</f>
        <v>1</v>
      </c>
      <c r="J420" s="11" t="b">
        <f>IF(VLOOKUP(B420,'Profile selection'!B:C,2,FALSE)="Yes",TRUE,FALSE)</f>
        <v>0</v>
      </c>
      <c r="K420" s="53"/>
      <c r="L420" s="53"/>
    </row>
    <row r="421" spans="1:12" x14ac:dyDescent="0.25">
      <c r="A421" t="str">
        <f>'HIDDEN import'!B421</f>
        <v>TC_K_35_CS</v>
      </c>
      <c r="B421" t="str">
        <f>'HIDDEN import'!C421</f>
        <v>ISO 15118 Support</v>
      </c>
      <c r="C421" t="str">
        <f>'HIDDEN import'!D421</f>
        <v>Get Charging Profile - EvseId &gt; 0 + chargingProfilePurpose</v>
      </c>
      <c r="D421" t="str">
        <f>IF(VLOOKUP(A421&amp;" "&amp;B421,'HIDDEN import'!A:G,5,FALSE)="M",MD!$A$1,(IF(AND(VLOOKUP(A421,'HIDDEN import'!B:E,4,FALSE)="C",OR(NOT(ISERROR(VLOOKUP(E421,'Optional features'!B:D,1,FALSE)=E421)),NOT(ISERROR(VLOOKUP(E421,'HIDDEN calc sheet'!A:C,1,FALSE)=E421)))),MD!$A$3,MD!$A$2)))</f>
        <v>Mandatory test for a mandatory feature</v>
      </c>
      <c r="E421" t="str">
        <f>IF('HIDDEN import'!F421=0,"",'HIDDEN import'!F421)</f>
        <v/>
      </c>
      <c r="F421" t="str">
        <f>IF('HIDDEN import'!G421=0,"",'HIDDEN import'!G421)</f>
        <v/>
      </c>
      <c r="G421" s="181" t="str">
        <f>IFERROR(VLOOKUP($A421,'HIDDEN Testrun Results'!$A:$B,2,FALSE),"")</f>
        <v/>
      </c>
      <c r="H421" s="11" t="b">
        <f t="shared" si="7"/>
        <v>0</v>
      </c>
      <c r="I421" s="11" t="b">
        <f>IF(VLOOKUP(A421&amp;" "&amp;B421,'HIDDEN import'!A:G,5,FALSE)="M",TRUE,IFERROR(VLOOKUP(E421,'Optional features'!B:D,3,FALSE)="Yes",IFERROR(VLOOKUP(E421,'HIDDEN calc sheet'!A:B,2,FALSE),IFERROR(VLOOKUP(E421,'Additional questions'!B:D,3,FALSE)="Yes",VLOOKUP(E421,'Hardware Feature set'!B:D,3,FALSE)="No"))))</f>
        <v>1</v>
      </c>
      <c r="J421" s="11" t="b">
        <f>IF(VLOOKUP(B421,'Profile selection'!B:C,2,FALSE)="Yes",TRUE,FALSE)</f>
        <v>0</v>
      </c>
      <c r="K421" s="53"/>
      <c r="L421" s="53"/>
    </row>
    <row r="422" spans="1:12" x14ac:dyDescent="0.25">
      <c r="A422" t="str">
        <f>'HIDDEN import'!B422</f>
        <v>TC_K_36_CS</v>
      </c>
      <c r="B422" t="str">
        <f>'HIDDEN import'!C422</f>
        <v>ISO 15118 Support</v>
      </c>
      <c r="C422" t="str">
        <f>'HIDDEN import'!D422</f>
        <v>Get Charging Profile - EvseId &gt; 0 + chargingProfilePurpose + stackLevel</v>
      </c>
      <c r="D422" t="str">
        <f>IF(VLOOKUP(A422&amp;" "&amp;B422,'HIDDEN import'!A:G,5,FALSE)="M",MD!$A$1,(IF(AND(VLOOKUP(A422,'HIDDEN import'!B:E,4,FALSE)="C",OR(NOT(ISERROR(VLOOKUP(E422,'Optional features'!B:D,1,FALSE)=E422)),NOT(ISERROR(VLOOKUP(E422,'HIDDEN calc sheet'!A:C,1,FALSE)=E422)))),MD!$A$3,MD!$A$2)))</f>
        <v>Mandatory test for a mandatory feature</v>
      </c>
      <c r="E422" t="str">
        <f>IF('HIDDEN import'!F422=0,"",'HIDDEN import'!F422)</f>
        <v/>
      </c>
      <c r="F422" t="str">
        <f>IF('HIDDEN import'!G422=0,"",'HIDDEN import'!G422)</f>
        <v/>
      </c>
      <c r="G422" s="181" t="str">
        <f>IFERROR(VLOOKUP($A422,'HIDDEN Testrun Results'!$A:$B,2,FALSE),"")</f>
        <v/>
      </c>
      <c r="H422" s="11" t="b">
        <f t="shared" si="7"/>
        <v>0</v>
      </c>
      <c r="I422" s="11" t="b">
        <f>IF(VLOOKUP(A422&amp;" "&amp;B422,'HIDDEN import'!A:G,5,FALSE)="M",TRUE,IFERROR(VLOOKUP(E422,'Optional features'!B:D,3,FALSE)="Yes",IFERROR(VLOOKUP(E422,'HIDDEN calc sheet'!A:B,2,FALSE),IFERROR(VLOOKUP(E422,'Additional questions'!B:D,3,FALSE)="Yes",VLOOKUP(E422,'Hardware Feature set'!B:D,3,FALSE)="No"))))</f>
        <v>1</v>
      </c>
      <c r="J422" s="11" t="b">
        <f>IF(VLOOKUP(B422,'Profile selection'!B:C,2,FALSE)="Yes",TRUE,FALSE)</f>
        <v>0</v>
      </c>
      <c r="K422" s="53"/>
      <c r="L422" s="53"/>
    </row>
    <row r="423" spans="1:12" x14ac:dyDescent="0.25">
      <c r="A423" t="str">
        <f>'HIDDEN import'!B423</f>
        <v>TC_K_05_CS</v>
      </c>
      <c r="B423" t="str">
        <f>'HIDDEN import'!C423</f>
        <v>ISO 15118 Support</v>
      </c>
      <c r="C423" t="str">
        <f>'HIDDEN import'!D423</f>
        <v>Clear Charging Profile - With chargingProfileId</v>
      </c>
      <c r="D423" t="str">
        <f>IF(VLOOKUP(A423&amp;" "&amp;B423,'HIDDEN import'!A:G,5,FALSE)="M",MD!$A$1,(IF(AND(VLOOKUP(A423,'HIDDEN import'!B:E,4,FALSE)="C",OR(NOT(ISERROR(VLOOKUP(E423,'Optional features'!B:D,1,FALSE)=E423)),NOT(ISERROR(VLOOKUP(E423,'HIDDEN calc sheet'!A:C,1,FALSE)=E423)))),MD!$A$3,MD!$A$2)))</f>
        <v>Mandatory test for a mandatory feature</v>
      </c>
      <c r="E423" t="str">
        <f>IF('HIDDEN import'!F423=0,"",'HIDDEN import'!F423)</f>
        <v/>
      </c>
      <c r="F423" t="str">
        <f>IF('HIDDEN import'!G423=0,"",'HIDDEN import'!G423)</f>
        <v/>
      </c>
      <c r="G423" s="181" t="str">
        <f>IFERROR(VLOOKUP($A423,'HIDDEN Testrun Results'!$A:$B,2,FALSE),"")</f>
        <v/>
      </c>
      <c r="H423" s="11" t="b">
        <f t="shared" si="7"/>
        <v>0</v>
      </c>
      <c r="I423" s="11" t="b">
        <f>IF(VLOOKUP(A423&amp;" "&amp;B423,'HIDDEN import'!A:G,5,FALSE)="M",TRUE,IFERROR(VLOOKUP(E423,'Optional features'!B:D,3,FALSE)="Yes",IFERROR(VLOOKUP(E423,'HIDDEN calc sheet'!A:B,2,FALSE),IFERROR(VLOOKUP(E423,'Additional questions'!B:D,3,FALSE)="Yes",VLOOKUP(E423,'Hardware Feature set'!B:D,3,FALSE)="No"))))</f>
        <v>1</v>
      </c>
      <c r="J423" s="11" t="b">
        <f>IF(VLOOKUP(B423,'Profile selection'!B:C,2,FALSE)="Yes",TRUE,FALSE)</f>
        <v>0</v>
      </c>
      <c r="K423" s="53"/>
      <c r="L423" s="53"/>
    </row>
    <row r="424" spans="1:12" x14ac:dyDescent="0.25">
      <c r="A424" t="str">
        <f>'HIDDEN import'!B424</f>
        <v>TC_K_06_CS</v>
      </c>
      <c r="B424" t="str">
        <f>'HIDDEN import'!C424</f>
        <v>ISO 15118 Support</v>
      </c>
      <c r="C424" t="str">
        <f>'HIDDEN import'!D424</f>
        <v>Clear Charging Profile - With stackLevel/purpose combination for one profile</v>
      </c>
      <c r="D424" t="str">
        <f>IF(VLOOKUP(A424&amp;" "&amp;B424,'HIDDEN import'!A:G,5,FALSE)="M",MD!$A$1,(IF(AND(VLOOKUP(A424,'HIDDEN import'!B:E,4,FALSE)="C",OR(NOT(ISERROR(VLOOKUP(E424,'Optional features'!B:D,1,FALSE)=E424)),NOT(ISERROR(VLOOKUP(E424,'HIDDEN calc sheet'!A:C,1,FALSE)=E424)))),MD!$A$3,MD!$A$2)))</f>
        <v>Mandatory test for a mandatory feature</v>
      </c>
      <c r="E424" t="str">
        <f>IF('HIDDEN import'!F424=0,"",'HIDDEN import'!F424)</f>
        <v/>
      </c>
      <c r="F424" t="str">
        <f>IF('HIDDEN import'!G424=0,"",'HIDDEN import'!G424)</f>
        <v/>
      </c>
      <c r="G424" s="181" t="str">
        <f>IFERROR(VLOOKUP($A424,'HIDDEN Testrun Results'!$A:$B,2,FALSE),"")</f>
        <v/>
      </c>
      <c r="H424" s="11" t="b">
        <f t="shared" si="7"/>
        <v>0</v>
      </c>
      <c r="I424" s="11" t="b">
        <f>IF(VLOOKUP(A424&amp;" "&amp;B424,'HIDDEN import'!A:G,5,FALSE)="M",TRUE,IFERROR(VLOOKUP(E424,'Optional features'!B:D,3,FALSE)="Yes",IFERROR(VLOOKUP(E424,'HIDDEN calc sheet'!A:B,2,FALSE),IFERROR(VLOOKUP(E424,'Additional questions'!B:D,3,FALSE)="Yes",VLOOKUP(E424,'Hardware Feature set'!B:D,3,FALSE)="No"))))</f>
        <v>1</v>
      </c>
      <c r="J424" s="11" t="b">
        <f>IF(VLOOKUP(B424,'Profile selection'!B:C,2,FALSE)="Yes",TRUE,FALSE)</f>
        <v>0</v>
      </c>
      <c r="K424" s="53"/>
      <c r="L424" s="53"/>
    </row>
    <row r="425" spans="1:12" x14ac:dyDescent="0.25">
      <c r="A425" t="str">
        <f>'HIDDEN import'!B425</f>
        <v>TC_K_24_CS</v>
      </c>
      <c r="B425" t="str">
        <f>'HIDDEN import'!C425</f>
        <v>ISO 15118 Support</v>
      </c>
      <c r="C425" t="str">
        <f>'HIDDEN import'!D425</f>
        <v>Clear Charging Profile - With stackLevel/purpose combination for multiple profiles</v>
      </c>
      <c r="D425" t="str">
        <f>IF(VLOOKUP(A425&amp;" "&amp;B425,'HIDDEN import'!A:G,5,FALSE)="M",MD!$A$1,(IF(AND(VLOOKUP(A425,'HIDDEN import'!B:E,4,FALSE)="C",OR(NOT(ISERROR(VLOOKUP(E425,'Optional features'!B:D,1,FALSE)=E425)),NOT(ISERROR(VLOOKUP(E425,'HIDDEN calc sheet'!A:C,1,FALSE)=E425)))),MD!$A$3,MD!$A$2)))</f>
        <v>Mandatory for optional feature</v>
      </c>
      <c r="E425" t="str">
        <f>IF('HIDDEN import'!F425=0,"",'HIDDEN import'!F425)</f>
        <v>HFS-8 &gt; 1</v>
      </c>
      <c r="F425" t="str">
        <f>IF('HIDDEN import'!G425=0,"",'HIDDEN import'!G425)</f>
        <v/>
      </c>
      <c r="G425" s="181" t="str">
        <f>IFERROR(VLOOKUP($A425,'HIDDEN Testrun Results'!$A:$B,2,FALSE),"")</f>
        <v/>
      </c>
      <c r="H425" s="11" t="b">
        <f t="shared" si="7"/>
        <v>0</v>
      </c>
      <c r="I425" s="11" t="b">
        <f>IF(VLOOKUP(A425&amp;" "&amp;B425,'HIDDEN import'!A:G,5,FALSE)="M",TRUE,IFERROR(VLOOKUP(E425,'Optional features'!B:D,3,FALSE)="Yes",IFERROR(VLOOKUP(E425,'HIDDEN calc sheet'!A:B,2,FALSE),IFERROR(VLOOKUP(E425,'Additional questions'!B:D,3,FALSE)="Yes",VLOOKUP(E425,'Hardware Feature set'!B:D,3,FALSE)="No"))))</f>
        <v>0</v>
      </c>
      <c r="J425" s="11" t="b">
        <f>IF(VLOOKUP(B425,'Profile selection'!B:C,2,FALSE)="Yes",TRUE,FALSE)</f>
        <v>0</v>
      </c>
      <c r="K425" s="53"/>
      <c r="L425" s="53"/>
    </row>
    <row r="426" spans="1:12" x14ac:dyDescent="0.25">
      <c r="A426" t="str">
        <f>'HIDDEN import'!B426</f>
        <v>TC_K_07_CS</v>
      </c>
      <c r="B426" t="str">
        <f>'HIDDEN import'!C426</f>
        <v>ISO 15118 Support</v>
      </c>
      <c r="C426" t="str">
        <f>'HIDDEN import'!D426</f>
        <v>Clear Charging Profile - With unknown stackLevel/purpose combination</v>
      </c>
      <c r="D426" t="str">
        <f>IF(VLOOKUP(A426&amp;" "&amp;B426,'HIDDEN import'!A:G,5,FALSE)="M",MD!$A$1,(IF(AND(VLOOKUP(A426,'HIDDEN import'!B:E,4,FALSE)="C",OR(NOT(ISERROR(VLOOKUP(E426,'Optional features'!B:D,1,FALSE)=E426)),NOT(ISERROR(VLOOKUP(E426,'HIDDEN calc sheet'!A:C,1,FALSE)=E426)))),MD!$A$3,MD!$A$2)))</f>
        <v>Mandatory test for a mandatory feature</v>
      </c>
      <c r="E426" t="str">
        <f>IF('HIDDEN import'!F426=0,"",'HIDDEN import'!F426)</f>
        <v/>
      </c>
      <c r="F426" t="str">
        <f>IF('HIDDEN import'!G426=0,"",'HIDDEN import'!G426)</f>
        <v/>
      </c>
      <c r="G426" s="181" t="str">
        <f>IFERROR(VLOOKUP($A426,'HIDDEN Testrun Results'!$A:$B,2,FALSE),"")</f>
        <v/>
      </c>
      <c r="H426" s="11" t="b">
        <f t="shared" si="7"/>
        <v>0</v>
      </c>
      <c r="I426" s="11" t="b">
        <f>IF(VLOOKUP(A426&amp;" "&amp;B426,'HIDDEN import'!A:G,5,FALSE)="M",TRUE,IFERROR(VLOOKUP(E426,'Optional features'!B:D,3,FALSE)="Yes",IFERROR(VLOOKUP(E426,'HIDDEN calc sheet'!A:B,2,FALSE),IFERROR(VLOOKUP(E426,'Additional questions'!B:D,3,FALSE)="Yes",VLOOKUP(E426,'Hardware Feature set'!B:D,3,FALSE)="No"))))</f>
        <v>1</v>
      </c>
      <c r="J426" s="11" t="b">
        <f>IF(VLOOKUP(B426,'Profile selection'!B:C,2,FALSE)="Yes",TRUE,FALSE)</f>
        <v>0</v>
      </c>
      <c r="K426" s="53"/>
      <c r="L426" s="53"/>
    </row>
    <row r="427" spans="1:12" x14ac:dyDescent="0.25">
      <c r="A427" t="str">
        <f>'HIDDEN import'!B427</f>
        <v>TC_K_08_CS</v>
      </c>
      <c r="B427" t="str">
        <f>'HIDDEN import'!C427</f>
        <v>ISO 15118 Support</v>
      </c>
      <c r="C427" t="str">
        <f>'HIDDEN import'!D427</f>
        <v>Clear Charging Profile - Without previous charging profile</v>
      </c>
      <c r="D427" t="str">
        <f>IF(VLOOKUP(A427&amp;" "&amp;B427,'HIDDEN import'!A:G,5,FALSE)="M",MD!$A$1,(IF(AND(VLOOKUP(A427,'HIDDEN import'!B:E,4,FALSE)="C",OR(NOT(ISERROR(VLOOKUP(E427,'Optional features'!B:D,1,FALSE)=E427)),NOT(ISERROR(VLOOKUP(E427,'HIDDEN calc sheet'!A:C,1,FALSE)=E427)))),MD!$A$3,MD!$A$2)))</f>
        <v>Mandatory test for a mandatory feature</v>
      </c>
      <c r="E427" t="str">
        <f>IF('HIDDEN import'!F427=0,"",'HIDDEN import'!F427)</f>
        <v/>
      </c>
      <c r="F427" t="str">
        <f>IF('HIDDEN import'!G427=0,"",'HIDDEN import'!G427)</f>
        <v/>
      </c>
      <c r="G427" s="181" t="str">
        <f>IFERROR(VLOOKUP($A427,'HIDDEN Testrun Results'!$A:$B,2,FALSE),"")</f>
        <v/>
      </c>
      <c r="H427" s="11" t="b">
        <f t="shared" si="7"/>
        <v>0</v>
      </c>
      <c r="I427" s="11" t="b">
        <f>IF(VLOOKUP(A427&amp;" "&amp;B427,'HIDDEN import'!A:G,5,FALSE)="M",TRUE,IFERROR(VLOOKUP(E427,'Optional features'!B:D,3,FALSE)="Yes",IFERROR(VLOOKUP(E427,'HIDDEN calc sheet'!A:B,2,FALSE),IFERROR(VLOOKUP(E427,'Additional questions'!B:D,3,FALSE)="Yes",VLOOKUP(E427,'Hardware Feature set'!B:D,3,FALSE)="No"))))</f>
        <v>1</v>
      </c>
      <c r="J427" s="11" t="b">
        <f>IF(VLOOKUP(B427,'Profile selection'!B:C,2,FALSE)="Yes",TRUE,FALSE)</f>
        <v>0</v>
      </c>
      <c r="K427" s="53"/>
      <c r="L427" s="53"/>
    </row>
    <row r="428" spans="1:12" x14ac:dyDescent="0.25">
      <c r="A428" t="str">
        <f>'HIDDEN import'!B428</f>
        <v>TC_K_09_CS</v>
      </c>
      <c r="B428" t="str">
        <f>'HIDDEN import'!C428</f>
        <v>ISO 15118 Support</v>
      </c>
      <c r="C428" t="str">
        <f>'HIDDEN import'!D428</f>
        <v>Clear Charging Profile - Clearing a TxDefaultProfile - With ongoing transaction</v>
      </c>
      <c r="D428" t="str">
        <f>IF(VLOOKUP(A428&amp;" "&amp;B428,'HIDDEN import'!A:G,5,FALSE)="M",MD!$A$1,(IF(AND(VLOOKUP(A428,'HIDDEN import'!B:E,4,FALSE)="C",OR(NOT(ISERROR(VLOOKUP(E428,'Optional features'!B:D,1,FALSE)=E428)),NOT(ISERROR(VLOOKUP(E428,'HIDDEN calc sheet'!A:C,1,FALSE)=E428)))),MD!$A$3,MD!$A$2)))</f>
        <v>Mandatory test for a mandatory feature</v>
      </c>
      <c r="E428" t="str">
        <f>IF('HIDDEN import'!F428=0,"",'HIDDEN import'!F428)</f>
        <v/>
      </c>
      <c r="F428" t="str">
        <f>IF('HIDDEN import'!G428=0,"",'HIDDEN import'!G428)</f>
        <v/>
      </c>
      <c r="G428" s="181" t="str">
        <f>IFERROR(VLOOKUP($A428,'HIDDEN Testrun Results'!$A:$B,2,FALSE),"")</f>
        <v/>
      </c>
      <c r="H428" s="11" t="b">
        <f t="shared" si="7"/>
        <v>0</v>
      </c>
      <c r="I428" s="11" t="b">
        <f>IF(VLOOKUP(A428&amp;" "&amp;B428,'HIDDEN import'!A:G,5,FALSE)="M",TRUE,IFERROR(VLOOKUP(E428,'Optional features'!B:D,3,FALSE)="Yes",IFERROR(VLOOKUP(E428,'HIDDEN calc sheet'!A:B,2,FALSE),IFERROR(VLOOKUP(E428,'Additional questions'!B:D,3,FALSE)="Yes",VLOOKUP(E428,'Hardware Feature set'!B:D,3,FALSE)="No"))))</f>
        <v>1</v>
      </c>
      <c r="J428" s="11" t="b">
        <f>IF(VLOOKUP(B428,'Profile selection'!B:C,2,FALSE)="Yes",TRUE,FALSE)</f>
        <v>0</v>
      </c>
      <c r="K428" s="53"/>
      <c r="L428" s="53"/>
    </row>
    <row r="429" spans="1:12" x14ac:dyDescent="0.25">
      <c r="A429" t="str">
        <f>'HIDDEN import'!B429</f>
        <v>TC_K_53_CS</v>
      </c>
      <c r="B429" t="str">
        <f>'HIDDEN import'!C429</f>
        <v>ISO 15118 Support</v>
      </c>
      <c r="C429" t="str">
        <f>'HIDDEN import'!D429</f>
        <v>Charging with load leveling based on High Level Communication - Success</v>
      </c>
      <c r="D429" t="str">
        <f>IF(VLOOKUP(A429&amp;" "&amp;B429,'HIDDEN import'!A:G,5,FALSE)="M",MD!$A$1,(IF(AND(VLOOKUP(A429,'HIDDEN import'!B:E,4,FALSE)="C",OR(NOT(ISERROR(VLOOKUP(E429,'Optional features'!B:D,1,FALSE)=E429)),NOT(ISERROR(VLOOKUP(E429,'HIDDEN calc sheet'!A:C,1,FALSE)=E429)))),MD!$A$3,MD!$A$2)))</f>
        <v>Mandatory test for a mandatory feature</v>
      </c>
      <c r="E429" t="str">
        <f>IF('HIDDEN import'!F429=0,"",'HIDDEN import'!F429)</f>
        <v/>
      </c>
      <c r="F429" t="str">
        <f>IF('HIDDEN import'!G429=0,"",'HIDDEN import'!G429)</f>
        <v/>
      </c>
      <c r="G429" s="181" t="str">
        <f>IFERROR(VLOOKUP($A429,'HIDDEN Testrun Results'!$A:$B,2,FALSE),"")</f>
        <v/>
      </c>
      <c r="H429" s="11" t="b">
        <f t="shared" si="7"/>
        <v>0</v>
      </c>
      <c r="I429" s="11" t="b">
        <f>IF(VLOOKUP(A429&amp;" "&amp;B429,'HIDDEN import'!A:G,5,FALSE)="M",TRUE,IFERROR(VLOOKUP(E429,'Optional features'!B:D,3,FALSE)="Yes",IFERROR(VLOOKUP(E429,'HIDDEN calc sheet'!A:B,2,FALSE),IFERROR(VLOOKUP(E429,'Additional questions'!B:D,3,FALSE)="Yes",VLOOKUP(E429,'Hardware Feature set'!B:D,3,FALSE)="No"))))</f>
        <v>1</v>
      </c>
      <c r="J429" s="11" t="b">
        <f>IF(VLOOKUP(B429,'Profile selection'!B:C,2,FALSE)="Yes",TRUE,FALSE)</f>
        <v>0</v>
      </c>
      <c r="K429" s="53"/>
      <c r="L429" s="53"/>
    </row>
    <row r="430" spans="1:12" x14ac:dyDescent="0.25">
      <c r="A430" t="str">
        <f>'HIDDEN import'!B430</f>
        <v>TC_K_54_CS</v>
      </c>
      <c r="B430" t="str">
        <f>'HIDDEN import'!C430</f>
        <v>ISO 15118 Support</v>
      </c>
      <c r="C430" t="str">
        <f>'HIDDEN import'!D430</f>
        <v>Charging with load leveling based on High Level Communication - No SASchedule (rejected)</v>
      </c>
      <c r="D430" t="str">
        <f>IF(VLOOKUP(A430&amp;" "&amp;B430,'HIDDEN import'!A:G,5,FALSE)="M",MD!$A$1,(IF(AND(VLOOKUP(A430,'HIDDEN import'!B:E,4,FALSE)="C",OR(NOT(ISERROR(VLOOKUP(E430,'Optional features'!B:D,1,FALSE)=E430)),NOT(ISERROR(VLOOKUP(E430,'HIDDEN calc sheet'!A:C,1,FALSE)=E430)))),MD!$A$3,MD!$A$2)))</f>
        <v>Mandatory test for a mandatory feature</v>
      </c>
      <c r="E430" t="str">
        <f>IF('HIDDEN import'!F430=0,"",'HIDDEN import'!F430)</f>
        <v/>
      </c>
      <c r="F430" t="str">
        <f>IF('HIDDEN import'!G430=0,"",'HIDDEN import'!G430)</f>
        <v/>
      </c>
      <c r="G430" s="181" t="str">
        <f>IFERROR(VLOOKUP($A430,'HIDDEN Testrun Results'!$A:$B,2,FALSE),"")</f>
        <v/>
      </c>
      <c r="H430" s="11" t="b">
        <f t="shared" si="7"/>
        <v>0</v>
      </c>
      <c r="I430" s="11" t="b">
        <f>IF(VLOOKUP(A430&amp;" "&amp;B430,'HIDDEN import'!A:G,5,FALSE)="M",TRUE,IFERROR(VLOOKUP(E430,'Optional features'!B:D,3,FALSE)="Yes",IFERROR(VLOOKUP(E430,'HIDDEN calc sheet'!A:B,2,FALSE),IFERROR(VLOOKUP(E430,'Additional questions'!B:D,3,FALSE)="Yes",VLOOKUP(E430,'Hardware Feature set'!B:D,3,FALSE)="No"))))</f>
        <v>1</v>
      </c>
      <c r="J430" s="11" t="b">
        <f>IF(VLOOKUP(B430,'Profile selection'!B:C,2,FALSE)="Yes",TRUE,FALSE)</f>
        <v>0</v>
      </c>
      <c r="K430" s="53"/>
      <c r="L430" s="53"/>
    </row>
    <row r="431" spans="1:12" x14ac:dyDescent="0.25">
      <c r="A431" t="str">
        <f>'HIDDEN import'!B431</f>
        <v>TC_K_56_CS</v>
      </c>
      <c r="B431" t="str">
        <f>'HIDDEN import'!C431</f>
        <v>ISO 15118 Support</v>
      </c>
      <c r="C431" t="str">
        <f>'HIDDEN import'!D431</f>
        <v>Charging with load leveling based on High Level Communication - Offline</v>
      </c>
      <c r="D431" t="str">
        <f>IF(VLOOKUP(A431&amp;" "&amp;B431,'HIDDEN import'!A:G,5,FALSE)="M",MD!$A$1,(IF(AND(VLOOKUP(A431,'HIDDEN import'!B:E,4,FALSE)="C",OR(NOT(ISERROR(VLOOKUP(E431,'Optional features'!B:D,1,FALSE)=E431)),NOT(ISERROR(VLOOKUP(E431,'HIDDEN calc sheet'!A:C,1,FALSE)=E431)))),MD!$A$3,MD!$A$2)))</f>
        <v>Mandatory test for a mandatory feature</v>
      </c>
      <c r="E431" t="str">
        <f>IF('HIDDEN import'!F431=0,"",'HIDDEN import'!F431)</f>
        <v/>
      </c>
      <c r="F431" t="str">
        <f>IF('HIDDEN import'!G431=0,"",'HIDDEN import'!G431)</f>
        <v/>
      </c>
      <c r="G431" s="181" t="str">
        <f>IFERROR(VLOOKUP($A431,'HIDDEN Testrun Results'!$A:$B,2,FALSE),"")</f>
        <v/>
      </c>
      <c r="H431" s="11" t="b">
        <f t="shared" si="7"/>
        <v>0</v>
      </c>
      <c r="I431" s="11" t="b">
        <f>IF(VLOOKUP(A431&amp;" "&amp;B431,'HIDDEN import'!A:G,5,FALSE)="M",TRUE,IFERROR(VLOOKUP(E431,'Optional features'!B:D,3,FALSE)="Yes",IFERROR(VLOOKUP(E431,'HIDDEN calc sheet'!A:B,2,FALSE),IFERROR(VLOOKUP(E431,'Additional questions'!B:D,3,FALSE)="Yes",VLOOKUP(E431,'Hardware Feature set'!B:D,3,FALSE)="No"))))</f>
        <v>1</v>
      </c>
      <c r="J431" s="11" t="b">
        <f>IF(VLOOKUP(B431,'Profile selection'!B:C,2,FALSE)="Yes",TRUE,FALSE)</f>
        <v>0</v>
      </c>
      <c r="K431" s="53"/>
      <c r="L431" s="53"/>
    </row>
    <row r="432" spans="1:12" x14ac:dyDescent="0.25">
      <c r="A432" t="str">
        <f>'HIDDEN import'!B432</f>
        <v>TC_K_57_CS</v>
      </c>
      <c r="B432" t="str">
        <f>'HIDDEN import'!C432</f>
        <v>ISO 15118 Support</v>
      </c>
      <c r="C432" t="str">
        <f>'HIDDEN import'!D432</f>
        <v>Renegotiating a Charging Schedule - Initiated by EV</v>
      </c>
      <c r="D432" t="str">
        <f>IF(VLOOKUP(A432&amp;" "&amp;B432,'HIDDEN import'!A:G,5,FALSE)="M",MD!$A$1,(IF(AND(VLOOKUP(A432,'HIDDEN import'!B:E,4,FALSE)="C",OR(NOT(ISERROR(VLOOKUP(E432,'Optional features'!B:D,1,FALSE)=E432)),NOT(ISERROR(VLOOKUP(E432,'HIDDEN calc sheet'!A:C,1,FALSE)=E432)))),MD!$A$3,MD!$A$2)))</f>
        <v>Mandatory test for a mandatory feature</v>
      </c>
      <c r="E432" t="str">
        <f>IF('HIDDEN import'!F432=0,"",'HIDDEN import'!F432)</f>
        <v/>
      </c>
      <c r="F432" t="str">
        <f>IF('HIDDEN import'!G432=0,"",'HIDDEN import'!G432)</f>
        <v/>
      </c>
      <c r="G432" s="181" t="str">
        <f>IFERROR(VLOOKUP($A432,'HIDDEN Testrun Results'!$A:$B,2,FALSE),"")</f>
        <v/>
      </c>
      <c r="H432" s="11" t="b">
        <f t="shared" si="7"/>
        <v>0</v>
      </c>
      <c r="I432" s="11" t="b">
        <f>IF(VLOOKUP(A432&amp;" "&amp;B432,'HIDDEN import'!A:G,5,FALSE)="M",TRUE,IFERROR(VLOOKUP(E432,'Optional features'!B:D,3,FALSE)="Yes",IFERROR(VLOOKUP(E432,'HIDDEN calc sheet'!A:B,2,FALSE),IFERROR(VLOOKUP(E432,'Additional questions'!B:D,3,FALSE)="Yes",VLOOKUP(E432,'Hardware Feature set'!B:D,3,FALSE)="No"))))</f>
        <v>1</v>
      </c>
      <c r="J432" s="11" t="b">
        <f>IF(VLOOKUP(B432,'Profile selection'!B:C,2,FALSE)="Yes",TRUE,FALSE)</f>
        <v>0</v>
      </c>
      <c r="K432" s="53"/>
      <c r="L432" s="53"/>
    </row>
    <row r="433" spans="1:12" x14ac:dyDescent="0.25">
      <c r="A433" t="str">
        <f>'HIDDEN import'!B433</f>
        <v>TC_K_58_CS</v>
      </c>
      <c r="B433" t="str">
        <f>'HIDDEN import'!C433</f>
        <v>ISO 15118 Support</v>
      </c>
      <c r="C433" t="str">
        <f>'HIDDEN import'!D433</f>
        <v>Renegotiating a Charging Schedule - Initiated by CSMS</v>
      </c>
      <c r="D433" t="str">
        <f>IF(VLOOKUP(A433&amp;" "&amp;B433,'HIDDEN import'!A:G,5,FALSE)="M",MD!$A$1,(IF(AND(VLOOKUP(A433,'HIDDEN import'!B:E,4,FALSE)="C",OR(NOT(ISERROR(VLOOKUP(E433,'Optional features'!B:D,1,FALSE)=E433)),NOT(ISERROR(VLOOKUP(E433,'HIDDEN calc sheet'!A:C,1,FALSE)=E433)))),MD!$A$3,MD!$A$2)))</f>
        <v>Mandatory test for a mandatory feature</v>
      </c>
      <c r="E433" t="str">
        <f>IF('HIDDEN import'!F433=0,"",'HIDDEN import'!F433)</f>
        <v/>
      </c>
      <c r="F433" t="str">
        <f>IF('HIDDEN import'!G433=0,"",'HIDDEN import'!G433)</f>
        <v/>
      </c>
      <c r="G433" s="181" t="str">
        <f>IFERROR(VLOOKUP($A433,'HIDDEN Testrun Results'!$A:$B,2,FALSE),"")</f>
        <v/>
      </c>
      <c r="H433" s="11" t="b">
        <f t="shared" si="7"/>
        <v>0</v>
      </c>
      <c r="I433" s="11" t="b">
        <f>IF(VLOOKUP(A433&amp;" "&amp;B433,'HIDDEN import'!A:G,5,FALSE)="M",TRUE,IFERROR(VLOOKUP(E433,'Optional features'!B:D,3,FALSE)="Yes",IFERROR(VLOOKUP(E433,'HIDDEN calc sheet'!A:B,2,FALSE),IFERROR(VLOOKUP(E433,'Additional questions'!B:D,3,FALSE)="Yes",VLOOKUP(E433,'Hardware Feature set'!B:D,3,FALSE)="No"))))</f>
        <v>1</v>
      </c>
      <c r="J433" s="11" t="b">
        <f>IF(VLOOKUP(B433,'Profile selection'!B:C,2,FALSE)="Yes",TRUE,FALSE)</f>
        <v>0</v>
      </c>
      <c r="K433" s="53"/>
      <c r="L433" s="53"/>
    </row>
    <row r="434" spans="1:12" x14ac:dyDescent="0.25">
      <c r="A434" t="str">
        <f>'HIDDEN import'!B434</f>
        <v>TC_M_26_CS</v>
      </c>
      <c r="B434" t="str">
        <f>'HIDDEN import'!C434</f>
        <v>ISO 15118 Support</v>
      </c>
      <c r="C434" t="str">
        <f>'HIDDEN import'!D434</f>
        <v>Certificate Installation EV - Success</v>
      </c>
      <c r="D434" t="str">
        <f>IF(VLOOKUP(A434&amp;" "&amp;B434,'HIDDEN import'!A:G,5,FALSE)="M",MD!$A$1,(IF(AND(VLOOKUP(A434,'HIDDEN import'!B:E,4,FALSE)="C",OR(NOT(ISERROR(VLOOKUP(E434,'Optional features'!B:D,1,FALSE)=E434)),NOT(ISERROR(VLOOKUP(E434,'HIDDEN calc sheet'!A:C,1,FALSE)=E434)))),MD!$A$3,MD!$A$2)))</f>
        <v>Mandatory test for a mandatory feature</v>
      </c>
      <c r="E434" t="str">
        <f>IF('HIDDEN import'!F434=0,"",'HIDDEN import'!F434)</f>
        <v/>
      </c>
      <c r="F434" t="str">
        <f>IF('HIDDEN import'!G434=0,"",'HIDDEN import'!G434)</f>
        <v/>
      </c>
      <c r="G434" s="181" t="str">
        <f>IFERROR(VLOOKUP($A434,'HIDDEN Testrun Results'!$A:$B,2,FALSE),"")</f>
        <v/>
      </c>
      <c r="H434" s="11" t="b">
        <f t="shared" ref="H434:H445" si="8">IF(NOT(J434),FALSE,IF(NOT(ISLOGICAL(I434)),I434,AND(I434,J434)))</f>
        <v>0</v>
      </c>
      <c r="I434" s="11" t="b">
        <f>IF(VLOOKUP(A434&amp;" "&amp;B434,'HIDDEN import'!A:G,5,FALSE)="M",TRUE,IFERROR(VLOOKUP(E434,'Optional features'!B:D,3,FALSE)="Yes",IFERROR(VLOOKUP(E434,'HIDDEN calc sheet'!A:B,2,FALSE),IFERROR(VLOOKUP(E434,'Additional questions'!B:D,3,FALSE)="Yes",VLOOKUP(E434,'Hardware Feature set'!B:D,3,FALSE)="No"))))</f>
        <v>1</v>
      </c>
      <c r="J434" s="11" t="b">
        <f>IF(VLOOKUP(B434,'Profile selection'!B:C,2,FALSE)="Yes",TRUE,FALSE)</f>
        <v>0</v>
      </c>
      <c r="K434" s="53"/>
      <c r="L434" s="53"/>
    </row>
    <row r="435" spans="1:12" x14ac:dyDescent="0.25">
      <c r="A435" t="str">
        <f>'HIDDEN import'!B435</f>
        <v>TC_M_27_CS</v>
      </c>
      <c r="B435" t="str">
        <f>'HIDDEN import'!C435</f>
        <v>ISO 15118 Support</v>
      </c>
      <c r="C435" t="str">
        <f>'HIDDEN import'!D435</f>
        <v>Certificate Installation EV - Failed</v>
      </c>
      <c r="D435" t="str">
        <f>IF(VLOOKUP(A435&amp;" "&amp;B435,'HIDDEN import'!A:G,5,FALSE)="M",MD!$A$1,(IF(AND(VLOOKUP(A435,'HIDDEN import'!B:E,4,FALSE)="C",OR(NOT(ISERROR(VLOOKUP(E435,'Optional features'!B:D,1,FALSE)=E435)),NOT(ISERROR(VLOOKUP(E435,'HIDDEN calc sheet'!A:C,1,FALSE)=E435)))),MD!$A$3,MD!$A$2)))</f>
        <v>Mandatory test for a mandatory feature</v>
      </c>
      <c r="E435" t="str">
        <f>IF('HIDDEN import'!F435=0,"",'HIDDEN import'!F435)</f>
        <v/>
      </c>
      <c r="F435" t="str">
        <f>IF('HIDDEN import'!G435=0,"",'HIDDEN import'!G435)</f>
        <v/>
      </c>
      <c r="G435" s="181" t="str">
        <f>IFERROR(VLOOKUP($A435,'HIDDEN Testrun Results'!$A:$B,2,FALSE),"")</f>
        <v/>
      </c>
      <c r="H435" s="11" t="b">
        <f t="shared" si="8"/>
        <v>0</v>
      </c>
      <c r="I435" s="11" t="b">
        <f>IF(VLOOKUP(A435&amp;" "&amp;B435,'HIDDEN import'!A:G,5,FALSE)="M",TRUE,IFERROR(VLOOKUP(E435,'Optional features'!B:D,3,FALSE)="Yes",IFERROR(VLOOKUP(E435,'HIDDEN calc sheet'!A:B,2,FALSE),IFERROR(VLOOKUP(E435,'Additional questions'!B:D,3,FALSE)="Yes",VLOOKUP(E435,'Hardware Feature set'!B:D,3,FALSE)="No"))))</f>
        <v>1</v>
      </c>
      <c r="J435" s="11" t="b">
        <f>IF(VLOOKUP(B435,'Profile selection'!B:C,2,FALSE)="Yes",TRUE,FALSE)</f>
        <v>0</v>
      </c>
      <c r="K435" s="53"/>
      <c r="L435" s="53"/>
    </row>
    <row r="436" spans="1:12" x14ac:dyDescent="0.25">
      <c r="A436" t="str">
        <f>'HIDDEN import'!B436</f>
        <v>TC_M_28_CS</v>
      </c>
      <c r="B436" t="str">
        <f>'HIDDEN import'!C436</f>
        <v>ISO 15118 Support</v>
      </c>
      <c r="C436" t="str">
        <f>'HIDDEN import'!D436</f>
        <v>Certificate Update EV - Success</v>
      </c>
      <c r="D436" t="str">
        <f>IF(VLOOKUP(A436&amp;" "&amp;B436,'HIDDEN import'!A:G,5,FALSE)="M",MD!$A$1,(IF(AND(VLOOKUP(A436,'HIDDEN import'!B:E,4,FALSE)="C",OR(NOT(ISERROR(VLOOKUP(E436,'Optional features'!B:D,1,FALSE)=E436)),NOT(ISERROR(VLOOKUP(E436,'HIDDEN calc sheet'!A:C,1,FALSE)=E436)))),MD!$A$3,MD!$A$2)))</f>
        <v>Mandatory test for a mandatory feature</v>
      </c>
      <c r="E436" t="str">
        <f>IF('HIDDEN import'!F436=0,"",'HIDDEN import'!F436)</f>
        <v/>
      </c>
      <c r="F436" t="str">
        <f>IF('HIDDEN import'!G436=0,"",'HIDDEN import'!G436)</f>
        <v/>
      </c>
      <c r="G436" s="181" t="str">
        <f>IFERROR(VLOOKUP($A436,'HIDDEN Testrun Results'!$A:$B,2,FALSE),"")</f>
        <v/>
      </c>
      <c r="H436" s="11" t="b">
        <f t="shared" si="8"/>
        <v>0</v>
      </c>
      <c r="I436" s="11" t="b">
        <f>IF(VLOOKUP(A436&amp;" "&amp;B436,'HIDDEN import'!A:G,5,FALSE)="M",TRUE,IFERROR(VLOOKUP(E436,'Optional features'!B:D,3,FALSE)="Yes",IFERROR(VLOOKUP(E436,'HIDDEN calc sheet'!A:B,2,FALSE),IFERROR(VLOOKUP(E436,'Additional questions'!B:D,3,FALSE)="Yes",VLOOKUP(E436,'Hardware Feature set'!B:D,3,FALSE)="No"))))</f>
        <v>1</v>
      </c>
      <c r="J436" s="11" t="b">
        <f>IF(VLOOKUP(B436,'Profile selection'!B:C,2,FALSE)="Yes",TRUE,FALSE)</f>
        <v>0</v>
      </c>
      <c r="K436" s="53"/>
      <c r="L436" s="53"/>
    </row>
    <row r="437" spans="1:12" x14ac:dyDescent="0.25">
      <c r="A437" t="str">
        <f>'HIDDEN import'!B437</f>
        <v>TC_M_29_CS</v>
      </c>
      <c r="B437" t="str">
        <f>'HIDDEN import'!C437</f>
        <v>ISO 15118 Support</v>
      </c>
      <c r="C437" t="str">
        <f>'HIDDEN import'!D437</f>
        <v>Certificate Update EV - Failed</v>
      </c>
      <c r="D437" t="str">
        <f>IF(VLOOKUP(A437&amp;" "&amp;B437,'HIDDEN import'!A:G,5,FALSE)="M",MD!$A$1,(IF(AND(VLOOKUP(A437,'HIDDEN import'!B:E,4,FALSE)="C",OR(NOT(ISERROR(VLOOKUP(E437,'Optional features'!B:D,1,FALSE)=E437)),NOT(ISERROR(VLOOKUP(E437,'HIDDEN calc sheet'!A:C,1,FALSE)=E437)))),MD!$A$3,MD!$A$2)))</f>
        <v>Mandatory test for a mandatory feature</v>
      </c>
      <c r="E437" t="str">
        <f>IF('HIDDEN import'!F437=0,"",'HIDDEN import'!F437)</f>
        <v/>
      </c>
      <c r="F437" t="str">
        <f>IF('HIDDEN import'!G437=0,"",'HIDDEN import'!G437)</f>
        <v/>
      </c>
      <c r="G437" s="181" t="str">
        <f>IFERROR(VLOOKUP($A437,'HIDDEN Testrun Results'!$A:$B,2,FALSE),"")</f>
        <v/>
      </c>
      <c r="H437" s="11" t="b">
        <f t="shared" si="8"/>
        <v>0</v>
      </c>
      <c r="I437" s="11" t="b">
        <f>IF(VLOOKUP(A437&amp;" "&amp;B437,'HIDDEN import'!A:G,5,FALSE)="M",TRUE,IFERROR(VLOOKUP(E437,'Optional features'!B:D,3,FALSE)="Yes",IFERROR(VLOOKUP(E437,'HIDDEN calc sheet'!A:B,2,FALSE),IFERROR(VLOOKUP(E437,'Additional questions'!B:D,3,FALSE)="Yes",VLOOKUP(E437,'Hardware Feature set'!B:D,3,FALSE)="No"))))</f>
        <v>1</v>
      </c>
      <c r="J437" s="11" t="b">
        <f>IF(VLOOKUP(B437,'Profile selection'!B:C,2,FALSE)="Yes",TRUE,FALSE)</f>
        <v>0</v>
      </c>
      <c r="K437" s="53"/>
      <c r="L437" s="53"/>
    </row>
    <row r="438" spans="1:12" x14ac:dyDescent="0.25">
      <c r="A438" t="str">
        <f>'HIDDEN import'!B438</f>
        <v>TC_M_14_CS</v>
      </c>
      <c r="B438" t="str">
        <f>'HIDDEN import'!C438</f>
        <v>ISO 15118 Support</v>
      </c>
      <c r="C438" t="str">
        <f>'HIDDEN import'!D438</f>
        <v>Retrieve certificates from Charging Station - V2GRootCertificate</v>
      </c>
      <c r="D438" t="str">
        <f>IF(VLOOKUP(A438&amp;" "&amp;B438,'HIDDEN import'!A:G,5,FALSE)="M",MD!$A$1,(IF(AND(VLOOKUP(A438,'HIDDEN import'!B:E,4,FALSE)="C",OR(NOT(ISERROR(VLOOKUP(E438,'Optional features'!B:D,1,FALSE)=E438)),NOT(ISERROR(VLOOKUP(E438,'HIDDEN calc sheet'!A:C,1,FALSE)=E438)))),MD!$A$3,MD!$A$2)))</f>
        <v>Mandatory test for a mandatory feature</v>
      </c>
      <c r="E438" t="str">
        <f>IF('HIDDEN import'!F438=0,"",'HIDDEN import'!F438)</f>
        <v/>
      </c>
      <c r="F438" t="str">
        <f>IF('HIDDEN import'!G438=0,"",'HIDDEN import'!G438)</f>
        <v/>
      </c>
      <c r="G438" s="181" t="str">
        <f>IFERROR(VLOOKUP($A438,'HIDDEN Testrun Results'!$A:$B,2,FALSE),"")</f>
        <v/>
      </c>
      <c r="H438" s="11" t="b">
        <f t="shared" si="8"/>
        <v>0</v>
      </c>
      <c r="I438" s="11" t="b">
        <f>IF(VLOOKUP(A438&amp;" "&amp;B438,'HIDDEN import'!A:G,5,FALSE)="M",TRUE,IFERROR(VLOOKUP(E438,'Optional features'!B:D,3,FALSE)="Yes",IFERROR(VLOOKUP(E438,'HIDDEN calc sheet'!A:B,2,FALSE),IFERROR(VLOOKUP(E438,'Additional questions'!B:D,3,FALSE)="Yes",VLOOKUP(E438,'Hardware Feature set'!B:D,3,FALSE)="No"))))</f>
        <v>1</v>
      </c>
      <c r="J438" s="11" t="b">
        <f>IF(VLOOKUP(B438,'Profile selection'!B:C,2,FALSE)="Yes",TRUE,FALSE)</f>
        <v>0</v>
      </c>
      <c r="K438" s="53"/>
      <c r="L438" s="53"/>
    </row>
    <row r="439" spans="1:12" x14ac:dyDescent="0.25">
      <c r="A439" t="str">
        <f>'HIDDEN import'!B439</f>
        <v>TC_M_15_CS</v>
      </c>
      <c r="B439" t="str">
        <f>'HIDDEN import'!C439</f>
        <v>ISO 15118 Support</v>
      </c>
      <c r="C439" t="str">
        <f>'HIDDEN import'!D439</f>
        <v>Retrieve certificates from Charging Station - V2GCertificateChain</v>
      </c>
      <c r="D439" t="str">
        <f>IF(VLOOKUP(A439&amp;" "&amp;B439,'HIDDEN import'!A:G,5,FALSE)="M",MD!$A$1,(IF(AND(VLOOKUP(A439,'HIDDEN import'!B:E,4,FALSE)="C",OR(NOT(ISERROR(VLOOKUP(E439,'Optional features'!B:D,1,FALSE)=E439)),NOT(ISERROR(VLOOKUP(E439,'HIDDEN calc sheet'!A:C,1,FALSE)=E439)))),MD!$A$3,MD!$A$2)))</f>
        <v>Mandatory test for a mandatory feature</v>
      </c>
      <c r="E439" t="str">
        <f>IF('HIDDEN import'!F439=0,"",'HIDDEN import'!F439)</f>
        <v/>
      </c>
      <c r="F439" t="str">
        <f>IF('HIDDEN import'!G439=0,"",'HIDDEN import'!G439)</f>
        <v/>
      </c>
      <c r="G439" s="181" t="str">
        <f>IFERROR(VLOOKUP($A439,'HIDDEN Testrun Results'!$A:$B,2,FALSE),"")</f>
        <v/>
      </c>
      <c r="H439" s="11" t="b">
        <f t="shared" si="8"/>
        <v>0</v>
      </c>
      <c r="I439" s="11" t="b">
        <f>IF(VLOOKUP(A439&amp;" "&amp;B439,'HIDDEN import'!A:G,5,FALSE)="M",TRUE,IFERROR(VLOOKUP(E439,'Optional features'!B:D,3,FALSE)="Yes",IFERROR(VLOOKUP(E439,'HIDDEN calc sheet'!A:B,2,FALSE),IFERROR(VLOOKUP(E439,'Additional questions'!B:D,3,FALSE)="Yes",VLOOKUP(E439,'Hardware Feature set'!B:D,3,FALSE)="No"))))</f>
        <v>1</v>
      </c>
      <c r="J439" s="11" t="b">
        <f>IF(VLOOKUP(B439,'Profile selection'!B:C,2,FALSE)="Yes",TRUE,FALSE)</f>
        <v>0</v>
      </c>
      <c r="K439" s="53"/>
      <c r="L439" s="53"/>
    </row>
    <row r="440" spans="1:12" x14ac:dyDescent="0.25">
      <c r="A440" t="str">
        <f>'HIDDEN import'!B440</f>
        <v>TC_M_16_CS</v>
      </c>
      <c r="B440" t="str">
        <f>'HIDDEN import'!C440</f>
        <v>ISO 15118 Support</v>
      </c>
      <c r="C440" t="str">
        <f>'HIDDEN import'!D440</f>
        <v>Retrieve certificates from Charging Station - MORootCertificate</v>
      </c>
      <c r="D440" t="str">
        <f>IF(VLOOKUP(A440&amp;" "&amp;B440,'HIDDEN import'!A:G,5,FALSE)="M",MD!$A$1,(IF(AND(VLOOKUP(A440,'HIDDEN import'!B:E,4,FALSE)="C",OR(NOT(ISERROR(VLOOKUP(E440,'Optional features'!B:D,1,FALSE)=E440)),NOT(ISERROR(VLOOKUP(E440,'HIDDEN calc sheet'!A:C,1,FALSE)=E440)))),MD!$A$3,MD!$A$2)))</f>
        <v>Mandatory test for a mandatory feature</v>
      </c>
      <c r="E440" t="str">
        <f>IF('HIDDEN import'!F440=0,"",'HIDDEN import'!F440)</f>
        <v/>
      </c>
      <c r="F440" t="str">
        <f>IF('HIDDEN import'!G440=0,"",'HIDDEN import'!G440)</f>
        <v/>
      </c>
      <c r="G440" s="181" t="str">
        <f>IFERROR(VLOOKUP($A440,'HIDDEN Testrun Results'!$A:$B,2,FALSE),"")</f>
        <v/>
      </c>
      <c r="H440" s="11" t="b">
        <f t="shared" si="8"/>
        <v>0</v>
      </c>
      <c r="I440" s="11" t="b">
        <f>IF(VLOOKUP(A440&amp;" "&amp;B440,'HIDDEN import'!A:G,5,FALSE)="M",TRUE,IFERROR(VLOOKUP(E440,'Optional features'!B:D,3,FALSE)="Yes",IFERROR(VLOOKUP(E440,'HIDDEN calc sheet'!A:B,2,FALSE),IFERROR(VLOOKUP(E440,'Additional questions'!B:D,3,FALSE)="Yes",VLOOKUP(E440,'Hardware Feature set'!B:D,3,FALSE)="No"))))</f>
        <v>1</v>
      </c>
      <c r="J440" s="11" t="b">
        <f>IF(VLOOKUP(B440,'Profile selection'!B:C,2,FALSE)="Yes",TRUE,FALSE)</f>
        <v>0</v>
      </c>
      <c r="K440" s="53"/>
      <c r="L440" s="53"/>
    </row>
    <row r="441" spans="1:12" x14ac:dyDescent="0.25">
      <c r="A441" t="str">
        <f>'HIDDEN import'!B441</f>
        <v>TC_M_03_CS</v>
      </c>
      <c r="B441" t="str">
        <f>'HIDDEN import'!C441</f>
        <v>ISO 15118 Support</v>
      </c>
      <c r="C441" t="str">
        <f>'HIDDEN import'!D441</f>
        <v>Install CA certificate - V2GRootCertificate</v>
      </c>
      <c r="D441" t="str">
        <f>IF(VLOOKUP(A441&amp;" "&amp;B441,'HIDDEN import'!A:G,5,FALSE)="M",MD!$A$1,(IF(AND(VLOOKUP(A441,'HIDDEN import'!B:E,4,FALSE)="C",OR(NOT(ISERROR(VLOOKUP(E441,'Optional features'!B:D,1,FALSE)=E441)),NOT(ISERROR(VLOOKUP(E441,'HIDDEN calc sheet'!A:C,1,FALSE)=E441)))),MD!$A$3,MD!$A$2)))</f>
        <v>Mandatory test for a mandatory feature</v>
      </c>
      <c r="E441" t="str">
        <f>IF('HIDDEN import'!F441=0,"",'HIDDEN import'!F441)</f>
        <v/>
      </c>
      <c r="F441" t="str">
        <f>IF('HIDDEN import'!G441=0,"",'HIDDEN import'!G441)</f>
        <v/>
      </c>
      <c r="G441" s="181" t="str">
        <f>IFERROR(VLOOKUP($A441,'HIDDEN Testrun Results'!$A:$B,2,FALSE),"")</f>
        <v/>
      </c>
      <c r="H441" s="11" t="b">
        <f t="shared" si="8"/>
        <v>0</v>
      </c>
      <c r="I441" s="11" t="b">
        <f>IF(VLOOKUP(A441&amp;" "&amp;B441,'HIDDEN import'!A:G,5,FALSE)="M",TRUE,IFERROR(VLOOKUP(E441,'Optional features'!B:D,3,FALSE)="Yes",IFERROR(VLOOKUP(E441,'HIDDEN calc sheet'!A:B,2,FALSE),IFERROR(VLOOKUP(E441,'Additional questions'!B:D,3,FALSE)="Yes",VLOOKUP(E441,'Hardware Feature set'!B:D,3,FALSE)="No"))))</f>
        <v>1</v>
      </c>
      <c r="J441" s="11" t="b">
        <f>IF(VLOOKUP(B441,'Profile selection'!B:C,2,FALSE)="Yes",TRUE,FALSE)</f>
        <v>0</v>
      </c>
      <c r="K441" s="53"/>
      <c r="L441" s="53"/>
    </row>
    <row r="442" spans="1:12" x14ac:dyDescent="0.25">
      <c r="A442" t="str">
        <f>'HIDDEN import'!B442</f>
        <v>TC_M_04_CS</v>
      </c>
      <c r="B442" t="str">
        <f>'HIDDEN import'!C442</f>
        <v>ISO 15118 Support</v>
      </c>
      <c r="C442" t="str">
        <f>'HIDDEN import'!D442</f>
        <v>Install CA certificate - MORootCertificate</v>
      </c>
      <c r="D442" t="str">
        <f>IF(VLOOKUP(A442&amp;" "&amp;B442,'HIDDEN import'!A:G,5,FALSE)="M",MD!$A$1,(IF(AND(VLOOKUP(A442,'HIDDEN import'!B:E,4,FALSE)="C",OR(NOT(ISERROR(VLOOKUP(E442,'Optional features'!B:D,1,FALSE)=E442)),NOT(ISERROR(VLOOKUP(E442,'HIDDEN calc sheet'!A:C,1,FALSE)=E442)))),MD!$A$3,MD!$A$2)))</f>
        <v>Mandatory test for a mandatory feature</v>
      </c>
      <c r="E442" t="str">
        <f>IF('HIDDEN import'!F442=0,"",'HIDDEN import'!F442)</f>
        <v/>
      </c>
      <c r="F442" t="str">
        <f>IF('HIDDEN import'!G442=0,"",'HIDDEN import'!G442)</f>
        <v/>
      </c>
      <c r="G442" s="181" t="str">
        <f>IFERROR(VLOOKUP($A442,'HIDDEN Testrun Results'!$A:$B,2,FALSE),"")</f>
        <v/>
      </c>
      <c r="H442" s="11" t="b">
        <f t="shared" si="8"/>
        <v>0</v>
      </c>
      <c r="I442" s="11" t="b">
        <f>IF(VLOOKUP(A442&amp;" "&amp;B442,'HIDDEN import'!A:G,5,FALSE)="M",TRUE,IFERROR(VLOOKUP(E442,'Optional features'!B:D,3,FALSE)="Yes",IFERROR(VLOOKUP(E442,'HIDDEN calc sheet'!A:B,2,FALSE),IFERROR(VLOOKUP(E442,'Additional questions'!B:D,3,FALSE)="Yes",VLOOKUP(E442,'Hardware Feature set'!B:D,3,FALSE)="No"))))</f>
        <v>1</v>
      </c>
      <c r="J442" s="11" t="b">
        <f>IF(VLOOKUP(B442,'Profile selection'!B:C,2,FALSE)="Yes",TRUE,FALSE)</f>
        <v>0</v>
      </c>
      <c r="K442" s="53"/>
      <c r="L442" s="53"/>
    </row>
    <row r="443" spans="1:12" x14ac:dyDescent="0.25">
      <c r="A443" t="str">
        <f>'HIDDEN import'!B443</f>
        <v>TC_M_24_CS</v>
      </c>
      <c r="B443" t="str">
        <f>'HIDDEN import'!C443</f>
        <v>ISO 15118 Support</v>
      </c>
      <c r="C443" t="str">
        <f>'HIDDEN import'!D443</f>
        <v>Get Charging Station Certificate status - Success</v>
      </c>
      <c r="D443" t="str">
        <f>IF(VLOOKUP(A443&amp;" "&amp;B443,'HIDDEN import'!A:G,5,FALSE)="M",MD!$A$1,(IF(AND(VLOOKUP(A443,'HIDDEN import'!B:E,4,FALSE)="C",OR(NOT(ISERROR(VLOOKUP(E443,'Optional features'!B:D,1,FALSE)=E443)),NOT(ISERROR(VLOOKUP(E443,'HIDDEN calc sheet'!A:C,1,FALSE)=E443)))),MD!$A$3,MD!$A$2)))</f>
        <v>Mandatory test for a mandatory feature</v>
      </c>
      <c r="E443" t="str">
        <f>IF('HIDDEN import'!F443=0,"",'HIDDEN import'!F443)</f>
        <v/>
      </c>
      <c r="F443" t="str">
        <f>IF('HIDDEN import'!G443=0,"",'HIDDEN import'!G443)</f>
        <v/>
      </c>
      <c r="G443" s="181" t="str">
        <f>IFERROR(VLOOKUP($A443,'HIDDEN Testrun Results'!$A:$B,2,FALSE),"")</f>
        <v/>
      </c>
      <c r="H443" s="11" t="b">
        <f t="shared" si="8"/>
        <v>0</v>
      </c>
      <c r="I443" s="11" t="b">
        <f>IF(VLOOKUP(A443&amp;" "&amp;B443,'HIDDEN import'!A:G,5,FALSE)="M",TRUE,IFERROR(VLOOKUP(E443,'Optional features'!B:D,3,FALSE)="Yes",IFERROR(VLOOKUP(E443,'HIDDEN calc sheet'!A:B,2,FALSE),IFERROR(VLOOKUP(E443,'Additional questions'!B:D,3,FALSE)="Yes",VLOOKUP(E443,'Hardware Feature set'!B:D,3,FALSE)="No"))))</f>
        <v>1</v>
      </c>
      <c r="J443" s="11" t="b">
        <f>IF(VLOOKUP(B443,'Profile selection'!B:C,2,FALSE)="Yes",TRUE,FALSE)</f>
        <v>0</v>
      </c>
      <c r="K443" s="53"/>
      <c r="L443" s="53"/>
    </row>
    <row r="444" spans="1:12" x14ac:dyDescent="0.25">
      <c r="A444" t="str">
        <f>'HIDDEN import'!B444</f>
        <v>TC_M_25_CS</v>
      </c>
      <c r="B444" t="str">
        <f>'HIDDEN import'!C444</f>
        <v>ISO 15118 Support</v>
      </c>
      <c r="C444" t="str">
        <f>'HIDDEN import'!D444</f>
        <v>Get Charging Station Certificate status - Rejected</v>
      </c>
      <c r="D444" t="str">
        <f>IF(VLOOKUP(A444&amp;" "&amp;B444,'HIDDEN import'!A:G,5,FALSE)="M",MD!$A$1,(IF(AND(VLOOKUP(A444,'HIDDEN import'!B:E,4,FALSE)="C",OR(NOT(ISERROR(VLOOKUP(E444,'Optional features'!B:D,1,FALSE)=E444)),NOT(ISERROR(VLOOKUP(E444,'HIDDEN calc sheet'!A:C,1,FALSE)=E444)))),MD!$A$3,MD!$A$2)))</f>
        <v>Mandatory test for a mandatory feature</v>
      </c>
      <c r="E444" t="str">
        <f>IF('HIDDEN import'!F444=0,"",'HIDDEN import'!F444)</f>
        <v/>
      </c>
      <c r="F444" t="str">
        <f>IF('HIDDEN import'!G444=0,"",'HIDDEN import'!G444)</f>
        <v/>
      </c>
      <c r="G444" s="181" t="str">
        <f>IFERROR(VLOOKUP($A444,'HIDDEN Testrun Results'!$A:$B,2,FALSE),"")</f>
        <v/>
      </c>
      <c r="H444" s="11" t="b">
        <f t="shared" si="8"/>
        <v>0</v>
      </c>
      <c r="I444" s="11" t="b">
        <f>IF(VLOOKUP(A444&amp;" "&amp;B444,'HIDDEN import'!A:G,5,FALSE)="M",TRUE,IFERROR(VLOOKUP(E444,'Optional features'!B:D,3,FALSE)="Yes",IFERROR(VLOOKUP(E444,'HIDDEN calc sheet'!A:B,2,FALSE),IFERROR(VLOOKUP(E444,'Additional questions'!B:D,3,FALSE)="Yes",VLOOKUP(E444,'Hardware Feature set'!B:D,3,FALSE)="No"))))</f>
        <v>1</v>
      </c>
      <c r="J444" s="11" t="b">
        <f>IF(VLOOKUP(B444,'Profile selection'!B:C,2,FALSE)="Yes",TRUE,FALSE)</f>
        <v>0</v>
      </c>
      <c r="K444" s="53"/>
      <c r="L444" s="53"/>
    </row>
    <row r="445" spans="1:12" x14ac:dyDescent="0.25">
      <c r="A445" t="str">
        <f>'HIDDEN import'!B445</f>
        <v>TC_N_63_CS</v>
      </c>
      <c r="B445" t="str">
        <f>'HIDDEN import'!C445</f>
        <v>ISO 15118 Support</v>
      </c>
      <c r="C445" t="str">
        <f>'HIDDEN import'!D445</f>
        <v>Clear Customer Information - Clear and report - customerCertificate</v>
      </c>
      <c r="D445" t="str">
        <f>IF(VLOOKUP(A445&amp;" "&amp;B445,'HIDDEN import'!A:G,5,FALSE)="M",MD!$A$1,(IF(AND(VLOOKUP(A445,'HIDDEN import'!B:E,4,FALSE)="C",OR(NOT(ISERROR(VLOOKUP(E445,'Optional features'!B:D,1,FALSE)=E445)),NOT(ISERROR(VLOOKUP(E445,'HIDDEN calc sheet'!A:C,1,FALSE)=E445)))),MD!$A$3,MD!$A$2)))</f>
        <v>Mandatory for optional feature</v>
      </c>
      <c r="E445" t="str">
        <f>IF('HIDDEN import'!F445=0,"",'HIDDEN import'!F445)</f>
        <v>ISO-4</v>
      </c>
      <c r="F445" t="str">
        <f>IF('HIDDEN import'!G445=0,"",'HIDDEN import'!G445)</f>
        <v/>
      </c>
      <c r="G445" s="181" t="str">
        <f>IFERROR(VLOOKUP($A445,'HIDDEN Testrun Results'!$A:$B,2,FALSE),"")</f>
        <v/>
      </c>
      <c r="H445" s="11" t="b">
        <f t="shared" si="8"/>
        <v>0</v>
      </c>
      <c r="I445" s="11" t="b">
        <f>IF(VLOOKUP(A445&amp;" "&amp;B445,'HIDDEN import'!A:G,5,FALSE)="M",TRUE,IFERROR(VLOOKUP(E445,'Optional features'!B:D,3,FALSE)="Yes",IFERROR(VLOOKUP(E445,'HIDDEN calc sheet'!A:B,2,FALSE),IFERROR(VLOOKUP(E445,'Additional questions'!B:D,3,FALSE)="Yes",VLOOKUP(E445,'Hardware Feature set'!B:D,3,FALSE)="No"))))</f>
        <v>0</v>
      </c>
      <c r="J445" s="11" t="b">
        <f>IF(VLOOKUP(B445,'Profile selection'!B:C,2,FALSE)="Yes",TRUE,FALSE)</f>
        <v>0</v>
      </c>
      <c r="K445" s="53"/>
      <c r="L445" s="53"/>
    </row>
  </sheetData>
  <sheetProtection algorithmName="SHA-512" hashValue="UPT3WQjTIbyOntkICvQNBr+4ka0ok0/2XbMEYGDGALX/vF0Ui1NBfbweXrAC9zqiZZUUm0TKIL0PZ/dg3tC3zg==" saltValue="6EE6JIrba77LCLTCjE7Hwg==" spinCount="100000" sheet="1" formatColumns="0" autoFilter="0"/>
  <autoFilter ref="A1:J445" xr:uid="{BD8AEFF0-6C9E-4092-8A8D-C5FF711F20D5}"/>
  <sortState xmlns:xlrd2="http://schemas.microsoft.com/office/spreadsheetml/2017/richdata2" ref="A2:J445">
    <sortCondition ref="A2:A445"/>
  </sortState>
  <pageMargins left="0.7" right="0.7" top="0.75" bottom="0.75" header="0.3" footer="0.3"/>
  <pageSetup paperSize="9" orientation="portrait" r:id="rId1"/>
  <headerFooter>
    <oddFooter>&amp;C_x000D_&amp;1#&amp;"Arial"&amp;9&amp;K000000 Internal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AF2F2-0E93-4FB2-8E0B-05D42B17F12E}">
  <sheetPr>
    <tabColor theme="7"/>
    <pageSetUpPr fitToPage="1"/>
  </sheetPr>
  <dimension ref="B1:I67"/>
  <sheetViews>
    <sheetView showGridLines="0" workbookViewId="0">
      <selection activeCell="C5" sqref="C5"/>
    </sheetView>
  </sheetViews>
  <sheetFormatPr defaultColWidth="9" defaultRowHeight="15" x14ac:dyDescent="0.25"/>
  <cols>
    <col min="1" max="1" width="2.375" style="77" customWidth="1"/>
    <col min="2" max="2" width="21.875" style="77" customWidth="1"/>
    <col min="3" max="3" width="30.625" style="77" bestFit="1" customWidth="1"/>
    <col min="4" max="4" width="2" style="77" customWidth="1"/>
    <col min="5" max="5" width="8.5" style="77" customWidth="1"/>
    <col min="6" max="6" width="13.375" style="77" customWidth="1"/>
    <col min="7" max="7" width="9" style="77"/>
    <col min="8" max="8" width="29.5" style="77" bestFit="1" customWidth="1"/>
    <col min="9" max="16384" width="9" style="77"/>
  </cols>
  <sheetData>
    <row r="1" spans="2:9" customFormat="1" ht="61.5" customHeight="1" x14ac:dyDescent="0.25">
      <c r="B1" s="77"/>
      <c r="C1" s="252" t="s">
        <v>1334</v>
      </c>
      <c r="D1" s="252"/>
      <c r="E1" s="252"/>
      <c r="F1" s="252"/>
      <c r="H1" s="214" t="s">
        <v>1374</v>
      </c>
      <c r="I1" s="151" t="str">
        <f>IF(AND(ISERROR(FIND("&lt;",_xlfn.CONCAT(C5:C21))),_xlfn.CONCAT(G4:G21)=""),"VALID","INVALID")</f>
        <v>INVALID</v>
      </c>
    </row>
    <row r="2" spans="2:9" customFormat="1" ht="37.5" customHeight="1" x14ac:dyDescent="0.25">
      <c r="B2" s="77"/>
      <c r="C2" s="266" t="s">
        <v>1335</v>
      </c>
      <c r="D2" s="266"/>
      <c r="E2" s="266"/>
      <c r="F2" s="266"/>
    </row>
    <row r="3" spans="2:9" ht="15.75" thickBot="1" x14ac:dyDescent="0.3"/>
    <row r="4" spans="2:9" ht="21.75" customHeight="1" thickBot="1" x14ac:dyDescent="0.3">
      <c r="B4" s="270" t="s">
        <v>1173</v>
      </c>
      <c r="C4" s="271"/>
      <c r="D4" s="87"/>
      <c r="E4" s="90" t="s">
        <v>1181</v>
      </c>
      <c r="F4" s="137" t="s">
        <v>1328</v>
      </c>
      <c r="G4" s="157" t="str">
        <f>IF(ISBLANK(F4),"&lt;---- This field cannot be left empty!",IF(NOT(ISERROR(FIND("&lt;",F4))),"&lt;---- Please enter a valid date",""))</f>
        <v>&lt;---- Please enter a valid date</v>
      </c>
    </row>
    <row r="5" spans="2:9" ht="21.75" customHeight="1" x14ac:dyDescent="0.25">
      <c r="B5" s="78" t="s">
        <v>231</v>
      </c>
      <c r="C5" s="141" t="s">
        <v>1329</v>
      </c>
      <c r="D5" s="88"/>
      <c r="E5" s="138" t="s">
        <v>1182</v>
      </c>
      <c r="F5" s="139"/>
      <c r="G5" s="157" t="str">
        <f t="shared" ref="G5:G9" si="0">IF(ISBLANK(C5),"&lt;---- This field cannot be left empty!",IF(NOT(ISERROR(FIND("&lt;",C5))),"&lt;---- Please enter a valid value",""))</f>
        <v>&lt;---- Please enter a valid value</v>
      </c>
    </row>
    <row r="6" spans="2:9" ht="21.75" customHeight="1" x14ac:dyDescent="0.25">
      <c r="B6" s="79" t="s">
        <v>1174</v>
      </c>
      <c r="C6" s="142" t="s">
        <v>1175</v>
      </c>
      <c r="D6" s="88"/>
      <c r="E6" s="274"/>
      <c r="F6" s="275"/>
      <c r="G6" s="157" t="str">
        <f t="shared" si="0"/>
        <v>&lt;---- Please enter a valid value</v>
      </c>
    </row>
    <row r="7" spans="2:9" ht="21.75" customHeight="1" x14ac:dyDescent="0.25">
      <c r="B7" s="79" t="s">
        <v>1176</v>
      </c>
      <c r="C7" s="143" t="s">
        <v>1327</v>
      </c>
      <c r="D7" s="88"/>
      <c r="E7" s="274"/>
      <c r="F7" s="275"/>
      <c r="G7" s="157" t="str">
        <f t="shared" si="0"/>
        <v>&lt;---- Please enter a valid value</v>
      </c>
    </row>
    <row r="8" spans="2:9" ht="21.75" customHeight="1" x14ac:dyDescent="0.25">
      <c r="B8" s="79" t="s">
        <v>1177</v>
      </c>
      <c r="C8" s="143" t="s">
        <v>1330</v>
      </c>
      <c r="D8" s="88"/>
      <c r="E8" s="274"/>
      <c r="F8" s="275"/>
      <c r="G8" s="157" t="str">
        <f t="shared" si="0"/>
        <v>&lt;---- Please enter a valid value</v>
      </c>
    </row>
    <row r="9" spans="2:9" ht="21.75" customHeight="1" thickBot="1" x14ac:dyDescent="0.3">
      <c r="B9" s="80" t="s">
        <v>1178</v>
      </c>
      <c r="C9" s="144" t="s">
        <v>1324</v>
      </c>
      <c r="D9" s="89"/>
      <c r="E9" s="276"/>
      <c r="F9" s="277"/>
      <c r="G9" s="157" t="str">
        <f t="shared" si="0"/>
        <v>&lt;---- Please enter a valid value</v>
      </c>
    </row>
    <row r="11" spans="2:9" ht="15.75" thickBot="1" x14ac:dyDescent="0.3"/>
    <row r="12" spans="2:9" ht="23.25" customHeight="1" thickBot="1" x14ac:dyDescent="0.3">
      <c r="B12" s="272" t="s">
        <v>1179</v>
      </c>
      <c r="C12" s="273"/>
      <c r="D12" s="87"/>
      <c r="E12" s="90" t="s">
        <v>1181</v>
      </c>
      <c r="F12" s="137" t="s">
        <v>1328</v>
      </c>
      <c r="G12" s="157" t="str">
        <f>IF(ISBLANK(F12),"&lt;---- This field cannot be left empty!",IF(NOT(ISERROR(FIND("&lt;",F12))),"&lt;---- Please enter a valid date",""))</f>
        <v>&lt;---- Please enter a valid date</v>
      </c>
    </row>
    <row r="13" spans="2:9" ht="23.25" customHeight="1" x14ac:dyDescent="0.25">
      <c r="B13" s="109" t="s">
        <v>1299</v>
      </c>
      <c r="C13" s="145" t="s">
        <v>1303</v>
      </c>
      <c r="D13" s="88"/>
      <c r="E13" s="138" t="s">
        <v>1182</v>
      </c>
      <c r="F13" s="140"/>
      <c r="G13" s="157" t="str">
        <f>IF(ISBLANK(C13),"&lt;---- This field cannot be left empty!",IF(NOT(ISERROR(FIND("&lt;",C13))),"&lt;---- Please enter a valid date",""))</f>
        <v>&lt;---- Please enter a valid date</v>
      </c>
    </row>
    <row r="14" spans="2:9" ht="23.25" customHeight="1" x14ac:dyDescent="0.25">
      <c r="B14" s="107" t="s">
        <v>1301</v>
      </c>
      <c r="C14" s="146" t="s">
        <v>1302</v>
      </c>
      <c r="D14" s="88"/>
      <c r="E14" s="278"/>
      <c r="F14" s="279"/>
      <c r="G14" s="157" t="str">
        <f>IF(ISBLANK(C14),"&lt;---- This field cannot be left empty!",IF(NOT(ISERROR(FIND("&lt;",C14))),"&lt;---- Please enter a valid value",""))</f>
        <v>&lt;---- Please enter a valid value</v>
      </c>
    </row>
    <row r="15" spans="2:9" ht="23.25" customHeight="1" x14ac:dyDescent="0.25">
      <c r="B15" s="107" t="s">
        <v>1276</v>
      </c>
      <c r="C15" s="147" t="s">
        <v>1333</v>
      </c>
      <c r="D15" s="88"/>
      <c r="E15" s="278"/>
      <c r="F15" s="279"/>
      <c r="G15" s="157" t="str">
        <f t="shared" ref="G15:G21" si="1">IF(ISBLANK(C15),"&lt;---- This field cannot be left empty!",IF(NOT(ISERROR(FIND("&lt;",C15))),"&lt;---- Please enter a valid value",""))</f>
        <v>&lt;---- Please enter a valid value</v>
      </c>
    </row>
    <row r="16" spans="2:9" ht="23.25" customHeight="1" x14ac:dyDescent="0.25">
      <c r="B16" s="110" t="s">
        <v>231</v>
      </c>
      <c r="C16" s="148" t="s">
        <v>1331</v>
      </c>
      <c r="D16" s="88"/>
      <c r="E16" s="278"/>
      <c r="F16" s="279"/>
      <c r="G16" s="157" t="str">
        <f t="shared" si="1"/>
        <v>&lt;---- Please enter a valid value</v>
      </c>
    </row>
    <row r="17" spans="2:7" ht="23.25" customHeight="1" x14ac:dyDescent="0.25">
      <c r="B17" s="110" t="s">
        <v>1480</v>
      </c>
      <c r="C17" s="241" t="s">
        <v>1481</v>
      </c>
      <c r="D17" s="230"/>
      <c r="E17" s="278"/>
      <c r="F17" s="279"/>
      <c r="G17" s="157" t="str">
        <f>IF(NOT(ISERROR(FIND("&lt;",C17))),"&lt;---- Please enter a valid value or leave empty when not applicable",IF(C16=C17,"&lt;---- Reviewer cannot be the same as the lab representative, please leave empty if not applicable.",""))</f>
        <v>&lt;---- Please enter a valid value or leave empty when not applicable</v>
      </c>
    </row>
    <row r="18" spans="2:7" ht="23.25" customHeight="1" x14ac:dyDescent="0.25">
      <c r="B18" s="111" t="s">
        <v>1174</v>
      </c>
      <c r="C18" s="149" t="s">
        <v>1325</v>
      </c>
      <c r="D18" s="108"/>
      <c r="E18" s="278"/>
      <c r="F18" s="279"/>
      <c r="G18" s="157" t="str">
        <f t="shared" si="1"/>
        <v>&lt;---- Please enter a valid value</v>
      </c>
    </row>
    <row r="19" spans="2:7" ht="23.25" customHeight="1" x14ac:dyDescent="0.25">
      <c r="B19" s="111" t="s">
        <v>1176</v>
      </c>
      <c r="C19" s="149" t="s">
        <v>1326</v>
      </c>
      <c r="E19" s="278"/>
      <c r="F19" s="279"/>
      <c r="G19" s="157" t="str">
        <f t="shared" si="1"/>
        <v>&lt;---- Please enter a valid value</v>
      </c>
    </row>
    <row r="20" spans="2:7" ht="23.25" customHeight="1" x14ac:dyDescent="0.25">
      <c r="B20" s="111" t="s">
        <v>1177</v>
      </c>
      <c r="C20" s="149" t="s">
        <v>1332</v>
      </c>
      <c r="D20" s="88"/>
      <c r="E20" s="278"/>
      <c r="F20" s="279"/>
      <c r="G20" s="157" t="str">
        <f t="shared" si="1"/>
        <v>&lt;---- Please enter a valid value</v>
      </c>
    </row>
    <row r="21" spans="2:7" ht="23.25" customHeight="1" thickBot="1" x14ac:dyDescent="0.3">
      <c r="B21" s="112" t="s">
        <v>1178</v>
      </c>
      <c r="C21" s="150" t="s">
        <v>1323</v>
      </c>
      <c r="D21" s="89"/>
      <c r="E21" s="280"/>
      <c r="F21" s="281"/>
      <c r="G21" s="157" t="str">
        <f t="shared" si="1"/>
        <v>&lt;---- Please enter a valid value</v>
      </c>
    </row>
    <row r="23" spans="2:7" ht="15.75" thickBot="1" x14ac:dyDescent="0.3"/>
    <row r="24" spans="2:7" ht="15.75" customHeight="1" thickBot="1" x14ac:dyDescent="0.3">
      <c r="B24" s="267" t="s">
        <v>1484</v>
      </c>
      <c r="C24" s="268"/>
      <c r="D24" s="268"/>
      <c r="E24" s="268"/>
      <c r="F24" s="269"/>
    </row>
    <row r="25" spans="2:7" x14ac:dyDescent="0.25">
      <c r="B25" s="242"/>
      <c r="F25" s="243"/>
    </row>
    <row r="26" spans="2:7" x14ac:dyDescent="0.25">
      <c r="B26" s="242"/>
      <c r="F26" s="243"/>
    </row>
    <row r="27" spans="2:7" x14ac:dyDescent="0.25">
      <c r="B27" s="242"/>
      <c r="F27" s="243"/>
    </row>
    <row r="28" spans="2:7" x14ac:dyDescent="0.25">
      <c r="B28" s="242"/>
      <c r="F28" s="243"/>
    </row>
    <row r="29" spans="2:7" x14ac:dyDescent="0.25">
      <c r="B29" s="242"/>
      <c r="F29" s="243"/>
    </row>
    <row r="30" spans="2:7" x14ac:dyDescent="0.25">
      <c r="B30" s="242"/>
      <c r="F30" s="243"/>
    </row>
    <row r="31" spans="2:7" x14ac:dyDescent="0.25">
      <c r="B31" s="242"/>
      <c r="F31" s="243"/>
    </row>
    <row r="32" spans="2:7" x14ac:dyDescent="0.25">
      <c r="B32" s="242"/>
      <c r="F32" s="243"/>
    </row>
    <row r="33" spans="2:6" x14ac:dyDescent="0.25">
      <c r="B33" s="242"/>
      <c r="F33" s="243"/>
    </row>
    <row r="34" spans="2:6" x14ac:dyDescent="0.25">
      <c r="B34" s="242"/>
      <c r="F34" s="243"/>
    </row>
    <row r="35" spans="2:6" x14ac:dyDescent="0.25">
      <c r="B35" s="242"/>
      <c r="F35" s="243"/>
    </row>
    <row r="36" spans="2:6" x14ac:dyDescent="0.25">
      <c r="B36" s="242"/>
      <c r="F36" s="243"/>
    </row>
    <row r="37" spans="2:6" x14ac:dyDescent="0.25">
      <c r="B37" s="242"/>
      <c r="F37" s="243"/>
    </row>
    <row r="38" spans="2:6" x14ac:dyDescent="0.25">
      <c r="B38" s="242"/>
      <c r="F38" s="243"/>
    </row>
    <row r="39" spans="2:6" x14ac:dyDescent="0.25">
      <c r="B39" s="242"/>
      <c r="F39" s="243"/>
    </row>
    <row r="40" spans="2:6" x14ac:dyDescent="0.25">
      <c r="B40" s="242"/>
      <c r="F40" s="243"/>
    </row>
    <row r="41" spans="2:6" x14ac:dyDescent="0.25">
      <c r="B41" s="242"/>
      <c r="F41" s="243"/>
    </row>
    <row r="42" spans="2:6" x14ac:dyDescent="0.25">
      <c r="B42" s="242"/>
      <c r="F42" s="243"/>
    </row>
    <row r="43" spans="2:6" x14ac:dyDescent="0.25">
      <c r="B43" s="242"/>
      <c r="F43" s="243"/>
    </row>
    <row r="44" spans="2:6" x14ac:dyDescent="0.25">
      <c r="B44" s="242"/>
      <c r="F44" s="243"/>
    </row>
    <row r="45" spans="2:6" x14ac:dyDescent="0.25">
      <c r="B45" s="242"/>
      <c r="F45" s="243"/>
    </row>
    <row r="46" spans="2:6" x14ac:dyDescent="0.25">
      <c r="B46" s="242"/>
      <c r="F46" s="243"/>
    </row>
    <row r="47" spans="2:6" x14ac:dyDescent="0.25">
      <c r="B47" s="242"/>
      <c r="F47" s="243"/>
    </row>
    <row r="48" spans="2:6" x14ac:dyDescent="0.25">
      <c r="B48" s="242"/>
      <c r="F48" s="243"/>
    </row>
    <row r="49" spans="2:6" x14ac:dyDescent="0.25">
      <c r="B49" s="242"/>
      <c r="F49" s="243"/>
    </row>
    <row r="50" spans="2:6" x14ac:dyDescent="0.25">
      <c r="B50" s="242"/>
      <c r="F50" s="243"/>
    </row>
    <row r="51" spans="2:6" x14ac:dyDescent="0.25">
      <c r="B51" s="242"/>
      <c r="F51" s="243"/>
    </row>
    <row r="52" spans="2:6" x14ac:dyDescent="0.25">
      <c r="B52" s="242"/>
      <c r="F52" s="243"/>
    </row>
    <row r="53" spans="2:6" x14ac:dyDescent="0.25">
      <c r="B53" s="242"/>
      <c r="F53" s="243"/>
    </row>
    <row r="54" spans="2:6" x14ac:dyDescent="0.25">
      <c r="B54" s="242"/>
      <c r="F54" s="243"/>
    </row>
    <row r="55" spans="2:6" x14ac:dyDescent="0.25">
      <c r="B55" s="242"/>
      <c r="F55" s="243"/>
    </row>
    <row r="56" spans="2:6" x14ac:dyDescent="0.25">
      <c r="B56" s="242"/>
      <c r="F56" s="243"/>
    </row>
    <row r="57" spans="2:6" x14ac:dyDescent="0.25">
      <c r="B57" s="242"/>
      <c r="F57" s="243"/>
    </row>
    <row r="58" spans="2:6" x14ac:dyDescent="0.25">
      <c r="B58" s="242"/>
      <c r="F58" s="243"/>
    </row>
    <row r="59" spans="2:6" x14ac:dyDescent="0.25">
      <c r="B59" s="242"/>
      <c r="F59" s="243"/>
    </row>
    <row r="60" spans="2:6" x14ac:dyDescent="0.25">
      <c r="B60" s="242"/>
      <c r="F60" s="243"/>
    </row>
    <row r="61" spans="2:6" x14ac:dyDescent="0.25">
      <c r="B61" s="242"/>
      <c r="F61" s="243"/>
    </row>
    <row r="62" spans="2:6" x14ac:dyDescent="0.25">
      <c r="B62" s="242"/>
      <c r="F62" s="243"/>
    </row>
    <row r="63" spans="2:6" x14ac:dyDescent="0.25">
      <c r="B63" s="242"/>
      <c r="F63" s="243"/>
    </row>
    <row r="64" spans="2:6" x14ac:dyDescent="0.25">
      <c r="B64" s="242"/>
      <c r="F64" s="243"/>
    </row>
    <row r="65" spans="2:6" x14ac:dyDescent="0.25">
      <c r="B65" s="242"/>
      <c r="F65" s="243"/>
    </row>
    <row r="66" spans="2:6" x14ac:dyDescent="0.25">
      <c r="B66" s="242"/>
      <c r="F66" s="243"/>
    </row>
    <row r="67" spans="2:6" ht="15.75" thickBot="1" x14ac:dyDescent="0.3">
      <c r="B67" s="244"/>
      <c r="C67" s="245"/>
      <c r="D67" s="245"/>
      <c r="E67" s="245"/>
      <c r="F67" s="246"/>
    </row>
  </sheetData>
  <sheetProtection algorithmName="SHA-512" hashValue="ZO1NfdyUaTzOZdF8QTKqwM+UW3FHFTCcYL7WFkM7IlUW5XoBtUKKdNbMfem3ym6eS+iS1rnJRTmDsQbZJ4bq7A==" saltValue="N8umdKeORkns0kdX894Gpg==" spinCount="100000" sheet="1" formatCells="0" formatColumns="0" formatRows="0"/>
  <mergeCells count="7">
    <mergeCell ref="C1:F1"/>
    <mergeCell ref="C2:F2"/>
    <mergeCell ref="B24:F24"/>
    <mergeCell ref="B4:C4"/>
    <mergeCell ref="B12:C12"/>
    <mergeCell ref="E6:F9"/>
    <mergeCell ref="E14:F21"/>
  </mergeCells>
  <conditionalFormatting sqref="I1">
    <cfRule type="cellIs" dxfId="1" priority="1" operator="equal">
      <formula>"INVALID"</formula>
    </cfRule>
    <cfRule type="cellIs" dxfId="0" priority="2" operator="equal">
      <formula>"VALID"</formula>
    </cfRule>
  </conditionalFormatting>
  <dataValidations disablePrompts="1" count="1">
    <dataValidation type="date" operator="greaterThan" allowBlank="1" showInputMessage="1" showErrorMessage="1" sqref="C13 F12 F4" xr:uid="{ED79C86B-D7E5-4B02-BFA4-8DCF8A860946}">
      <formula1>45108</formula1>
    </dataValidation>
  </dataValidations>
  <pageMargins left="0.7" right="0.7" top="0.75" bottom="0.75" header="0.3" footer="0.3"/>
  <pageSetup scale="77" orientation="portrait" r:id="rId1"/>
  <headerFooter>
    <oddFooter>&amp;C_x000D_&amp;1#&amp;"Arial"&amp;9&amp;K000000 Internal</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DA6EC-228C-4B93-8847-10C87A627F19}">
  <dimension ref="A1:I106"/>
  <sheetViews>
    <sheetView topLeftCell="A92" zoomScaleNormal="100" workbookViewId="0">
      <selection activeCell="B107" sqref="B107"/>
    </sheetView>
  </sheetViews>
  <sheetFormatPr defaultColWidth="8.875" defaultRowHeight="15.75" x14ac:dyDescent="0.25"/>
  <cols>
    <col min="1" max="1" width="134.625" customWidth="1"/>
    <col min="2" max="2" width="29.125" style="11" customWidth="1"/>
    <col min="3" max="3" width="29.125" customWidth="1"/>
    <col min="4" max="5" width="10.125" customWidth="1"/>
    <col min="6" max="6" width="25.5" bestFit="1" customWidth="1"/>
  </cols>
  <sheetData>
    <row r="1" spans="1:9" x14ac:dyDescent="0.25">
      <c r="A1" s="1" t="s">
        <v>250</v>
      </c>
      <c r="B1" s="23" t="s">
        <v>251</v>
      </c>
      <c r="C1" s="1" t="s">
        <v>252</v>
      </c>
      <c r="D1" s="1" t="s">
        <v>253</v>
      </c>
      <c r="E1" s="1"/>
      <c r="I1" t="s">
        <v>254</v>
      </c>
    </row>
    <row r="2" spans="1:9" x14ac:dyDescent="0.25">
      <c r="A2" t="s">
        <v>255</v>
      </c>
      <c r="B2" s="11" t="b">
        <f>VLOOKUP("C-56",'Optional features'!B:D,3,FALSE)="No"</f>
        <v>1</v>
      </c>
      <c r="C2" t="b">
        <v>1</v>
      </c>
      <c r="D2" t="b">
        <f>NOT(ISERROR(VLOOKUP(A2,'Charging Station Testcases'!E:E,1,FALSE)=A2))</f>
        <v>1</v>
      </c>
    </row>
    <row r="3" spans="1:9" x14ac:dyDescent="0.25">
      <c r="A3" t="s">
        <v>256</v>
      </c>
      <c r="B3" s="11" t="b">
        <f>VLOOKUP("C-42",'Optional features'!B:D,3,FALSE)="Yes"</f>
        <v>0</v>
      </c>
      <c r="C3" t="b">
        <v>1</v>
      </c>
      <c r="D3" t="b">
        <f>NOT(ISERROR(VLOOKUP(A3,'Charging Station Testcases'!E:E,1,FALSE)=A3))</f>
        <v>1</v>
      </c>
    </row>
    <row r="4" spans="1:9" x14ac:dyDescent="0.25">
      <c r="A4" t="s">
        <v>257</v>
      </c>
      <c r="B4" s="11" t="b">
        <f>AND(VLOOKUP("AS-2",'Optional features'!B:D,3,FALSE)="Yes",VLOOKUP("C-47",'Optional features'!B:D,3,FALSE)="Yes")</f>
        <v>0</v>
      </c>
      <c r="C4" t="b">
        <v>1</v>
      </c>
      <c r="D4" t="b">
        <f>NOT(ISERROR(VLOOKUP(A4,'Charging Station Testcases'!E:E,1,FALSE)=A4))</f>
        <v>1</v>
      </c>
    </row>
    <row r="5" spans="1:9" x14ac:dyDescent="0.25">
      <c r="A5" t="s">
        <v>190</v>
      </c>
      <c r="B5" s="11" t="b">
        <f>ISNUMBER(VLOOKUP("ORS-5",'Other relevant settings'!B:D,3,FALSE))</f>
        <v>0</v>
      </c>
      <c r="C5" t="b">
        <v>0</v>
      </c>
      <c r="D5" t="b">
        <f>NOT(ISERROR(VLOOKUP(A5,'Charging Station Testcases'!E:E,1,FALSE)=A5))</f>
        <v>0</v>
      </c>
    </row>
    <row r="6" spans="1:9" x14ac:dyDescent="0.25">
      <c r="A6" t="s">
        <v>258</v>
      </c>
      <c r="B6" s="11" t="b">
        <f>VLOOKUP("C-13",'Optional features'!B:D,3,FALSE)="No"</f>
        <v>1</v>
      </c>
      <c r="C6" t="b">
        <v>1</v>
      </c>
      <c r="D6" t="b">
        <f>NOT(ISERROR(VLOOKUP(A6,'Charging Station Testcases'!E:E,1,FALSE)=A6))</f>
        <v>1</v>
      </c>
    </row>
    <row r="7" spans="1:9" x14ac:dyDescent="0.25">
      <c r="A7" t="s">
        <v>259</v>
      </c>
      <c r="B7" s="11" t="b">
        <f>AND(OR(VLOOKUP("C-30",'Optional features'!B:D,3,FALSE)="Yes",VLOOKUP("C-31",'Optional features'!B:D,3,FALSE)="Yes",VLOOKUP("C-32",'Optional features'!B:D,3,FALSE)="Yes",VLOOKUP("C-35",'Optional features'!B:D,3,FALSE)="Yes"),VLOOKUP("AQ-2",'Additional questions'!B:D,3,FALSE)="No")</f>
        <v>1</v>
      </c>
      <c r="C7" t="b">
        <v>1</v>
      </c>
      <c r="D7" t="b">
        <f>NOT(ISERROR(VLOOKUP(A7,'Charging Station Testcases'!E:E,1,FALSE)=A7))</f>
        <v>0</v>
      </c>
    </row>
    <row r="8" spans="1:9" x14ac:dyDescent="0.25">
      <c r="A8" t="s">
        <v>260</v>
      </c>
      <c r="B8" s="11" t="b">
        <f>OR(VLOOKUP("C-30",'Optional features'!B:D,3,FALSE)="Yes",VLOOKUP("C-31",'Optional features'!B:D,3,FALSE)="Yes",VLOOKUP("C-32",'Optional features'!B:D,3,FALSE)="Yes")</f>
        <v>1</v>
      </c>
      <c r="C8" t="b">
        <v>1</v>
      </c>
      <c r="D8" t="b">
        <f>NOT(ISERROR(VLOOKUP(A8,'Charging Station Testcases'!E:E,1,FALSE)=A8))</f>
        <v>1</v>
      </c>
    </row>
    <row r="9" spans="1:9" x14ac:dyDescent="0.25">
      <c r="A9" t="s">
        <v>261</v>
      </c>
      <c r="B9" s="11" t="b">
        <f>AND(OR(VLOOKUP("C-30",'Optional features'!B:D,3,FALSE)="Yes",VLOOKUP("C-31",'Optional features'!B:D,3,FALSE)="Yes",VLOOKUP("C-32",'Optional features'!B:D,3,FALSE)="Yes",VLOOKUP("C-35",'Optional features'!B:D,3,FALSE)="Yes"),VLOOKUP("AQ-2",'Additional questions'!B:D,3,FALSE)="Yes")</f>
        <v>0</v>
      </c>
      <c r="C9" t="b">
        <v>1</v>
      </c>
      <c r="D9" t="b">
        <f>NOT(ISERROR(VLOOKUP(A9,'Charging Station Testcases'!E:E,1,FALSE)=A9))</f>
        <v>0</v>
      </c>
    </row>
    <row r="10" spans="1:9" x14ac:dyDescent="0.25">
      <c r="A10" t="s">
        <v>262</v>
      </c>
      <c r="B10" s="11" t="b">
        <f>AND(OR(VLOOKUP("C-30",'Optional features'!B:D,3,FALSE)="Yes",VLOOKUP("C-31",'Optional features'!B:D,3,FALSE)="Yes",VLOOKUP("C-32",'Optional features'!B:D,3,FALSE)="Yes"),VLOOKUP("AQ-2",'Additional questions'!B:D,3,FALSE)="No")</f>
        <v>1</v>
      </c>
      <c r="C10" t="b">
        <v>1</v>
      </c>
      <c r="D10" t="b">
        <f>NOT(ISERROR(VLOOKUP(A10,'Charging Station Testcases'!E:E,1,FALSE)=A10))</f>
        <v>1</v>
      </c>
    </row>
    <row r="11" spans="1:9" x14ac:dyDescent="0.25">
      <c r="A11" t="s">
        <v>263</v>
      </c>
      <c r="B11" s="11" t="b">
        <f>OR(VLOOKUP("C-30",'Optional features'!B:D,3,FALSE)="Yes",VLOOKUP("C-31",'Optional features'!B:D,3,FALSE)="Yes",VLOOKUP("C-32",'Optional features'!B:D,3,FALSE)="Yes",AND(VLOOKUP("C-48.1",'Optional features'!B:D,3,FALSE)="Yes",OR(VLOOKUP("C-36",'Optional features'!B:D,3,FALSE)="Yes",VLOOKUP("C-37",'Optional features'!B:D,3,FALSE)="Yes")))</f>
        <v>1</v>
      </c>
      <c r="C11" t="b">
        <v>1</v>
      </c>
      <c r="D11" t="b">
        <f>NOT(ISERROR(VLOOKUP(A11,'Charging Station Testcases'!E:E,1,FALSE)=A11))</f>
        <v>0</v>
      </c>
    </row>
    <row r="12" spans="1:9" x14ac:dyDescent="0.25">
      <c r="A12" t="s">
        <v>264</v>
      </c>
      <c r="B12" s="11" t="b">
        <f>AND(VLOOKUP("C-49",'Optional features'!B:D,3,FALSE)="Yes",OR(VLOOKUP("C-07",'Optional features'!B:D,3,FALSE)="Yes",VLOOKUP("C-08",'Optional features'!B:D,3,FALSE)="Yes"))</f>
        <v>1</v>
      </c>
      <c r="C12" t="b">
        <v>1</v>
      </c>
      <c r="D12" t="b">
        <f>NOT(ISERROR(VLOOKUP(A12,'Charging Station Testcases'!E:E,1,FALSE)=A12))</f>
        <v>0</v>
      </c>
    </row>
    <row r="13" spans="1:9" x14ac:dyDescent="0.25">
      <c r="A13" t="s">
        <v>265</v>
      </c>
      <c r="B13" s="11" t="b">
        <f>AND(VLOOKUP("C-49",'Optional features'!B:D,3,FALSE)="Yes",VLOOKUP("C-03",'Optional features'!B:D,3,FALSE)="Yes")</f>
        <v>0</v>
      </c>
      <c r="C13" t="b">
        <v>1</v>
      </c>
      <c r="D13" t="b">
        <f>NOT(ISERROR(VLOOKUP(A13,'Charging Station Testcases'!E:E,1,FALSE)=A13))</f>
        <v>0</v>
      </c>
    </row>
    <row r="14" spans="1:9" x14ac:dyDescent="0.25">
      <c r="A14" t="s">
        <v>266</v>
      </c>
      <c r="B14" s="11" t="b">
        <f>AND(OR(VLOOKUP("C-30",'Optional features'!B:D,3,FALSE)="Yes",VLOOKUP("C-31",'Optional features'!B:D,3,FALSE)="Yes",VLOOKUP("C-32",'Optional features'!B:D,3,FALSE)="Yes",VLOOKUP("C-33",'Optional features'!B:D,3,FALSE)="Yes",VLOOKUP("C-34",'Optional features'!B:D,3,FALSE)="Yes",VLOOKUP("C-35",'Optional features'!B:D,3,FALSE)="Yes",VLOOKUP("ISO 15118 Support",'Profile selection'!B:C,2,FALSE)="Yes"),VLOOKUP("AQ-2",'Additional questions'!B:D,3,FALSE)="No")</f>
        <v>1</v>
      </c>
      <c r="C14" t="b">
        <v>1</v>
      </c>
      <c r="D14" t="b">
        <f>NOT(ISERROR(VLOOKUP(A14,'Charging Station Testcases'!E:E,1,FALSE)=A14))</f>
        <v>1</v>
      </c>
    </row>
    <row r="15" spans="1:9" x14ac:dyDescent="0.25">
      <c r="A15" t="s">
        <v>267</v>
      </c>
      <c r="B15" s="11" t="b">
        <f>OR(VLOOKUP("C-30",'Optional features'!B:D,3,FALSE)="Yes",VLOOKUP("C-31",'Optional features'!B:D,3,FALSE)="Yes",VLOOKUP("C-32",'Optional features'!B:D,3,FALSE)="Yes",VLOOKUP("C-33",'Optional features'!B:D,3,FALSE)="Yes",VLOOKUP("C-34",'Optional features'!B:D,3,FALSE)="Yes",VLOOKUP("C-35",'Optional features'!B:D,3,FALSE)="Yes",VLOOKUP("ISO 15118 Support",'Profile selection'!B:C,2,FALSE)="Yes")</f>
        <v>1</v>
      </c>
      <c r="C15" t="b">
        <v>1</v>
      </c>
      <c r="D15" t="b">
        <f>NOT(ISERROR(VLOOKUP(A15,'Charging Station Testcases'!E:E,1,FALSE)=A15))</f>
        <v>1</v>
      </c>
    </row>
    <row r="16" spans="1:9" x14ac:dyDescent="0.25">
      <c r="A16" t="s">
        <v>268</v>
      </c>
      <c r="B16" s="11" t="b">
        <f>AND(VLOOKUP("C-09.1",'Optional features'!B:D,3,FALSE)="Yes",OR(VLOOKUP("C-51",'Optional features'!B:D,3,FALSE)="Yes",NOT(VLOOKUP("C-09.6",'Optional features'!B:D,3,FALSE)="Yes")))</f>
        <v>0</v>
      </c>
      <c r="C16" t="b">
        <v>1</v>
      </c>
      <c r="D16" t="b">
        <f>NOT(ISERROR(VLOOKUP(A16,'Charging Station Testcases'!E:E,1,FALSE)=A16))</f>
        <v>1</v>
      </c>
    </row>
    <row r="17" spans="1:4" x14ac:dyDescent="0.25">
      <c r="A17" t="s">
        <v>269</v>
      </c>
      <c r="B17" s="11" t="b">
        <f>AND(OR(VLOOKUP("C-30",'Optional features'!B:D,3,FALSE)="Yes",VLOOKUP("C-31",'Optional features'!B:D,3,FALSE)="Yes",VLOOKUP("C-32",'Optional features'!B:D,3,FALSE)="Yes",VLOOKUP("C-33",'Optional features'!B:D,3,FALSE)="Yes",VLOOKUP("C-34",'Optional features'!B:D,3,FALSE)="Yes",VLOOKUP("C-35",'Optional features'!B:D,3,FALSE)="Yes",VLOOKUP("ISO 15118 Support",'Profile selection'!B:C,2,FALSE)="Yes"),VLOOKUP("C-09.2",'Optional features'!B:D,3,FALSE)="Yes")</f>
        <v>0</v>
      </c>
      <c r="C17" t="b">
        <v>1</v>
      </c>
      <c r="D17" t="b">
        <f>NOT(ISERROR(VLOOKUP(A17,'Charging Station Testcases'!E:E,1,FALSE)=A17))</f>
        <v>1</v>
      </c>
    </row>
    <row r="18" spans="1:4" x14ac:dyDescent="0.25">
      <c r="A18" t="s">
        <v>270</v>
      </c>
      <c r="B18" s="11" t="b">
        <f>AND(VLOOKUP("C-09.3",'Optional features'!B:D,3,FALSE)="Yes",OR(VLOOKUP("C-51",'Optional features'!B:D,3,FALSE)="Yes",NOT(OR(VLOOKUP("C-09.1",'Optional features'!B:D,3,FALSE)="Yes",VLOOKUP("C-09.2",'Optional features'!B:D,3,FALSE)="Yes",VLOOKUP("C-09.6",'Optional features'!B:D,3,FALSE)="Yes"))))</f>
        <v>0</v>
      </c>
      <c r="C18" t="b">
        <v>1</v>
      </c>
      <c r="D18" t="b">
        <f>NOT(ISERROR(VLOOKUP(A18,'Charging Station Testcases'!E:E,1,FALSE)=A18))</f>
        <v>1</v>
      </c>
    </row>
    <row r="19" spans="1:4" x14ac:dyDescent="0.25">
      <c r="A19" t="s">
        <v>271</v>
      </c>
      <c r="B19" s="11" t="b">
        <f>AND(VLOOKUP("C-09.4",'Optional features'!B:D,3,FALSE)="Yes",OR(VLOOKUP("C-51",'Optional features'!B:D,3,FALSE)="Yes",NOT(OR(VLOOKUP("C-09.1",'Optional features'!B:D,3,FALSE)="Yes",VLOOKUP("C-09.2",'Optional features'!B:D,3,FALSE)="Yes",VLOOKUP("C-09.3",'Optional features'!B:D,3,FALSE)="Yes",VLOOKUP("C-09.6",'Optional features'!B:D,3,FALSE)="Yes"))))</f>
        <v>1</v>
      </c>
      <c r="C19" t="b">
        <v>1</v>
      </c>
      <c r="D19" t="b">
        <f>NOT(ISERROR(VLOOKUP(A19,'Charging Station Testcases'!E:E,1,FALSE)=A19))</f>
        <v>1</v>
      </c>
    </row>
    <row r="20" spans="1:4" x14ac:dyDescent="0.25">
      <c r="A20" t="s">
        <v>272</v>
      </c>
      <c r="B20" s="11" t="b">
        <f>AND(VLOOKUP("C-09.5",'Optional features'!B:D,3,FALSE)="Yes",OR(VLOOKUP("C-51",'Optional features'!B:D,3,FALSE)="Yes",NOT(OR(VLOOKUP("C-09.1",'Optional features'!B:D,3,FALSE)="Yes",VLOOKUP("C-09.2",'Optional features'!B:D,3,FALSE)="Yes",VLOOKUP("C-09.3",'Optional features'!B:D,3,FALSE)="Yes",VLOOKUP("C-09.4",'Optional features'!B:D,3,FALSE)="Yes",VLOOKUP("C-09.6",'Optional features'!B:D,3,FALSE)="Yes"))))</f>
        <v>0</v>
      </c>
      <c r="C20" t="b">
        <v>1</v>
      </c>
      <c r="D20" t="b">
        <f>NOT(ISERROR(VLOOKUP(A20,'Charging Station Testcases'!E:E,1,FALSE)=A20))</f>
        <v>1</v>
      </c>
    </row>
    <row r="21" spans="1:4" x14ac:dyDescent="0.25">
      <c r="A21" t="s">
        <v>273</v>
      </c>
      <c r="B21" s="11" t="b">
        <f>AND(VLOOKUP("HFS-1",'Hardware Feature set'!B:D,3,FALSE)="Yes",VLOOKUP("C-10.1",'Optional features'!B:D,3,FALSE)="Yes",OR(VLOOKUP("C-52",'Optional features'!B:D,3,FALSE)="Yes",NOT(OR(VLOOKUP("C-10.2",'Optional features'!B:D,3,FALSE)="Yes",VLOOKUP("C-10.3",'Optional features'!B:D,3,FALSE)="Yes",VLOOKUP("C-10.4",'Optional features'!B:D,3,FALSE)="Yes"))))</f>
        <v>0</v>
      </c>
      <c r="C21" t="b">
        <v>1</v>
      </c>
      <c r="D21" t="b">
        <f>NOT(ISERROR(VLOOKUP(A21,'Charging Station Testcases'!E:E,1,FALSE)=A21))</f>
        <v>1</v>
      </c>
    </row>
    <row r="22" spans="1:4" x14ac:dyDescent="0.25">
      <c r="A22" t="s">
        <v>274</v>
      </c>
      <c r="B22" s="11" t="b">
        <f>AND(VLOOKUP("C-10.1",'Optional features'!B:D,3,FALSE)="Yes",OR(VLOOKUP("C-52",'Optional features'!B:D,3,FALSE)="Yes",NOT(OR(VLOOKUP("C-10.3",'Optional features'!B:D,3,FALSE)="Yes",VLOOKUP("C-10.4",'Optional features'!B:D,3,FALSE)="Yes"))))</f>
        <v>1</v>
      </c>
      <c r="C22" t="b">
        <v>1</v>
      </c>
      <c r="D22" t="b">
        <f>NOT(ISERROR(VLOOKUP(A22,'Charging Station Testcases'!E:E,1,FALSE)=A22))</f>
        <v>0</v>
      </c>
    </row>
    <row r="23" spans="1:4" x14ac:dyDescent="0.25">
      <c r="A23" t="s">
        <v>275</v>
      </c>
      <c r="B23" s="11" t="b">
        <f>AND(VLOOKUP("C-10.2",'Optional features'!B:D,3,FALSE)="Yes",OR(VLOOKUP("C-30",'Optional features'!B:D,3,FALSE)="Yes",VLOOKUP("C-31",'Optional features'!B:D,3,FALSE)="Yes",VLOOKUP("C-32",'Optional features'!B:D,3,FALSE)="Yes",VLOOKUP("C-35",'Optional features'!B:D,3,FALSE)="Yes"))</f>
        <v>1</v>
      </c>
      <c r="C23" t="b">
        <v>1</v>
      </c>
      <c r="D23" t="b">
        <f>NOT(ISERROR(VLOOKUP(A23,'Charging Station Testcases'!E:E,1,FALSE)=A23))</f>
        <v>1</v>
      </c>
    </row>
    <row r="24" spans="1:4" x14ac:dyDescent="0.25">
      <c r="A24" t="s">
        <v>276</v>
      </c>
      <c r="B24" s="11" t="b">
        <f>AND(OR(VLOOKUP("C-10.2",'Optional features'!B:D,3,FALSE)="Yes",VLOOKUP("C-10.3",'Optional features'!B:D,3,FALSE)="Yes"),OR(VLOOKUP("C-30",'Optional features'!B:D,3,FALSE)="Yes",VLOOKUP("C-31",'Optional features'!B:D,3,FALSE)="Yes",VLOOKUP("C-32",'Optional features'!B:D,3,FALSE)="Yes",VLOOKUP("C-33",'Optional features'!B:D,3,FALSE)="Yes",VLOOKUP("C-34",'Optional features'!B:D,3,FALSE)="Yes",VLOOKUP("C-35",'Optional features'!B:D,3,FALSE)="Yes",VLOOKUP("ISO 15118 Support",'Profile selection'!B:C,2,FALSE)="Yes"),VLOOKUP("C-01",'Optional features'!B:D,3,FALSE)="Yes")</f>
        <v>1</v>
      </c>
      <c r="C24" t="b">
        <v>1</v>
      </c>
      <c r="D24" t="b">
        <f>NOT(ISERROR(VLOOKUP(A24,'Charging Station Testcases'!E:E,1,FALSE)=A24))</f>
        <v>0</v>
      </c>
    </row>
    <row r="25" spans="1:4" x14ac:dyDescent="0.25">
      <c r="A25" t="s">
        <v>277</v>
      </c>
      <c r="B25" s="11" t="b">
        <f>AND(OR(VLOOKUP("C-10.2",'Optional features'!B:D,3,FALSE)="Yes",VLOOKUP("C-10.3",'Optional features'!B:D,3,FALSE)="Yes"
),VLOOKUP("C-06.2",'Optional features'!B:D,3,FALSE)="Yes")</f>
        <v>1</v>
      </c>
      <c r="C25" t="b">
        <v>1</v>
      </c>
      <c r="D25" t="b">
        <f>NOT(ISERROR(VLOOKUP(A25,'Charging Station Testcases'!E:E,1,FALSE)=A25))</f>
        <v>0</v>
      </c>
    </row>
    <row r="26" spans="1:4" x14ac:dyDescent="0.25">
      <c r="A26" t="s">
        <v>278</v>
      </c>
      <c r="B26" s="11" t="b">
        <f>AND(VLOOKUP("C-10.3",'Optional features'!B:D,3,FALSE)="Yes",OR(VLOOKUP("C-52",'Optional features'!B:D,3,FALSE)="Yes",NOT(VLOOKUP("C-10.2",'Optional features'!B:D,3,FALSE)="Yes")),OR(VLOOKUP("C-30",'Optional features'!B:D,3,FALSE)="Yes",VLOOKUP("C-31",'Optional features'!B:D,3,FALSE)="Yes",VLOOKUP("C-32",'Optional features'!B:D,3,FALSE)="Yes",VLOOKUP("C-35",'Optional features'!B:D,3,FALSE)="Yes"))</f>
        <v>0</v>
      </c>
      <c r="C26" t="b">
        <v>1</v>
      </c>
      <c r="D26" t="b">
        <f>NOT(ISERROR(VLOOKUP(A26,'Charging Station Testcases'!E:E,1,FALSE)=A26))</f>
        <v>1</v>
      </c>
    </row>
    <row r="27" spans="1:4" x14ac:dyDescent="0.25">
      <c r="A27" t="s">
        <v>279</v>
      </c>
      <c r="B27" s="11" t="b">
        <f>AND(VLOOKUP("C-10.3",'Optional features'!B:D,3,FALSE)="Yes",OR(VLOOKUP("C-52",'Optional features'!B:D,3,FALSE)="Yes",NOT(VLOOKUP("C-10.2",'Optional features'!B:D,3,FALSE)="Yes")))</f>
        <v>0</v>
      </c>
      <c r="C27" t="b">
        <v>1</v>
      </c>
      <c r="D27" t="b">
        <f>NOT(ISERROR(VLOOKUP(A27,'Charging Station Testcases'!E:E,1,FALSE)=A27))</f>
        <v>1</v>
      </c>
    </row>
    <row r="28" spans="1:4" x14ac:dyDescent="0.25">
      <c r="A28" t="s">
        <v>280</v>
      </c>
      <c r="B28" s="11" t="b">
        <f>AND(VLOOKUP("C-10.3",'Optional features'!B:D,3,FALSE)="Yes",OR(VLOOKUP("C-52",'Optional features'!B:D,3,FALSE)="Yes",NOT(OR(VLOOKUP("C-10.1",'Optional features'!B:D,3,FALSE)="Yes",VLOOKUP("C-10.4",'Optional features'!B:D,3,FALSE)="Yes"))))</f>
        <v>0</v>
      </c>
      <c r="C28" t="b">
        <v>1</v>
      </c>
      <c r="D28" t="b">
        <f>NOT(ISERROR(VLOOKUP(A28,'Charging Station Testcases'!E:E,1,FALSE)=A28))</f>
        <v>0</v>
      </c>
    </row>
    <row r="29" spans="1:4" x14ac:dyDescent="0.25">
      <c r="A29" t="s">
        <v>281</v>
      </c>
      <c r="B29" s="11" t="b">
        <f>AND(VLOOKUP("C-10.4",'Optional features'!B:D,3,FALSE)="Yes",OR(VLOOKUP("C-52",'Optional features'!B:D,3,FALSE)="Yes",NOT(OR(VLOOKUP("C-10.2",'Optional features'!B:D,3,FALSE)="Yes",VLOOKUP("C-10.3",'Optional features'!B:D,3,FALSE)="Yes"))))</f>
        <v>0</v>
      </c>
      <c r="C29" t="b">
        <v>1</v>
      </c>
      <c r="D29" t="b">
        <f>NOT(ISERROR(VLOOKUP(A29,'Charging Station Testcases'!E:E,1,FALSE)=A29))</f>
        <v>1</v>
      </c>
    </row>
    <row r="30" spans="1:4" x14ac:dyDescent="0.25">
      <c r="A30" t="s">
        <v>282</v>
      </c>
      <c r="B30" s="11" t="b">
        <f>AND(VLOOKUP("C-10.5",'Optional features'!B:D,3,FALSE)="Yes",OR(VLOOKUP("C-52",'Optional features'!B:D,3,FALSE)="Yes",NOT(OR(VLOOKUP("C-10.1",'Optional features'!B:D,3,FALSE)="Yes",VLOOKUP("C-10.2",'Optional features'!B:D,3,FALSE)="Yes",VLOOKUP("C-10.3",'Optional features'!B:D,3,FALSE)="Yes",VLOOKUP("C-10.4",'Optional features'!B:D,3,FALSE)="Yes"))))</f>
        <v>0</v>
      </c>
      <c r="C30" t="b">
        <v>1</v>
      </c>
      <c r="D30" t="b">
        <f>NOT(ISERROR(VLOOKUP(A30,'Charging Station Testcases'!E:E,1,FALSE)=A30))</f>
        <v>1</v>
      </c>
    </row>
    <row r="31" spans="1:4" x14ac:dyDescent="0.25">
      <c r="A31" t="s">
        <v>283</v>
      </c>
      <c r="B31" s="11" t="b">
        <f>OR(VLOOKUP("C-30",'Optional features'!B:D,3,FALSE)="Yes",VLOOKUP("C-31",'Optional features'!B:D,3,FALSE)="Yes",VLOOKUP("C-32",'Optional features'!B:D,3,FALSE)="Yes",VLOOKUP("C-35",'Optional features'!B:D,3,FALSE)="Yes")</f>
        <v>1</v>
      </c>
      <c r="C31" t="b">
        <v>1</v>
      </c>
      <c r="D31" t="b">
        <f>NOT(ISERROR(VLOOKUP(A31,'Charging Station Testcases'!E:E,1,FALSE)=A31))</f>
        <v>1</v>
      </c>
    </row>
    <row r="32" spans="1:4" x14ac:dyDescent="0.25">
      <c r="A32" t="s">
        <v>284</v>
      </c>
      <c r="B32" s="11" t="b">
        <f>AND(VLOOKUP("HFS-1",'Hardware Feature set'!B:D,3,FALSE)="Yes",VLOOKUP("C-06.2",'Optional features'!B:D,3,FALSE)="Yes",VLOOKUP("C-12.1",'Optional features'!B:D,3,FALSE)="Yes")</f>
        <v>0</v>
      </c>
      <c r="C32" t="b">
        <v>1</v>
      </c>
      <c r="D32" t="b">
        <f>NOT(ISERROR(VLOOKUP(A32,'Charging Station Testcases'!E:E,1,FALSE)=A32))</f>
        <v>0</v>
      </c>
    </row>
    <row r="33" spans="1:4" x14ac:dyDescent="0.25">
      <c r="A33" t="s">
        <v>285</v>
      </c>
      <c r="B33" s="11" t="b">
        <f>AND(VLOOKUP("C-06.2",'Optional features'!B:D,3,FALSE)="Yes",VLOOKUP("C-12.2",'Optional features'!B:D,3,FALSE)="Yes")</f>
        <v>1</v>
      </c>
      <c r="C33" t="b">
        <v>1</v>
      </c>
      <c r="D33" t="b">
        <f>NOT(ISERROR(VLOOKUP(A33,'Charging Station Testcases'!E:E,1,FALSE)=A33))</f>
        <v>0</v>
      </c>
    </row>
    <row r="34" spans="1:4" x14ac:dyDescent="0.25">
      <c r="A34" t="s">
        <v>286</v>
      </c>
      <c r="B34" s="11" t="b">
        <f>AND(OR(VLOOKUP("C-10.2",'Optional features'!B:D,3,FALSE)="Yes",VLOOKUP("C-10.5",'Optional features'!B:D,3,FALSE)="Yes"),OR(VLOOKUP("C-52",'Optional features'!B:D,3,FALSE)="Yes",NOT(OR(VLOOKUP("C-10.1",'Optional features'!B:D,3,FALSE)="Yes",VLOOKUP("C-10.3",'Optional features'!B:D,3,FALSE)="Yes",VLOOKUP("C-10.4",'Optional features'!B:D,3,FALSE)="Yes"))),VLOOKUP("C-06.2",'Optional features'!B:D,3,FALSE)="Yes",VLOOKUP("C-12.2",'Optional features'!B:D,3,FALSE)="Yes")</f>
        <v>0</v>
      </c>
      <c r="C34" t="b">
        <v>1</v>
      </c>
      <c r="D34" t="b">
        <f>NOT(ISERROR(VLOOKUP(A34,'Charging Station Testcases'!E:E,1,FALSE)=A34))</f>
        <v>0</v>
      </c>
    </row>
    <row r="35" spans="1:4" x14ac:dyDescent="0.25">
      <c r="A35" t="s">
        <v>287</v>
      </c>
      <c r="B35" s="11" t="b">
        <f>AND(OR(VLOOKUP("C-10.2",'Optional features'!B:D,3,FALSE)="Yes",VLOOKUP("C-10.5",'Optional features'!B:D,3,FALSE)="Yes"),OR(VLOOKUP("C-52",'Optional features'!B:D,3,FALSE)="Yes",NOT(OR(VLOOKUP("C-10.1",'Optional features'!B:D,3,FALSE)="Yes",VLOOKUP("C-10.3",'Optional features'!B:D,3,FALSE)="Yes",VLOOKUP("C-10.4",'Optional features'!B:D,3,FALSE)="Yes"))),VLOOKUP("C-06.2",'Optional features'!B:D,3,FALSE)="Yes",VLOOKUP("C-12.2",'Optional features'!B:D,3,FALSE)="Yes",VLOOKUP("HFS-2",'Hardware Feature set'!B:D,3,FALSE)="Yes")</f>
        <v>0</v>
      </c>
      <c r="C35" t="b">
        <v>1</v>
      </c>
      <c r="D35" t="b">
        <f>NOT(ISERROR(VLOOKUP(A35,'Charging Station Testcases'!E:E,1,FALSE)=A35))</f>
        <v>0</v>
      </c>
    </row>
    <row r="36" spans="1:4" x14ac:dyDescent="0.25">
      <c r="A36" t="s">
        <v>288</v>
      </c>
      <c r="B36" s="11" t="b">
        <f>AND(VLOOKUP("C-01",'Optional features'!B:D,3,FALSE)="Yes",OR(VLOOKUP("C-30",'Optional features'!B:D,3,FALSE)="Yes",VLOOKUP("C-31",'Optional features'!B:D,3,FALSE)="Yes",VLOOKUP("C-32",'Optional features'!B:D,3,FALSE)="Yes",VLOOKUP("C-33",'Optional features'!B:D,3,FALSE)="Yes",VLOOKUP("C-34",'Optional features'!B:D,3,FALSE)="Yes",VLOOKUP("C-35",'Optional features'!B:D,3,FALSE)="Yes",VLOOKUP("ISO 15118 Support",'Profile selection'!B:C,2,FALSE)="Yes"))</f>
        <v>1</v>
      </c>
      <c r="C36" t="b">
        <v>1</v>
      </c>
      <c r="D36" t="b">
        <f>NOT(ISERROR(VLOOKUP(A36,'Charging Station Testcases'!E:E,1,FALSE)=A36))</f>
        <v>0</v>
      </c>
    </row>
    <row r="37" spans="1:4" x14ac:dyDescent="0.25">
      <c r="A37" t="s">
        <v>289</v>
      </c>
      <c r="B37" s="11" t="b">
        <f>AND(VLOOKUP("AQ-2",'Additional questions'!B:D,3,FALSE)="Yes",OR(VLOOKUP("C-30",'Optional features'!B:D,3,FALSE)="Yes",VLOOKUP("C-36",'Optional features'!B:D,3,FALSE)="Yes",VLOOKUP("C-37",'Optional features'!B:D,3,FALSE)="Yes",VLOOKUP("C-38",'Optional features'!B:D,3,FALSE)="Yes",VLOOKUP("C-39",'Optional features'!B:D,3,FALSE)="Yes"))</f>
        <v>0</v>
      </c>
      <c r="C37" t="b">
        <v>1</v>
      </c>
      <c r="D37" t="b">
        <f>NOT(ISERROR(VLOOKUP(A37,'Charging Station Testcases'!E:E,1,FALSE)=A37))</f>
        <v>0</v>
      </c>
    </row>
    <row r="38" spans="1:4" x14ac:dyDescent="0.25">
      <c r="A38" t="s">
        <v>290</v>
      </c>
      <c r="B38" s="11" t="b">
        <f>AND(VLOOKUP("C-48.1",'Optional features'!B:D,3,FALSE)="Yes",OR(VLOOKUP("C-30",'Optional features'!B:D,3,FALSE)="Yes",VLOOKUP("C-36",'Optional features'!B:D,3,FALSE)="Yes",VLOOKUP("C-37",'Optional features'!B:D,3,FALSE)="Yes",VLOOKUP("C-38",'Optional features'!B:D,3,FALSE)="Yes",VLOOKUP("C-39",'Optional features'!B:D,3,FALSE)="Yes"))</f>
        <v>0</v>
      </c>
      <c r="C38" t="b">
        <v>1</v>
      </c>
      <c r="D38" t="b">
        <f>NOT(ISERROR(VLOOKUP(A38,'Charging Station Testcases'!E:E,1,FALSE)=A38))</f>
        <v>1</v>
      </c>
    </row>
    <row r="39" spans="1:4" x14ac:dyDescent="0.25">
      <c r="A39" t="s">
        <v>291</v>
      </c>
      <c r="B39" s="11" t="b">
        <f>AND(VLOOKUP("C-48.2",'Optional features'!B:D,3,FALSE)="Yes",OR(VLOOKUP("C-30",'Optional features'!B:D,3,FALSE)="Yes",VLOOKUP("C-36",'Optional features'!B:D,3,FALSE)="Yes",VLOOKUP("C-37",'Optional features'!B:D,3,FALSE)="Yes",VLOOKUP("C-38",'Optional features'!B:D,3,FALSE)="Yes",VLOOKUP("C-39",'Optional features'!B:D,3,FALSE)="Yes"))</f>
        <v>1</v>
      </c>
      <c r="C39" t="b">
        <v>1</v>
      </c>
      <c r="D39" t="b">
        <f>NOT(ISERROR(VLOOKUP(A39,'Charging Station Testcases'!E:E,1,FALSE)=A39))</f>
        <v>1</v>
      </c>
    </row>
    <row r="40" spans="1:4" x14ac:dyDescent="0.25">
      <c r="A40" t="s">
        <v>1151</v>
      </c>
      <c r="B40" s="11" t="b">
        <f>VLOOKUP("HFS-1",'Hardware Feature set'!B:D,3,FALSE)="Yes"</f>
        <v>0</v>
      </c>
      <c r="C40" t="b">
        <v>0</v>
      </c>
      <c r="D40" t="b">
        <f>NOT(ISERROR(VLOOKUP(A40,'Charging Station Testcases'!E:E,1,FALSE)=A40))</f>
        <v>0</v>
      </c>
    </row>
    <row r="41" spans="1:4" x14ac:dyDescent="0.25">
      <c r="A41" t="s">
        <v>293</v>
      </c>
      <c r="B41" s="11" t="b">
        <f>VLOOKUP("ISO-3",'Optional features'!B:D,3,FALSE)="No"</f>
        <v>1</v>
      </c>
      <c r="C41" t="b">
        <v>1</v>
      </c>
      <c r="D41" t="b">
        <f>NOT(ISERROR(VLOOKUP(A41,'Charging Station Testcases'!E:E,1,FALSE)=A41))</f>
        <v>1</v>
      </c>
    </row>
    <row r="42" spans="1:4" x14ac:dyDescent="0.25">
      <c r="A42" t="s">
        <v>294</v>
      </c>
      <c r="B42" s="11" t="b">
        <f>VLOOKUP("Smart Charging",'Profile selection'!B:C,2,FALSE)="No"</f>
        <v>1</v>
      </c>
      <c r="C42" t="b">
        <v>1</v>
      </c>
      <c r="D42" t="b">
        <f>NOT(ISERROR(VLOOKUP(A42,'Charging Station Testcases'!E:E,1,FALSE)=A42))</f>
        <v>1</v>
      </c>
    </row>
    <row r="43" spans="1:4" x14ac:dyDescent="0.25">
      <c r="A43" t="s">
        <v>295</v>
      </c>
      <c r="B43" s="11" t="b">
        <f>AND(VLOOKUP("C-20",'Optional features'!B:D,3,FALSE)="Yes",VLOOKUP("C-43",'Optional features'!B:D,3,FALSE)="No")</f>
        <v>1</v>
      </c>
      <c r="C43" t="b">
        <v>1</v>
      </c>
      <c r="D43" t="b">
        <f>NOT(ISERROR(VLOOKUP(A43,'Charging Station Testcases'!E:E,1,FALSE)=A43))</f>
        <v>0</v>
      </c>
    </row>
    <row r="44" spans="1:4" x14ac:dyDescent="0.25">
      <c r="A44" t="s">
        <v>296</v>
      </c>
      <c r="B44" s="11" t="b">
        <f>AND(OR(VLOOKUP("C-30",'Optional features'!B:D,3,FALSE)="Yes",VLOOKUP("C-31",'Optional features'!B:D,3,FALSE)="Yes",VLOOKUP("C-34",'Optional features'!B:D,3,FALSE)="Yes"),OR(VLOOKUP("C-49",'Optional features'!B:D,3,FALSE)="Yes",VLOOKUP("Local Authorization List Management",'Profile selection'!B:C,2,FALSE)="Yes"))</f>
        <v>1</v>
      </c>
      <c r="C44" t="b">
        <v>1</v>
      </c>
      <c r="D44" t="b">
        <f>NOT(ISERROR(VLOOKUP(A44,'Charging Station Testcases'!E:E,1,FALSE)=A44))</f>
        <v>1</v>
      </c>
    </row>
    <row r="45" spans="1:4" x14ac:dyDescent="0.25">
      <c r="A45" t="s">
        <v>297</v>
      </c>
      <c r="B45" s="11" t="b">
        <f>AND(OR(VLOOKUP("C-30",'Optional features'!B:D,3,FALSE)="Yes",VLOOKUP("C-31",'Optional features'!B:D,3,FALSE)="Yes",VLOOKUP("C-34",'Optional features'!B:D,3,FALSE)="Yes"),VLOOKUP("C-49",'Optional features'!B:D,3,FALSE)="Yes")</f>
        <v>1</v>
      </c>
      <c r="C45" t="b">
        <v>1</v>
      </c>
      <c r="D45" t="b">
        <f>NOT(ISERROR(VLOOKUP(A45,'Charging Station Testcases'!E:E,1,FALSE)=A45))</f>
        <v>0</v>
      </c>
    </row>
    <row r="46" spans="1:4" x14ac:dyDescent="0.25">
      <c r="A46" t="s">
        <v>298</v>
      </c>
      <c r="B46" s="11" t="b">
        <f>NOT(AND(VLOOKUP("UI-1.1",'Optional features'!B:D,3,FALSE)="Yes",VLOOKUP("UI-1.2",'Optional features'!B:D,3,FALSE)="Yes",VLOOKUP("UI-1.3",'Optional features'!B:D,3,FALSE)="Yes"))</f>
        <v>1</v>
      </c>
      <c r="C46" t="b">
        <v>1</v>
      </c>
      <c r="D46" t="b">
        <f>NOT(ISERROR(VLOOKUP(A46,'Charging Station Testcases'!E:E,1,FALSE)=A46))</f>
        <v>1</v>
      </c>
    </row>
    <row r="47" spans="1:4" x14ac:dyDescent="0.25">
      <c r="A47" t="s">
        <v>299</v>
      </c>
      <c r="B47" s="11" t="b">
        <f>NOT(AND(VLOOKUP("UI-2.1",'Optional features'!B:D,3,FALSE)="Yes",VLOOKUP("UI-2.2",'Optional features'!B:D,3,FALSE)="Yes",VLOOKUP("UI-2.3",'Optional features'!B:D,3,FALSE)="Yes",VLOOKUP("UI-2.4",'Optional features'!B:D,3,FALSE)="Yes"))</f>
        <v>1</v>
      </c>
      <c r="C47" t="b">
        <v>1</v>
      </c>
      <c r="D47" t="b">
        <f>NOT(ISERROR(VLOOKUP(A47,'Charging Station Testcases'!E:E,1,FALSE)=A47))</f>
        <v>1</v>
      </c>
    </row>
    <row r="48" spans="1:4" x14ac:dyDescent="0.25">
      <c r="A48" t="s">
        <v>300</v>
      </c>
      <c r="B48" s="11" t="b">
        <f>OR(AND(VLOOKUP("UI-1.1",'Optional features'!B:D,3,FALSE)="Yes",VLOOKUP("UI-1.2",'Optional features'!B:D,3,FALSE)="Yes"),AND(VLOOKUP("UI-1.2",'Optional features'!B:D,3,FALSE)="Yes",VLOOKUP("UI-1.3",'Optional features'!B:D,3,FALSE)="Yes"),AND(VLOOKUP("UI-1.3",'Optional features'!B:D,3,FALSE)="Yes",VLOOKUP("UI-1.1",'Optional features'!B:D,3,FALSE)="Yes"))</f>
        <v>0</v>
      </c>
      <c r="C48" t="b">
        <v>1</v>
      </c>
      <c r="D48" t="b">
        <f>NOT(ISERROR(VLOOKUP(A48,'Charging Station Testcases'!E:E,1,FALSE)=A48))</f>
        <v>1</v>
      </c>
    </row>
    <row r="49" spans="1:4" x14ac:dyDescent="0.25">
      <c r="A49" t="s">
        <v>301</v>
      </c>
      <c r="B49" s="11" t="b">
        <f>NOT(AND(VLOOKUP("HFS-5",'Hardware Feature set'!B:D,3,FALSE)="Yes",VLOOKUP("HFS-6",'Hardware Feature set'!B:D,3,FALSE)="Yes",VLOOKUP("HFS-7",'Hardware Feature set'!B:D,3,FALSE)="Yes"))</f>
        <v>1</v>
      </c>
      <c r="C49" t="b">
        <v>1</v>
      </c>
      <c r="D49" t="b">
        <f>NOT(ISERROR(VLOOKUP(A49,'Charging Station Testcases'!E:E,1,FALSE)=A49))</f>
        <v>0</v>
      </c>
    </row>
    <row r="50" spans="1:4" x14ac:dyDescent="0.25">
      <c r="A50" t="s">
        <v>302</v>
      </c>
      <c r="B50" s="11" t="b">
        <f>NOT(AND(VLOOKUP("SC-2.1",'Optional features'!B:D,3,FALSE)="Yes",VLOOKUP("SC-2.2",'Optional features'!B:D,3,FALSE)="Yes"))</f>
        <v>1</v>
      </c>
      <c r="C50" t="b">
        <v>1</v>
      </c>
      <c r="D50" t="b">
        <f>NOT(ISERROR(VLOOKUP(A50,'Charging Station Testcases'!E:E,1,FALSE)=A50))</f>
        <v>1</v>
      </c>
    </row>
    <row r="51" spans="1:4" x14ac:dyDescent="0.25">
      <c r="A51" t="s">
        <v>303</v>
      </c>
      <c r="B51" s="11" t="b">
        <f>VLOOKUP("HFS-8",'Hardware Feature set'!B:D,3,FALSE)&gt;1</f>
        <v>0</v>
      </c>
      <c r="C51" t="b">
        <v>0</v>
      </c>
      <c r="D51" t="b">
        <f>NOT(ISERROR(VLOOKUP(A51,'Charging Station Testcases'!E:E,1,FALSE)=A51))</f>
        <v>1</v>
      </c>
    </row>
    <row r="52" spans="1:4" x14ac:dyDescent="0.25">
      <c r="A52" t="s">
        <v>304</v>
      </c>
      <c r="B52" s="11" t="b">
        <f>AND(OR(VLOOKUP("C-30",'Optional features'!B:D,3,FALSE)="Yes",VLOOKUP("C-31",'Optional features'!B:D,3,FALSE)="Yes",VLOOKUP("C-32",'Optional features'!B:D,3,FALSE)="Yes"),VLOOKUP("C-49",'Optional features'!B:D,3,FALSE)="Yes")</f>
        <v>1</v>
      </c>
      <c r="C52" t="b">
        <v>1</v>
      </c>
      <c r="D52" t="b">
        <f>NOT(ISERROR(VLOOKUP(A52,'Charging Station Testcases'!E:E,1,FALSE)=A52))</f>
        <v>1</v>
      </c>
    </row>
    <row r="53" spans="1:4" x14ac:dyDescent="0.25">
      <c r="A53" t="s">
        <v>305</v>
      </c>
      <c r="B53" s="11" t="b">
        <f>AND(OR(VLOOKUP("C-30",'Optional features'!B:D,3,FALSE)="Yes",VLOOKUP("C-31",'Optional features'!B:D,3,FALSE)="Yes",VLOOKUP("C-32",'Optional features'!B:D,3,FALSE)="Yes"),VLOOKUP("C-02",'Optional features'!B:D,3,FALSE)="Yes")</f>
        <v>0</v>
      </c>
      <c r="C53" t="b">
        <v>1</v>
      </c>
      <c r="D53" t="b">
        <f>NOT(ISERROR(VLOOKUP(A53,'Charging Station Testcases'!E:E,1,FALSE)=A53))</f>
        <v>1</v>
      </c>
    </row>
    <row r="54" spans="1:4" x14ac:dyDescent="0.25">
      <c r="A54" t="s">
        <v>306</v>
      </c>
      <c r="B54" s="11" t="b">
        <f>AND(OR(VLOOKUP("C-30",'Optional features'!B:D,3,FALSE)="Yes",VLOOKUP("C-31",'Optional features'!B:D,3,FALSE)="Yes",VLOOKUP("C-32",'Optional features'!B:D,3,FALSE)="Yes"),VLOOKUP("C-07",'Optional features'!B:D,3,FALSE)="Yes")</f>
        <v>1</v>
      </c>
      <c r="C54" t="b">
        <v>1</v>
      </c>
      <c r="D54" t="b">
        <f>NOT(ISERROR(VLOOKUP(A54,'Charging Station Testcases'!E:E,1,FALSE)=A54))</f>
        <v>1</v>
      </c>
    </row>
    <row r="55" spans="1:4" x14ac:dyDescent="0.25">
      <c r="A55" t="s">
        <v>307</v>
      </c>
      <c r="B55" s="11" t="b">
        <f>AND(OR(VLOOKUP("C-30",'Optional features'!B:D,3,FALSE)="Yes",VLOOKUP("C-31",'Optional features'!B:D,3,FALSE)="Yes",VLOOKUP("C-32",'Optional features'!B:D,3,FALSE)="Yes"),VLOOKUP("C-08",'Optional features'!B:D,3,FALSE)="Yes")</f>
        <v>0</v>
      </c>
      <c r="C55" t="b">
        <v>1</v>
      </c>
      <c r="D55" t="b">
        <f>NOT(ISERROR(VLOOKUP(A55,'Charging Station Testcases'!E:E,1,FALSE)=A55))</f>
        <v>1</v>
      </c>
    </row>
    <row r="56" spans="1:4" x14ac:dyDescent="0.25">
      <c r="A56" t="s">
        <v>308</v>
      </c>
      <c r="B56" s="11" t="b">
        <f>AND(OR(VLOOKUP("C-30",'Optional features'!B:D,3,FALSE)="Yes",VLOOKUP("C-31",'Optional features'!B:D,3,FALSE)="Yes",VLOOKUP("C-32",'Optional features'!B:D,3,FALSE)="Yes"),VLOOKUP("C-53",'Optional features'!B:D,3,FALSE)="Yes")</f>
        <v>0</v>
      </c>
      <c r="C56" t="b">
        <v>1</v>
      </c>
      <c r="D56" t="b">
        <f>NOT(ISERROR(VLOOKUP(A56,'Charging Station Testcases'!E:E,1,FALSE)=A56))</f>
        <v>1</v>
      </c>
    </row>
    <row r="57" spans="1:4" x14ac:dyDescent="0.25">
      <c r="A57" t="s">
        <v>309</v>
      </c>
      <c r="B57" s="11" t="b">
        <f>AND(OR(VLOOKUP("C-30",'Optional features'!B:D,3,FALSE)="Yes",VLOOKUP("C-31",'Optional features'!B:D,3,FALSE)="Yes",VLOOKUP("C-32",'Optional features'!B:D,3,FALSE)="Yes"),VLOOKUP("C-49",'Optional features'!B:D,3,FALSE)="Yes",OR(VLOOKUP("C-07",'Optional features'!B:D,3,FALSE)="Yes",VLOOKUP("C-08",'Optional features'!B:D,3,FALSE)="Yes"))</f>
        <v>1</v>
      </c>
      <c r="C57" t="b">
        <v>1</v>
      </c>
      <c r="D57" t="b">
        <f>NOT(ISERROR(VLOOKUP(A57,'Charging Station Testcases'!E:E,1,FALSE)=A57))</f>
        <v>0</v>
      </c>
    </row>
    <row r="58" spans="1:4" x14ac:dyDescent="0.25">
      <c r="A58" t="s">
        <v>310</v>
      </c>
      <c r="B58" s="11" t="b">
        <f>AND(OR(VLOOKUP("C-30",'Optional features'!B:D,3,FALSE)="Yes",VLOOKUP("C-31",'Optional features'!B:D,3,FALSE)="Yes",VLOOKUP("C-32",'Optional features'!B:D,3,FALSE)="Yes"),VLOOKUP("C-03",'Optional features'!B:D,3,FALSE)="Yes",VLOOKUP("C-49",'Optional features'!B:D,3,FALSE)="Yes")</f>
        <v>0</v>
      </c>
      <c r="C58" t="b">
        <v>1</v>
      </c>
      <c r="D58" t="b">
        <f>NOT(ISERROR(VLOOKUP(A58,'Charging Station Testcases'!E:E,1,FALSE)=A58))</f>
        <v>1</v>
      </c>
    </row>
    <row r="59" spans="1:4" x14ac:dyDescent="0.25">
      <c r="A59" t="s">
        <v>311</v>
      </c>
      <c r="B59" s="11" t="b">
        <f>AND(OR(VLOOKUP("C-30",'Optional features'!B:D,3,FALSE)="Yes",VLOOKUP("C-31",'Optional features'!B:D,3,FALSE)="Yes",VLOOKUP("C-32",'Optional features'!B:D,3,FALSE)="Yes"),VLOOKUP("C-59",'Optional features'!B:D,3,FALSE)="Yes",VLOOKUP("C-49",'Optional features'!B:D,3,FALSE)="Yes")</f>
        <v>0</v>
      </c>
      <c r="C59" t="b">
        <v>1</v>
      </c>
      <c r="D59" t="b">
        <f>NOT(ISERROR(VLOOKUP(A59,'Charging Station Testcases'!E:E,1,FALSE)=A59))</f>
        <v>1</v>
      </c>
    </row>
    <row r="60" spans="1:4" x14ac:dyDescent="0.25">
      <c r="A60" t="s">
        <v>312</v>
      </c>
      <c r="B60" s="11" t="b">
        <f>AND(OR(VLOOKUP("LA-3",'Optional features'!B:D,3,FALSE)="Yes",VLOOKUP("C-31",'Optional features'!B:D,3,FALSE)="Yes",VLOOKUP("C-32",'Optional features'!B:D,3,FALSE)="Yes"),VLOOKUP("C-30",'Optional features'!B:D,3,FALSE)="Yes")</f>
        <v>0</v>
      </c>
      <c r="C60" t="b">
        <v>1</v>
      </c>
      <c r="D60" t="b">
        <f>NOT(ISERROR(VLOOKUP(A60,'Charging Station Testcases'!E:E,1,FALSE)=A60))</f>
        <v>1</v>
      </c>
    </row>
    <row r="61" spans="1:4" x14ac:dyDescent="0.25">
      <c r="A61" t="s">
        <v>313</v>
      </c>
      <c r="B61" s="11" t="b">
        <f>AND(VLOOKUP("C-20",'Optional features'!B:D,3,FALSE)="Yes",VLOOKUP("C-43",'Optional features'!B:D,3,FALSE)="No",VLOOKUP("AQ-7",'Additional questions'!B:D,3,FALSE)="Yes")</f>
        <v>0</v>
      </c>
      <c r="C61" t="b">
        <v>1</v>
      </c>
      <c r="D61" t="b">
        <f>NOT(ISERROR(VLOOKUP(A61,'Charging Station Testcases'!E:E,1,FALSE)=A61))</f>
        <v>0</v>
      </c>
    </row>
    <row r="62" spans="1:4" x14ac:dyDescent="0.25">
      <c r="A62" t="s">
        <v>314</v>
      </c>
      <c r="B62" s="11" t="b">
        <f>AND(VLOOKUP("C-20",'Optional features'!B:D,3,FALSE)="Yes",VLOOKUP("C-43",'Optional features'!B:D,3,FALSE)="No",VLOOKUP("AQ-7",'Additional questions'!B:D,3,FALSE)="No")</f>
        <v>1</v>
      </c>
      <c r="C62" t="b">
        <v>1</v>
      </c>
      <c r="D62" t="b">
        <f>NOT(ISERROR(VLOOKUP(A62,'Charging Station Testcases'!E:E,1,FALSE)=A62))</f>
        <v>0</v>
      </c>
    </row>
    <row r="63" spans="1:4" x14ac:dyDescent="0.25">
      <c r="A63" t="s">
        <v>315</v>
      </c>
      <c r="B63" s="11" t="b">
        <f>AND(VLOOKUP("AQ-8",'Additional questions'!B:D,3,FALSE)="No")</f>
        <v>1</v>
      </c>
      <c r="C63" t="b">
        <v>0</v>
      </c>
      <c r="D63" t="b">
        <f>NOT(ISERROR(VLOOKUP(A63,'Charging Station Testcases'!E:E,1,FALSE)=A63))</f>
        <v>0</v>
      </c>
    </row>
    <row r="64" spans="1:4" x14ac:dyDescent="0.25">
      <c r="A64" t="s">
        <v>316</v>
      </c>
      <c r="B64" s="11" t="b">
        <f>VLOOKUP("C-60",'Optional features'!B:D,3,FALSE)="No"</f>
        <v>1</v>
      </c>
      <c r="C64" t="b">
        <v>1</v>
      </c>
      <c r="D64" t="b">
        <f>NOT(ISERROR(VLOOKUP(A64,'Charging Station Testcases'!E:E,1,FALSE)=A64))</f>
        <v>1</v>
      </c>
    </row>
    <row r="65" spans="1:4" x14ac:dyDescent="0.25">
      <c r="A65" t="s">
        <v>1120</v>
      </c>
      <c r="B65" s="11" t="b">
        <f>AND(VLOOKUP("C-10.1",'Optional features'!B:D,3,FALSE)="Yes",OR(VLOOKUP("C-52",'Optional features'!B:D,3,FALSE)="Yes", NOT(OR(VLOOKUP("C-10.3",'Optional features'!B:D,3,FALSE)="Yes", VLOOKUP("C-10.4",'Optional features'!B:D,3,FALSE)="Yes"))),NOT(AND(VLOOKUP("C-10.2",'Optional features'!B:D,3,FALSE)="Yes", NOT(VLOOKUP("C-52",'Optional features'!B:D,3,FALSE)="Yes"), NOT(VLOOKUP("C-06.1",'Optional features'!B:D,3,FALSE)="Yes"))))</f>
        <v>0</v>
      </c>
      <c r="C65" t="b">
        <v>1</v>
      </c>
      <c r="D65" t="b">
        <f>NOT(ISERROR(VLOOKUP(A65,'Charging Station Testcases'!E:E,1,FALSE)=A65))</f>
        <v>0</v>
      </c>
    </row>
    <row r="66" spans="1:4" x14ac:dyDescent="0.25">
      <c r="A66" t="s">
        <v>1121</v>
      </c>
      <c r="B66" s="11" t="b">
        <f>AND(VLOOKUP("AQ-8",'Additional questions'!B:D,3,FALSE)="No",OR(VLOOKUP("C-09.2",'Optional features'!B:D,3,FALSE)="Yes",VLOOKUP("C-09.6",'Optional features'!B:D,3,FALSE)="Yes"))</f>
        <v>0</v>
      </c>
      <c r="C66" t="b">
        <v>0</v>
      </c>
      <c r="D66" t="b">
        <f>NOT(ISERROR(VLOOKUP(A66,'Charging Station Testcases'!E:E,1,FALSE)=A66))</f>
        <v>1</v>
      </c>
    </row>
    <row r="67" spans="1:4" x14ac:dyDescent="0.25">
      <c r="A67" t="s">
        <v>1122</v>
      </c>
      <c r="B67" s="11" t="b">
        <f>AND(OR(VLOOKUP("C-30",'Optional features'!B:D,3,FALSE)="Yes",VLOOKUP("C-31",'Optional features'!B:D,3,FALSE)="Yes",VLOOKUP("C-32",'Optional features'!B:D,3,FALSE)="Yes"),OR(VLOOKUP("C-07",'Optional features'!B:D,3,FALSE)="Yes",VLOOKUP("C-08",'Optional features'!B:D,3,FALSE)="Yes"))</f>
        <v>1</v>
      </c>
      <c r="C67" t="b">
        <v>1</v>
      </c>
      <c r="D67" t="b">
        <f>NOT(ISERROR(VLOOKUP(A67,'Charging Station Testcases'!E:E,1,FALSE)=A67))</f>
        <v>1</v>
      </c>
    </row>
    <row r="68" spans="1:4" x14ac:dyDescent="0.25">
      <c r="A68" t="s">
        <v>1123</v>
      </c>
      <c r="B68" s="11" t="b">
        <f>VLOOKUP("C-09.5",'Optional features'!B:D,3,FALSE)="No"</f>
        <v>1</v>
      </c>
      <c r="C68" t="b">
        <v>1</v>
      </c>
      <c r="D68" t="b">
        <f>NOT(ISERROR(VLOOKUP(A68,'Charging Station Testcases'!E:E,1,FALSE)=A68))</f>
        <v>0</v>
      </c>
    </row>
    <row r="69" spans="1:4" x14ac:dyDescent="0.25">
      <c r="A69" t="s">
        <v>1124</v>
      </c>
      <c r="B69" s="11" t="b">
        <f>AND(OR(VLOOKUP("C-30",'Optional features'!B:D,3,FALSE)="Yes",VLOOKUP("C-31",'Optional features'!B:D,3,FALSE)="Yes",VLOOKUP("C-32",'Optional features'!B:D,3,FALSE)="Yes"),OR(VLOOKUP("C-49",'Optional features'!B:D,3,FALSE)="Yes",VLOOKUP("Local Authorization List Management",'Profile selection'!B:C,2,FALSE)="Yes"))</f>
        <v>1</v>
      </c>
      <c r="C69" t="b">
        <v>1</v>
      </c>
      <c r="D69" t="b">
        <f>NOT(ISERROR(VLOOKUP(A69,'Charging Station Testcases'!E:E,1,FALSE)=A69))</f>
        <v>1</v>
      </c>
    </row>
    <row r="70" spans="1:4" x14ac:dyDescent="0.25">
      <c r="A70" t="s">
        <v>1125</v>
      </c>
      <c r="B70" s="11" t="b">
        <f>AND(VLOOKUP("C-43",'Optional features'!B:D,3,FALSE)="No",VLOOKUP("AQ-7",'Additional questions'!B:D,3,FALSE)="No")</f>
        <v>1</v>
      </c>
      <c r="C70" t="b">
        <v>1</v>
      </c>
      <c r="D70" t="b">
        <f>NOT(ISERROR(VLOOKUP(A70,'Charging Station Testcases'!E:E,1,FALSE)=A70))</f>
        <v>1</v>
      </c>
    </row>
    <row r="71" spans="1:4" x14ac:dyDescent="0.25">
      <c r="A71" t="s">
        <v>1126</v>
      </c>
      <c r="B71" s="11" t="b">
        <f>AND(VLOOKUP("C-43",'Optional features'!B:D,3,FALSE)="No",VLOOKUP("AQ-7",'Additional questions'!B:D,3,FALSE)="Yes")</f>
        <v>0</v>
      </c>
      <c r="C71" t="b">
        <v>1</v>
      </c>
      <c r="D71" t="b">
        <f>NOT(ISERROR(VLOOKUP(A71,'Charging Station Testcases'!E:E,1,FALSE)=A71))</f>
        <v>1</v>
      </c>
    </row>
    <row r="72" spans="1:4" x14ac:dyDescent="0.25">
      <c r="A72" t="s">
        <v>1128</v>
      </c>
      <c r="B72" s="11" t="b">
        <f>AND(VLOOKUP("C-10.1",'Optional features'!B:D,3,FALSE)="Yes",OR(VLOOKUP("C-52",'Optional features'!B:D,3,FALSE)="Yes", NOT(OR(VLOOKUP("C-10.3",'Optional features'!B:D,3,FALSE)="Yes", VLOOKUP("C-10.4",'Optional features'!B:D,3,FALSE)="Yes"))),NOT(AND(VLOOKUP("C-10.2",'Optional features'!B:D,3,FALSE)="Yes", NOT(VLOOKUP("C-52",'Optional features'!B:D,3,FALSE)="Yes"),OR(NOT(VLOOKUP("C-06.1",'Optional features'!B:D,3,FALSE)="Yes"),VLOOKUP("AQ-9",'Additional questions'!B:D,3,FALSE)="No"))))</f>
        <v>0</v>
      </c>
      <c r="C72" t="b">
        <v>1</v>
      </c>
      <c r="D72" t="b">
        <f>NOT(ISERROR(VLOOKUP(A72,'Charging Station Testcases'!E:E,1,FALSE)=A72))</f>
        <v>0</v>
      </c>
    </row>
    <row r="73" spans="1:4" x14ac:dyDescent="0.25">
      <c r="A73" t="s">
        <v>1129</v>
      </c>
      <c r="B73" s="11" t="b">
        <f>AND(OR(VLOOKUP("C-10.2",'Optional features'!B:D,3,FALSE)="Yes",VLOOKUP("C-10.3",'Optional features'!B:D,3,FALSE)="Yes"
),VLOOKUP("C-06.2",'Optional features'!B:D,3,FALSE)="Yes",VLOOKUP("AQ-9",'Additional questions'!B:D,3,FALSE)="Yes")</f>
        <v>0</v>
      </c>
      <c r="C73" t="b">
        <v>1</v>
      </c>
      <c r="D73" t="b">
        <f>NOT(ISERROR(VLOOKUP(A73,'Charging Station Testcases'!E:E,1,FALSE)=A73))</f>
        <v>0</v>
      </c>
    </row>
    <row r="74" spans="1:4" x14ac:dyDescent="0.25">
      <c r="A74" t="s">
        <v>1130</v>
      </c>
      <c r="B74" s="11" t="b">
        <f>AND(VLOOKUP("HFS-1",'Hardware Feature set'!B:D,3,FALSE)="Yes",VLOOKUP("C-06.2",'Optional features'!B:D,3,FALSE)="Yes",VLOOKUP("C-12.1",'Optional features'!B:D,3,FALSE)="Yes",VLOOKUP("AQ-9",'Additional questions'!B:D,3,FALSE)="Yes")</f>
        <v>0</v>
      </c>
      <c r="C74" t="b">
        <v>1</v>
      </c>
      <c r="D74" t="b">
        <f>NOT(ISERROR(VLOOKUP(A74,'Charging Station Testcases'!E:E,1,FALSE)=A74))</f>
        <v>0</v>
      </c>
    </row>
    <row r="75" spans="1:4" x14ac:dyDescent="0.25">
      <c r="A75" t="s">
        <v>1131</v>
      </c>
      <c r="B75" s="11" t="b">
        <f>AND(VLOOKUP("C-06.2",'Optional features'!B:D,3,FALSE)="Yes",VLOOKUP("C-12.2",'Optional features'!B:D,3,FALSE)="Yes",VLOOKUP("AQ-9",'Additional questions'!B:D,3,FALSE)="Yes")</f>
        <v>0</v>
      </c>
      <c r="C75" t="b">
        <v>1</v>
      </c>
      <c r="D75" t="b">
        <f>NOT(ISERROR(VLOOKUP(A75,'Charging Station Testcases'!E:E,1,FALSE)=A75))</f>
        <v>0</v>
      </c>
    </row>
    <row r="76" spans="1:4" x14ac:dyDescent="0.25">
      <c r="A76" t="s">
        <v>1132</v>
      </c>
      <c r="B76" s="11" t="b">
        <f>AND(OR(VLOOKUP("C-10.2",'Optional features'!B:D,3,FALSE)="Yes",VLOOKUP("C-10.5",'Optional features'!B:D,3,FALSE)="Yes"),OR(VLOOKUP("C-52",'Optional features'!B:D,3,FALSE)="Yes",NOT(OR(VLOOKUP("C-10.1",'Optional features'!B:D,3,FALSE)="Yes",VLOOKUP("C-10.3",'Optional features'!B:D,3,FALSE)="Yes",VLOOKUP("C-10.4",'Optional features'!B:D,3,FALSE)="Yes"))),VLOOKUP("C-06.2",'Optional features'!B:D,3,FALSE)="Yes",VLOOKUP("C-12.2",'Optional features'!B:D,3,FALSE)="Yes",VLOOKUP("AQ-9",'Additional questions'!B:D,3,FALSE)="Yes")</f>
        <v>0</v>
      </c>
      <c r="C76" t="b">
        <v>1</v>
      </c>
      <c r="D76" t="b">
        <f>NOT(ISERROR(VLOOKUP(A76,'Charging Station Testcases'!E:E,1,FALSE)=A76))</f>
        <v>0</v>
      </c>
    </row>
    <row r="77" spans="1:4" x14ac:dyDescent="0.25">
      <c r="A77" t="s">
        <v>1133</v>
      </c>
      <c r="B77" s="11" t="b">
        <f>AND(OR(VLOOKUP("C-10.2",'Optional features'!B:D,3,FALSE)="Yes",VLOOKUP("C-10.5",'Optional features'!B:D,3,FALSE)="Yes"),OR(VLOOKUP("C-52",'Optional features'!B:D,3,FALSE)="Yes",NOT(OR(VLOOKUP("C-10.1",'Optional features'!B:D,3,FALSE)="Yes",VLOOKUP("C-10.3",'Optional features'!B:D,3,FALSE)="Yes",VLOOKUP("C-10.4",'Optional features'!B:D,3,FALSE)="Yes"))),VLOOKUP("C-06.2",'Optional features'!B:D,3,FALSE)="Yes",VLOOKUP("C-12.2",'Optional features'!B:D,3,FALSE)="Yes",VLOOKUP("HFS-2",'Hardware Feature set'!B:D,3,FALSE)="Yes",VLOOKUP("AQ-9",'Additional questions'!B:D,3,FALSE)="Yes")</f>
        <v>0</v>
      </c>
      <c r="C77" t="b">
        <v>1</v>
      </c>
      <c r="D77" t="b">
        <f>NOT(ISERROR(VLOOKUP(A77,'Charging Station Testcases'!E:E,1,FALSE)=A77))</f>
        <v>0</v>
      </c>
    </row>
    <row r="78" spans="1:4" x14ac:dyDescent="0.25">
      <c r="A78" t="s">
        <v>1139</v>
      </c>
      <c r="B78" s="11" t="b">
        <f>AND(VLOOKUP("C-10.1",'Optional features'!B:D,3,FALSE)="Yes",OR(VLOOKUP("C-52",'Optional features'!B:D,3,FALSE)="Yes", NOT(OR(VLOOKUP("C-10.3",'Optional features'!B:D,3,FALSE)="Yes", VLOOKUP("C-10.4",'Optional features'!B:D,3,FALSE)="Yes"))),NOT(AND(VLOOKUP("C-10.2",'Optional features'!B:D,3,FALSE)="Yes", NOT(VLOOKUP("C-52",'Optional features'!B:D,3,FALSE)="Yes"),NOT(VLOOKUP("C-06.1",'Optional features'!B:D,3,FALSE)="Yes"))),VLOOKUP("AQ-9",'Additional questions'!B:D,3,FALSE)="Yes")</f>
        <v>0</v>
      </c>
      <c r="C78" t="b">
        <v>1</v>
      </c>
      <c r="D78" t="b">
        <f>NOT(ISERROR(VLOOKUP(A78,'Charging Station Testcases'!E:E,1,FALSE)=A78))</f>
        <v>0</v>
      </c>
    </row>
    <row r="79" spans="1:4" x14ac:dyDescent="0.25">
      <c r="A79" t="s">
        <v>1140</v>
      </c>
      <c r="B79" s="11" t="b">
        <f>AND(VLOOKUP("C-10.1",'Optional features'!B:D,3,FALSE)="Yes",OR(VLOOKUP("C-52",'Optional features'!B:D,3,FALSE)="Yes", NOT(OR(VLOOKUP("C-10.3",'Optional features'!B:D,3,FALSE)="Yes", VLOOKUP("C-10.4",'Optional features'!B:D,3,FALSE)="Yes"))),NOT(AND(VLOOKUP("C-10.2",'Optional features'!B:D,3,FALSE)="Yes", NOT(VLOOKUP("C-52",'Optional features'!B:D,3,FALSE)="Yes"))),OR(VLOOKUP("HFS-4",'Hardware Feature set'!B:D,3,FALSE)="Yes",VLOOKUP("ISO 15118 Support",'Profile selection'!B:C,2,FALSE)="Yes"))</f>
        <v>0</v>
      </c>
      <c r="C79" t="b">
        <v>1</v>
      </c>
      <c r="D79" t="b">
        <f>NOT(ISERROR(VLOOKUP(A79,'Charging Station Testcases'!E:E,1,FALSE)=A79))</f>
        <v>0</v>
      </c>
    </row>
    <row r="80" spans="1:4" x14ac:dyDescent="0.25">
      <c r="A80" t="s">
        <v>1141</v>
      </c>
      <c r="B80" s="11" t="b">
        <f>AND(VLOOKUP("AQ-2",'Additional questions'!B:D,3,FALSE)="No",OR(VLOOKUP("C-30",'Optional features'!B:D,3,FALSE)="Yes",VLOOKUP("C-36",'Optional features'!B:D,3,FALSE)="Yes",VLOOKUP("C-37",'Optional features'!B:D,3,FALSE)="Yes",VLOOKUP("C-38",'Optional features'!B:D,3,FALSE)="Yes",VLOOKUP("C-39",'Optional features'!B:D,3,FALSE)="Yes"))</f>
        <v>1</v>
      </c>
      <c r="C80" t="b">
        <v>1</v>
      </c>
      <c r="D80" t="b">
        <f>NOT(ISERROR(VLOOKUP(A80,'Charging Station Testcases'!E:E,1,FALSE)=A80))</f>
        <v>1</v>
      </c>
    </row>
    <row r="81" spans="1:4" x14ac:dyDescent="0.25">
      <c r="A81" t="s">
        <v>1142</v>
      </c>
      <c r="B81" s="11" t="b">
        <f>AND(VLOOKUP("C-10.1",'Optional features'!B:D,3,FALSE)="Yes",OR(VLOOKUP("C-52",'Optional features'!B:D,3,FALSE)="Yes", NOT(OR(VLOOKUP("C-10.3",'Optional features'!B:D,3,FALSE)="Yes", VLOOKUP("C-10.4",'Optional features'!B:D,3,FALSE)="Yes"))),NOT(AND(VLOOKUP("C-10.2",'Optional features'!B:D,3,FALSE)="Yes", NOT(VLOOKUP("C-52",'Optional features'!B:D,3,FALSE)="Yes"),NOT(VLOOKUP("C-06.1",'Optional features'!B:D,3,FALSE)="Yes"))),OR(VLOOKUP("AQ-9",'Additional questions'!B:D,3,FALSE)="Yes",VLOOKUP("Product Subtype",'Hardware Feature set'!C:D,2,FALSE)="Mode 1/2-only Charging Station"))</f>
        <v>0</v>
      </c>
      <c r="C81" t="b">
        <v>1</v>
      </c>
      <c r="D81" t="b">
        <f>NOT(ISERROR(VLOOKUP(A81,'Charging Station Testcases'!E:E,1,FALSE)=A81))</f>
        <v>0</v>
      </c>
    </row>
    <row r="82" spans="1:4" x14ac:dyDescent="0.25">
      <c r="A82" t="s">
        <v>1144</v>
      </c>
      <c r="B82" s="11" t="b">
        <f>AND(VLOOKUP("HFS-1",'Hardware Feature set'!B:D,3,FALSE)="Yes",VLOOKUP("C-06.2",'Optional features'!B:D,3,FALSE)="Yes",VLOOKUP("C-12.1",'Optional features'!B:D,3,FALSE)="Yes",VLOOKUP("AQ-9",'Additional questions'!B:D,3,FALSE)="Yes",NOT(VLOOKUP("Product Subtype",'Hardware Feature set'!C:D,2,FALSE)="Mode 1/2-only Charging Station"))</f>
        <v>0</v>
      </c>
      <c r="C82" t="b">
        <v>1</v>
      </c>
      <c r="D82" t="b">
        <f>NOT(ISERROR(VLOOKUP(A82,'Charging Station Testcases'!E:E,1,FALSE)=A82))</f>
        <v>1</v>
      </c>
    </row>
    <row r="83" spans="1:4" x14ac:dyDescent="0.25">
      <c r="A83" t="s">
        <v>1143</v>
      </c>
      <c r="B83" s="11" t="b">
        <f>AND(VLOOKUP("C-06.2",'Optional features'!B:D,3,FALSE)="Yes",VLOOKUP("C-12.2",'Optional features'!B:D,3,FALSE)="Yes",OR(VLOOKUP("AQ-9",'Additional questions'!B:D,3,FALSE)="Yes",VLOOKUP("Product Subtype",'Hardware Feature set'!C:D,2,FALSE)="Mode 1/2-only Charging Station"))</f>
        <v>0</v>
      </c>
      <c r="C83" t="b">
        <v>1</v>
      </c>
      <c r="D83" t="b">
        <f>NOT(ISERROR(VLOOKUP(A83,'Charging Station Testcases'!E:E,1,FALSE)=A83))</f>
        <v>1</v>
      </c>
    </row>
    <row r="84" spans="1:4" x14ac:dyDescent="0.25">
      <c r="A84" t="s">
        <v>1145</v>
      </c>
      <c r="B84" s="11" t="b">
        <f>AND(OR(VLOOKUP("C-10.2",'Optional features'!B:D,3,FALSE)="Yes",VLOOKUP("C-10.5",'Optional features'!B:D,3,FALSE)="Yes"),OR(VLOOKUP("C-52",'Optional features'!B:D,3,FALSE)="Yes",NOT(OR(VLOOKUP("C-10.1",'Optional features'!B:D,3,FALSE)="Yes",VLOOKUP("C-10.3",'Optional features'!B:D,3,FALSE)="Yes",VLOOKUP("C-10.4",'Optional features'!B:D,3,FALSE)="Yes"))),VLOOKUP("C-06.1",'Optional features'!B:D,3,FALSE)="Yes",VLOOKUP("C-12.2",'Optional features'!B:D,3,FALSE)="Yes",VLOOKUP("AQ-9",'Additional questions'!B:D,3,FALSE)="Yes",NOT(VLOOKUP("Product Subtype",'Hardware Feature set'!C:D,2,FALSE)="Mode 1/2-only Charging Station"))</f>
        <v>0</v>
      </c>
      <c r="C84" t="b">
        <v>1</v>
      </c>
      <c r="D84" t="b">
        <f>NOT(ISERROR(VLOOKUP(A84,'Charging Station Testcases'!E:E,1,FALSE)=A84))</f>
        <v>1</v>
      </c>
    </row>
    <row r="85" spans="1:4" x14ac:dyDescent="0.25">
      <c r="A85" t="s">
        <v>1146</v>
      </c>
      <c r="B85" s="11" t="b">
        <f>AND(OR(VLOOKUP("C-10.2",'Optional features'!B:D,3,FALSE)="Yes",VLOOKUP("C-10.5",'Optional features'!B:D,3,FALSE)="Yes"),OR(VLOOKUP("C-52",'Optional features'!B:D,3,FALSE)="Yes",NOT(OR(VLOOKUP("C-10.1",'Optional features'!B:D,3,FALSE)="Yes",VLOOKUP("C-10.3",'Optional features'!B:D,3,FALSE)="Yes",VLOOKUP("C-10.4",'Optional features'!B:D,3,FALSE)="Yes"))),VLOOKUP("C-06.1",'Optional features'!B:D,3,FALSE)="Yes",VLOOKUP("C-12.2",'Optional features'!B:D,3,FALSE)="Yes",VLOOKUP("HFS-2",'Hardware Feature set'!B:D,3,FALSE)="Yes",VLOOKUP("AQ-9",'Additional questions'!B:D,3,FALSE)="Yes",NOT(VLOOKUP("Product Subtype",'Hardware Feature set'!C:D,2,FALSE)="Mode 1/2-only Charging Station"))</f>
        <v>0</v>
      </c>
      <c r="C85" t="b">
        <v>1</v>
      </c>
      <c r="D85" t="b">
        <f>NOT(ISERROR(VLOOKUP(A85,'Charging Station Testcases'!E:E,1,FALSE)=A85))</f>
        <v>1</v>
      </c>
    </row>
    <row r="86" spans="1:4" x14ac:dyDescent="0.25">
      <c r="A86" t="s">
        <v>1147</v>
      </c>
      <c r="B86" s="11" t="b">
        <f>AND(VLOOKUP("C-09.5",'Optional features'!B:D,3,FALSE)="No",NOT(VLOOKUP("Product Subtype",'Hardware Feature set'!C:D,2,FALSE)="Mode 1/2-only Charging Station"))</f>
        <v>1</v>
      </c>
      <c r="C86" t="b">
        <v>1</v>
      </c>
      <c r="D86" t="b">
        <f>NOT(ISERROR(VLOOKUP(A86,'Charging Station Testcases'!E:E,1,FALSE)=A86))</f>
        <v>1</v>
      </c>
    </row>
    <row r="87" spans="1:4" x14ac:dyDescent="0.25">
      <c r="A87" t="s">
        <v>1148</v>
      </c>
      <c r="B87" s="11" t="b">
        <f>AND(VLOOKUP("C-10.1",'Optional features'!B:D,3,FALSE)="Yes",OR(VLOOKUP("C-52",'Optional features'!B:D,3,FALSE)="Yes", NOT(OR(VLOOKUP("C-10.3",'Optional features'!B:D,3,FALSE)="Yes", VLOOKUP("C-10.4",'Optional features'!B:D,3,FALSE)="Yes"))),NOT(AND(VLOOKUP("C-10.2",'Optional features'!B:D,3,FALSE)="Yes", NOT(VLOOKUP("C-52",'Optional features'!B:D,3,FALSE)="Yes"))),OR(VLOOKUP("HFS-4",'Hardware Feature set'!B:D,3,FALSE)="Yes",VLOOKUP("ISO 15118 Support",'Profile selection'!B:C,2,FALSE)="Yes"),NOT(VLOOKUP("Product Subtype",'Hardware Feature set'!C:D,2,FALSE)="Mode 1/2-only Charging Station"))</f>
        <v>0</v>
      </c>
      <c r="C87" t="b">
        <v>1</v>
      </c>
      <c r="D87" t="b">
        <f>NOT(ISERROR(VLOOKUP(A87,'Charging Station Testcases'!E:E,1,FALSE)=A87))</f>
        <v>0</v>
      </c>
    </row>
    <row r="88" spans="1:4" x14ac:dyDescent="0.25">
      <c r="A88" t="s">
        <v>1149</v>
      </c>
      <c r="B88" s="11" t="b">
        <f>AND(VLOOKUP("HFS-1",'Hardware Feature set'!B:D,3,FALSE)="Yes",NOT(VLOOKUP("Product Subtype",'Hardware Feature set'!C:D,2,FALSE)="Mode 1/2-only Charging Station"))</f>
        <v>0</v>
      </c>
      <c r="C88" t="b">
        <v>1</v>
      </c>
      <c r="D88" t="b">
        <f>NOT(ISERROR(VLOOKUP(A88,'Charging Station Testcases'!E:E,1,FALSE)=A88))</f>
        <v>1</v>
      </c>
    </row>
    <row r="89" spans="1:4" x14ac:dyDescent="0.25">
      <c r="A89" t="s">
        <v>292</v>
      </c>
      <c r="B89" s="11" t="b">
        <f>AND(VLOOKUP("HFS-1",'Hardware Feature set'!B:D,3,FALSE)="Yes",NOT(VLOOKUP("Product Subtype",'Hardware Feature set'!C:D,2,FALSE)="Mode 1/2-only Charging Station"))</f>
        <v>0</v>
      </c>
      <c r="C89" t="b">
        <v>1</v>
      </c>
      <c r="D89" t="b">
        <f>NOT(ISERROR(VLOOKUP(A89,'Charging Station Testcases'!E:E,1,FALSE)=A89))</f>
        <v>1</v>
      </c>
    </row>
    <row r="90" spans="1:4" x14ac:dyDescent="0.25">
      <c r="A90" t="s">
        <v>1154</v>
      </c>
      <c r="B90" s="11" t="b">
        <f>AND(VLOOKUP("C-10.3",'Optional features'!B:D,3,FALSE)="Yes",OR(VLOOKUP("C-52",'Optional features'!B:D,3,FALSE)="Yes",NOT(OR(VLOOKUP("C-10.1",'Optional features'!B:D,3,FALSE)="Yes",VLOOKUP("C-10.4",'Optional features'!B:D,3,FALSE)="Yes"))),OR(VLOOKUP("AQ-9",'Additional questions'!B:D,3,FALSE)="Yes",VLOOKUP("Product Subtype",'Hardware Feature set'!C:D,2,FALSE)="Mode 1/2-only Charging Station"))</f>
        <v>0</v>
      </c>
      <c r="C90" t="b">
        <v>1</v>
      </c>
      <c r="D90" t="b">
        <f>NOT(ISERROR(VLOOKUP(A90,'Charging Station Testcases'!E:E,1,FALSE)=A90))</f>
        <v>1</v>
      </c>
    </row>
    <row r="91" spans="1:4" x14ac:dyDescent="0.25">
      <c r="A91" t="s">
        <v>1155</v>
      </c>
      <c r="B91" s="11" t="b">
        <f>AND(VLOOKUP("C-20",'Optional features'!B:D,3,FALSE)="Yes",VLOOKUP("C-43",'Optional features'!B:D,3,FALSE)="No",VLOOKUP("AQ-7",'Additional questions'!B:D,3,FALSE)="Yes",VLOOKUP("HFS-8",'Hardware Feature set'!B:D,3,FALSE)&gt;1)</f>
        <v>0</v>
      </c>
      <c r="C91" t="b">
        <v>1</v>
      </c>
      <c r="D91" t="b">
        <f>NOT(ISERROR(VLOOKUP(A91,'Charging Station Testcases'!E:E,1,FALSE)=A91))</f>
        <v>1</v>
      </c>
    </row>
    <row r="92" spans="1:4" x14ac:dyDescent="0.25">
      <c r="A92" t="s">
        <v>1156</v>
      </c>
      <c r="B92" s="11" t="b">
        <f>AND(VLOOKUP("C-20",'Optional features'!B:D,3,FALSE)="Yes",VLOOKUP("C-43",'Optional features'!B:D,3,FALSE)="No",VLOOKUP("AQ-7",'Additional questions'!B:D,3,FALSE)="No",VLOOKUP("HFS-8",'Hardware Feature set'!B:D,3,FALSE)&gt;1)</f>
        <v>0</v>
      </c>
      <c r="C92" t="b">
        <v>1</v>
      </c>
      <c r="D92" t="b">
        <f>NOT(ISERROR(VLOOKUP(A92,'Charging Station Testcases'!E:E,1,FALSE)=A92))</f>
        <v>1</v>
      </c>
    </row>
    <row r="93" spans="1:4" x14ac:dyDescent="0.25">
      <c r="A93" t="s">
        <v>1235</v>
      </c>
      <c r="B93" s="11" t="b">
        <f>AND(VLOOKUP("C-10.1",'Optional features'!B:D,3,FALSE)="Yes",OR(VLOOKUP("C-52",'Optional features'!B:D,3,FALSE)="Yes", NOT(OR(VLOOKUP("C-10.2",'Optional features'!B:D,3,FALSE)="Yes",VLOOKUP("C-10.3",'Optional features'!B:D,3,FALSE)="Yes",VLOOKUP("C-10.4",'Optional features'!B:D,3,FALSE)="Yes"))),NOT(VLOOKUP("C-06.1",'Optional features'!B:D,3,FALSE)="Yes"),OR(VLOOKUP("AQ-9",'Additional questions'!B:D,3,FALSE)="Yes",VLOOKUP("Product Subtype",'Hardware Feature set'!C:D,2,FALSE)="Mode 1/2-only Charging Station"))</f>
        <v>0</v>
      </c>
      <c r="C93" t="b">
        <v>1</v>
      </c>
      <c r="D93" t="b">
        <f>NOT(ISERROR(VLOOKUP(A93,'Charging Station Testcases'!E:E,1,FALSE)=A93))</f>
        <v>0</v>
      </c>
    </row>
    <row r="94" spans="1:4" x14ac:dyDescent="0.25">
      <c r="A94" t="s">
        <v>1243</v>
      </c>
      <c r="B94" s="11" t="b">
        <f>AND(VLOOKUP("C-10.1",'Optional features'!B:D,3,FALSE)="Yes",OR(VLOOKUP("C-52",'Optional features'!B:D,3,FALSE)="Yes", NOT(OR(VLOOKUP("C-10.2",'Optional features'!B:D,3,FALSE)="Yes",VLOOKUP("C-10.3",'Optional features'!B:D,3,FALSE)="Yes",VLOOKUP("C-10.4",'Optional features'!B:D,3,FALSE)="Yes"))),OR(VLOOKUP("HFS-4",'Hardware Feature set'!B:D,3,FALSE)="Yes",VLOOKUP("ISO 15118 Support",'Profile selection'!B:C,2,FALSE)="Yes"),NOT(VLOOKUP("Product Subtype",'Hardware Feature set'!C:D,2,FALSE)="Mode 1/2-only Charging Station"))</f>
        <v>0</v>
      </c>
      <c r="C94" t="b">
        <v>1</v>
      </c>
      <c r="D94" t="b">
        <f>NOT(ISERROR(VLOOKUP(A94,'Charging Station Testcases'!E:E,1,FALSE)=A94))</f>
        <v>0</v>
      </c>
    </row>
    <row r="95" spans="1:4" x14ac:dyDescent="0.25">
      <c r="A95" t="s">
        <v>1300</v>
      </c>
      <c r="B95" s="11" t="b">
        <f>AND(VLOOKUP("C-10.1",'Optional features'!B:D,3,FALSE)="Yes",OR(VLOOKUP("C-52",'Optional features'!B:D,3,FALSE)="Yes", NOT(OR(VLOOKUP("C-10.3",'Optional features'!B:D,3,FALSE)="Yes", VLOOKUP("C-10.4",'Optional features'!B:D,3,FALSE)="Yes"))),AND(VLOOKUP("C-10.2",'Optional features'!B:D,3,FALSE)="Yes", NOT(VLOOKUP("C-52",'Optional features'!B:D,3,FALSE)="Yes"),NOT(VLOOKUP("C-06.1",'Optional features'!B:D,3,FALSE)="Yes")),OR(VLOOKUP("AQ-9",'Additional questions'!B:D,3,FALSE)="Yes",VLOOKUP("Product Subtype",'Hardware Feature set'!C:D,2,FALSE)="Mode 1/2-only Charging Station"))</f>
        <v>0</v>
      </c>
      <c r="C95" t="b">
        <v>1</v>
      </c>
      <c r="D95" t="b">
        <f>NOT(ISERROR(VLOOKUP(A95,'Charging Station Testcases'!E:E,1,FALSE)=A95))</f>
        <v>0</v>
      </c>
    </row>
    <row r="96" spans="1:4" x14ac:dyDescent="0.25">
      <c r="A96" t="s">
        <v>1304</v>
      </c>
      <c r="B96" s="11" t="b">
        <f>AND(AND(VLOOKUP("C-10.1",'Optional features'!B:D,3,FALSE)="Yes",NOT(AND(NOT(VLOOKUP("C-52",'Optional features'!B:D,3,FALSE)="Yes"),OR(VLOOKUP("C-10.3",'Optional features'!B:D,3,FALSE)="Yes",VLOOKUP("C-10.4",'Optional features'!B:D,3,FALSE)="Yes"))),NOT(AND(NOT(VLOOKUP("C-06.1",'Optional features'!B:D,3,FALSE)="Yes"),NOT(VLOOKUP("C-52",'Optional features'!B:D,3,FALSE)="Yes"),VLOOKUP("C-10.2",'Optional features'!B:D,3,FALSE)="Yes"))),OR(VLOOKUP("AQ-9",'Additional questions'!B:D,3,FALSE)="Yes",VLOOKUP("Product Subtype",'Hardware Feature set'!C:D,2,FALSE)="Mode 1/2-only Charging Station"))</f>
        <v>0</v>
      </c>
      <c r="C96" t="b">
        <v>1</v>
      </c>
      <c r="D96" t="b">
        <f>NOT(ISERROR(VLOOKUP(A96,'Charging Station Testcases'!E:E,1,FALSE)=A96))</f>
        <v>1</v>
      </c>
    </row>
    <row r="97" spans="1:4" x14ac:dyDescent="0.25">
      <c r="A97" t="s">
        <v>1305</v>
      </c>
      <c r="B97" s="11" t="b">
        <f>AND(VLOOKUP("C-10.1",'Optional features'!B:D,3,FALSE)="Yes",NOT(AND(NOT(VLOOKUP("C-52",'Optional features'!B:D,3,FALSE)="Yes"),OR(VLOOKUP("C-10.2",'Optional features'!B:D,3,FALSE)="Yes",VLOOKUP("C-10.3",'Optional features'!B:D,3,FALSE)="Yes",VLOOKUP("C-10.4",'Optional features'!B:D,3,FALSE)="Yes"))),OR(VLOOKUP("HFS-4",'Hardware Feature set'!B:D,3,FALSE)="Yes",VLOOKUP("ISO 15118 Support",'Profile selection'!B:C,2,FALSE)="Yes"),NOT(VLOOKUP("Product Subtype",'Hardware Feature set'!C:D,2,FALSE)="Mode 1/2-only Charging Station"))</f>
        <v>0</v>
      </c>
      <c r="C97" t="b">
        <v>1</v>
      </c>
      <c r="D97" t="b">
        <f>NOT(ISERROR(VLOOKUP(A97,'Charging Station Testcases'!E:E,1,FALSE)=A97))</f>
        <v>1</v>
      </c>
    </row>
    <row r="98" spans="1:4" x14ac:dyDescent="0.25">
      <c r="A98" t="s">
        <v>1385</v>
      </c>
      <c r="B98" s="11" t="b">
        <f>OR(VLOOKUP("C-09.2",'Optional features'!B:D,3,FALSE)="Yes",VLOOKUP("C-09.6",'Optional features'!B:D,3,FALSE)="Yes")</f>
        <v>0</v>
      </c>
      <c r="C98" t="b">
        <v>1</v>
      </c>
      <c r="D98" t="b">
        <f>NOT(ISERROR(VLOOKUP(A98,'Charging Station Testcases'!E:E,1,FALSE)=A98))</f>
        <v>0</v>
      </c>
    </row>
    <row r="99" spans="1:4" x14ac:dyDescent="0.25">
      <c r="A99" t="s">
        <v>1387</v>
      </c>
      <c r="B99" s="11" t="b">
        <f>AND(OR(VLOOKUP("C-30",'Optional features'!B:D,3,FALSE)="Yes",VLOOKUP("C-31",'Optional features'!B:D,3,FALSE)="Yes",VLOOKUP("C-32",'Optional features'!B:D,3,FALSE)="Yes"),VLOOKUP("AQ-2",'Additional questions'!B:D,3,FALSE)="No")</f>
        <v>1</v>
      </c>
      <c r="C99" t="b">
        <v>1</v>
      </c>
      <c r="D99" t="b">
        <f>NOT(ISERROR(VLOOKUP(A99,'Charging Station Testcases'!E:E,1,FALSE)=A99))</f>
        <v>1</v>
      </c>
    </row>
    <row r="100" spans="1:4" x14ac:dyDescent="0.25">
      <c r="A100" t="s">
        <v>1389</v>
      </c>
      <c r="B100" s="11" t="b">
        <f>AND(OR(VLOOKUP("C-30",'Optional features'!B:D,3,FALSE)="Yes",VLOOKUP("C-31",'Optional features'!B:D,3,FALSE)="Yes",VLOOKUP("C-32",'Optional features'!B:D,3,FALSE)="Yes"),VLOOKUP("AQ-2",'Additional questions'!B:D,3,FALSE)="Yes")</f>
        <v>0</v>
      </c>
      <c r="C100" t="b">
        <v>1</v>
      </c>
      <c r="D100" t="b">
        <f>NOT(ISERROR(VLOOKUP(A100,'Charging Station Testcases'!E:E,1,FALSE)=A100))</f>
        <v>1</v>
      </c>
    </row>
    <row r="101" spans="1:4" x14ac:dyDescent="0.25">
      <c r="A101" t="s">
        <v>1390</v>
      </c>
      <c r="B101" s="11" t="b">
        <f>AND(VLOOKUP("C-58",'Optional features'!B:D,3,FALSE)="Yes",OR(VLOOKUP("C-30",'Optional features'!B:D,3,FALSE)="Yes",VLOOKUP("C-31",'Optional features'!B:D,3,FALSE)="Yes",VLOOKUP("C-32",'Optional features'!B:D,3,FALSE)="Yes"),OR(VLOOKUP("C-49",'Optional features'!B:D,3,FALSE)="Yes",VLOOKUP("Local Authorization List Management",'Profile selection'!B:C,2,FALSE)="Yes"))</f>
        <v>0</v>
      </c>
      <c r="C101" t="b">
        <v>1</v>
      </c>
      <c r="D101" t="b">
        <f>NOT(ISERROR(VLOOKUP(A101,'Charging Station Testcases'!E:E,1,FALSE)=A101))</f>
        <v>1</v>
      </c>
    </row>
    <row r="102" spans="1:4" x14ac:dyDescent="0.25">
      <c r="A102" t="s">
        <v>1392</v>
      </c>
      <c r="B102" s="11" t="b">
        <f>AND(OR(VLOOKUP("C-10.2",'Optional features'!B:D,3,FALSE)="Yes",VLOOKUP("C-10.3",'Optional features'!B:D,3,FALSE)="Yes"),OR(VLOOKUP("C-30",'Optional features'!B:D,3,FALSE)="Yes",VLOOKUP("C-31",'Optional features'!B:D,3,FALSE)="Yes",VLOOKUP("C-32",'Optional features'!B:D,3,FALSE)="Yes",VLOOKUP("ISO 15118 Support",'Profile selection'!B:C,2,FALSE)="Yes"),VLOOKUP("C-01",'Optional features'!B:D,3,FALSE)="Yes")</f>
        <v>1</v>
      </c>
      <c r="C102" t="b">
        <v>1</v>
      </c>
      <c r="D102" t="b">
        <f>NOT(ISERROR(VLOOKUP(A102,'Charging Station Testcases'!E:E,1,FALSE)=A102))</f>
        <v>1</v>
      </c>
    </row>
    <row r="103" spans="1:4" x14ac:dyDescent="0.25">
      <c r="A103" t="s">
        <v>1393</v>
      </c>
      <c r="B103" s="11" t="b">
        <f>OR(AND(VLOOKUP("C-01",'Optional features'!B:D,3,FALSE)="Yes",OR(VLOOKUP("C-30",'Optional features'!B:D,3,FALSE)="Yes",VLOOKUP("C-31",'Optional features'!B:D,3,FALSE)="Yes",VLOOKUP("C-32",'Optional features'!B:D,3,FALSE)="Yes",VLOOKUP("C-33",'Optional features'!B:D,3,FALSE)="Yes",VLOOKUP("C-34",'Optional features'!B:D,3,FALSE)="Yes",VLOOKUP("ISO 15118 Support",'Profile selection'!B:C,2,FALSE)="Yes")),VLOOKUP("C-35",'Optional features'!B:D,3,FALSE)="Yes")</f>
        <v>1</v>
      </c>
      <c r="C103" t="b">
        <v>1</v>
      </c>
      <c r="D103" t="b">
        <f>NOT(ISERROR(VLOOKUP(A103,'Charging Station Testcases'!E:E,1,FALSE)=A103))</f>
        <v>1</v>
      </c>
    </row>
    <row r="104" spans="1:4" x14ac:dyDescent="0.25">
      <c r="A104" t="s">
        <v>1402</v>
      </c>
      <c r="B104" s="11" t="b">
        <f>NOT(AND(AND(VLOOKUP("C-30",'Optional features'!B:D,3,FALSE)="No",VLOOKUP("C-31",'Optional features'!B:D,3,FALSE)="No",VLOOKUP("C-32",'Optional features'!B:D,3,FALSE)="No",VLOOKUP("C-33",'Optional features'!B:D,3,FALSE)="No",VLOOKUP("C-34",'Optional features'!B:D,3,FALSE)="No",VLOOKUP("C-35",'Optional features'!B:D,3,FALSE)="No"),AND(VLOOKUP("C-10.1",'Optional features'!B:D,3,FALSE)="No",VLOOKUP("C-10.3",'Optional features'!B:D,3,FALSE)="No",VLOOKUP("C-10.4",'Optional features'!B:D,3,FALSE)="No",VLOOKUP("C-10.5",'Optional features'!B:D,3,FALSE)="No"),VLOOKUP("C-06.2",'Optional features'!B:D,3,FALSE)="No"))</f>
        <v>1</v>
      </c>
      <c r="C104" t="b">
        <v>1</v>
      </c>
      <c r="D104" t="b">
        <f>NOT(ISERROR(VLOOKUP(A104,'Charging Station Testcases'!E:E,1,FALSE)=A104))</f>
        <v>1</v>
      </c>
    </row>
    <row r="105" spans="1:4" x14ac:dyDescent="0.25">
      <c r="A105" t="s">
        <v>1488</v>
      </c>
      <c r="B105" s="11" t="b">
        <f>OR(VLOOKUP("C-30",'Optional features'!B:D,3,FALSE)="Yes",VLOOKUP("C-31",'Optional features'!B:D,3,FALSE)="Yes",VLOOKUP("C-32",'Optional features'!B:D,3,FALSE)="Yes",VLOOKUP("C-33",'Optional features'!B:D,3,FALSE)="Yes",VLOOKUP("C-35",'Optional features'!B:D,3,FALSE)="Yes")</f>
        <v>1</v>
      </c>
      <c r="C105" t="b">
        <v>1</v>
      </c>
      <c r="D105" t="b">
        <f>NOT(ISERROR(VLOOKUP(A105,'Charging Station Testcases'!E:E,1,FALSE)=A105))</f>
        <v>1</v>
      </c>
    </row>
    <row r="106" spans="1:4" x14ac:dyDescent="0.25">
      <c r="A106" t="s">
        <v>1489</v>
      </c>
      <c r="B106" s="11" t="b">
        <f>AND(VLOOKUP("C-10.2",'Optional features'!B:D,3,FALSE)="Yes",VLOOKUP("C-06.2",'Optional features'!B:D,3,FALSE)="Yes",VLOOKUP("AQ-9",'Additional questions'!B:D,3,FALSE)="Yes",NOT(AND(NOT(VLOOKUP("C-52",'Optional features'!B:D,3,FALSE)="Yes"),OR(VLOOKUP("C-10.1",'Optional features'!B:D,3,FALSE)="Yes",VLOOKUP("C-10.3",'Optional features'!B:D,3,FALSE)="Yes",VLOOKUP("C-10.4",'Optional features'!B:D,3,FALSE)="Yes"))))</f>
        <v>0</v>
      </c>
      <c r="C106" t="b">
        <v>1</v>
      </c>
      <c r="D106" t="b">
        <f>NOT(ISERROR(VLOOKUP(A106,'Charging Station Testcases'!E:E,1,FALSE)=A106))</f>
        <v>1</v>
      </c>
    </row>
  </sheetData>
  <autoFilter ref="A1:F89" xr:uid="{A46B0863-728A-4947-9CAE-18DFD3654F03}"/>
  <pageMargins left="0.7" right="0.7" top="0.75" bottom="0.75" header="0.3" footer="0.3"/>
  <pageSetup orientation="portrait" r:id="rId1"/>
  <headerFooter>
    <oddFooter>&amp;C_x000D_&amp;1#&amp;"Arial"&amp;9&amp;K000000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66920-8EEC-4B56-B3CF-D353EEFB53B3}">
  <dimension ref="A1:D96"/>
  <sheetViews>
    <sheetView topLeftCell="A46" workbookViewId="0">
      <selection activeCell="C61" sqref="C61"/>
    </sheetView>
  </sheetViews>
  <sheetFormatPr defaultColWidth="8.875" defaultRowHeight="15.75" x14ac:dyDescent="0.25"/>
  <cols>
    <col min="1" max="1" width="7.125" bestFit="1" customWidth="1"/>
    <col min="2" max="2" width="77.375" bestFit="1" customWidth="1"/>
    <col min="3" max="3" width="104.625" bestFit="1" customWidth="1"/>
    <col min="4" max="4" width="199.625" bestFit="1" customWidth="1"/>
  </cols>
  <sheetData>
    <row r="1" spans="1:4" x14ac:dyDescent="0.25">
      <c r="A1" t="s">
        <v>38</v>
      </c>
      <c r="B1" t="s">
        <v>141</v>
      </c>
      <c r="C1" t="s">
        <v>317</v>
      </c>
      <c r="D1" t="s">
        <v>318</v>
      </c>
    </row>
    <row r="2" spans="1:4" x14ac:dyDescent="0.25">
      <c r="A2" t="s">
        <v>40</v>
      </c>
      <c r="B2" t="s">
        <v>143</v>
      </c>
      <c r="C2" t="s">
        <v>322</v>
      </c>
      <c r="D2" t="s">
        <v>320</v>
      </c>
    </row>
    <row r="3" spans="1:4" x14ac:dyDescent="0.25">
      <c r="A3" t="s">
        <v>42</v>
      </c>
      <c r="B3" t="s">
        <v>143</v>
      </c>
      <c r="C3" t="s">
        <v>323</v>
      </c>
      <c r="D3" t="s">
        <v>320</v>
      </c>
    </row>
    <row r="4" spans="1:4" x14ac:dyDescent="0.25">
      <c r="A4" t="s">
        <v>43</v>
      </c>
      <c r="B4" t="s">
        <v>143</v>
      </c>
      <c r="C4" t="s">
        <v>324</v>
      </c>
      <c r="D4" t="s">
        <v>320</v>
      </c>
    </row>
    <row r="5" spans="1:4" x14ac:dyDescent="0.25">
      <c r="A5" t="s">
        <v>44</v>
      </c>
      <c r="B5" t="s">
        <v>143</v>
      </c>
      <c r="C5" t="s">
        <v>325</v>
      </c>
      <c r="D5" t="s">
        <v>320</v>
      </c>
    </row>
    <row r="6" spans="1:4" x14ac:dyDescent="0.25">
      <c r="A6" t="s">
        <v>45</v>
      </c>
      <c r="B6" t="s">
        <v>143</v>
      </c>
      <c r="C6" t="s">
        <v>326</v>
      </c>
      <c r="D6" t="s">
        <v>1278</v>
      </c>
    </row>
    <row r="7" spans="1:4" x14ac:dyDescent="0.25">
      <c r="A7" t="s">
        <v>46</v>
      </c>
      <c r="B7" t="s">
        <v>143</v>
      </c>
      <c r="C7" t="s">
        <v>327</v>
      </c>
      <c r="D7" t="s">
        <v>320</v>
      </c>
    </row>
    <row r="8" spans="1:4" x14ac:dyDescent="0.25">
      <c r="A8" t="s">
        <v>47</v>
      </c>
      <c r="B8" t="s">
        <v>143</v>
      </c>
      <c r="C8" t="s">
        <v>328</v>
      </c>
      <c r="D8" t="s">
        <v>320</v>
      </c>
    </row>
    <row r="9" spans="1:4" x14ac:dyDescent="0.25">
      <c r="A9" t="s">
        <v>48</v>
      </c>
      <c r="B9" t="s">
        <v>143</v>
      </c>
      <c r="C9" t="s">
        <v>329</v>
      </c>
      <c r="D9" t="s">
        <v>320</v>
      </c>
    </row>
    <row r="10" spans="1:4" x14ac:dyDescent="0.25">
      <c r="A10" t="s">
        <v>49</v>
      </c>
      <c r="B10" t="s">
        <v>143</v>
      </c>
      <c r="C10" t="s">
        <v>330</v>
      </c>
      <c r="D10" t="s">
        <v>320</v>
      </c>
    </row>
    <row r="11" spans="1:4" x14ac:dyDescent="0.25">
      <c r="A11" t="s">
        <v>50</v>
      </c>
      <c r="B11" t="s">
        <v>143</v>
      </c>
      <c r="C11" t="s">
        <v>331</v>
      </c>
      <c r="D11" t="s">
        <v>1278</v>
      </c>
    </row>
    <row r="12" spans="1:4" x14ac:dyDescent="0.25">
      <c r="A12" t="s">
        <v>51</v>
      </c>
      <c r="B12" t="s">
        <v>143</v>
      </c>
      <c r="C12" t="s">
        <v>332</v>
      </c>
      <c r="D12" t="s">
        <v>320</v>
      </c>
    </row>
    <row r="13" spans="1:4" x14ac:dyDescent="0.25">
      <c r="A13" t="s">
        <v>52</v>
      </c>
      <c r="B13" t="s">
        <v>143</v>
      </c>
      <c r="C13" t="s">
        <v>333</v>
      </c>
      <c r="D13" t="s">
        <v>320</v>
      </c>
    </row>
    <row r="14" spans="1:4" x14ac:dyDescent="0.25">
      <c r="A14" t="s">
        <v>53</v>
      </c>
      <c r="B14" t="s">
        <v>143</v>
      </c>
      <c r="C14" t="s">
        <v>334</v>
      </c>
      <c r="D14" t="s">
        <v>320</v>
      </c>
    </row>
    <row r="15" spans="1:4" x14ac:dyDescent="0.25">
      <c r="A15" t="s">
        <v>54</v>
      </c>
      <c r="B15" t="s">
        <v>143</v>
      </c>
      <c r="C15" t="s">
        <v>335</v>
      </c>
      <c r="D15" t="s">
        <v>320</v>
      </c>
    </row>
    <row r="16" spans="1:4" x14ac:dyDescent="0.25">
      <c r="A16" t="s">
        <v>55</v>
      </c>
      <c r="B16" t="s">
        <v>143</v>
      </c>
      <c r="C16" t="s">
        <v>336</v>
      </c>
      <c r="D16" t="s">
        <v>320</v>
      </c>
    </row>
    <row r="17" spans="1:4" x14ac:dyDescent="0.25">
      <c r="A17" t="s">
        <v>56</v>
      </c>
      <c r="B17" t="s">
        <v>143</v>
      </c>
      <c r="C17" t="s">
        <v>337</v>
      </c>
      <c r="D17" t="s">
        <v>320</v>
      </c>
    </row>
    <row r="18" spans="1:4" x14ac:dyDescent="0.25">
      <c r="A18" t="s">
        <v>57</v>
      </c>
      <c r="B18" t="s">
        <v>143</v>
      </c>
      <c r="C18" t="s">
        <v>338</v>
      </c>
      <c r="D18" t="s">
        <v>1278</v>
      </c>
    </row>
    <row r="19" spans="1:4" x14ac:dyDescent="0.25">
      <c r="A19" t="s">
        <v>58</v>
      </c>
      <c r="B19" t="s">
        <v>143</v>
      </c>
      <c r="C19" t="s">
        <v>339</v>
      </c>
      <c r="D19" t="s">
        <v>320</v>
      </c>
    </row>
    <row r="20" spans="1:4" x14ac:dyDescent="0.25">
      <c r="A20" t="s">
        <v>59</v>
      </c>
      <c r="B20" t="s">
        <v>143</v>
      </c>
      <c r="C20" t="s">
        <v>340</v>
      </c>
      <c r="D20" t="s">
        <v>320</v>
      </c>
    </row>
    <row r="21" spans="1:4" x14ac:dyDescent="0.25">
      <c r="A21" t="s">
        <v>60</v>
      </c>
      <c r="B21" t="s">
        <v>143</v>
      </c>
      <c r="C21" t="s">
        <v>341</v>
      </c>
      <c r="D21" t="s">
        <v>320</v>
      </c>
    </row>
    <row r="22" spans="1:4" x14ac:dyDescent="0.25">
      <c r="A22" t="s">
        <v>61</v>
      </c>
      <c r="B22" t="s">
        <v>143</v>
      </c>
      <c r="C22" t="s">
        <v>342</v>
      </c>
      <c r="D22" t="s">
        <v>320</v>
      </c>
    </row>
    <row r="23" spans="1:4" x14ac:dyDescent="0.25">
      <c r="A23" t="s">
        <v>62</v>
      </c>
      <c r="B23" t="s">
        <v>143</v>
      </c>
      <c r="C23" t="s">
        <v>343</v>
      </c>
      <c r="D23" t="s">
        <v>320</v>
      </c>
    </row>
    <row r="24" spans="1:4" x14ac:dyDescent="0.25">
      <c r="A24" t="s">
        <v>63</v>
      </c>
      <c r="B24" t="s">
        <v>143</v>
      </c>
      <c r="C24" t="s">
        <v>344</v>
      </c>
      <c r="D24" t="s">
        <v>1278</v>
      </c>
    </row>
    <row r="25" spans="1:4" x14ac:dyDescent="0.25">
      <c r="A25" t="s">
        <v>64</v>
      </c>
      <c r="B25" t="s">
        <v>143</v>
      </c>
      <c r="C25" t="s">
        <v>345</v>
      </c>
      <c r="D25" t="s">
        <v>320</v>
      </c>
    </row>
    <row r="26" spans="1:4" x14ac:dyDescent="0.25">
      <c r="A26" t="s">
        <v>65</v>
      </c>
      <c r="B26" t="s">
        <v>143</v>
      </c>
      <c r="C26" t="s">
        <v>346</v>
      </c>
      <c r="D26" t="s">
        <v>320</v>
      </c>
    </row>
    <row r="27" spans="1:4" x14ac:dyDescent="0.25">
      <c r="A27" t="s">
        <v>66</v>
      </c>
      <c r="B27" t="s">
        <v>143</v>
      </c>
      <c r="C27" t="s">
        <v>347</v>
      </c>
      <c r="D27" t="s">
        <v>320</v>
      </c>
    </row>
    <row r="28" spans="1:4" x14ac:dyDescent="0.25">
      <c r="A28" t="s">
        <v>67</v>
      </c>
      <c r="B28" t="s">
        <v>143</v>
      </c>
      <c r="C28" t="s">
        <v>348</v>
      </c>
      <c r="D28" t="s">
        <v>320</v>
      </c>
    </row>
    <row r="29" spans="1:4" x14ac:dyDescent="0.25">
      <c r="A29" t="s">
        <v>68</v>
      </c>
      <c r="B29" t="s">
        <v>143</v>
      </c>
      <c r="C29" t="s">
        <v>349</v>
      </c>
      <c r="D29" t="s">
        <v>320</v>
      </c>
    </row>
    <row r="30" spans="1:4" x14ac:dyDescent="0.25">
      <c r="A30" t="s">
        <v>69</v>
      </c>
      <c r="B30" t="s">
        <v>143</v>
      </c>
      <c r="C30" t="s">
        <v>350</v>
      </c>
      <c r="D30" t="s">
        <v>320</v>
      </c>
    </row>
    <row r="31" spans="1:4" x14ac:dyDescent="0.25">
      <c r="A31" t="s">
        <v>71</v>
      </c>
      <c r="B31" t="s">
        <v>351</v>
      </c>
      <c r="C31" t="s">
        <v>352</v>
      </c>
      <c r="D31" t="s">
        <v>353</v>
      </c>
    </row>
    <row r="32" spans="1:4" x14ac:dyDescent="0.25">
      <c r="A32" t="s">
        <v>72</v>
      </c>
      <c r="B32" t="s">
        <v>351</v>
      </c>
      <c r="C32" t="s">
        <v>354</v>
      </c>
      <c r="D32" t="s">
        <v>320</v>
      </c>
    </row>
    <row r="33" spans="1:4" x14ac:dyDescent="0.25">
      <c r="A33" t="s">
        <v>73</v>
      </c>
      <c r="B33" t="s">
        <v>351</v>
      </c>
      <c r="C33" t="s">
        <v>355</v>
      </c>
      <c r="D33" t="s">
        <v>320</v>
      </c>
    </row>
    <row r="34" spans="1:4" x14ac:dyDescent="0.25">
      <c r="A34" t="s">
        <v>74</v>
      </c>
      <c r="B34" t="s">
        <v>351</v>
      </c>
      <c r="C34" t="s">
        <v>356</v>
      </c>
      <c r="D34" t="s">
        <v>320</v>
      </c>
    </row>
    <row r="35" spans="1:4" x14ac:dyDescent="0.25">
      <c r="A35" t="s">
        <v>75</v>
      </c>
      <c r="B35" t="s">
        <v>351</v>
      </c>
      <c r="C35" t="s">
        <v>357</v>
      </c>
      <c r="D35" t="s">
        <v>1408</v>
      </c>
    </row>
    <row r="36" spans="1:4" x14ac:dyDescent="0.25">
      <c r="A36" t="s">
        <v>76</v>
      </c>
      <c r="B36" t="s">
        <v>351</v>
      </c>
      <c r="C36" t="s">
        <v>358</v>
      </c>
      <c r="D36" t="s">
        <v>320</v>
      </c>
    </row>
    <row r="37" spans="1:4" x14ac:dyDescent="0.25">
      <c r="A37" t="s">
        <v>77</v>
      </c>
      <c r="B37" t="s">
        <v>351</v>
      </c>
      <c r="C37" t="s">
        <v>359</v>
      </c>
      <c r="D37" t="s">
        <v>320</v>
      </c>
    </row>
    <row r="38" spans="1:4" x14ac:dyDescent="0.25">
      <c r="A38" t="s">
        <v>78</v>
      </c>
      <c r="B38" t="s">
        <v>351</v>
      </c>
      <c r="C38" t="s">
        <v>360</v>
      </c>
      <c r="D38" t="s">
        <v>320</v>
      </c>
    </row>
    <row r="39" spans="1:4" x14ac:dyDescent="0.25">
      <c r="A39" t="s">
        <v>79</v>
      </c>
      <c r="B39" t="s">
        <v>351</v>
      </c>
      <c r="C39" t="s">
        <v>361</v>
      </c>
      <c r="D39" t="s">
        <v>320</v>
      </c>
    </row>
    <row r="40" spans="1:4" x14ac:dyDescent="0.25">
      <c r="A40" t="s">
        <v>80</v>
      </c>
      <c r="B40" t="s">
        <v>351</v>
      </c>
      <c r="C40" t="s">
        <v>362</v>
      </c>
      <c r="D40" t="s">
        <v>320</v>
      </c>
    </row>
    <row r="41" spans="1:4" x14ac:dyDescent="0.25">
      <c r="A41" t="s">
        <v>81</v>
      </c>
      <c r="B41" t="s">
        <v>351</v>
      </c>
      <c r="C41" t="s">
        <v>363</v>
      </c>
      <c r="D41" t="s">
        <v>320</v>
      </c>
    </row>
    <row r="42" spans="1:4" x14ac:dyDescent="0.25">
      <c r="A42" t="s">
        <v>83</v>
      </c>
      <c r="B42" t="s">
        <v>364</v>
      </c>
      <c r="C42" t="s">
        <v>365</v>
      </c>
      <c r="D42" t="s">
        <v>320</v>
      </c>
    </row>
    <row r="43" spans="1:4" x14ac:dyDescent="0.25">
      <c r="A43" t="s">
        <v>84</v>
      </c>
      <c r="B43" t="s">
        <v>364</v>
      </c>
      <c r="C43" t="s">
        <v>366</v>
      </c>
      <c r="D43" t="s">
        <v>320</v>
      </c>
    </row>
    <row r="44" spans="1:4" x14ac:dyDescent="0.25">
      <c r="A44" t="s">
        <v>85</v>
      </c>
      <c r="B44" t="s">
        <v>364</v>
      </c>
      <c r="C44" t="s">
        <v>367</v>
      </c>
      <c r="D44" t="s">
        <v>320</v>
      </c>
    </row>
    <row r="45" spans="1:4" x14ac:dyDescent="0.25">
      <c r="A45" t="s">
        <v>86</v>
      </c>
      <c r="B45" t="s">
        <v>364</v>
      </c>
      <c r="C45" t="s">
        <v>368</v>
      </c>
      <c r="D45" t="s">
        <v>320</v>
      </c>
    </row>
    <row r="46" spans="1:4" x14ac:dyDescent="0.25">
      <c r="A46" t="s">
        <v>87</v>
      </c>
      <c r="B46" t="s">
        <v>364</v>
      </c>
      <c r="C46" t="s">
        <v>369</v>
      </c>
      <c r="D46" t="s">
        <v>320</v>
      </c>
    </row>
    <row r="47" spans="1:4" x14ac:dyDescent="0.25">
      <c r="A47" t="s">
        <v>88</v>
      </c>
      <c r="B47" t="s">
        <v>364</v>
      </c>
      <c r="C47" t="s">
        <v>370</v>
      </c>
      <c r="D47" t="s">
        <v>320</v>
      </c>
    </row>
    <row r="48" spans="1:4" x14ac:dyDescent="0.25">
      <c r="A48" t="s">
        <v>92</v>
      </c>
      <c r="B48" t="s">
        <v>371</v>
      </c>
      <c r="C48" t="s">
        <v>365</v>
      </c>
      <c r="D48" t="s">
        <v>320</v>
      </c>
    </row>
    <row r="49" spans="1:4" x14ac:dyDescent="0.25">
      <c r="A49" t="s">
        <v>93</v>
      </c>
      <c r="B49" t="s">
        <v>371</v>
      </c>
      <c r="C49" t="s">
        <v>366</v>
      </c>
      <c r="D49" t="s">
        <v>320</v>
      </c>
    </row>
    <row r="50" spans="1:4" x14ac:dyDescent="0.25">
      <c r="A50" t="s">
        <v>94</v>
      </c>
      <c r="B50" t="s">
        <v>371</v>
      </c>
      <c r="C50" t="s">
        <v>372</v>
      </c>
      <c r="D50" t="s">
        <v>320</v>
      </c>
    </row>
    <row r="51" spans="1:4" x14ac:dyDescent="0.25">
      <c r="A51" t="s">
        <v>95</v>
      </c>
      <c r="B51" t="s">
        <v>371</v>
      </c>
      <c r="C51" t="s">
        <v>370</v>
      </c>
      <c r="D51" t="s">
        <v>320</v>
      </c>
    </row>
    <row r="52" spans="1:4" x14ac:dyDescent="0.25">
      <c r="A52" t="s">
        <v>96</v>
      </c>
      <c r="B52" t="s">
        <v>371</v>
      </c>
      <c r="C52" t="s">
        <v>825</v>
      </c>
    </row>
    <row r="53" spans="1:4" x14ac:dyDescent="0.25">
      <c r="A53" t="s">
        <v>1164</v>
      </c>
      <c r="B53" t="s">
        <v>371</v>
      </c>
      <c r="C53" t="s">
        <v>1159</v>
      </c>
      <c r="D53" t="s">
        <v>97</v>
      </c>
    </row>
    <row r="54" spans="1:4" x14ac:dyDescent="0.25">
      <c r="A54" t="s">
        <v>1165</v>
      </c>
      <c r="B54" t="s">
        <v>371</v>
      </c>
      <c r="C54" t="s">
        <v>1160</v>
      </c>
      <c r="D54" t="s">
        <v>97</v>
      </c>
    </row>
    <row r="55" spans="1:4" x14ac:dyDescent="0.25">
      <c r="A55" t="s">
        <v>1166</v>
      </c>
      <c r="B55" t="s">
        <v>371</v>
      </c>
      <c r="C55" t="s">
        <v>1161</v>
      </c>
      <c r="D55" t="s">
        <v>97</v>
      </c>
    </row>
    <row r="56" spans="1:4" x14ac:dyDescent="0.25">
      <c r="A56" t="s">
        <v>1167</v>
      </c>
      <c r="B56" t="s">
        <v>371</v>
      </c>
      <c r="C56" t="s">
        <v>1162</v>
      </c>
      <c r="D56" t="s">
        <v>97</v>
      </c>
    </row>
    <row r="57" spans="1:4" x14ac:dyDescent="0.25">
      <c r="A57" t="s">
        <v>1168</v>
      </c>
      <c r="B57" t="s">
        <v>371</v>
      </c>
      <c r="C57" t="s">
        <v>1163</v>
      </c>
      <c r="D57" t="s">
        <v>97</v>
      </c>
    </row>
    <row r="58" spans="1:4" x14ac:dyDescent="0.25">
      <c r="A58" t="s">
        <v>99</v>
      </c>
      <c r="B58" t="s">
        <v>371</v>
      </c>
      <c r="C58" t="s">
        <v>373</v>
      </c>
      <c r="D58" t="s">
        <v>374</v>
      </c>
    </row>
    <row r="59" spans="1:4" x14ac:dyDescent="0.25">
      <c r="A59" t="s">
        <v>100</v>
      </c>
      <c r="B59" t="s">
        <v>371</v>
      </c>
      <c r="C59" t="s">
        <v>375</v>
      </c>
      <c r="D59" t="s">
        <v>320</v>
      </c>
    </row>
    <row r="60" spans="1:4" x14ac:dyDescent="0.25">
      <c r="A60" t="s">
        <v>101</v>
      </c>
      <c r="B60" t="s">
        <v>371</v>
      </c>
      <c r="C60" t="s">
        <v>1479</v>
      </c>
      <c r="D60" t="s">
        <v>320</v>
      </c>
    </row>
    <row r="61" spans="1:4" x14ac:dyDescent="0.25">
      <c r="A61" t="s">
        <v>102</v>
      </c>
      <c r="B61" t="s">
        <v>371</v>
      </c>
      <c r="C61" t="s">
        <v>376</v>
      </c>
      <c r="D61" t="s">
        <v>320</v>
      </c>
    </row>
    <row r="62" spans="1:4" x14ac:dyDescent="0.25">
      <c r="A62" t="s">
        <v>103</v>
      </c>
      <c r="B62" t="s">
        <v>371</v>
      </c>
      <c r="C62" t="s">
        <v>377</v>
      </c>
      <c r="D62" t="s">
        <v>1278</v>
      </c>
    </row>
    <row r="63" spans="1:4" x14ac:dyDescent="0.25">
      <c r="A63" t="s">
        <v>104</v>
      </c>
      <c r="B63" t="s">
        <v>371</v>
      </c>
      <c r="C63" t="s">
        <v>378</v>
      </c>
      <c r="D63" t="s">
        <v>320</v>
      </c>
    </row>
    <row r="64" spans="1:4" x14ac:dyDescent="0.25">
      <c r="A64" t="s">
        <v>105</v>
      </c>
      <c r="B64" t="s">
        <v>371</v>
      </c>
      <c r="C64" t="s">
        <v>379</v>
      </c>
      <c r="D64" t="s">
        <v>320</v>
      </c>
    </row>
    <row r="65" spans="1:4" x14ac:dyDescent="0.25">
      <c r="A65" t="s">
        <v>106</v>
      </c>
      <c r="B65" t="s">
        <v>371</v>
      </c>
      <c r="C65" t="s">
        <v>1411</v>
      </c>
      <c r="D65" t="s">
        <v>320</v>
      </c>
    </row>
    <row r="66" spans="1:4" x14ac:dyDescent="0.25">
      <c r="A66" t="s">
        <v>107</v>
      </c>
      <c r="B66" t="s">
        <v>371</v>
      </c>
      <c r="C66" t="s">
        <v>380</v>
      </c>
      <c r="D66" t="s">
        <v>320</v>
      </c>
    </row>
    <row r="67" spans="1:4" x14ac:dyDescent="0.25">
      <c r="A67" t="s">
        <v>108</v>
      </c>
      <c r="B67" t="s">
        <v>371</v>
      </c>
      <c r="C67" t="s">
        <v>387</v>
      </c>
      <c r="D67" t="s">
        <v>320</v>
      </c>
    </row>
    <row r="68" spans="1:4" x14ac:dyDescent="0.25">
      <c r="A68" t="s">
        <v>109</v>
      </c>
      <c r="B68" t="s">
        <v>371</v>
      </c>
      <c r="C68" t="s">
        <v>381</v>
      </c>
      <c r="D68" t="s">
        <v>320</v>
      </c>
    </row>
    <row r="69" spans="1:4" x14ac:dyDescent="0.25">
      <c r="A69" t="s">
        <v>110</v>
      </c>
      <c r="B69" t="s">
        <v>371</v>
      </c>
      <c r="C69" t="s">
        <v>382</v>
      </c>
      <c r="D69" t="s">
        <v>320</v>
      </c>
    </row>
    <row r="70" spans="1:4" x14ac:dyDescent="0.25">
      <c r="A70" t="s">
        <v>111</v>
      </c>
      <c r="B70" t="s">
        <v>371</v>
      </c>
      <c r="C70" t="s">
        <v>383</v>
      </c>
      <c r="D70" t="s">
        <v>320</v>
      </c>
    </row>
    <row r="71" spans="1:4" x14ac:dyDescent="0.25">
      <c r="A71" t="s">
        <v>112</v>
      </c>
      <c r="B71" t="s">
        <v>371</v>
      </c>
      <c r="C71" t="s">
        <v>384</v>
      </c>
      <c r="D71" t="s">
        <v>97</v>
      </c>
    </row>
    <row r="72" spans="1:4" x14ac:dyDescent="0.25">
      <c r="A72" t="s">
        <v>113</v>
      </c>
      <c r="B72" t="s">
        <v>371</v>
      </c>
      <c r="C72" t="s">
        <v>385</v>
      </c>
      <c r="D72" t="s">
        <v>320</v>
      </c>
    </row>
    <row r="73" spans="1:4" x14ac:dyDescent="0.25">
      <c r="A73" t="s">
        <v>114</v>
      </c>
      <c r="B73" t="s">
        <v>371</v>
      </c>
      <c r="C73" t="s">
        <v>386</v>
      </c>
      <c r="D73" t="s">
        <v>320</v>
      </c>
    </row>
    <row r="74" spans="1:4" x14ac:dyDescent="0.25">
      <c r="A74" t="s">
        <v>115</v>
      </c>
      <c r="B74" t="s">
        <v>371</v>
      </c>
      <c r="C74" t="s">
        <v>388</v>
      </c>
      <c r="D74" t="s">
        <v>320</v>
      </c>
    </row>
    <row r="75" spans="1:4" x14ac:dyDescent="0.25">
      <c r="A75" t="s">
        <v>120</v>
      </c>
      <c r="B75" t="s">
        <v>145</v>
      </c>
      <c r="C75" t="s">
        <v>319</v>
      </c>
      <c r="D75" t="s">
        <v>320</v>
      </c>
    </row>
    <row r="76" spans="1:4" x14ac:dyDescent="0.25">
      <c r="A76" t="s">
        <v>121</v>
      </c>
      <c r="B76" t="s">
        <v>145</v>
      </c>
      <c r="C76" t="s">
        <v>321</v>
      </c>
      <c r="D76" t="s">
        <v>320</v>
      </c>
    </row>
    <row r="77" spans="1:4" x14ac:dyDescent="0.25">
      <c r="A77" t="s">
        <v>117</v>
      </c>
      <c r="B77" t="s">
        <v>149</v>
      </c>
      <c r="C77" t="s">
        <v>397</v>
      </c>
      <c r="D77" t="s">
        <v>1408</v>
      </c>
    </row>
    <row r="78" spans="1:4" x14ac:dyDescent="0.25">
      <c r="A78" t="s">
        <v>118</v>
      </c>
      <c r="B78" t="s">
        <v>149</v>
      </c>
      <c r="C78" t="s">
        <v>398</v>
      </c>
      <c r="D78" t="s">
        <v>320</v>
      </c>
    </row>
    <row r="79" spans="1:4" x14ac:dyDescent="0.25">
      <c r="A79" t="s">
        <v>119</v>
      </c>
      <c r="B79" t="s">
        <v>149</v>
      </c>
      <c r="C79" t="s">
        <v>399</v>
      </c>
      <c r="D79" t="s">
        <v>320</v>
      </c>
    </row>
    <row r="80" spans="1:4" x14ac:dyDescent="0.25">
      <c r="A80" t="s">
        <v>123</v>
      </c>
      <c r="B80" t="s">
        <v>153</v>
      </c>
      <c r="C80" t="s">
        <v>395</v>
      </c>
      <c r="D80" t="s">
        <v>320</v>
      </c>
    </row>
    <row r="81" spans="1:4" x14ac:dyDescent="0.25">
      <c r="A81" t="s">
        <v>124</v>
      </c>
      <c r="B81" t="s">
        <v>153</v>
      </c>
      <c r="C81" t="s">
        <v>396</v>
      </c>
      <c r="D81" t="s">
        <v>320</v>
      </c>
    </row>
    <row r="82" spans="1:4" x14ac:dyDescent="0.25">
      <c r="A82" t="s">
        <v>126</v>
      </c>
      <c r="B82" t="s">
        <v>151</v>
      </c>
      <c r="C82" t="s">
        <v>389</v>
      </c>
      <c r="D82" t="s">
        <v>320</v>
      </c>
    </row>
    <row r="83" spans="1:4" x14ac:dyDescent="0.25">
      <c r="A83" t="s">
        <v>127</v>
      </c>
      <c r="B83" t="s">
        <v>390</v>
      </c>
      <c r="C83" t="s">
        <v>391</v>
      </c>
      <c r="D83" t="s">
        <v>320</v>
      </c>
    </row>
    <row r="84" spans="1:4" x14ac:dyDescent="0.25">
      <c r="A84" t="s">
        <v>128</v>
      </c>
      <c r="B84" t="s">
        <v>390</v>
      </c>
      <c r="C84" t="s">
        <v>392</v>
      </c>
      <c r="D84" t="s">
        <v>320</v>
      </c>
    </row>
    <row r="85" spans="1:4" x14ac:dyDescent="0.25">
      <c r="A85" t="s">
        <v>1399</v>
      </c>
      <c r="B85" t="s">
        <v>390</v>
      </c>
      <c r="C85" t="s">
        <v>1400</v>
      </c>
      <c r="D85" t="s">
        <v>320</v>
      </c>
    </row>
    <row r="86" spans="1:4" x14ac:dyDescent="0.25">
      <c r="A86" t="s">
        <v>129</v>
      </c>
      <c r="B86" t="s">
        <v>147</v>
      </c>
      <c r="C86" t="s">
        <v>393</v>
      </c>
      <c r="D86" t="s">
        <v>320</v>
      </c>
    </row>
    <row r="87" spans="1:4" x14ac:dyDescent="0.25">
      <c r="A87" t="s">
        <v>130</v>
      </c>
      <c r="B87" t="s">
        <v>147</v>
      </c>
      <c r="C87" t="s">
        <v>394</v>
      </c>
      <c r="D87" t="s">
        <v>320</v>
      </c>
    </row>
    <row r="88" spans="1:4" x14ac:dyDescent="0.25">
      <c r="A88" t="s">
        <v>131</v>
      </c>
      <c r="B88" t="s">
        <v>155</v>
      </c>
      <c r="C88" t="s">
        <v>400</v>
      </c>
      <c r="D88" t="s">
        <v>1278</v>
      </c>
    </row>
    <row r="89" spans="1:4" x14ac:dyDescent="0.25">
      <c r="A89" t="s">
        <v>132</v>
      </c>
      <c r="B89" t="s">
        <v>155</v>
      </c>
      <c r="C89" t="s">
        <v>401</v>
      </c>
      <c r="D89" t="s">
        <v>320</v>
      </c>
    </row>
    <row r="90" spans="1:4" x14ac:dyDescent="0.25">
      <c r="A90" t="s">
        <v>133</v>
      </c>
      <c r="B90" t="s">
        <v>155</v>
      </c>
      <c r="C90" t="s">
        <v>402</v>
      </c>
      <c r="D90" t="s">
        <v>320</v>
      </c>
    </row>
    <row r="91" spans="1:4" x14ac:dyDescent="0.25">
      <c r="A91" t="s">
        <v>134</v>
      </c>
      <c r="B91" t="s">
        <v>155</v>
      </c>
      <c r="C91" t="s">
        <v>403</v>
      </c>
      <c r="D91" t="s">
        <v>320</v>
      </c>
    </row>
    <row r="92" spans="1:4" x14ac:dyDescent="0.25">
      <c r="A92" t="s">
        <v>135</v>
      </c>
      <c r="B92" t="s">
        <v>155</v>
      </c>
      <c r="C92" t="s">
        <v>404</v>
      </c>
      <c r="D92" t="s">
        <v>1278</v>
      </c>
    </row>
    <row r="93" spans="1:4" x14ac:dyDescent="0.25">
      <c r="A93" t="s">
        <v>136</v>
      </c>
      <c r="B93" t="s">
        <v>155</v>
      </c>
      <c r="C93" t="s">
        <v>405</v>
      </c>
      <c r="D93" t="s">
        <v>320</v>
      </c>
    </row>
    <row r="94" spans="1:4" x14ac:dyDescent="0.25">
      <c r="A94" t="s">
        <v>137</v>
      </c>
      <c r="B94" t="s">
        <v>155</v>
      </c>
      <c r="C94" t="s">
        <v>406</v>
      </c>
      <c r="D94" t="s">
        <v>320</v>
      </c>
    </row>
    <row r="95" spans="1:4" x14ac:dyDescent="0.25">
      <c r="A95" t="s">
        <v>138</v>
      </c>
      <c r="B95" t="s">
        <v>155</v>
      </c>
      <c r="C95" t="s">
        <v>407</v>
      </c>
      <c r="D95" t="s">
        <v>320</v>
      </c>
    </row>
    <row r="96" spans="1:4" x14ac:dyDescent="0.25">
      <c r="A96" t="s">
        <v>139</v>
      </c>
      <c r="B96" t="s">
        <v>155</v>
      </c>
      <c r="C96" t="s">
        <v>408</v>
      </c>
      <c r="D96" t="s">
        <v>320</v>
      </c>
    </row>
  </sheetData>
  <pageMargins left="0.7" right="0.7" top="0.75" bottom="0.75" header="0.3" footer="0.3"/>
  <headerFooter>
    <oddFooter>&amp;C_x000D_&amp;1#&amp;"Arial"&amp;9&amp;K000000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4F979-10AD-44F5-A300-18583FCA57EE}">
  <dimension ref="A1:G445"/>
  <sheetViews>
    <sheetView topLeftCell="D67" zoomScale="85" zoomScaleNormal="85" workbookViewId="0">
      <selection activeCell="F103" sqref="F103"/>
    </sheetView>
  </sheetViews>
  <sheetFormatPr defaultColWidth="8.875" defaultRowHeight="15.75" x14ac:dyDescent="0.25"/>
  <cols>
    <col min="1" max="1" width="43.625" bestFit="1" customWidth="1"/>
    <col min="2" max="2" width="11.625" customWidth="1"/>
    <col min="3" max="3" width="32.625" bestFit="1" customWidth="1"/>
    <col min="4" max="4" width="165.125" bestFit="1" customWidth="1"/>
    <col min="5" max="5" width="8.625" bestFit="1" customWidth="1"/>
    <col min="6" max="6" width="83.125" bestFit="1" customWidth="1"/>
    <col min="7" max="7" width="187.625" bestFit="1" customWidth="1"/>
  </cols>
  <sheetData>
    <row r="1" spans="1:7" x14ac:dyDescent="0.25">
      <c r="A1" s="1" t="s">
        <v>409</v>
      </c>
      <c r="B1" s="1" t="s">
        <v>230</v>
      </c>
      <c r="C1" s="1" t="s">
        <v>141</v>
      </c>
      <c r="D1" s="1" t="s">
        <v>231</v>
      </c>
      <c r="E1" s="1" t="s">
        <v>318</v>
      </c>
      <c r="F1" s="1" t="s">
        <v>233</v>
      </c>
      <c r="G1" s="1" t="s">
        <v>234</v>
      </c>
    </row>
    <row r="2" spans="1:7" x14ac:dyDescent="0.25">
      <c r="A2" t="str">
        <f>B2&amp;" "&amp;C2</f>
        <v>TC_A_01_CS Core</v>
      </c>
      <c r="B2" t="s">
        <v>410</v>
      </c>
      <c r="C2" t="s">
        <v>143</v>
      </c>
      <c r="D2" t="s">
        <v>411</v>
      </c>
      <c r="E2" t="s">
        <v>412</v>
      </c>
    </row>
    <row r="3" spans="1:7" x14ac:dyDescent="0.25">
      <c r="A3" t="str">
        <f t="shared" ref="A3:A66" si="0">B3&amp;" "&amp;C3</f>
        <v>TC_A_09_CS Core</v>
      </c>
      <c r="B3" t="s">
        <v>420</v>
      </c>
      <c r="C3" t="s">
        <v>143</v>
      </c>
      <c r="D3" t="s">
        <v>421</v>
      </c>
      <c r="E3" t="s">
        <v>412</v>
      </c>
    </row>
    <row r="4" spans="1:7" x14ac:dyDescent="0.25">
      <c r="A4" t="str">
        <f t="shared" si="0"/>
        <v>TC_A_10_CS Core</v>
      </c>
      <c r="B4" t="s">
        <v>422</v>
      </c>
      <c r="C4" t="s">
        <v>143</v>
      </c>
      <c r="D4" t="s">
        <v>423</v>
      </c>
      <c r="E4" t="s">
        <v>412</v>
      </c>
    </row>
    <row r="5" spans="1:7" x14ac:dyDescent="0.25">
      <c r="A5" t="str">
        <f t="shared" si="0"/>
        <v>TC_A_04_CS Core</v>
      </c>
      <c r="B5" t="s">
        <v>413</v>
      </c>
      <c r="C5" t="s">
        <v>143</v>
      </c>
      <c r="D5" t="s">
        <v>414</v>
      </c>
      <c r="E5" t="s">
        <v>412</v>
      </c>
    </row>
    <row r="6" spans="1:7" x14ac:dyDescent="0.25">
      <c r="A6" t="str">
        <f t="shared" si="0"/>
        <v>TC_A_05_CS Core</v>
      </c>
      <c r="B6" t="s">
        <v>415</v>
      </c>
      <c r="C6" t="s">
        <v>143</v>
      </c>
      <c r="D6" t="s">
        <v>416</v>
      </c>
      <c r="E6" t="s">
        <v>412</v>
      </c>
    </row>
    <row r="7" spans="1:7" x14ac:dyDescent="0.25">
      <c r="A7" t="str">
        <f t="shared" si="0"/>
        <v>TC_A_06_CS Core</v>
      </c>
      <c r="B7" t="s">
        <v>417</v>
      </c>
      <c r="C7" t="s">
        <v>143</v>
      </c>
      <c r="D7" t="s">
        <v>418</v>
      </c>
      <c r="E7" t="s">
        <v>412</v>
      </c>
    </row>
    <row r="8" spans="1:7" x14ac:dyDescent="0.25">
      <c r="A8" t="str">
        <f t="shared" si="0"/>
        <v>TC_A_19_CS Core</v>
      </c>
      <c r="B8" t="s">
        <v>436</v>
      </c>
      <c r="C8" t="s">
        <v>143</v>
      </c>
      <c r="D8" t="s">
        <v>437</v>
      </c>
      <c r="E8" t="s">
        <v>412</v>
      </c>
    </row>
    <row r="9" spans="1:7" x14ac:dyDescent="0.25">
      <c r="A9" t="str">
        <f t="shared" si="0"/>
        <v>TC_A_20_CS Core</v>
      </c>
      <c r="B9" t="s">
        <v>438</v>
      </c>
      <c r="C9" t="s">
        <v>143</v>
      </c>
      <c r="D9" t="s">
        <v>439</v>
      </c>
      <c r="E9" t="s">
        <v>430</v>
      </c>
      <c r="F9" t="s">
        <v>161</v>
      </c>
      <c r="G9" t="s">
        <v>1184</v>
      </c>
    </row>
    <row r="10" spans="1:7" x14ac:dyDescent="0.25">
      <c r="A10" t="str">
        <f t="shared" si="0"/>
        <v>TC_A_22_CS Core</v>
      </c>
      <c r="B10" t="s">
        <v>442</v>
      </c>
      <c r="C10" t="s">
        <v>143</v>
      </c>
      <c r="D10" t="s">
        <v>443</v>
      </c>
      <c r="E10" t="s">
        <v>412</v>
      </c>
    </row>
    <row r="11" spans="1:7" x14ac:dyDescent="0.25">
      <c r="A11" t="str">
        <f t="shared" si="0"/>
        <v>TC_B_01_CS Core</v>
      </c>
      <c r="B11" t="s">
        <v>446</v>
      </c>
      <c r="C11" t="s">
        <v>143</v>
      </c>
      <c r="D11" t="s">
        <v>1185</v>
      </c>
      <c r="E11" t="s">
        <v>412</v>
      </c>
    </row>
    <row r="12" spans="1:7" x14ac:dyDescent="0.25">
      <c r="A12" t="str">
        <f t="shared" si="0"/>
        <v>TC_B_02_CS Core</v>
      </c>
      <c r="B12" t="s">
        <v>447</v>
      </c>
      <c r="C12" t="s">
        <v>143</v>
      </c>
      <c r="D12" t="s">
        <v>1186</v>
      </c>
      <c r="E12" t="s">
        <v>412</v>
      </c>
      <c r="F12" t="s">
        <v>448</v>
      </c>
      <c r="G12" t="s">
        <v>449</v>
      </c>
    </row>
    <row r="13" spans="1:7" x14ac:dyDescent="0.25">
      <c r="A13" t="str">
        <f t="shared" si="0"/>
        <v>TC_B_03_CS Core</v>
      </c>
      <c r="B13" t="s">
        <v>450</v>
      </c>
      <c r="C13" t="s">
        <v>143</v>
      </c>
      <c r="D13" t="s">
        <v>1187</v>
      </c>
      <c r="E13" t="s">
        <v>412</v>
      </c>
    </row>
    <row r="14" spans="1:7" x14ac:dyDescent="0.25">
      <c r="A14" t="str">
        <f t="shared" si="0"/>
        <v>TC_B_30_CS Core</v>
      </c>
      <c r="B14" t="s">
        <v>481</v>
      </c>
      <c r="C14" t="s">
        <v>143</v>
      </c>
      <c r="D14" t="s">
        <v>1207</v>
      </c>
      <c r="E14" t="s">
        <v>412</v>
      </c>
      <c r="F14" t="s">
        <v>482</v>
      </c>
      <c r="G14" t="s">
        <v>483</v>
      </c>
    </row>
    <row r="15" spans="1:7" x14ac:dyDescent="0.25">
      <c r="A15" t="str">
        <f t="shared" si="0"/>
        <v>TC_B_51_CS Core</v>
      </c>
      <c r="B15" t="s">
        <v>506</v>
      </c>
      <c r="C15" t="s">
        <v>143</v>
      </c>
      <c r="D15" t="s">
        <v>507</v>
      </c>
      <c r="E15" t="s">
        <v>412</v>
      </c>
    </row>
    <row r="16" spans="1:7" x14ac:dyDescent="0.25">
      <c r="A16" t="str">
        <f t="shared" si="0"/>
        <v>TC_B_52_CS Core</v>
      </c>
      <c r="B16" t="s">
        <v>508</v>
      </c>
      <c r="C16" t="s">
        <v>143</v>
      </c>
      <c r="D16" t="s">
        <v>509</v>
      </c>
      <c r="E16" t="s">
        <v>412</v>
      </c>
    </row>
    <row r="17" spans="1:7" x14ac:dyDescent="0.25">
      <c r="A17" t="str">
        <f t="shared" si="0"/>
        <v>TC_B_06_CS Core</v>
      </c>
      <c r="B17" t="s">
        <v>451</v>
      </c>
      <c r="C17" t="s">
        <v>143</v>
      </c>
      <c r="D17" t="s">
        <v>1188</v>
      </c>
      <c r="E17" t="s">
        <v>412</v>
      </c>
    </row>
    <row r="18" spans="1:7" x14ac:dyDescent="0.25">
      <c r="A18" t="str">
        <f t="shared" si="0"/>
        <v>TC_B_07_CS Core</v>
      </c>
      <c r="B18" t="s">
        <v>452</v>
      </c>
      <c r="C18" t="s">
        <v>143</v>
      </c>
      <c r="D18" t="s">
        <v>1189</v>
      </c>
      <c r="E18" t="s">
        <v>412</v>
      </c>
      <c r="F18" t="s">
        <v>453</v>
      </c>
      <c r="G18" t="s">
        <v>1190</v>
      </c>
    </row>
    <row r="19" spans="1:7" x14ac:dyDescent="0.25">
      <c r="A19" t="str">
        <f t="shared" si="0"/>
        <v>TC_B_32_CS Core</v>
      </c>
      <c r="B19" t="s">
        <v>484</v>
      </c>
      <c r="C19" t="s">
        <v>143</v>
      </c>
      <c r="D19" t="s">
        <v>1208</v>
      </c>
      <c r="E19" t="s">
        <v>412</v>
      </c>
    </row>
    <row r="20" spans="1:7" x14ac:dyDescent="0.25">
      <c r="A20" t="str">
        <f t="shared" si="0"/>
        <v>TC_B_33_CS Core</v>
      </c>
      <c r="B20" t="s">
        <v>485</v>
      </c>
      <c r="C20" t="s">
        <v>143</v>
      </c>
      <c r="D20" t="s">
        <v>1209</v>
      </c>
      <c r="E20" t="s">
        <v>412</v>
      </c>
    </row>
    <row r="21" spans="1:7" x14ac:dyDescent="0.25">
      <c r="A21" t="str">
        <f t="shared" si="0"/>
        <v>TC_B_34_CS Core</v>
      </c>
      <c r="B21" t="s">
        <v>486</v>
      </c>
      <c r="C21" t="s">
        <v>143</v>
      </c>
      <c r="D21" t="s">
        <v>1210</v>
      </c>
      <c r="E21" t="s">
        <v>412</v>
      </c>
    </row>
    <row r="22" spans="1:7" x14ac:dyDescent="0.25">
      <c r="A22" t="str">
        <f t="shared" si="0"/>
        <v>TC_B_09_CS Core</v>
      </c>
      <c r="B22" t="s">
        <v>454</v>
      </c>
      <c r="C22" t="s">
        <v>143</v>
      </c>
      <c r="D22" t="s">
        <v>1191</v>
      </c>
      <c r="E22" t="s">
        <v>412</v>
      </c>
    </row>
    <row r="23" spans="1:7" x14ac:dyDescent="0.25">
      <c r="A23" t="str">
        <f t="shared" si="0"/>
        <v>TC_B_10_CS Core</v>
      </c>
      <c r="B23" t="s">
        <v>455</v>
      </c>
      <c r="C23" t="s">
        <v>143</v>
      </c>
      <c r="D23" t="s">
        <v>1192</v>
      </c>
      <c r="E23" t="s">
        <v>412</v>
      </c>
      <c r="F23" t="s">
        <v>456</v>
      </c>
      <c r="G23" t="s">
        <v>1193</v>
      </c>
    </row>
    <row r="24" spans="1:7" x14ac:dyDescent="0.25">
      <c r="A24" t="str">
        <f t="shared" si="0"/>
        <v>TC_B_35_CS Core</v>
      </c>
      <c r="B24" t="s">
        <v>487</v>
      </c>
      <c r="C24" t="s">
        <v>143</v>
      </c>
      <c r="D24" t="s">
        <v>1211</v>
      </c>
      <c r="E24" t="s">
        <v>412</v>
      </c>
    </row>
    <row r="25" spans="1:7" x14ac:dyDescent="0.25">
      <c r="A25" t="str">
        <f t="shared" si="0"/>
        <v>TC_B_36_CS Core</v>
      </c>
      <c r="B25" t="s">
        <v>488</v>
      </c>
      <c r="C25" t="s">
        <v>143</v>
      </c>
      <c r="D25" t="s">
        <v>1212</v>
      </c>
      <c r="E25" t="s">
        <v>412</v>
      </c>
    </row>
    <row r="26" spans="1:7" x14ac:dyDescent="0.25">
      <c r="A26" t="str">
        <f t="shared" si="0"/>
        <v>TC_B_37_CS Core</v>
      </c>
      <c r="B26" t="s">
        <v>489</v>
      </c>
      <c r="C26" t="s">
        <v>143</v>
      </c>
      <c r="D26" t="s">
        <v>1213</v>
      </c>
      <c r="E26" t="s">
        <v>412</v>
      </c>
    </row>
    <row r="27" spans="1:7" x14ac:dyDescent="0.25">
      <c r="A27" t="str">
        <f t="shared" si="0"/>
        <v>TC_B_11_CS Core</v>
      </c>
      <c r="B27" t="s">
        <v>457</v>
      </c>
      <c r="C27" t="s">
        <v>143</v>
      </c>
      <c r="D27" t="s">
        <v>1194</v>
      </c>
      <c r="E27" t="s">
        <v>412</v>
      </c>
    </row>
    <row r="28" spans="1:7" x14ac:dyDescent="0.25">
      <c r="A28" t="str">
        <f t="shared" si="0"/>
        <v>TC_B_39_CS Core</v>
      </c>
      <c r="B28" t="s">
        <v>490</v>
      </c>
      <c r="C28" t="s">
        <v>143</v>
      </c>
      <c r="D28" t="s">
        <v>1214</v>
      </c>
      <c r="E28" t="s">
        <v>412</v>
      </c>
    </row>
    <row r="29" spans="1:7" x14ac:dyDescent="0.25">
      <c r="A29" t="str">
        <f t="shared" si="0"/>
        <v>TC_B_12_CS Core</v>
      </c>
      <c r="B29" t="s">
        <v>458</v>
      </c>
      <c r="C29" t="s">
        <v>143</v>
      </c>
      <c r="D29" t="s">
        <v>1195</v>
      </c>
      <c r="E29" t="s">
        <v>412</v>
      </c>
      <c r="F29" t="s">
        <v>459</v>
      </c>
      <c r="G29" t="s">
        <v>460</v>
      </c>
    </row>
    <row r="30" spans="1:7" x14ac:dyDescent="0.25">
      <c r="A30" t="str">
        <f t="shared" si="0"/>
        <v>TC_B_13_CS Core</v>
      </c>
      <c r="B30" t="s">
        <v>461</v>
      </c>
      <c r="C30" t="s">
        <v>143</v>
      </c>
      <c r="D30" t="s">
        <v>1196</v>
      </c>
      <c r="E30" t="s">
        <v>412</v>
      </c>
      <c r="F30" t="s">
        <v>462</v>
      </c>
      <c r="G30" t="s">
        <v>463</v>
      </c>
    </row>
    <row r="31" spans="1:7" x14ac:dyDescent="0.25">
      <c r="A31" t="str">
        <f t="shared" si="0"/>
        <v>TC_B_15_CS Core</v>
      </c>
      <c r="B31" t="s">
        <v>465</v>
      </c>
      <c r="C31" t="s">
        <v>143</v>
      </c>
      <c r="D31" t="s">
        <v>1197</v>
      </c>
      <c r="E31" t="s">
        <v>430</v>
      </c>
      <c r="F31" t="s">
        <v>466</v>
      </c>
    </row>
    <row r="32" spans="1:7" x14ac:dyDescent="0.25">
      <c r="A32" t="str">
        <f t="shared" si="0"/>
        <v>TC_B_53_CS Core</v>
      </c>
      <c r="B32" t="s">
        <v>510</v>
      </c>
      <c r="C32" t="s">
        <v>143</v>
      </c>
      <c r="D32" t="s">
        <v>1216</v>
      </c>
      <c r="E32" t="s">
        <v>412</v>
      </c>
    </row>
    <row r="33" spans="1:7" x14ac:dyDescent="0.25">
      <c r="A33" t="str">
        <f t="shared" si="0"/>
        <v>TC_B_20_CS Core</v>
      </c>
      <c r="B33" t="s">
        <v>470</v>
      </c>
      <c r="C33" t="s">
        <v>143</v>
      </c>
      <c r="D33" t="s">
        <v>1198</v>
      </c>
      <c r="E33" t="s">
        <v>412</v>
      </c>
    </row>
    <row r="34" spans="1:7" x14ac:dyDescent="0.25">
      <c r="A34" t="str">
        <f t="shared" si="0"/>
        <v>TC_B_21_CS Core</v>
      </c>
      <c r="B34" t="s">
        <v>471</v>
      </c>
      <c r="C34" t="s">
        <v>143</v>
      </c>
      <c r="D34" t="s">
        <v>1199</v>
      </c>
      <c r="E34" t="s">
        <v>412</v>
      </c>
    </row>
    <row r="35" spans="1:7" x14ac:dyDescent="0.25">
      <c r="A35" t="str">
        <f t="shared" si="0"/>
        <v>TC_B_22_CS Core</v>
      </c>
      <c r="B35" t="s">
        <v>472</v>
      </c>
      <c r="C35" t="s">
        <v>143</v>
      </c>
      <c r="D35" t="s">
        <v>1200</v>
      </c>
      <c r="E35" t="s">
        <v>412</v>
      </c>
    </row>
    <row r="36" spans="1:7" x14ac:dyDescent="0.25">
      <c r="A36" t="str">
        <f t="shared" si="0"/>
        <v>TC_B_23_CS Core</v>
      </c>
      <c r="B36" t="s">
        <v>473</v>
      </c>
      <c r="C36" t="s">
        <v>143</v>
      </c>
      <c r="D36" t="s">
        <v>1201</v>
      </c>
      <c r="E36" t="s">
        <v>412</v>
      </c>
    </row>
    <row r="37" spans="1:7" x14ac:dyDescent="0.25">
      <c r="A37" t="str">
        <f t="shared" si="0"/>
        <v>TC_B_41_CS Core</v>
      </c>
      <c r="B37" t="s">
        <v>491</v>
      </c>
      <c r="C37" t="s">
        <v>143</v>
      </c>
      <c r="D37" t="s">
        <v>1215</v>
      </c>
      <c r="E37" t="s">
        <v>430</v>
      </c>
      <c r="F37" t="s">
        <v>303</v>
      </c>
    </row>
    <row r="38" spans="1:7" x14ac:dyDescent="0.25">
      <c r="A38" t="str">
        <f t="shared" si="0"/>
        <v>TC_B_25_CS Core</v>
      </c>
      <c r="B38" t="s">
        <v>475</v>
      </c>
      <c r="C38" t="s">
        <v>143</v>
      </c>
      <c r="D38" t="s">
        <v>1202</v>
      </c>
      <c r="E38" t="s">
        <v>430</v>
      </c>
      <c r="F38" t="s">
        <v>66</v>
      </c>
      <c r="G38" t="s">
        <v>476</v>
      </c>
    </row>
    <row r="39" spans="1:7" x14ac:dyDescent="0.25">
      <c r="A39" t="str">
        <f t="shared" si="0"/>
        <v>TC_B_26_CS Core</v>
      </c>
      <c r="B39" t="s">
        <v>477</v>
      </c>
      <c r="C39" t="s">
        <v>143</v>
      </c>
      <c r="D39" t="s">
        <v>1203</v>
      </c>
      <c r="E39" t="s">
        <v>430</v>
      </c>
      <c r="F39" t="s">
        <v>66</v>
      </c>
      <c r="G39" t="s">
        <v>476</v>
      </c>
    </row>
    <row r="40" spans="1:7" x14ac:dyDescent="0.25">
      <c r="A40" t="str">
        <f t="shared" si="0"/>
        <v>TC_B_27_CS Core</v>
      </c>
      <c r="B40" t="s">
        <v>478</v>
      </c>
      <c r="C40" t="s">
        <v>143</v>
      </c>
      <c r="D40" t="s">
        <v>1204</v>
      </c>
      <c r="E40" t="s">
        <v>430</v>
      </c>
      <c r="F40" t="s">
        <v>66</v>
      </c>
      <c r="G40" t="s">
        <v>476</v>
      </c>
    </row>
    <row r="41" spans="1:7" x14ac:dyDescent="0.25">
      <c r="A41" t="str">
        <f t="shared" si="0"/>
        <v>TC_B_28_CS Core</v>
      </c>
      <c r="B41" t="s">
        <v>479</v>
      </c>
      <c r="C41" t="s">
        <v>143</v>
      </c>
      <c r="D41" t="s">
        <v>1205</v>
      </c>
      <c r="E41" t="s">
        <v>430</v>
      </c>
      <c r="F41" t="s">
        <v>258</v>
      </c>
      <c r="G41" t="s">
        <v>476</v>
      </c>
    </row>
    <row r="42" spans="1:7" x14ac:dyDescent="0.25">
      <c r="A42" t="str">
        <f t="shared" si="0"/>
        <v>TC_B_29_CS Core</v>
      </c>
      <c r="B42" t="s">
        <v>480</v>
      </c>
      <c r="C42" t="s">
        <v>143</v>
      </c>
      <c r="D42" t="s">
        <v>1206</v>
      </c>
      <c r="E42" t="s">
        <v>430</v>
      </c>
      <c r="F42" t="s">
        <v>258</v>
      </c>
      <c r="G42" t="s">
        <v>476</v>
      </c>
    </row>
    <row r="43" spans="1:7" x14ac:dyDescent="0.25">
      <c r="A43" t="str">
        <f t="shared" si="0"/>
        <v>TC_B_43_CS Core</v>
      </c>
      <c r="B43" t="s">
        <v>492</v>
      </c>
      <c r="C43" t="s">
        <v>143</v>
      </c>
      <c r="D43" t="s">
        <v>493</v>
      </c>
      <c r="E43" t="s">
        <v>412</v>
      </c>
    </row>
    <row r="44" spans="1:7" x14ac:dyDescent="0.25">
      <c r="A44" t="str">
        <f t="shared" si="0"/>
        <v>TC_B_45_CS Core</v>
      </c>
      <c r="B44" t="s">
        <v>494</v>
      </c>
      <c r="C44" t="s">
        <v>143</v>
      </c>
      <c r="D44" t="s">
        <v>495</v>
      </c>
      <c r="E44" t="s">
        <v>412</v>
      </c>
    </row>
    <row r="45" spans="1:7" x14ac:dyDescent="0.25">
      <c r="A45" t="str">
        <f t="shared" si="0"/>
        <v>TC_B_46_CS Core</v>
      </c>
      <c r="B45" t="s">
        <v>496</v>
      </c>
      <c r="C45" t="s">
        <v>143</v>
      </c>
      <c r="D45" t="s">
        <v>497</v>
      </c>
      <c r="E45" t="s">
        <v>412</v>
      </c>
    </row>
    <row r="46" spans="1:7" x14ac:dyDescent="0.25">
      <c r="A46" t="str">
        <f t="shared" si="0"/>
        <v>TC_B_47_CS Core</v>
      </c>
      <c r="B46" t="s">
        <v>498</v>
      </c>
      <c r="C46" t="s">
        <v>143</v>
      </c>
      <c r="D46" t="s">
        <v>499</v>
      </c>
      <c r="E46" t="s">
        <v>430</v>
      </c>
      <c r="F46" t="s">
        <v>257</v>
      </c>
      <c r="G46" t="s">
        <v>500</v>
      </c>
    </row>
    <row r="47" spans="1:7" x14ac:dyDescent="0.25">
      <c r="A47" t="str">
        <f t="shared" si="0"/>
        <v>TC_B_49_CS Core</v>
      </c>
      <c r="B47" t="s">
        <v>501</v>
      </c>
      <c r="C47" t="s">
        <v>143</v>
      </c>
      <c r="D47" t="s">
        <v>502</v>
      </c>
      <c r="E47" t="s">
        <v>430</v>
      </c>
      <c r="F47" t="s">
        <v>102</v>
      </c>
      <c r="G47" t="s">
        <v>503</v>
      </c>
    </row>
    <row r="48" spans="1:7" x14ac:dyDescent="0.25">
      <c r="A48" t="str">
        <f t="shared" si="0"/>
        <v>TC_B_50_CS Core</v>
      </c>
      <c r="B48" t="s">
        <v>504</v>
      </c>
      <c r="C48" t="s">
        <v>143</v>
      </c>
      <c r="D48" t="s">
        <v>505</v>
      </c>
      <c r="E48" t="s">
        <v>412</v>
      </c>
    </row>
    <row r="49" spans="1:7" x14ac:dyDescent="0.25">
      <c r="A49" t="str">
        <f t="shared" si="0"/>
        <v>TC_B_57_CS Core</v>
      </c>
      <c r="B49" t="s">
        <v>514</v>
      </c>
      <c r="C49" t="s">
        <v>143</v>
      </c>
      <c r="D49" t="s">
        <v>1217</v>
      </c>
      <c r="E49" t="s">
        <v>412</v>
      </c>
    </row>
    <row r="50" spans="1:7" x14ac:dyDescent="0.25">
      <c r="A50" t="str">
        <f t="shared" si="0"/>
        <v>TC_C_02_CS Core</v>
      </c>
      <c r="B50" t="s">
        <v>515</v>
      </c>
      <c r="C50" t="s">
        <v>143</v>
      </c>
      <c r="D50" t="s">
        <v>1218</v>
      </c>
      <c r="E50" t="s">
        <v>430</v>
      </c>
      <c r="F50" t="s">
        <v>1387</v>
      </c>
      <c r="G50" t="s">
        <v>1388</v>
      </c>
    </row>
    <row r="51" spans="1:7" x14ac:dyDescent="0.25">
      <c r="A51" t="str">
        <f t="shared" si="0"/>
        <v>TC_C_06_CS Core</v>
      </c>
      <c r="B51" t="s">
        <v>520</v>
      </c>
      <c r="C51" t="s">
        <v>143</v>
      </c>
      <c r="D51" t="s">
        <v>1221</v>
      </c>
      <c r="E51" t="s">
        <v>430</v>
      </c>
      <c r="F51" t="s">
        <v>262</v>
      </c>
      <c r="G51" t="s">
        <v>517</v>
      </c>
    </row>
    <row r="52" spans="1:7" x14ac:dyDescent="0.25">
      <c r="A52" t="str">
        <f t="shared" si="0"/>
        <v>TC_C_07_CS Core</v>
      </c>
      <c r="B52" t="s">
        <v>521</v>
      </c>
      <c r="C52" t="s">
        <v>143</v>
      </c>
      <c r="D52" t="s">
        <v>1222</v>
      </c>
      <c r="E52" t="s">
        <v>430</v>
      </c>
      <c r="F52" t="s">
        <v>262</v>
      </c>
      <c r="G52" t="s">
        <v>517</v>
      </c>
    </row>
    <row r="53" spans="1:7" x14ac:dyDescent="0.25">
      <c r="A53" t="str">
        <f t="shared" si="0"/>
        <v>TC_E_38_CS Core</v>
      </c>
      <c r="B53" t="s">
        <v>698</v>
      </c>
      <c r="C53" t="s">
        <v>143</v>
      </c>
      <c r="D53" t="s">
        <v>1238</v>
      </c>
      <c r="E53" t="s">
        <v>430</v>
      </c>
      <c r="F53" t="s">
        <v>1147</v>
      </c>
      <c r="G53" t="s">
        <v>336</v>
      </c>
    </row>
    <row r="54" spans="1:7" x14ac:dyDescent="0.25">
      <c r="A54" t="str">
        <f t="shared" si="0"/>
        <v>TC_C_56_CS Core</v>
      </c>
      <c r="B54" t="s">
        <v>605</v>
      </c>
      <c r="C54" t="s">
        <v>143</v>
      </c>
      <c r="D54" t="s">
        <v>1232</v>
      </c>
      <c r="E54" t="s">
        <v>430</v>
      </c>
      <c r="F54" t="s">
        <v>260</v>
      </c>
      <c r="G54" t="s">
        <v>517</v>
      </c>
    </row>
    <row r="55" spans="1:7" x14ac:dyDescent="0.25">
      <c r="A55" t="str">
        <f t="shared" si="0"/>
        <v>TC_C_05_CS Core</v>
      </c>
      <c r="B55" t="s">
        <v>518</v>
      </c>
      <c r="C55" t="s">
        <v>143</v>
      </c>
      <c r="D55" t="s">
        <v>1220</v>
      </c>
      <c r="E55" t="s">
        <v>430</v>
      </c>
      <c r="F55" t="s">
        <v>1389</v>
      </c>
      <c r="G55" t="s">
        <v>517</v>
      </c>
    </row>
    <row r="56" spans="1:7" x14ac:dyDescent="0.25">
      <c r="A56" t="str">
        <f t="shared" si="0"/>
        <v>TC_C_04_CS Core</v>
      </c>
      <c r="B56" t="s">
        <v>516</v>
      </c>
      <c r="C56" t="s">
        <v>143</v>
      </c>
      <c r="D56" t="s">
        <v>1219</v>
      </c>
      <c r="E56" t="s">
        <v>430</v>
      </c>
      <c r="F56" t="s">
        <v>260</v>
      </c>
      <c r="G56" t="s">
        <v>517</v>
      </c>
    </row>
    <row r="57" spans="1:7" x14ac:dyDescent="0.25">
      <c r="A57" t="str">
        <f t="shared" si="0"/>
        <v>TC_E_06_CS Core</v>
      </c>
      <c r="B57" t="s">
        <v>639</v>
      </c>
      <c r="C57" t="s">
        <v>143</v>
      </c>
      <c r="D57" t="s">
        <v>1233</v>
      </c>
      <c r="E57" t="s">
        <v>430</v>
      </c>
      <c r="F57" t="s">
        <v>283</v>
      </c>
      <c r="G57" t="s">
        <v>519</v>
      </c>
    </row>
    <row r="58" spans="1:7" x14ac:dyDescent="0.25">
      <c r="A58" t="str">
        <f t="shared" si="0"/>
        <v>TC_C_39_CS Core</v>
      </c>
      <c r="B58" t="s">
        <v>570</v>
      </c>
      <c r="C58" t="s">
        <v>143</v>
      </c>
      <c r="D58" t="s">
        <v>571</v>
      </c>
      <c r="E58" t="s">
        <v>430</v>
      </c>
      <c r="F58" t="s">
        <v>260</v>
      </c>
      <c r="G58" t="s">
        <v>517</v>
      </c>
    </row>
    <row r="59" spans="1:7" x14ac:dyDescent="0.25">
      <c r="A59" t="str">
        <f t="shared" si="0"/>
        <v>TC_C_45_CS Core</v>
      </c>
      <c r="B59" t="s">
        <v>582</v>
      </c>
      <c r="C59" t="s">
        <v>143</v>
      </c>
      <c r="D59" t="s">
        <v>583</v>
      </c>
      <c r="E59" t="s">
        <v>430</v>
      </c>
      <c r="F59" t="s">
        <v>1122</v>
      </c>
      <c r="G59" t="s">
        <v>1136</v>
      </c>
    </row>
    <row r="60" spans="1:7" x14ac:dyDescent="0.25">
      <c r="A60" t="str">
        <f t="shared" si="0"/>
        <v>TC_C_42_CS Core</v>
      </c>
      <c r="B60" t="s">
        <v>576</v>
      </c>
      <c r="C60" t="s">
        <v>143</v>
      </c>
      <c r="D60" t="s">
        <v>577</v>
      </c>
      <c r="E60" t="s">
        <v>430</v>
      </c>
      <c r="F60" t="s">
        <v>260</v>
      </c>
      <c r="G60" t="s">
        <v>517</v>
      </c>
    </row>
    <row r="61" spans="1:7" x14ac:dyDescent="0.25">
      <c r="A61" t="str">
        <f t="shared" si="0"/>
        <v>TC_C_26_CS Core</v>
      </c>
      <c r="B61" t="s">
        <v>548</v>
      </c>
      <c r="C61" t="s">
        <v>143</v>
      </c>
      <c r="D61" t="s">
        <v>1229</v>
      </c>
      <c r="E61" t="s">
        <v>430</v>
      </c>
      <c r="F61" t="s">
        <v>305</v>
      </c>
      <c r="G61" t="s">
        <v>549</v>
      </c>
    </row>
    <row r="62" spans="1:7" x14ac:dyDescent="0.25">
      <c r="A62" t="str">
        <f t="shared" si="0"/>
        <v>TC_C_47_CS Core</v>
      </c>
      <c r="B62" t="s">
        <v>587</v>
      </c>
      <c r="C62" t="s">
        <v>143</v>
      </c>
      <c r="D62" t="s">
        <v>588</v>
      </c>
      <c r="E62" t="s">
        <v>430</v>
      </c>
      <c r="F62" t="s">
        <v>306</v>
      </c>
      <c r="G62" t="s">
        <v>589</v>
      </c>
    </row>
    <row r="63" spans="1:7" x14ac:dyDescent="0.25">
      <c r="A63" t="str">
        <f t="shared" si="0"/>
        <v>TC_C_48_CS Core</v>
      </c>
      <c r="B63" t="s">
        <v>590</v>
      </c>
      <c r="C63" t="s">
        <v>143</v>
      </c>
      <c r="D63" t="s">
        <v>1231</v>
      </c>
      <c r="E63" t="s">
        <v>430</v>
      </c>
      <c r="F63" t="s">
        <v>306</v>
      </c>
      <c r="G63" t="s">
        <v>589</v>
      </c>
    </row>
    <row r="64" spans="1:7" x14ac:dyDescent="0.25">
      <c r="A64" t="str">
        <f t="shared" si="0"/>
        <v>TC_C_49_CS Core</v>
      </c>
      <c r="B64" t="s">
        <v>591</v>
      </c>
      <c r="C64" t="s">
        <v>143</v>
      </c>
      <c r="D64" t="s">
        <v>592</v>
      </c>
      <c r="E64" t="s">
        <v>430</v>
      </c>
      <c r="F64" t="s">
        <v>307</v>
      </c>
      <c r="G64" t="s">
        <v>593</v>
      </c>
    </row>
    <row r="65" spans="1:7" x14ac:dyDescent="0.25">
      <c r="A65" t="str">
        <f t="shared" si="0"/>
        <v>TC_C_32_CS Core</v>
      </c>
      <c r="B65" t="s">
        <v>559</v>
      </c>
      <c r="C65" t="s">
        <v>143</v>
      </c>
      <c r="D65" t="s">
        <v>560</v>
      </c>
      <c r="E65" t="s">
        <v>430</v>
      </c>
      <c r="F65" t="s">
        <v>304</v>
      </c>
      <c r="G65" t="s">
        <v>524</v>
      </c>
    </row>
    <row r="66" spans="1:7" x14ac:dyDescent="0.25">
      <c r="A66" t="str">
        <f t="shared" si="0"/>
        <v>TC_C_33_CS Core</v>
      </c>
      <c r="B66" t="s">
        <v>561</v>
      </c>
      <c r="C66" t="s">
        <v>143</v>
      </c>
      <c r="D66" t="s">
        <v>562</v>
      </c>
      <c r="E66" t="s">
        <v>430</v>
      </c>
      <c r="F66" t="s">
        <v>304</v>
      </c>
      <c r="G66" t="s">
        <v>524</v>
      </c>
    </row>
    <row r="67" spans="1:7" x14ac:dyDescent="0.25">
      <c r="A67" t="str">
        <f t="shared" ref="A67:A130" si="1">B67&amp;" "&amp;C67</f>
        <v>TC_C_34_CS Core</v>
      </c>
      <c r="B67" t="s">
        <v>563</v>
      </c>
      <c r="C67" t="s">
        <v>143</v>
      </c>
      <c r="D67" t="s">
        <v>564</v>
      </c>
      <c r="E67" t="s">
        <v>430</v>
      </c>
      <c r="F67" t="s">
        <v>304</v>
      </c>
      <c r="G67" t="s">
        <v>524</v>
      </c>
    </row>
    <row r="68" spans="1:7" x14ac:dyDescent="0.25">
      <c r="A68" t="str">
        <f t="shared" si="1"/>
        <v>TC_C_36_CS Core</v>
      </c>
      <c r="B68" t="s">
        <v>565</v>
      </c>
      <c r="C68" t="s">
        <v>143</v>
      </c>
      <c r="D68" t="s">
        <v>1230</v>
      </c>
      <c r="E68" t="s">
        <v>430</v>
      </c>
      <c r="F68" t="s">
        <v>304</v>
      </c>
      <c r="G68" t="s">
        <v>524</v>
      </c>
    </row>
    <row r="69" spans="1:7" x14ac:dyDescent="0.25">
      <c r="A69" t="str">
        <f t="shared" si="1"/>
        <v>TC_C_46_CS Core</v>
      </c>
      <c r="B69" t="s">
        <v>584</v>
      </c>
      <c r="C69" t="s">
        <v>143</v>
      </c>
      <c r="D69" t="s">
        <v>585</v>
      </c>
      <c r="E69" t="s">
        <v>430</v>
      </c>
      <c r="F69" t="s">
        <v>308</v>
      </c>
      <c r="G69" t="s">
        <v>586</v>
      </c>
    </row>
    <row r="70" spans="1:7" x14ac:dyDescent="0.25">
      <c r="A70" t="str">
        <f t="shared" si="1"/>
        <v>TC_C_37_CS Core</v>
      </c>
      <c r="B70" t="s">
        <v>566</v>
      </c>
      <c r="C70" t="s">
        <v>143</v>
      </c>
      <c r="D70" t="s">
        <v>567</v>
      </c>
      <c r="E70" t="s">
        <v>430</v>
      </c>
      <c r="F70" t="s">
        <v>304</v>
      </c>
      <c r="G70" t="s">
        <v>524</v>
      </c>
    </row>
    <row r="71" spans="1:7" x14ac:dyDescent="0.25">
      <c r="A71" t="str">
        <f t="shared" si="1"/>
        <v>TC_C_38_CS Core</v>
      </c>
      <c r="B71" t="s">
        <v>568</v>
      </c>
      <c r="C71" t="s">
        <v>143</v>
      </c>
      <c r="D71" t="s">
        <v>569</v>
      </c>
      <c r="E71" t="s">
        <v>430</v>
      </c>
      <c r="F71" t="s">
        <v>304</v>
      </c>
      <c r="G71" t="s">
        <v>524</v>
      </c>
    </row>
    <row r="72" spans="1:7" x14ac:dyDescent="0.25">
      <c r="A72" t="str">
        <f t="shared" si="1"/>
        <v>TC_C_41_CS Core</v>
      </c>
      <c r="B72" t="s">
        <v>574</v>
      </c>
      <c r="C72" t="s">
        <v>143</v>
      </c>
      <c r="D72" t="s">
        <v>575</v>
      </c>
      <c r="E72" t="s">
        <v>430</v>
      </c>
      <c r="F72" t="s">
        <v>304</v>
      </c>
      <c r="G72" t="s">
        <v>524</v>
      </c>
    </row>
    <row r="73" spans="1:7" x14ac:dyDescent="0.25">
      <c r="A73" t="str">
        <f t="shared" si="1"/>
        <v>TC_C_44_CS Core</v>
      </c>
      <c r="B73" t="s">
        <v>580</v>
      </c>
      <c r="C73" t="s">
        <v>143</v>
      </c>
      <c r="D73" t="s">
        <v>581</v>
      </c>
      <c r="E73" t="s">
        <v>430</v>
      </c>
      <c r="F73" t="s">
        <v>304</v>
      </c>
      <c r="G73" t="s">
        <v>524</v>
      </c>
    </row>
    <row r="74" spans="1:7" x14ac:dyDescent="0.25">
      <c r="A74" t="str">
        <f t="shared" si="1"/>
        <v>TC_C_08_CS Core</v>
      </c>
      <c r="B74" t="s">
        <v>522</v>
      </c>
      <c r="C74" t="s">
        <v>143</v>
      </c>
      <c r="D74" t="s">
        <v>523</v>
      </c>
      <c r="E74" t="s">
        <v>430</v>
      </c>
      <c r="F74" t="s">
        <v>304</v>
      </c>
      <c r="G74" t="s">
        <v>524</v>
      </c>
    </row>
    <row r="75" spans="1:7" x14ac:dyDescent="0.25">
      <c r="A75" t="str">
        <f t="shared" si="1"/>
        <v>TC_C_09_CS Core</v>
      </c>
      <c r="B75" t="s">
        <v>525</v>
      </c>
      <c r="C75" t="s">
        <v>143</v>
      </c>
      <c r="D75" t="s">
        <v>1223</v>
      </c>
      <c r="E75" t="s">
        <v>430</v>
      </c>
      <c r="F75" t="s">
        <v>304</v>
      </c>
      <c r="G75" t="s">
        <v>524</v>
      </c>
    </row>
    <row r="76" spans="1:7" x14ac:dyDescent="0.25">
      <c r="A76" t="str">
        <f t="shared" si="1"/>
        <v>TC_C_12_CS Core</v>
      </c>
      <c r="B76" t="s">
        <v>530</v>
      </c>
      <c r="C76" t="s">
        <v>143</v>
      </c>
      <c r="D76" t="s">
        <v>531</v>
      </c>
      <c r="E76" t="s">
        <v>430</v>
      </c>
      <c r="F76" t="s">
        <v>304</v>
      </c>
      <c r="G76" t="s">
        <v>524</v>
      </c>
    </row>
    <row r="77" spans="1:7" x14ac:dyDescent="0.25">
      <c r="A77" t="str">
        <f t="shared" si="1"/>
        <v>TC_C_10_CS Core</v>
      </c>
      <c r="B77" t="s">
        <v>526</v>
      </c>
      <c r="C77" t="s">
        <v>143</v>
      </c>
      <c r="D77" t="s">
        <v>527</v>
      </c>
      <c r="E77" t="s">
        <v>430</v>
      </c>
      <c r="F77" t="s">
        <v>304</v>
      </c>
      <c r="G77" t="s">
        <v>524</v>
      </c>
    </row>
    <row r="78" spans="1:7" x14ac:dyDescent="0.25">
      <c r="A78" t="str">
        <f t="shared" si="1"/>
        <v>TC_C_11_CS Core</v>
      </c>
      <c r="B78" t="s">
        <v>528</v>
      </c>
      <c r="C78" t="s">
        <v>143</v>
      </c>
      <c r="D78" t="s">
        <v>529</v>
      </c>
      <c r="E78" t="s">
        <v>430</v>
      </c>
      <c r="F78" t="s">
        <v>304</v>
      </c>
      <c r="G78" t="s">
        <v>524</v>
      </c>
    </row>
    <row r="79" spans="1:7" x14ac:dyDescent="0.25">
      <c r="A79" t="str">
        <f t="shared" si="1"/>
        <v>TC_C_13_CS Core</v>
      </c>
      <c r="B79" t="s">
        <v>532</v>
      </c>
      <c r="C79" t="s">
        <v>143</v>
      </c>
      <c r="D79" t="s">
        <v>1224</v>
      </c>
      <c r="E79" t="s">
        <v>430</v>
      </c>
      <c r="F79" t="s">
        <v>304</v>
      </c>
      <c r="G79" t="s">
        <v>524</v>
      </c>
    </row>
    <row r="80" spans="1:7" x14ac:dyDescent="0.25">
      <c r="A80" t="str">
        <f t="shared" si="1"/>
        <v>TC_C_15_CS Core</v>
      </c>
      <c r="B80" t="s">
        <v>533</v>
      </c>
      <c r="C80" t="s">
        <v>143</v>
      </c>
      <c r="D80" t="s">
        <v>1225</v>
      </c>
      <c r="E80" t="s">
        <v>430</v>
      </c>
      <c r="F80" t="s">
        <v>310</v>
      </c>
      <c r="G80" t="s">
        <v>534</v>
      </c>
    </row>
    <row r="81" spans="1:7" x14ac:dyDescent="0.25">
      <c r="A81" t="str">
        <f t="shared" si="1"/>
        <v>TC_C_16_CS Core</v>
      </c>
      <c r="B81" t="s">
        <v>535</v>
      </c>
      <c r="C81" t="s">
        <v>143</v>
      </c>
      <c r="D81" t="s">
        <v>1226</v>
      </c>
      <c r="E81" t="s">
        <v>430</v>
      </c>
      <c r="F81" t="s">
        <v>304</v>
      </c>
      <c r="G81" t="s">
        <v>524</v>
      </c>
    </row>
    <row r="82" spans="1:7" x14ac:dyDescent="0.25">
      <c r="A82" t="str">
        <f t="shared" si="1"/>
        <v>TC_C_17_CS Core</v>
      </c>
      <c r="B82" t="s">
        <v>536</v>
      </c>
      <c r="C82" t="s">
        <v>143</v>
      </c>
      <c r="D82" t="s">
        <v>1227</v>
      </c>
      <c r="E82" t="s">
        <v>430</v>
      </c>
      <c r="F82" t="s">
        <v>304</v>
      </c>
      <c r="G82" t="s">
        <v>524</v>
      </c>
    </row>
    <row r="83" spans="1:7" x14ac:dyDescent="0.25">
      <c r="A83" t="str">
        <f t="shared" si="1"/>
        <v>TC_C_18_CS Core</v>
      </c>
      <c r="B83" t="s">
        <v>537</v>
      </c>
      <c r="C83" t="s">
        <v>143</v>
      </c>
      <c r="D83" t="s">
        <v>1228</v>
      </c>
      <c r="E83" t="s">
        <v>430</v>
      </c>
      <c r="F83" t="s">
        <v>310</v>
      </c>
      <c r="G83" t="s">
        <v>534</v>
      </c>
    </row>
    <row r="84" spans="1:7" x14ac:dyDescent="0.25">
      <c r="A84" t="str">
        <f t="shared" si="1"/>
        <v>TC_C_57_CS Core</v>
      </c>
      <c r="B84" t="s">
        <v>606</v>
      </c>
      <c r="C84" t="s">
        <v>143</v>
      </c>
      <c r="D84" t="s">
        <v>607</v>
      </c>
      <c r="E84" t="s">
        <v>430</v>
      </c>
      <c r="F84" t="s">
        <v>311</v>
      </c>
    </row>
    <row r="85" spans="1:7" x14ac:dyDescent="0.25">
      <c r="A85" t="str">
        <f t="shared" si="1"/>
        <v>TC_E_03_CS Core</v>
      </c>
      <c r="B85" t="s">
        <v>633</v>
      </c>
      <c r="C85" t="s">
        <v>143</v>
      </c>
      <c r="D85" t="s">
        <v>634</v>
      </c>
      <c r="E85" t="s">
        <v>430</v>
      </c>
      <c r="F85" t="s">
        <v>266</v>
      </c>
      <c r="G85" t="s">
        <v>364</v>
      </c>
    </row>
    <row r="86" spans="1:7" x14ac:dyDescent="0.25">
      <c r="A86" t="str">
        <f t="shared" si="1"/>
        <v>TC_E_04_CS Core</v>
      </c>
      <c r="B86" t="s">
        <v>635</v>
      </c>
      <c r="C86" t="s">
        <v>143</v>
      </c>
      <c r="D86" t="s">
        <v>636</v>
      </c>
      <c r="E86" t="s">
        <v>430</v>
      </c>
      <c r="F86" t="s">
        <v>1488</v>
      </c>
      <c r="G86" t="s">
        <v>364</v>
      </c>
    </row>
    <row r="87" spans="1:7" x14ac:dyDescent="0.25">
      <c r="A87" t="str">
        <f t="shared" si="1"/>
        <v>TC_E_05_CS Core</v>
      </c>
      <c r="B87" t="s">
        <v>637</v>
      </c>
      <c r="C87" t="s">
        <v>143</v>
      </c>
      <c r="D87" t="s">
        <v>638</v>
      </c>
      <c r="E87" t="s">
        <v>430</v>
      </c>
      <c r="F87" t="s">
        <v>267</v>
      </c>
      <c r="G87" t="s">
        <v>364</v>
      </c>
    </row>
    <row r="88" spans="1:7" x14ac:dyDescent="0.25">
      <c r="A88" t="str">
        <f t="shared" si="1"/>
        <v>TC_E_52_CS Core</v>
      </c>
      <c r="B88" t="s">
        <v>715</v>
      </c>
      <c r="C88" t="s">
        <v>143</v>
      </c>
      <c r="D88" t="s">
        <v>716</v>
      </c>
      <c r="E88" t="s">
        <v>430</v>
      </c>
      <c r="F88" t="s">
        <v>1390</v>
      </c>
      <c r="G88" t="s">
        <v>1391</v>
      </c>
    </row>
    <row r="89" spans="1:7" x14ac:dyDescent="0.25">
      <c r="A89" t="str">
        <f t="shared" si="1"/>
        <v>TC_E_09_CS Core</v>
      </c>
      <c r="B89" t="s">
        <v>646</v>
      </c>
      <c r="C89" t="s">
        <v>143</v>
      </c>
      <c r="D89" t="s">
        <v>332</v>
      </c>
      <c r="E89" t="s">
        <v>430</v>
      </c>
      <c r="F89" t="s">
        <v>268</v>
      </c>
    </row>
    <row r="90" spans="1:7" x14ac:dyDescent="0.25">
      <c r="A90" t="str">
        <f t="shared" si="1"/>
        <v>TC_E_10_CS Core</v>
      </c>
      <c r="B90" t="s">
        <v>647</v>
      </c>
      <c r="C90" t="s">
        <v>143</v>
      </c>
      <c r="D90" t="s">
        <v>648</v>
      </c>
      <c r="E90" t="s">
        <v>430</v>
      </c>
      <c r="F90" t="s">
        <v>269</v>
      </c>
      <c r="G90" t="s">
        <v>649</v>
      </c>
    </row>
    <row r="91" spans="1:7" x14ac:dyDescent="0.25">
      <c r="A91" t="str">
        <f t="shared" si="1"/>
        <v>TC_E_13_CS Core</v>
      </c>
      <c r="B91" t="s">
        <v>652</v>
      </c>
      <c r="C91" t="s">
        <v>143</v>
      </c>
      <c r="D91" t="s">
        <v>653</v>
      </c>
      <c r="E91" t="s">
        <v>430</v>
      </c>
      <c r="F91" t="s">
        <v>52</v>
      </c>
      <c r="G91" t="s">
        <v>631</v>
      </c>
    </row>
    <row r="92" spans="1:7" x14ac:dyDescent="0.25">
      <c r="A92" t="str">
        <f t="shared" si="1"/>
        <v>TC_E_11_CS Core</v>
      </c>
      <c r="B92" t="s">
        <v>650</v>
      </c>
      <c r="C92" t="s">
        <v>143</v>
      </c>
      <c r="D92" t="s">
        <v>334</v>
      </c>
      <c r="E92" t="s">
        <v>430</v>
      </c>
      <c r="F92" t="s">
        <v>270</v>
      </c>
      <c r="G92" t="s">
        <v>631</v>
      </c>
    </row>
    <row r="93" spans="1:7" x14ac:dyDescent="0.25">
      <c r="A93" t="str">
        <f t="shared" si="1"/>
        <v>TC_E_01_CS Core</v>
      </c>
      <c r="B93" t="s">
        <v>630</v>
      </c>
      <c r="C93" t="s">
        <v>143</v>
      </c>
      <c r="D93" t="s">
        <v>335</v>
      </c>
      <c r="E93" t="s">
        <v>430</v>
      </c>
      <c r="F93" t="s">
        <v>271</v>
      </c>
      <c r="G93" t="s">
        <v>631</v>
      </c>
    </row>
    <row r="94" spans="1:7" x14ac:dyDescent="0.25">
      <c r="A94" t="str">
        <f t="shared" si="1"/>
        <v>TC_E_02_CS Core</v>
      </c>
      <c r="B94" t="s">
        <v>632</v>
      </c>
      <c r="C94" t="s">
        <v>143</v>
      </c>
      <c r="D94" t="s">
        <v>336</v>
      </c>
      <c r="E94" t="s">
        <v>430</v>
      </c>
      <c r="F94" t="s">
        <v>272</v>
      </c>
      <c r="G94" t="s">
        <v>631</v>
      </c>
    </row>
    <row r="95" spans="1:7" x14ac:dyDescent="0.25">
      <c r="A95" t="str">
        <f t="shared" si="1"/>
        <v>TC_E_12_CS Core</v>
      </c>
      <c r="B95" t="s">
        <v>651</v>
      </c>
      <c r="C95" t="s">
        <v>143</v>
      </c>
      <c r="D95" t="s">
        <v>1234</v>
      </c>
      <c r="E95" t="s">
        <v>430</v>
      </c>
      <c r="F95" t="s">
        <v>56</v>
      </c>
      <c r="G95" t="s">
        <v>631</v>
      </c>
    </row>
    <row r="96" spans="1:7" x14ac:dyDescent="0.25">
      <c r="A96" t="str">
        <f t="shared" si="1"/>
        <v>TC_E_14_CS Core</v>
      </c>
      <c r="B96" t="s">
        <v>654</v>
      </c>
      <c r="C96" t="s">
        <v>143</v>
      </c>
      <c r="D96" t="s">
        <v>655</v>
      </c>
      <c r="E96" t="s">
        <v>430</v>
      </c>
      <c r="F96" t="s">
        <v>273</v>
      </c>
      <c r="G96" t="s">
        <v>645</v>
      </c>
    </row>
    <row r="97" spans="1:7" x14ac:dyDescent="0.25">
      <c r="A97" t="str">
        <f t="shared" si="1"/>
        <v>TC_E_20_CS Core</v>
      </c>
      <c r="B97" t="s">
        <v>665</v>
      </c>
      <c r="C97" t="s">
        <v>143</v>
      </c>
      <c r="D97" t="s">
        <v>1152</v>
      </c>
      <c r="E97" t="s">
        <v>430</v>
      </c>
      <c r="F97" t="s">
        <v>1304</v>
      </c>
      <c r="G97" t="s">
        <v>645</v>
      </c>
    </row>
    <row r="98" spans="1:7" x14ac:dyDescent="0.25">
      <c r="A98" t="str">
        <f t="shared" si="1"/>
        <v>TC_E_54_CS Core</v>
      </c>
      <c r="B98" t="s">
        <v>1153</v>
      </c>
      <c r="C98" t="s">
        <v>143</v>
      </c>
      <c r="D98" t="s">
        <v>1135</v>
      </c>
      <c r="E98" t="s">
        <v>430</v>
      </c>
      <c r="F98" t="s">
        <v>1305</v>
      </c>
      <c r="G98" t="s">
        <v>645</v>
      </c>
    </row>
    <row r="99" spans="1:7" x14ac:dyDescent="0.25">
      <c r="A99" t="str">
        <f t="shared" si="1"/>
        <v>TC_E_15_CS Core</v>
      </c>
      <c r="B99" t="s">
        <v>656</v>
      </c>
      <c r="C99" t="s">
        <v>143</v>
      </c>
      <c r="D99" t="s">
        <v>657</v>
      </c>
      <c r="E99" t="s">
        <v>430</v>
      </c>
      <c r="F99" t="s">
        <v>275</v>
      </c>
      <c r="G99" t="s">
        <v>642</v>
      </c>
    </row>
    <row r="100" spans="1:7" x14ac:dyDescent="0.25">
      <c r="A100" t="str">
        <f t="shared" si="1"/>
        <v>TC_E_21_CS Core</v>
      </c>
      <c r="B100" t="s">
        <v>666</v>
      </c>
      <c r="C100" t="s">
        <v>143</v>
      </c>
      <c r="D100" t="s">
        <v>667</v>
      </c>
      <c r="E100" t="s">
        <v>430</v>
      </c>
      <c r="F100" t="s">
        <v>59</v>
      </c>
      <c r="G100" t="s">
        <v>645</v>
      </c>
    </row>
    <row r="101" spans="1:7" x14ac:dyDescent="0.25">
      <c r="A101" t="str">
        <f t="shared" si="1"/>
        <v>TC_E_16_CS Core</v>
      </c>
      <c r="B101" t="s">
        <v>658</v>
      </c>
      <c r="C101" t="s">
        <v>143</v>
      </c>
      <c r="D101" t="s">
        <v>659</v>
      </c>
      <c r="E101" t="s">
        <v>430</v>
      </c>
      <c r="F101" t="s">
        <v>1392</v>
      </c>
      <c r="G101" t="s">
        <v>660</v>
      </c>
    </row>
    <row r="102" spans="1:7" x14ac:dyDescent="0.25">
      <c r="A102" t="str">
        <f t="shared" si="1"/>
        <v>TC_E_17_CS Core</v>
      </c>
      <c r="B102" t="s">
        <v>661</v>
      </c>
      <c r="C102" t="s">
        <v>143</v>
      </c>
      <c r="D102" t="s">
        <v>662</v>
      </c>
      <c r="E102" t="s">
        <v>430</v>
      </c>
      <c r="F102" t="s">
        <v>1489</v>
      </c>
      <c r="G102" t="s">
        <v>645</v>
      </c>
    </row>
    <row r="103" spans="1:7" x14ac:dyDescent="0.25">
      <c r="A103" t="str">
        <f t="shared" si="1"/>
        <v>TC_E_39_CS Core</v>
      </c>
      <c r="B103" t="s">
        <v>699</v>
      </c>
      <c r="C103" t="s">
        <v>143</v>
      </c>
      <c r="D103" t="s">
        <v>700</v>
      </c>
      <c r="E103" t="s">
        <v>412</v>
      </c>
    </row>
    <row r="104" spans="1:7" x14ac:dyDescent="0.25">
      <c r="A104" t="str">
        <f t="shared" si="1"/>
        <v>TC_E_07_CS Core</v>
      </c>
      <c r="B104" t="s">
        <v>640</v>
      </c>
      <c r="C104" t="s">
        <v>143</v>
      </c>
      <c r="D104" t="s">
        <v>641</v>
      </c>
      <c r="E104" t="s">
        <v>430</v>
      </c>
      <c r="F104" t="s">
        <v>278</v>
      </c>
      <c r="G104" t="s">
        <v>642</v>
      </c>
    </row>
    <row r="105" spans="1:7" x14ac:dyDescent="0.25">
      <c r="A105" t="str">
        <f t="shared" si="1"/>
        <v>TC_E_35_CS Core</v>
      </c>
      <c r="B105" t="s">
        <v>694</v>
      </c>
      <c r="C105" t="s">
        <v>143</v>
      </c>
      <c r="D105" t="s">
        <v>695</v>
      </c>
      <c r="E105" t="s">
        <v>430</v>
      </c>
      <c r="F105" t="s">
        <v>279</v>
      </c>
      <c r="G105" t="s">
        <v>645</v>
      </c>
    </row>
    <row r="106" spans="1:7" x14ac:dyDescent="0.25">
      <c r="A106" t="str">
        <f t="shared" si="1"/>
        <v>TC_E_37_CS Core</v>
      </c>
      <c r="B106" t="s">
        <v>696</v>
      </c>
      <c r="C106" t="s">
        <v>143</v>
      </c>
      <c r="D106" t="s">
        <v>697</v>
      </c>
      <c r="E106" t="s">
        <v>430</v>
      </c>
      <c r="F106" t="s">
        <v>1154</v>
      </c>
      <c r="G106" t="s">
        <v>645</v>
      </c>
    </row>
    <row r="107" spans="1:7" x14ac:dyDescent="0.25">
      <c r="A107" t="str">
        <f t="shared" si="1"/>
        <v>TC_E_08_CS Core</v>
      </c>
      <c r="B107" t="s">
        <v>643</v>
      </c>
      <c r="C107" t="s">
        <v>143</v>
      </c>
      <c r="D107" t="s">
        <v>644</v>
      </c>
      <c r="E107" t="s">
        <v>430</v>
      </c>
      <c r="F107" t="s">
        <v>281</v>
      </c>
      <c r="G107" t="s">
        <v>645</v>
      </c>
    </row>
    <row r="108" spans="1:7" x14ac:dyDescent="0.25">
      <c r="A108" t="str">
        <f t="shared" si="1"/>
        <v>TC_E_22_CS Core</v>
      </c>
      <c r="B108" t="s">
        <v>668</v>
      </c>
      <c r="C108" t="s">
        <v>143</v>
      </c>
      <c r="D108" t="s">
        <v>669</v>
      </c>
      <c r="E108" t="s">
        <v>430</v>
      </c>
      <c r="F108" t="s">
        <v>61</v>
      </c>
      <c r="G108" t="s">
        <v>645</v>
      </c>
    </row>
    <row r="109" spans="1:7" x14ac:dyDescent="0.25">
      <c r="A109" t="str">
        <f t="shared" si="1"/>
        <v>TC_E_19_CS Core</v>
      </c>
      <c r="B109" t="s">
        <v>663</v>
      </c>
      <c r="C109" t="s">
        <v>143</v>
      </c>
      <c r="D109" t="s">
        <v>664</v>
      </c>
      <c r="E109" t="s">
        <v>430</v>
      </c>
      <c r="F109" t="s">
        <v>282</v>
      </c>
      <c r="G109" t="s">
        <v>645</v>
      </c>
    </row>
    <row r="110" spans="1:7" x14ac:dyDescent="0.25">
      <c r="A110" t="str">
        <f t="shared" si="1"/>
        <v>TC_E_24_CS Core</v>
      </c>
      <c r="B110" t="s">
        <v>670</v>
      </c>
      <c r="C110" t="s">
        <v>143</v>
      </c>
      <c r="D110" t="s">
        <v>1236</v>
      </c>
      <c r="E110" t="s">
        <v>430</v>
      </c>
      <c r="F110" t="s">
        <v>1144</v>
      </c>
      <c r="G110" t="s">
        <v>671</v>
      </c>
    </row>
    <row r="111" spans="1:7" x14ac:dyDescent="0.25">
      <c r="A111" t="str">
        <f t="shared" si="1"/>
        <v>TC_E_25_CS Core</v>
      </c>
      <c r="B111" t="s">
        <v>672</v>
      </c>
      <c r="C111" t="s">
        <v>143</v>
      </c>
      <c r="D111" t="s">
        <v>1237</v>
      </c>
      <c r="E111" t="s">
        <v>430</v>
      </c>
      <c r="F111" t="s">
        <v>1143</v>
      </c>
      <c r="G111" t="s">
        <v>673</v>
      </c>
    </row>
    <row r="112" spans="1:7" x14ac:dyDescent="0.25">
      <c r="A112" t="str">
        <f t="shared" si="1"/>
        <v>TC_E_26_CS Core</v>
      </c>
      <c r="B112" t="s">
        <v>674</v>
      </c>
      <c r="C112" t="s">
        <v>143</v>
      </c>
      <c r="D112" t="s">
        <v>675</v>
      </c>
      <c r="E112" t="s">
        <v>430</v>
      </c>
      <c r="F112" t="s">
        <v>1145</v>
      </c>
    </row>
    <row r="113" spans="1:7" x14ac:dyDescent="0.25">
      <c r="A113" t="str">
        <f t="shared" si="1"/>
        <v>TC_E_27_CS Core</v>
      </c>
      <c r="B113" t="s">
        <v>676</v>
      </c>
      <c r="C113" t="s">
        <v>143</v>
      </c>
      <c r="D113" t="s">
        <v>677</v>
      </c>
      <c r="E113" t="s">
        <v>430</v>
      </c>
      <c r="F113" t="s">
        <v>1146</v>
      </c>
    </row>
    <row r="114" spans="1:7" x14ac:dyDescent="0.25">
      <c r="A114" t="str">
        <f t="shared" si="1"/>
        <v>TC_E_41_CS Core</v>
      </c>
      <c r="B114" t="s">
        <v>702</v>
      </c>
      <c r="C114" t="s">
        <v>143</v>
      </c>
      <c r="D114" t="s">
        <v>703</v>
      </c>
      <c r="E114" t="s">
        <v>412</v>
      </c>
    </row>
    <row r="115" spans="1:7" x14ac:dyDescent="0.25">
      <c r="A115" t="str">
        <f t="shared" si="1"/>
        <v>TC_E_42_CS Core</v>
      </c>
      <c r="B115" t="s">
        <v>704</v>
      </c>
      <c r="C115" t="s">
        <v>143</v>
      </c>
      <c r="D115" t="s">
        <v>705</v>
      </c>
      <c r="E115" t="s">
        <v>412</v>
      </c>
    </row>
    <row r="116" spans="1:7" x14ac:dyDescent="0.25">
      <c r="A116" t="str">
        <f t="shared" si="1"/>
        <v>TC_E_50_CS Core</v>
      </c>
      <c r="B116" t="s">
        <v>711</v>
      </c>
      <c r="C116" t="s">
        <v>143</v>
      </c>
      <c r="D116" t="s">
        <v>712</v>
      </c>
      <c r="E116" t="s">
        <v>412</v>
      </c>
    </row>
    <row r="117" spans="1:7" x14ac:dyDescent="0.25">
      <c r="A117" t="str">
        <f t="shared" si="1"/>
        <v>TC_E_51_CS Core</v>
      </c>
      <c r="B117" t="s">
        <v>713</v>
      </c>
      <c r="C117" t="s">
        <v>143</v>
      </c>
      <c r="D117" t="s">
        <v>714</v>
      </c>
      <c r="E117" t="s">
        <v>412</v>
      </c>
    </row>
    <row r="118" spans="1:7" x14ac:dyDescent="0.25">
      <c r="A118" t="str">
        <f t="shared" si="1"/>
        <v>TC_E_40_CS Core</v>
      </c>
      <c r="B118" t="s">
        <v>701</v>
      </c>
      <c r="C118" t="s">
        <v>143</v>
      </c>
      <c r="D118" t="s">
        <v>1239</v>
      </c>
      <c r="E118" t="s">
        <v>412</v>
      </c>
    </row>
    <row r="119" spans="1:7" x14ac:dyDescent="0.25">
      <c r="A119" t="str">
        <f t="shared" si="1"/>
        <v>TC_E_43_CS Core</v>
      </c>
      <c r="B119" t="s">
        <v>706</v>
      </c>
      <c r="C119" t="s">
        <v>143</v>
      </c>
      <c r="D119" t="s">
        <v>1240</v>
      </c>
      <c r="E119" t="s">
        <v>430</v>
      </c>
      <c r="F119" t="s">
        <v>1393</v>
      </c>
      <c r="G119" t="s">
        <v>1394</v>
      </c>
    </row>
    <row r="120" spans="1:7" x14ac:dyDescent="0.25">
      <c r="A120" t="str">
        <f t="shared" si="1"/>
        <v>TC_E_44_CS Core</v>
      </c>
      <c r="B120" t="s">
        <v>707</v>
      </c>
      <c r="C120" t="s">
        <v>143</v>
      </c>
      <c r="D120" t="s">
        <v>1241</v>
      </c>
      <c r="E120" t="s">
        <v>430</v>
      </c>
      <c r="F120" t="s">
        <v>267</v>
      </c>
      <c r="G120" t="s">
        <v>1395</v>
      </c>
    </row>
    <row r="121" spans="1:7" x14ac:dyDescent="0.25">
      <c r="A121" t="str">
        <f t="shared" si="1"/>
        <v>TC_E_45_CS Core</v>
      </c>
      <c r="B121" t="s">
        <v>708</v>
      </c>
      <c r="C121" t="s">
        <v>143</v>
      </c>
      <c r="D121" t="s">
        <v>1242</v>
      </c>
      <c r="E121" t="s">
        <v>430</v>
      </c>
      <c r="F121" t="s">
        <v>1137</v>
      </c>
      <c r="G121" t="s">
        <v>1138</v>
      </c>
    </row>
    <row r="122" spans="1:7" x14ac:dyDescent="0.25">
      <c r="A122" t="str">
        <f t="shared" si="1"/>
        <v>TC_E_28_CS Core</v>
      </c>
      <c r="B122" t="s">
        <v>678</v>
      </c>
      <c r="C122" t="s">
        <v>143</v>
      </c>
      <c r="D122" t="s">
        <v>679</v>
      </c>
      <c r="E122" t="s">
        <v>412</v>
      </c>
    </row>
    <row r="123" spans="1:7" x14ac:dyDescent="0.25">
      <c r="A123" t="str">
        <f t="shared" si="1"/>
        <v>TC_E_29_CS Core</v>
      </c>
      <c r="B123" t="s">
        <v>680</v>
      </c>
      <c r="C123" t="s">
        <v>143</v>
      </c>
      <c r="D123" t="s">
        <v>681</v>
      </c>
      <c r="E123" t="s">
        <v>412</v>
      </c>
      <c r="F123" t="s">
        <v>682</v>
      </c>
      <c r="G123" t="s">
        <v>683</v>
      </c>
    </row>
    <row r="124" spans="1:7" x14ac:dyDescent="0.25">
      <c r="A124" t="str">
        <f t="shared" si="1"/>
        <v>TC_E_30_CS Core</v>
      </c>
      <c r="B124" t="s">
        <v>684</v>
      </c>
      <c r="C124" t="s">
        <v>143</v>
      </c>
      <c r="D124" t="s">
        <v>685</v>
      </c>
      <c r="E124" t="s">
        <v>412</v>
      </c>
      <c r="F124" t="s">
        <v>682</v>
      </c>
      <c r="G124" t="s">
        <v>683</v>
      </c>
    </row>
    <row r="125" spans="1:7" x14ac:dyDescent="0.25">
      <c r="A125" t="str">
        <f t="shared" si="1"/>
        <v>TC_E_31_CS Core</v>
      </c>
      <c r="B125" t="s">
        <v>686</v>
      </c>
      <c r="C125" t="s">
        <v>143</v>
      </c>
      <c r="D125" t="s">
        <v>687</v>
      </c>
      <c r="E125" t="s">
        <v>430</v>
      </c>
      <c r="F125" t="s">
        <v>1402</v>
      </c>
    </row>
    <row r="126" spans="1:7" x14ac:dyDescent="0.25">
      <c r="A126" t="str">
        <f t="shared" si="1"/>
        <v>TC_E_32_CS Core</v>
      </c>
      <c r="B126" t="s">
        <v>688</v>
      </c>
      <c r="C126" t="s">
        <v>143</v>
      </c>
      <c r="D126" t="s">
        <v>689</v>
      </c>
      <c r="E126" t="s">
        <v>412</v>
      </c>
    </row>
    <row r="127" spans="1:7" x14ac:dyDescent="0.25">
      <c r="A127" t="str">
        <f t="shared" si="1"/>
        <v>TC_E_33_CS Core</v>
      </c>
      <c r="B127" t="s">
        <v>690</v>
      </c>
      <c r="C127" t="s">
        <v>143</v>
      </c>
      <c r="D127" t="s">
        <v>691</v>
      </c>
      <c r="E127" t="s">
        <v>412</v>
      </c>
      <c r="F127" t="s">
        <v>682</v>
      </c>
      <c r="G127" t="s">
        <v>683</v>
      </c>
    </row>
    <row r="128" spans="1:7" x14ac:dyDescent="0.25">
      <c r="A128" t="str">
        <f t="shared" si="1"/>
        <v>TC_E_34_CS Core</v>
      </c>
      <c r="B128" t="s">
        <v>692</v>
      </c>
      <c r="C128" t="s">
        <v>143</v>
      </c>
      <c r="D128" t="s">
        <v>693</v>
      </c>
      <c r="E128" t="s">
        <v>412</v>
      </c>
      <c r="F128" t="s">
        <v>682</v>
      </c>
      <c r="G128" t="s">
        <v>683</v>
      </c>
    </row>
    <row r="129" spans="1:7" x14ac:dyDescent="0.25">
      <c r="A129" t="str">
        <f t="shared" si="1"/>
        <v>TC_F_01_CS Core</v>
      </c>
      <c r="B129" t="s">
        <v>717</v>
      </c>
      <c r="C129" t="s">
        <v>143</v>
      </c>
      <c r="D129" t="s">
        <v>1244</v>
      </c>
      <c r="E129" t="s">
        <v>430</v>
      </c>
      <c r="F129" t="s">
        <v>1141</v>
      </c>
      <c r="G129" t="s">
        <v>718</v>
      </c>
    </row>
    <row r="130" spans="1:7" x14ac:dyDescent="0.25">
      <c r="A130" t="str">
        <f t="shared" si="1"/>
        <v>TC_F_02_CS Core</v>
      </c>
      <c r="B130" t="s">
        <v>719</v>
      </c>
      <c r="C130" t="s">
        <v>143</v>
      </c>
      <c r="D130" t="s">
        <v>1245</v>
      </c>
      <c r="E130" t="s">
        <v>430</v>
      </c>
      <c r="F130" t="s">
        <v>290</v>
      </c>
      <c r="G130" t="s">
        <v>718</v>
      </c>
    </row>
    <row r="131" spans="1:7" x14ac:dyDescent="0.25">
      <c r="A131" t="str">
        <f t="shared" ref="A131:A194" si="2">B131&amp;" "&amp;C131</f>
        <v>TC_F_03_CS Core</v>
      </c>
      <c r="B131" t="s">
        <v>720</v>
      </c>
      <c r="C131" t="s">
        <v>143</v>
      </c>
      <c r="D131" t="s">
        <v>1246</v>
      </c>
      <c r="E131" t="s">
        <v>430</v>
      </c>
      <c r="F131" t="s">
        <v>291</v>
      </c>
      <c r="G131" t="s">
        <v>718</v>
      </c>
    </row>
    <row r="132" spans="1:7" x14ac:dyDescent="0.25">
      <c r="A132" t="str">
        <f t="shared" si="2"/>
        <v>TC_F_04_CS Core</v>
      </c>
      <c r="B132" t="s">
        <v>721</v>
      </c>
      <c r="C132" t="s">
        <v>143</v>
      </c>
      <c r="D132" t="s">
        <v>1247</v>
      </c>
      <c r="E132" t="s">
        <v>412</v>
      </c>
    </row>
    <row r="133" spans="1:7" x14ac:dyDescent="0.25">
      <c r="A133" t="str">
        <f t="shared" si="2"/>
        <v>TC_F_08_CS Core</v>
      </c>
      <c r="B133" t="s">
        <v>725</v>
      </c>
      <c r="C133" t="s">
        <v>143</v>
      </c>
      <c r="D133" t="s">
        <v>726</v>
      </c>
      <c r="E133" t="s">
        <v>412</v>
      </c>
    </row>
    <row r="134" spans="1:7" x14ac:dyDescent="0.25">
      <c r="A134" t="str">
        <f t="shared" si="2"/>
        <v>TC_F_09_CS Core</v>
      </c>
      <c r="B134" t="s">
        <v>727</v>
      </c>
      <c r="C134" t="s">
        <v>143</v>
      </c>
      <c r="D134" t="s">
        <v>728</v>
      </c>
      <c r="E134" t="s">
        <v>412</v>
      </c>
    </row>
    <row r="135" spans="1:7" x14ac:dyDescent="0.25">
      <c r="A135" t="str">
        <f t="shared" si="2"/>
        <v>TC_F_05_CS Core</v>
      </c>
      <c r="B135" t="s">
        <v>722</v>
      </c>
      <c r="C135" t="s">
        <v>143</v>
      </c>
      <c r="D135" t="s">
        <v>1248</v>
      </c>
      <c r="E135" t="s">
        <v>430</v>
      </c>
      <c r="F135" t="s">
        <v>1149</v>
      </c>
    </row>
    <row r="136" spans="1:7" x14ac:dyDescent="0.25">
      <c r="A136" t="str">
        <f t="shared" si="2"/>
        <v>TC_F_06_CS Core</v>
      </c>
      <c r="B136" t="s">
        <v>723</v>
      </c>
      <c r="C136" t="s">
        <v>143</v>
      </c>
      <c r="D136" t="s">
        <v>1249</v>
      </c>
      <c r="E136" t="s">
        <v>1149</v>
      </c>
      <c r="F136" t="s">
        <v>292</v>
      </c>
    </row>
    <row r="137" spans="1:7" x14ac:dyDescent="0.25">
      <c r="A137" t="str">
        <f t="shared" si="2"/>
        <v>TC_F_07_CS Core</v>
      </c>
      <c r="B137" t="s">
        <v>724</v>
      </c>
      <c r="C137" t="s">
        <v>143</v>
      </c>
      <c r="D137" t="s">
        <v>1250</v>
      </c>
      <c r="E137" t="s">
        <v>430</v>
      </c>
      <c r="F137" t="s">
        <v>1149</v>
      </c>
    </row>
    <row r="138" spans="1:7" x14ac:dyDescent="0.25">
      <c r="A138" t="str">
        <f t="shared" si="2"/>
        <v>TC_F_10_CS Core</v>
      </c>
      <c r="B138" t="s">
        <v>729</v>
      </c>
      <c r="C138" t="s">
        <v>143</v>
      </c>
      <c r="D138" t="s">
        <v>1251</v>
      </c>
      <c r="E138" t="s">
        <v>430</v>
      </c>
      <c r="F138" t="s">
        <v>1149</v>
      </c>
    </row>
    <row r="139" spans="1:7" x14ac:dyDescent="0.25">
      <c r="A139" t="str">
        <f t="shared" si="2"/>
        <v>TC_F_11_CS Core</v>
      </c>
      <c r="B139" t="s">
        <v>730</v>
      </c>
      <c r="C139" t="s">
        <v>143</v>
      </c>
      <c r="D139" t="s">
        <v>731</v>
      </c>
      <c r="E139" t="s">
        <v>430</v>
      </c>
      <c r="F139" t="s">
        <v>76</v>
      </c>
      <c r="G139" t="s">
        <v>357</v>
      </c>
    </row>
    <row r="140" spans="1:7" x14ac:dyDescent="0.25">
      <c r="A140" t="str">
        <f t="shared" si="2"/>
        <v>TC_F_12_CS Core</v>
      </c>
      <c r="B140" t="s">
        <v>732</v>
      </c>
      <c r="C140" t="s">
        <v>143</v>
      </c>
      <c r="D140" t="s">
        <v>733</v>
      </c>
      <c r="E140" t="s">
        <v>430</v>
      </c>
      <c r="F140" t="s">
        <v>76</v>
      </c>
      <c r="G140" t="s">
        <v>357</v>
      </c>
    </row>
    <row r="141" spans="1:7" x14ac:dyDescent="0.25">
      <c r="A141" t="str">
        <f t="shared" si="2"/>
        <v>TC_F_13_CS Core</v>
      </c>
      <c r="B141" t="s">
        <v>734</v>
      </c>
      <c r="C141" t="s">
        <v>143</v>
      </c>
      <c r="D141" t="s">
        <v>735</v>
      </c>
      <c r="E141" t="s">
        <v>430</v>
      </c>
      <c r="F141" t="s">
        <v>77</v>
      </c>
      <c r="G141" t="s">
        <v>357</v>
      </c>
    </row>
    <row r="142" spans="1:7" x14ac:dyDescent="0.25">
      <c r="A142" t="str">
        <f t="shared" si="2"/>
        <v>TC_F_14_CS Core</v>
      </c>
      <c r="B142" t="s">
        <v>736</v>
      </c>
      <c r="C142" t="s">
        <v>143</v>
      </c>
      <c r="D142" t="s">
        <v>737</v>
      </c>
      <c r="E142" t="s">
        <v>430</v>
      </c>
      <c r="F142" t="s">
        <v>77</v>
      </c>
      <c r="G142" t="s">
        <v>357</v>
      </c>
    </row>
    <row r="143" spans="1:7" x14ac:dyDescent="0.25">
      <c r="A143" t="str">
        <f t="shared" si="2"/>
        <v>TC_F_15_CS Core</v>
      </c>
      <c r="B143" t="s">
        <v>738</v>
      </c>
      <c r="C143" t="s">
        <v>143</v>
      </c>
      <c r="D143" t="s">
        <v>739</v>
      </c>
      <c r="E143" t="s">
        <v>430</v>
      </c>
      <c r="F143" t="s">
        <v>78</v>
      </c>
      <c r="G143" t="s">
        <v>357</v>
      </c>
    </row>
    <row r="144" spans="1:7" x14ac:dyDescent="0.25">
      <c r="A144" t="str">
        <f t="shared" si="2"/>
        <v>TC_F_16_CS Core</v>
      </c>
      <c r="B144" t="s">
        <v>740</v>
      </c>
      <c r="C144" t="s">
        <v>143</v>
      </c>
      <c r="D144" t="s">
        <v>741</v>
      </c>
      <c r="E144" t="s">
        <v>430</v>
      </c>
      <c r="F144" t="s">
        <v>78</v>
      </c>
      <c r="G144" t="s">
        <v>357</v>
      </c>
    </row>
    <row r="145" spans="1:7" x14ac:dyDescent="0.25">
      <c r="A145" t="str">
        <f t="shared" si="2"/>
        <v>TC_F_17_CS Core</v>
      </c>
      <c r="B145" t="s">
        <v>742</v>
      </c>
      <c r="C145" t="s">
        <v>143</v>
      </c>
      <c r="D145" t="s">
        <v>743</v>
      </c>
      <c r="E145" t="s">
        <v>430</v>
      </c>
      <c r="F145" t="s">
        <v>79</v>
      </c>
      <c r="G145" t="s">
        <v>357</v>
      </c>
    </row>
    <row r="146" spans="1:7" x14ac:dyDescent="0.25">
      <c r="A146" t="str">
        <f t="shared" si="2"/>
        <v>TC_F_18_CS Core</v>
      </c>
      <c r="B146" t="s">
        <v>744</v>
      </c>
      <c r="C146" t="s">
        <v>143</v>
      </c>
      <c r="D146" t="s">
        <v>745</v>
      </c>
      <c r="E146" t="s">
        <v>430</v>
      </c>
      <c r="F146" t="s">
        <v>79</v>
      </c>
      <c r="G146" t="s">
        <v>357</v>
      </c>
    </row>
    <row r="147" spans="1:7" x14ac:dyDescent="0.25">
      <c r="A147" t="str">
        <f t="shared" si="2"/>
        <v>TC_F_19_CS Core</v>
      </c>
      <c r="B147" t="s">
        <v>746</v>
      </c>
      <c r="C147" t="s">
        <v>143</v>
      </c>
      <c r="D147" t="s">
        <v>747</v>
      </c>
      <c r="E147" t="s">
        <v>430</v>
      </c>
      <c r="F147" t="s">
        <v>79</v>
      </c>
      <c r="G147" t="s">
        <v>357</v>
      </c>
    </row>
    <row r="148" spans="1:7" x14ac:dyDescent="0.25">
      <c r="A148" t="str">
        <f t="shared" si="2"/>
        <v>TC_F_20_CS Core</v>
      </c>
      <c r="B148" t="s">
        <v>748</v>
      </c>
      <c r="C148" t="s">
        <v>143</v>
      </c>
      <c r="D148" t="s">
        <v>749</v>
      </c>
      <c r="E148" t="s">
        <v>412</v>
      </c>
    </row>
    <row r="149" spans="1:7" x14ac:dyDescent="0.25">
      <c r="A149" t="str">
        <f t="shared" si="2"/>
        <v>TC_F_23_CS Core</v>
      </c>
      <c r="B149" t="s">
        <v>750</v>
      </c>
      <c r="C149" t="s">
        <v>143</v>
      </c>
      <c r="D149" t="s">
        <v>751</v>
      </c>
      <c r="E149" t="s">
        <v>430</v>
      </c>
      <c r="F149" t="s">
        <v>80</v>
      </c>
      <c r="G149" t="s">
        <v>357</v>
      </c>
    </row>
    <row r="150" spans="1:7" x14ac:dyDescent="0.25">
      <c r="A150" t="str">
        <f t="shared" si="2"/>
        <v>TC_F_24_CS Core</v>
      </c>
      <c r="B150" t="s">
        <v>752</v>
      </c>
      <c r="C150" t="s">
        <v>143</v>
      </c>
      <c r="D150" t="s">
        <v>753</v>
      </c>
      <c r="E150" t="s">
        <v>430</v>
      </c>
      <c r="F150" t="s">
        <v>80</v>
      </c>
      <c r="G150" t="s">
        <v>357</v>
      </c>
    </row>
    <row r="151" spans="1:7" x14ac:dyDescent="0.25">
      <c r="A151" t="str">
        <f t="shared" si="2"/>
        <v>TC_F_26_CS Core</v>
      </c>
      <c r="B151" t="s">
        <v>754</v>
      </c>
      <c r="C151" t="s">
        <v>143</v>
      </c>
      <c r="D151" t="s">
        <v>755</v>
      </c>
      <c r="E151" t="s">
        <v>430</v>
      </c>
      <c r="F151" t="s">
        <v>81</v>
      </c>
      <c r="G151" t="s">
        <v>357</v>
      </c>
    </row>
    <row r="152" spans="1:7" x14ac:dyDescent="0.25">
      <c r="A152" t="str">
        <f t="shared" si="2"/>
        <v>TC_F_27_CS Core</v>
      </c>
      <c r="B152" t="s">
        <v>756</v>
      </c>
      <c r="C152" t="s">
        <v>143</v>
      </c>
      <c r="D152" t="s">
        <v>757</v>
      </c>
      <c r="E152" t="s">
        <v>430</v>
      </c>
      <c r="F152" t="s">
        <v>293</v>
      </c>
    </row>
    <row r="153" spans="1:7" x14ac:dyDescent="0.25">
      <c r="A153" t="str">
        <f t="shared" si="2"/>
        <v>TC_G_01_CS Core</v>
      </c>
      <c r="B153" t="s">
        <v>758</v>
      </c>
      <c r="C153" t="s">
        <v>143</v>
      </c>
      <c r="D153" t="s">
        <v>1252</v>
      </c>
      <c r="E153" t="s">
        <v>412</v>
      </c>
    </row>
    <row r="154" spans="1:7" x14ac:dyDescent="0.25">
      <c r="A154" t="str">
        <f t="shared" si="2"/>
        <v>TC_G_02_CS Core</v>
      </c>
      <c r="B154" t="s">
        <v>759</v>
      </c>
      <c r="C154" t="s">
        <v>143</v>
      </c>
      <c r="D154" t="s">
        <v>1253</v>
      </c>
      <c r="E154" t="s">
        <v>412</v>
      </c>
    </row>
    <row r="155" spans="1:7" x14ac:dyDescent="0.25">
      <c r="A155" t="str">
        <f t="shared" si="2"/>
        <v>TC_G_03_CS Core</v>
      </c>
      <c r="B155" t="s">
        <v>760</v>
      </c>
      <c r="C155" t="s">
        <v>143</v>
      </c>
      <c r="D155" t="s">
        <v>1254</v>
      </c>
      <c r="E155" t="s">
        <v>412</v>
      </c>
    </row>
    <row r="156" spans="1:7" x14ac:dyDescent="0.25">
      <c r="A156" t="str">
        <f t="shared" si="2"/>
        <v>TC_G_09_CS Core</v>
      </c>
      <c r="B156" t="s">
        <v>766</v>
      </c>
      <c r="C156" t="s">
        <v>143</v>
      </c>
      <c r="D156" t="s">
        <v>1260</v>
      </c>
      <c r="E156" t="s">
        <v>412</v>
      </c>
    </row>
    <row r="157" spans="1:7" x14ac:dyDescent="0.25">
      <c r="A157" t="str">
        <f t="shared" si="2"/>
        <v>TC_G_04_CS Core</v>
      </c>
      <c r="B157" t="s">
        <v>761</v>
      </c>
      <c r="C157" t="s">
        <v>143</v>
      </c>
      <c r="D157" t="s">
        <v>1255</v>
      </c>
      <c r="E157" t="s">
        <v>412</v>
      </c>
    </row>
    <row r="158" spans="1:7" x14ac:dyDescent="0.25">
      <c r="A158" t="str">
        <f t="shared" si="2"/>
        <v>TC_G_10_CS Core</v>
      </c>
      <c r="B158" t="s">
        <v>767</v>
      </c>
      <c r="C158" t="s">
        <v>143</v>
      </c>
      <c r="D158" t="s">
        <v>1261</v>
      </c>
      <c r="E158" t="s">
        <v>412</v>
      </c>
    </row>
    <row r="159" spans="1:7" x14ac:dyDescent="0.25">
      <c r="A159" t="str">
        <f t="shared" si="2"/>
        <v>TC_G_11_CS Core</v>
      </c>
      <c r="B159" t="s">
        <v>768</v>
      </c>
      <c r="C159" t="s">
        <v>143</v>
      </c>
      <c r="D159" t="s">
        <v>1262</v>
      </c>
      <c r="E159" t="s">
        <v>412</v>
      </c>
    </row>
    <row r="160" spans="1:7" x14ac:dyDescent="0.25">
      <c r="A160" t="str">
        <f t="shared" si="2"/>
        <v>TC_G_18_CS Core</v>
      </c>
      <c r="B160" t="s">
        <v>775</v>
      </c>
      <c r="C160" t="s">
        <v>143</v>
      </c>
      <c r="D160" t="s">
        <v>1269</v>
      </c>
      <c r="E160" t="s">
        <v>412</v>
      </c>
    </row>
    <row r="161" spans="1:7" x14ac:dyDescent="0.25">
      <c r="A161" t="str">
        <f t="shared" si="2"/>
        <v>TC_G_05_CS Core</v>
      </c>
      <c r="B161" t="s">
        <v>762</v>
      </c>
      <c r="C161" t="s">
        <v>143</v>
      </c>
      <c r="D161" t="s">
        <v>1256</v>
      </c>
      <c r="E161" t="s">
        <v>412</v>
      </c>
    </row>
    <row r="162" spans="1:7" x14ac:dyDescent="0.25">
      <c r="A162" t="str">
        <f t="shared" si="2"/>
        <v>TC_G_12_CS Core</v>
      </c>
      <c r="B162" t="s">
        <v>769</v>
      </c>
      <c r="C162" t="s">
        <v>143</v>
      </c>
      <c r="D162" t="s">
        <v>1263</v>
      </c>
      <c r="E162" t="s">
        <v>412</v>
      </c>
    </row>
    <row r="163" spans="1:7" x14ac:dyDescent="0.25">
      <c r="A163" t="str">
        <f t="shared" si="2"/>
        <v>TC_G_06_CS Core</v>
      </c>
      <c r="B163" t="s">
        <v>763</v>
      </c>
      <c r="C163" t="s">
        <v>143</v>
      </c>
      <c r="D163" t="s">
        <v>1257</v>
      </c>
      <c r="E163" t="s">
        <v>412</v>
      </c>
    </row>
    <row r="164" spans="1:7" x14ac:dyDescent="0.25">
      <c r="A164" t="str">
        <f t="shared" si="2"/>
        <v>TC_G_13_CS Core</v>
      </c>
      <c r="B164" t="s">
        <v>770</v>
      </c>
      <c r="C164" t="s">
        <v>143</v>
      </c>
      <c r="D164" t="s">
        <v>1264</v>
      </c>
      <c r="E164" t="s">
        <v>412</v>
      </c>
    </row>
    <row r="165" spans="1:7" x14ac:dyDescent="0.25">
      <c r="A165" t="str">
        <f t="shared" si="2"/>
        <v>TC_G_21_CS Core</v>
      </c>
      <c r="B165" t="s">
        <v>777</v>
      </c>
      <c r="C165" t="s">
        <v>143</v>
      </c>
      <c r="D165" t="s">
        <v>1271</v>
      </c>
      <c r="E165" t="s">
        <v>412</v>
      </c>
    </row>
    <row r="166" spans="1:7" x14ac:dyDescent="0.25">
      <c r="A166" t="str">
        <f t="shared" si="2"/>
        <v>TC_G_14_CS Core</v>
      </c>
      <c r="B166" t="s">
        <v>771</v>
      </c>
      <c r="C166" t="s">
        <v>143</v>
      </c>
      <c r="D166" t="s">
        <v>1265</v>
      </c>
      <c r="E166" t="s">
        <v>412</v>
      </c>
    </row>
    <row r="167" spans="1:7" x14ac:dyDescent="0.25">
      <c r="A167" t="str">
        <f t="shared" si="2"/>
        <v>TC_G_07_CS Core</v>
      </c>
      <c r="B167" t="s">
        <v>764</v>
      </c>
      <c r="C167" t="s">
        <v>143</v>
      </c>
      <c r="D167" t="s">
        <v>1258</v>
      </c>
      <c r="E167" t="s">
        <v>412</v>
      </c>
    </row>
    <row r="168" spans="1:7" x14ac:dyDescent="0.25">
      <c r="A168" t="str">
        <f t="shared" si="2"/>
        <v>TC_G_15_CS Core</v>
      </c>
      <c r="B168" t="s">
        <v>772</v>
      </c>
      <c r="C168" t="s">
        <v>143</v>
      </c>
      <c r="D168" t="s">
        <v>1266</v>
      </c>
      <c r="E168" t="s">
        <v>412</v>
      </c>
    </row>
    <row r="169" spans="1:7" x14ac:dyDescent="0.25">
      <c r="A169" t="str">
        <f t="shared" si="2"/>
        <v>TC_G_08_CS Core</v>
      </c>
      <c r="B169" t="s">
        <v>765</v>
      </c>
      <c r="C169" t="s">
        <v>143</v>
      </c>
      <c r="D169" t="s">
        <v>1259</v>
      </c>
      <c r="E169" t="s">
        <v>412</v>
      </c>
    </row>
    <row r="170" spans="1:7" x14ac:dyDescent="0.25">
      <c r="A170" t="str">
        <f t="shared" si="2"/>
        <v>TC_G_16_CS Core</v>
      </c>
      <c r="B170" t="s">
        <v>773</v>
      </c>
      <c r="C170" t="s">
        <v>143</v>
      </c>
      <c r="D170" t="s">
        <v>1267</v>
      </c>
      <c r="E170" t="s">
        <v>412</v>
      </c>
    </row>
    <row r="171" spans="1:7" x14ac:dyDescent="0.25">
      <c r="A171" t="str">
        <f t="shared" si="2"/>
        <v>TC_G_17_CS Core</v>
      </c>
      <c r="B171" t="s">
        <v>774</v>
      </c>
      <c r="C171" t="s">
        <v>143</v>
      </c>
      <c r="D171" t="s">
        <v>1268</v>
      </c>
      <c r="E171" t="s">
        <v>412</v>
      </c>
    </row>
    <row r="172" spans="1:7" x14ac:dyDescent="0.25">
      <c r="A172" t="str">
        <f t="shared" si="2"/>
        <v>TC_G_19_CS Core</v>
      </c>
      <c r="B172" t="s">
        <v>776</v>
      </c>
      <c r="C172" t="s">
        <v>143</v>
      </c>
      <c r="D172" t="s">
        <v>1270</v>
      </c>
      <c r="E172" t="s">
        <v>412</v>
      </c>
    </row>
    <row r="173" spans="1:7" x14ac:dyDescent="0.25">
      <c r="A173" t="str">
        <f t="shared" si="2"/>
        <v>TC_J_01_CS Core</v>
      </c>
      <c r="B173" t="s">
        <v>823</v>
      </c>
      <c r="C173" t="s">
        <v>143</v>
      </c>
      <c r="D173" t="s">
        <v>824</v>
      </c>
      <c r="E173" t="s">
        <v>412</v>
      </c>
      <c r="F173" t="s">
        <v>96</v>
      </c>
      <c r="G173" t="s">
        <v>825</v>
      </c>
    </row>
    <row r="174" spans="1:7" x14ac:dyDescent="0.25">
      <c r="A174" t="str">
        <f t="shared" si="2"/>
        <v>TC_J_02_CS Core</v>
      </c>
      <c r="B174" t="s">
        <v>826</v>
      </c>
      <c r="C174" t="s">
        <v>143</v>
      </c>
      <c r="D174" t="s">
        <v>827</v>
      </c>
      <c r="E174" t="s">
        <v>412</v>
      </c>
      <c r="F174" t="s">
        <v>96</v>
      </c>
      <c r="G174" t="s">
        <v>825</v>
      </c>
    </row>
    <row r="175" spans="1:7" x14ac:dyDescent="0.25">
      <c r="A175" t="str">
        <f t="shared" si="2"/>
        <v>TC_J_03_CS Core</v>
      </c>
      <c r="B175" t="s">
        <v>828</v>
      </c>
      <c r="C175" t="s">
        <v>143</v>
      </c>
      <c r="D175" t="s">
        <v>829</v>
      </c>
      <c r="E175" t="s">
        <v>412</v>
      </c>
      <c r="F175" t="s">
        <v>96</v>
      </c>
      <c r="G175" t="s">
        <v>825</v>
      </c>
    </row>
    <row r="176" spans="1:7" x14ac:dyDescent="0.25">
      <c r="A176" t="str">
        <f t="shared" si="2"/>
        <v>TC_J_04_CS Core</v>
      </c>
      <c r="B176" t="s">
        <v>830</v>
      </c>
      <c r="C176" t="s">
        <v>143</v>
      </c>
      <c r="D176" t="s">
        <v>831</v>
      </c>
      <c r="E176" t="s">
        <v>430</v>
      </c>
      <c r="F176" t="s">
        <v>256</v>
      </c>
      <c r="G176" t="s">
        <v>832</v>
      </c>
    </row>
    <row r="177" spans="1:7" x14ac:dyDescent="0.25">
      <c r="A177" t="str">
        <f t="shared" si="2"/>
        <v>TC_J_06_CS Core</v>
      </c>
      <c r="B177" t="s">
        <v>833</v>
      </c>
      <c r="C177" t="s">
        <v>143</v>
      </c>
      <c r="D177" t="s">
        <v>1272</v>
      </c>
      <c r="E177" t="s">
        <v>430</v>
      </c>
      <c r="F177" t="s">
        <v>74</v>
      </c>
      <c r="G177" t="s">
        <v>834</v>
      </c>
    </row>
    <row r="178" spans="1:7" x14ac:dyDescent="0.25">
      <c r="A178" t="str">
        <f t="shared" si="2"/>
        <v>TC_J_07_CS Core</v>
      </c>
      <c r="B178" t="s">
        <v>835</v>
      </c>
      <c r="C178" t="s">
        <v>143</v>
      </c>
      <c r="D178" t="s">
        <v>836</v>
      </c>
      <c r="E178" t="s">
        <v>412</v>
      </c>
      <c r="F178" t="s">
        <v>96</v>
      </c>
      <c r="G178" t="s">
        <v>825</v>
      </c>
    </row>
    <row r="179" spans="1:7" x14ac:dyDescent="0.25">
      <c r="A179" t="str">
        <f t="shared" si="2"/>
        <v>TC_J_08_CS Core</v>
      </c>
      <c r="B179" t="s">
        <v>837</v>
      </c>
      <c r="C179" t="s">
        <v>143</v>
      </c>
      <c r="D179" t="s">
        <v>1273</v>
      </c>
      <c r="E179" t="s">
        <v>430</v>
      </c>
      <c r="F179" t="s">
        <v>1121</v>
      </c>
      <c r="G179" t="s">
        <v>838</v>
      </c>
    </row>
    <row r="180" spans="1:7" x14ac:dyDescent="0.25">
      <c r="A180" t="str">
        <f t="shared" si="2"/>
        <v>TC_J_09_CS Core</v>
      </c>
      <c r="B180" t="s">
        <v>839</v>
      </c>
      <c r="C180" t="s">
        <v>143</v>
      </c>
      <c r="D180" t="s">
        <v>840</v>
      </c>
      <c r="E180" t="s">
        <v>412</v>
      </c>
      <c r="F180" t="s">
        <v>96</v>
      </c>
      <c r="G180" t="s">
        <v>825</v>
      </c>
    </row>
    <row r="181" spans="1:7" x14ac:dyDescent="0.25">
      <c r="A181" t="str">
        <f t="shared" si="2"/>
        <v>TC_J_10_CS Core</v>
      </c>
      <c r="B181" t="s">
        <v>841</v>
      </c>
      <c r="C181" t="s">
        <v>143</v>
      </c>
      <c r="D181" t="s">
        <v>842</v>
      </c>
      <c r="E181" t="s">
        <v>412</v>
      </c>
      <c r="F181" t="s">
        <v>96</v>
      </c>
      <c r="G181" t="s">
        <v>825</v>
      </c>
    </row>
    <row r="182" spans="1:7" x14ac:dyDescent="0.25">
      <c r="A182" t="str">
        <f t="shared" si="2"/>
        <v>TC_J_11_CS Core</v>
      </c>
      <c r="B182" t="s">
        <v>843</v>
      </c>
      <c r="C182" t="s">
        <v>143</v>
      </c>
      <c r="D182" t="s">
        <v>844</v>
      </c>
      <c r="E182" t="s">
        <v>430</v>
      </c>
      <c r="F182" t="s">
        <v>100</v>
      </c>
      <c r="G182" t="s">
        <v>832</v>
      </c>
    </row>
    <row r="183" spans="1:7" x14ac:dyDescent="0.25">
      <c r="A183" t="str">
        <f t="shared" si="2"/>
        <v>TC_K_38_CS Core</v>
      </c>
      <c r="B183" t="s">
        <v>890</v>
      </c>
      <c r="C183" t="s">
        <v>143</v>
      </c>
      <c r="D183" t="s">
        <v>891</v>
      </c>
      <c r="E183" t="s">
        <v>430</v>
      </c>
      <c r="F183" t="s">
        <v>294</v>
      </c>
    </row>
    <row r="184" spans="1:7" x14ac:dyDescent="0.25">
      <c r="A184" t="str">
        <f t="shared" si="2"/>
        <v>TC_L_01_CS Core</v>
      </c>
      <c r="B184" t="s">
        <v>913</v>
      </c>
      <c r="C184" t="s">
        <v>143</v>
      </c>
      <c r="D184" t="s">
        <v>914</v>
      </c>
      <c r="E184" t="s">
        <v>412</v>
      </c>
    </row>
    <row r="185" spans="1:7" x14ac:dyDescent="0.25">
      <c r="A185" t="str">
        <f t="shared" si="2"/>
        <v>TC_L_02_CS Core</v>
      </c>
      <c r="B185" t="s">
        <v>915</v>
      </c>
      <c r="C185" t="s">
        <v>143</v>
      </c>
      <c r="D185" t="s">
        <v>916</v>
      </c>
      <c r="E185" t="s">
        <v>412</v>
      </c>
      <c r="F185" t="s">
        <v>917</v>
      </c>
      <c r="G185" t="s">
        <v>918</v>
      </c>
    </row>
    <row r="186" spans="1:7" x14ac:dyDescent="0.25">
      <c r="A186" t="str">
        <f t="shared" si="2"/>
        <v>TC_L_03_CS Core</v>
      </c>
      <c r="B186" t="s">
        <v>919</v>
      </c>
      <c r="C186" t="s">
        <v>143</v>
      </c>
      <c r="D186" t="s">
        <v>920</v>
      </c>
      <c r="E186" t="s">
        <v>412</v>
      </c>
      <c r="F186" t="s">
        <v>917</v>
      </c>
      <c r="G186" t="s">
        <v>918</v>
      </c>
    </row>
    <row r="187" spans="1:7" x14ac:dyDescent="0.25">
      <c r="A187" t="str">
        <f t="shared" si="2"/>
        <v>TC_L_05_CS Core</v>
      </c>
      <c r="B187" t="s">
        <v>921</v>
      </c>
      <c r="C187" t="s">
        <v>143</v>
      </c>
      <c r="D187" t="s">
        <v>922</v>
      </c>
      <c r="E187" t="s">
        <v>412</v>
      </c>
    </row>
    <row r="188" spans="1:7" x14ac:dyDescent="0.25">
      <c r="A188" t="str">
        <f t="shared" si="2"/>
        <v>TC_L_06_CS Core</v>
      </c>
      <c r="B188" t="s">
        <v>923</v>
      </c>
      <c r="C188" t="s">
        <v>143</v>
      </c>
      <c r="D188" t="s">
        <v>924</v>
      </c>
      <c r="E188" t="s">
        <v>412</v>
      </c>
    </row>
    <row r="189" spans="1:7" x14ac:dyDescent="0.25">
      <c r="A189" t="str">
        <f t="shared" si="2"/>
        <v>TC_L_07_CS Core</v>
      </c>
      <c r="B189" t="s">
        <v>925</v>
      </c>
      <c r="C189" t="s">
        <v>143</v>
      </c>
      <c r="D189" t="s">
        <v>926</v>
      </c>
      <c r="E189" t="s">
        <v>412</v>
      </c>
    </row>
    <row r="190" spans="1:7" x14ac:dyDescent="0.25">
      <c r="A190" t="str">
        <f t="shared" si="2"/>
        <v>TC_L_08_CS Core</v>
      </c>
      <c r="B190" t="s">
        <v>927</v>
      </c>
      <c r="C190" t="s">
        <v>143</v>
      </c>
      <c r="D190" t="s">
        <v>1119</v>
      </c>
      <c r="E190" t="s">
        <v>412</v>
      </c>
    </row>
    <row r="191" spans="1:7" x14ac:dyDescent="0.25">
      <c r="A191" t="str">
        <f t="shared" si="2"/>
        <v>TC_L_10_CS Core</v>
      </c>
      <c r="B191" t="s">
        <v>928</v>
      </c>
      <c r="C191" t="s">
        <v>143</v>
      </c>
      <c r="D191" t="s">
        <v>929</v>
      </c>
      <c r="E191" t="s">
        <v>430</v>
      </c>
      <c r="F191" t="s">
        <v>115</v>
      </c>
    </row>
    <row r="192" spans="1:7" x14ac:dyDescent="0.25">
      <c r="A192" t="str">
        <f t="shared" si="2"/>
        <v>TC_L_11_CS Core</v>
      </c>
      <c r="B192" t="s">
        <v>930</v>
      </c>
      <c r="C192" t="s">
        <v>143</v>
      </c>
      <c r="D192" t="s">
        <v>931</v>
      </c>
      <c r="E192" t="s">
        <v>430</v>
      </c>
      <c r="F192" t="s">
        <v>316</v>
      </c>
    </row>
    <row r="193" spans="1:7" x14ac:dyDescent="0.25">
      <c r="A193" t="str">
        <f t="shared" si="2"/>
        <v>TC_L_18_CS Core</v>
      </c>
      <c r="B193" t="s">
        <v>942</v>
      </c>
      <c r="C193" t="s">
        <v>143</v>
      </c>
      <c r="D193" t="s">
        <v>943</v>
      </c>
      <c r="E193" t="s">
        <v>412</v>
      </c>
    </row>
    <row r="194" spans="1:7" x14ac:dyDescent="0.25">
      <c r="A194" t="str">
        <f t="shared" si="2"/>
        <v>TC_L_12_CS Core</v>
      </c>
      <c r="B194" t="s">
        <v>932</v>
      </c>
      <c r="C194" t="s">
        <v>143</v>
      </c>
      <c r="D194" t="s">
        <v>936</v>
      </c>
      <c r="E194" t="s">
        <v>430</v>
      </c>
      <c r="F194" t="s">
        <v>1156</v>
      </c>
      <c r="G194" t="s">
        <v>934</v>
      </c>
    </row>
    <row r="195" spans="1:7" x14ac:dyDescent="0.25">
      <c r="A195" t="str">
        <f t="shared" ref="A195:A258" si="3">B195&amp;" "&amp;C195</f>
        <v>TC_L_13_CS Core</v>
      </c>
      <c r="B195" t="s">
        <v>935</v>
      </c>
      <c r="C195" t="s">
        <v>143</v>
      </c>
      <c r="D195" t="s">
        <v>933</v>
      </c>
      <c r="E195" t="s">
        <v>430</v>
      </c>
      <c r="F195" t="s">
        <v>1125</v>
      </c>
    </row>
    <row r="196" spans="1:7" x14ac:dyDescent="0.25">
      <c r="A196" t="str">
        <f t="shared" si="3"/>
        <v>TC_L_14_CS Core</v>
      </c>
      <c r="B196" t="s">
        <v>937</v>
      </c>
      <c r="C196" t="s">
        <v>143</v>
      </c>
      <c r="D196" t="s">
        <v>1412</v>
      </c>
      <c r="E196" t="s">
        <v>430</v>
      </c>
      <c r="F196" t="s">
        <v>1155</v>
      </c>
      <c r="G196" t="s">
        <v>934</v>
      </c>
    </row>
    <row r="197" spans="1:7" x14ac:dyDescent="0.25">
      <c r="A197" t="str">
        <f t="shared" si="3"/>
        <v>TC_L_15_CS Core</v>
      </c>
      <c r="B197" t="s">
        <v>938</v>
      </c>
      <c r="C197" t="s">
        <v>143</v>
      </c>
      <c r="D197" t="s">
        <v>1478</v>
      </c>
      <c r="E197" t="s">
        <v>430</v>
      </c>
      <c r="F197" t="s">
        <v>1126</v>
      </c>
    </row>
    <row r="198" spans="1:7" x14ac:dyDescent="0.25">
      <c r="A198" t="str">
        <f t="shared" si="3"/>
        <v>TC_L_16_CS Core</v>
      </c>
      <c r="B198" t="s">
        <v>939</v>
      </c>
      <c r="C198" t="s">
        <v>143</v>
      </c>
      <c r="D198" t="s">
        <v>940</v>
      </c>
      <c r="E198" t="s">
        <v>430</v>
      </c>
      <c r="F198" t="s">
        <v>101</v>
      </c>
      <c r="G198" t="s">
        <v>941</v>
      </c>
    </row>
    <row r="199" spans="1:7" x14ac:dyDescent="0.25">
      <c r="A199" t="str">
        <f t="shared" si="3"/>
        <v>TC_M_12_CS Core</v>
      </c>
      <c r="B199" t="s">
        <v>957</v>
      </c>
      <c r="C199" t="s">
        <v>143</v>
      </c>
      <c r="D199" t="s">
        <v>958</v>
      </c>
      <c r="E199" t="s">
        <v>412</v>
      </c>
    </row>
    <row r="200" spans="1:7" x14ac:dyDescent="0.25">
      <c r="A200" t="str">
        <f t="shared" si="3"/>
        <v>TC_M_13_CS Core</v>
      </c>
      <c r="B200" t="s">
        <v>959</v>
      </c>
      <c r="C200" t="s">
        <v>143</v>
      </c>
      <c r="D200" t="s">
        <v>960</v>
      </c>
      <c r="E200" t="s">
        <v>412</v>
      </c>
    </row>
    <row r="201" spans="1:7" x14ac:dyDescent="0.25">
      <c r="A201" t="str">
        <f t="shared" si="3"/>
        <v>TC_M_17_CS Core</v>
      </c>
      <c r="B201" t="s">
        <v>967</v>
      </c>
      <c r="C201" t="s">
        <v>143</v>
      </c>
      <c r="D201" t="s">
        <v>968</v>
      </c>
      <c r="E201" t="s">
        <v>412</v>
      </c>
    </row>
    <row r="202" spans="1:7" x14ac:dyDescent="0.25">
      <c r="A202" t="str">
        <f t="shared" si="3"/>
        <v>TC_M_18_CS Core</v>
      </c>
      <c r="B202" t="s">
        <v>969</v>
      </c>
      <c r="C202" t="s">
        <v>143</v>
      </c>
      <c r="D202" t="s">
        <v>970</v>
      </c>
      <c r="E202" t="s">
        <v>412</v>
      </c>
    </row>
    <row r="203" spans="1:7" x14ac:dyDescent="0.25">
      <c r="A203" t="str">
        <f t="shared" si="3"/>
        <v>TC_M_19_CS Core</v>
      </c>
      <c r="B203" t="s">
        <v>971</v>
      </c>
      <c r="C203" t="s">
        <v>143</v>
      </c>
      <c r="D203" t="s">
        <v>972</v>
      </c>
      <c r="E203" t="s">
        <v>412</v>
      </c>
    </row>
    <row r="204" spans="1:7" x14ac:dyDescent="0.25">
      <c r="A204" t="str">
        <f t="shared" si="3"/>
        <v>TC_M_20_CS Core</v>
      </c>
      <c r="B204" t="s">
        <v>973</v>
      </c>
      <c r="C204" t="s">
        <v>143</v>
      </c>
      <c r="D204" t="s">
        <v>974</v>
      </c>
      <c r="E204" t="s">
        <v>412</v>
      </c>
    </row>
    <row r="205" spans="1:7" x14ac:dyDescent="0.25">
      <c r="A205" t="str">
        <f t="shared" si="3"/>
        <v>TC_M_22_CS Core</v>
      </c>
      <c r="B205" t="s">
        <v>975</v>
      </c>
      <c r="C205" t="s">
        <v>143</v>
      </c>
      <c r="D205" t="s">
        <v>976</v>
      </c>
      <c r="E205" t="s">
        <v>412</v>
      </c>
    </row>
    <row r="206" spans="1:7" x14ac:dyDescent="0.25">
      <c r="A206" t="str">
        <f t="shared" si="3"/>
        <v>TC_M_01_CS Core</v>
      </c>
      <c r="B206" t="s">
        <v>944</v>
      </c>
      <c r="C206" t="s">
        <v>143</v>
      </c>
      <c r="D206" t="s">
        <v>945</v>
      </c>
      <c r="E206" t="s">
        <v>412</v>
      </c>
    </row>
    <row r="207" spans="1:7" x14ac:dyDescent="0.25">
      <c r="A207" t="str">
        <f t="shared" si="3"/>
        <v>TC_M_02_CS Core</v>
      </c>
      <c r="B207" t="s">
        <v>946</v>
      </c>
      <c r="C207" t="s">
        <v>143</v>
      </c>
      <c r="D207" t="s">
        <v>947</v>
      </c>
      <c r="E207" t="s">
        <v>412</v>
      </c>
    </row>
    <row r="208" spans="1:7" x14ac:dyDescent="0.25">
      <c r="A208" t="str">
        <f t="shared" si="3"/>
        <v>TC_M_07_CS Core</v>
      </c>
      <c r="B208" t="s">
        <v>952</v>
      </c>
      <c r="C208" t="s">
        <v>143</v>
      </c>
      <c r="D208" t="s">
        <v>953</v>
      </c>
      <c r="E208" t="s">
        <v>412</v>
      </c>
    </row>
    <row r="209" spans="1:7" x14ac:dyDescent="0.25">
      <c r="A209" t="str">
        <f t="shared" si="3"/>
        <v>TC_M_09_CS Core</v>
      </c>
      <c r="B209" t="s">
        <v>954</v>
      </c>
      <c r="C209" t="s">
        <v>143</v>
      </c>
      <c r="D209" t="s">
        <v>955</v>
      </c>
      <c r="E209" t="s">
        <v>430</v>
      </c>
      <c r="F209" t="s">
        <v>120</v>
      </c>
      <c r="G209" t="s">
        <v>956</v>
      </c>
    </row>
    <row r="210" spans="1:7" x14ac:dyDescent="0.25">
      <c r="A210" t="str">
        <f t="shared" si="3"/>
        <v>TC_M_30_CS Core</v>
      </c>
      <c r="B210" t="s">
        <v>987</v>
      </c>
      <c r="C210" t="s">
        <v>143</v>
      </c>
      <c r="D210" t="s">
        <v>988</v>
      </c>
      <c r="E210" t="s">
        <v>430</v>
      </c>
      <c r="F210" t="s">
        <v>120</v>
      </c>
      <c r="G210" t="s">
        <v>956</v>
      </c>
    </row>
    <row r="211" spans="1:7" x14ac:dyDescent="0.25">
      <c r="A211" t="str">
        <f t="shared" si="3"/>
        <v>TC_M_31_CS Core</v>
      </c>
      <c r="B211" t="s">
        <v>989</v>
      </c>
      <c r="C211" t="s">
        <v>143</v>
      </c>
      <c r="D211" t="s">
        <v>990</v>
      </c>
      <c r="E211" t="s">
        <v>430</v>
      </c>
      <c r="F211" t="s">
        <v>120</v>
      </c>
      <c r="G211" t="s">
        <v>956</v>
      </c>
    </row>
    <row r="212" spans="1:7" x14ac:dyDescent="0.25">
      <c r="A212" t="str">
        <f t="shared" si="3"/>
        <v>TC_N_25_CS Core</v>
      </c>
      <c r="B212" t="s">
        <v>1018</v>
      </c>
      <c r="C212" t="s">
        <v>143</v>
      </c>
      <c r="D212" t="s">
        <v>1019</v>
      </c>
      <c r="E212" t="s">
        <v>412</v>
      </c>
    </row>
    <row r="213" spans="1:7" x14ac:dyDescent="0.25">
      <c r="A213" t="str">
        <f t="shared" si="3"/>
        <v>TC_N_26_CS Core</v>
      </c>
      <c r="B213" t="s">
        <v>1020</v>
      </c>
      <c r="C213" t="s">
        <v>143</v>
      </c>
      <c r="D213" t="s">
        <v>1274</v>
      </c>
      <c r="E213" t="s">
        <v>412</v>
      </c>
    </row>
    <row r="214" spans="1:7" x14ac:dyDescent="0.25">
      <c r="A214" t="str">
        <f t="shared" si="3"/>
        <v>TC_N_35_CS Core</v>
      </c>
      <c r="B214" t="s">
        <v>1031</v>
      </c>
      <c r="C214" t="s">
        <v>143</v>
      </c>
      <c r="D214" t="s">
        <v>1032</v>
      </c>
      <c r="E214" t="s">
        <v>412</v>
      </c>
    </row>
    <row r="215" spans="1:7" x14ac:dyDescent="0.25">
      <c r="A215" t="str">
        <f t="shared" si="3"/>
        <v>TC_N_36_CS Core</v>
      </c>
      <c r="B215" t="s">
        <v>1033</v>
      </c>
      <c r="C215" t="s">
        <v>143</v>
      </c>
      <c r="D215" t="s">
        <v>1034</v>
      </c>
      <c r="E215" t="s">
        <v>430</v>
      </c>
      <c r="F215" t="s">
        <v>114</v>
      </c>
    </row>
    <row r="216" spans="1:7" x14ac:dyDescent="0.25">
      <c r="A216" t="str">
        <f t="shared" si="3"/>
        <v>TC_N_27_CS Core</v>
      </c>
      <c r="B216" t="s">
        <v>1021</v>
      </c>
      <c r="C216" t="s">
        <v>143</v>
      </c>
      <c r="D216" t="s">
        <v>1022</v>
      </c>
      <c r="E216" t="s">
        <v>430</v>
      </c>
      <c r="F216" t="s">
        <v>296</v>
      </c>
    </row>
    <row r="217" spans="1:7" x14ac:dyDescent="0.25">
      <c r="A217" t="str">
        <f t="shared" si="3"/>
        <v>TC_N_28_CS Core</v>
      </c>
      <c r="B217" t="s">
        <v>1023</v>
      </c>
      <c r="C217" t="s">
        <v>143</v>
      </c>
      <c r="D217" t="s">
        <v>1024</v>
      </c>
      <c r="E217" t="s">
        <v>430</v>
      </c>
      <c r="F217" t="s">
        <v>296</v>
      </c>
    </row>
    <row r="218" spans="1:7" x14ac:dyDescent="0.25">
      <c r="A218" t="str">
        <f t="shared" si="3"/>
        <v>TC_N_30_CS Core</v>
      </c>
      <c r="B218" t="s">
        <v>1025</v>
      </c>
      <c r="C218" t="s">
        <v>143</v>
      </c>
      <c r="D218" t="s">
        <v>1026</v>
      </c>
      <c r="E218" t="s">
        <v>430</v>
      </c>
      <c r="F218" t="s">
        <v>296</v>
      </c>
    </row>
    <row r="219" spans="1:7" x14ac:dyDescent="0.25">
      <c r="A219" t="str">
        <f t="shared" si="3"/>
        <v>TC_N_31_CS Core</v>
      </c>
      <c r="B219" t="s">
        <v>1027</v>
      </c>
      <c r="C219" t="s">
        <v>143</v>
      </c>
      <c r="D219" t="s">
        <v>1028</v>
      </c>
      <c r="E219" t="s">
        <v>430</v>
      </c>
      <c r="F219" t="s">
        <v>296</v>
      </c>
    </row>
    <row r="220" spans="1:7" x14ac:dyDescent="0.25">
      <c r="A220" t="str">
        <f t="shared" si="3"/>
        <v>TC_N_32_CS Core</v>
      </c>
      <c r="B220" t="s">
        <v>1029</v>
      </c>
      <c r="C220" t="s">
        <v>143</v>
      </c>
      <c r="D220" t="s">
        <v>1030</v>
      </c>
      <c r="E220" t="s">
        <v>412</v>
      </c>
    </row>
    <row r="221" spans="1:7" x14ac:dyDescent="0.25">
      <c r="A221" t="str">
        <f t="shared" si="3"/>
        <v>TC_N_62_CS Core</v>
      </c>
      <c r="B221" t="s">
        <v>1054</v>
      </c>
      <c r="C221" t="s">
        <v>143</v>
      </c>
      <c r="D221" t="s">
        <v>1055</v>
      </c>
      <c r="E221" t="s">
        <v>430</v>
      </c>
      <c r="F221" t="s">
        <v>67</v>
      </c>
    </row>
    <row r="222" spans="1:7" x14ac:dyDescent="0.25">
      <c r="A222" t="str">
        <f t="shared" si="3"/>
        <v>TC_P_01_CS Core</v>
      </c>
      <c r="B222" t="s">
        <v>1116</v>
      </c>
      <c r="C222" t="s">
        <v>143</v>
      </c>
      <c r="D222" t="s">
        <v>1117</v>
      </c>
      <c r="E222" t="s">
        <v>412</v>
      </c>
    </row>
    <row r="223" spans="1:7" x14ac:dyDescent="0.25">
      <c r="A223" t="str">
        <f t="shared" si="3"/>
        <v>TC_P_03_CS Core</v>
      </c>
      <c r="B223" t="s">
        <v>1118</v>
      </c>
      <c r="C223" t="s">
        <v>143</v>
      </c>
      <c r="D223" t="s">
        <v>1275</v>
      </c>
      <c r="E223" t="s">
        <v>412</v>
      </c>
    </row>
    <row r="224" spans="1:7" x14ac:dyDescent="0.25">
      <c r="A224" t="str">
        <f t="shared" si="3"/>
        <v>TC_A_07_CS Advanced Security</v>
      </c>
      <c r="B224" t="s">
        <v>419</v>
      </c>
      <c r="C224" t="s">
        <v>145</v>
      </c>
      <c r="D224" t="s">
        <v>1183</v>
      </c>
      <c r="E224" t="s">
        <v>412</v>
      </c>
    </row>
    <row r="225" spans="1:6" x14ac:dyDescent="0.25">
      <c r="A225" t="str">
        <f t="shared" si="3"/>
        <v>TC_A_11_CS Advanced Security</v>
      </c>
      <c r="B225" t="s">
        <v>424</v>
      </c>
      <c r="C225" t="s">
        <v>145</v>
      </c>
      <c r="D225" t="s">
        <v>425</v>
      </c>
      <c r="E225" t="s">
        <v>412</v>
      </c>
    </row>
    <row r="226" spans="1:6" x14ac:dyDescent="0.25">
      <c r="A226" t="str">
        <f t="shared" si="3"/>
        <v>TC_A_14_CS Advanced Security</v>
      </c>
      <c r="B226" t="s">
        <v>432</v>
      </c>
      <c r="C226" t="s">
        <v>145</v>
      </c>
      <c r="D226" t="s">
        <v>433</v>
      </c>
      <c r="E226" t="s">
        <v>412</v>
      </c>
    </row>
    <row r="227" spans="1:6" x14ac:dyDescent="0.25">
      <c r="A227" t="str">
        <f t="shared" si="3"/>
        <v>TC_A_15_CS Advanced Security</v>
      </c>
      <c r="B227" t="s">
        <v>434</v>
      </c>
      <c r="C227" t="s">
        <v>145</v>
      </c>
      <c r="D227" t="s">
        <v>435</v>
      </c>
      <c r="E227" t="s">
        <v>412</v>
      </c>
    </row>
    <row r="228" spans="1:6" x14ac:dyDescent="0.25">
      <c r="A228" t="str">
        <f t="shared" si="3"/>
        <v>TC_A_23_CS Advanced Security</v>
      </c>
      <c r="B228" t="s">
        <v>444</v>
      </c>
      <c r="C228" t="s">
        <v>145</v>
      </c>
      <c r="D228" t="s">
        <v>445</v>
      </c>
      <c r="E228" t="s">
        <v>430</v>
      </c>
      <c r="F228" t="s">
        <v>121</v>
      </c>
    </row>
    <row r="229" spans="1:6" x14ac:dyDescent="0.25">
      <c r="A229" t="str">
        <f t="shared" si="3"/>
        <v>TC_A_21_CS Advanced Security</v>
      </c>
      <c r="B229" t="s">
        <v>440</v>
      </c>
      <c r="C229" t="s">
        <v>145</v>
      </c>
      <c r="D229" t="s">
        <v>441</v>
      </c>
      <c r="E229" t="s">
        <v>430</v>
      </c>
      <c r="F229" t="s">
        <v>161</v>
      </c>
    </row>
    <row r="230" spans="1:6" x14ac:dyDescent="0.25">
      <c r="A230" t="str">
        <f t="shared" si="3"/>
        <v>TC_M_23_CS Advanced Security</v>
      </c>
      <c r="B230" t="s">
        <v>977</v>
      </c>
      <c r="C230" t="s">
        <v>145</v>
      </c>
      <c r="D230" t="s">
        <v>978</v>
      </c>
      <c r="E230" t="s">
        <v>412</v>
      </c>
    </row>
    <row r="231" spans="1:6" x14ac:dyDescent="0.25">
      <c r="A231" t="str">
        <f t="shared" si="3"/>
        <v>TC_C_21_CS Local Authorization List Management</v>
      </c>
      <c r="B231" t="s">
        <v>538</v>
      </c>
      <c r="C231" t="s">
        <v>147</v>
      </c>
      <c r="D231" t="s">
        <v>539</v>
      </c>
      <c r="E231" t="s">
        <v>412</v>
      </c>
      <c r="F231" t="s">
        <v>260</v>
      </c>
    </row>
    <row r="232" spans="1:6" x14ac:dyDescent="0.25">
      <c r="A232" t="str">
        <f t="shared" si="3"/>
        <v>TC_C_22_CS Local Authorization List Management</v>
      </c>
      <c r="B232" t="s">
        <v>540</v>
      </c>
      <c r="C232" t="s">
        <v>147</v>
      </c>
      <c r="D232" t="s">
        <v>541</v>
      </c>
      <c r="E232" t="s">
        <v>412</v>
      </c>
      <c r="F232" t="s">
        <v>260</v>
      </c>
    </row>
    <row r="233" spans="1:6" x14ac:dyDescent="0.25">
      <c r="A233" t="str">
        <f t="shared" si="3"/>
        <v>TC_C_23_CS Local Authorization List Management</v>
      </c>
      <c r="B233" t="s">
        <v>542</v>
      </c>
      <c r="C233" t="s">
        <v>147</v>
      </c>
      <c r="D233" t="s">
        <v>543</v>
      </c>
      <c r="E233" t="s">
        <v>412</v>
      </c>
      <c r="F233" t="s">
        <v>260</v>
      </c>
    </row>
    <row r="234" spans="1:6" x14ac:dyDescent="0.25">
      <c r="A234" t="str">
        <f t="shared" si="3"/>
        <v>TC_C_24_CS Local Authorization List Management</v>
      </c>
      <c r="B234" t="s">
        <v>544</v>
      </c>
      <c r="C234" t="s">
        <v>147</v>
      </c>
      <c r="D234" t="s">
        <v>545</v>
      </c>
      <c r="E234" t="s">
        <v>412</v>
      </c>
      <c r="F234" t="s">
        <v>260</v>
      </c>
    </row>
    <row r="235" spans="1:6" x14ac:dyDescent="0.25">
      <c r="A235" t="str">
        <f t="shared" si="3"/>
        <v>TC_C_25_CS Local Authorization List Management</v>
      </c>
      <c r="B235" t="s">
        <v>546</v>
      </c>
      <c r="C235" t="s">
        <v>147</v>
      </c>
      <c r="D235" t="s">
        <v>547</v>
      </c>
      <c r="E235" t="s">
        <v>412</v>
      </c>
      <c r="F235" t="s">
        <v>260</v>
      </c>
    </row>
    <row r="236" spans="1:6" x14ac:dyDescent="0.25">
      <c r="A236" t="str">
        <f t="shared" si="3"/>
        <v>TC_C_27_CS Local Authorization List Management</v>
      </c>
      <c r="B236" t="s">
        <v>550</v>
      </c>
      <c r="C236" t="s">
        <v>147</v>
      </c>
      <c r="D236" t="s">
        <v>551</v>
      </c>
      <c r="E236" t="s">
        <v>412</v>
      </c>
      <c r="F236" t="s">
        <v>260</v>
      </c>
    </row>
    <row r="237" spans="1:6" x14ac:dyDescent="0.25">
      <c r="A237" t="str">
        <f t="shared" si="3"/>
        <v>TC_C_28_CS Local Authorization List Management</v>
      </c>
      <c r="B237" t="s">
        <v>552</v>
      </c>
      <c r="C237" t="s">
        <v>147</v>
      </c>
      <c r="D237" t="s">
        <v>1413</v>
      </c>
      <c r="E237" t="s">
        <v>412</v>
      </c>
      <c r="F237" t="s">
        <v>260</v>
      </c>
    </row>
    <row r="238" spans="1:6" x14ac:dyDescent="0.25">
      <c r="A238" t="str">
        <f t="shared" si="3"/>
        <v>TC_C_31_CS Local Authorization List Management</v>
      </c>
      <c r="B238" t="s">
        <v>557</v>
      </c>
      <c r="C238" t="s">
        <v>147</v>
      </c>
      <c r="D238" t="s">
        <v>558</v>
      </c>
      <c r="E238" t="s">
        <v>412</v>
      </c>
      <c r="F238" t="s">
        <v>260</v>
      </c>
    </row>
    <row r="239" spans="1:6" x14ac:dyDescent="0.25">
      <c r="A239" t="str">
        <f t="shared" si="3"/>
        <v>TC_C_29_CS Local Authorization List Management</v>
      </c>
      <c r="B239" t="s">
        <v>553</v>
      </c>
      <c r="C239" t="s">
        <v>147</v>
      </c>
      <c r="D239" t="s">
        <v>554</v>
      </c>
      <c r="E239" t="s">
        <v>412</v>
      </c>
      <c r="F239" t="s">
        <v>260</v>
      </c>
    </row>
    <row r="240" spans="1:6" x14ac:dyDescent="0.25">
      <c r="A240" t="str">
        <f t="shared" si="3"/>
        <v>TC_C_30_CS Local Authorization List Management</v>
      </c>
      <c r="B240" t="s">
        <v>555</v>
      </c>
      <c r="C240" t="s">
        <v>147</v>
      </c>
      <c r="D240" t="s">
        <v>556</v>
      </c>
      <c r="E240" t="s">
        <v>412</v>
      </c>
      <c r="F240" t="s">
        <v>260</v>
      </c>
    </row>
    <row r="241" spans="1:7" x14ac:dyDescent="0.25">
      <c r="A241" t="str">
        <f t="shared" si="3"/>
        <v>TC_C_58_CS Local Authorization List Management</v>
      </c>
      <c r="B241" t="s">
        <v>608</v>
      </c>
      <c r="C241" t="s">
        <v>147</v>
      </c>
      <c r="D241" t="s">
        <v>609</v>
      </c>
      <c r="E241" t="s">
        <v>430</v>
      </c>
      <c r="F241" t="s">
        <v>312</v>
      </c>
    </row>
    <row r="242" spans="1:7" x14ac:dyDescent="0.25">
      <c r="A242" t="str">
        <f t="shared" si="3"/>
        <v>TC_C_40_CS Local Authorization List Management</v>
      </c>
      <c r="B242" t="s">
        <v>572</v>
      </c>
      <c r="C242" t="s">
        <v>147</v>
      </c>
      <c r="D242" t="s">
        <v>573</v>
      </c>
      <c r="E242" t="s">
        <v>412</v>
      </c>
      <c r="F242" t="s">
        <v>260</v>
      </c>
    </row>
    <row r="243" spans="1:7" x14ac:dyDescent="0.25">
      <c r="A243" t="str">
        <f t="shared" si="3"/>
        <v>TC_C_43_CS Local Authorization List Management</v>
      </c>
      <c r="B243" t="s">
        <v>578</v>
      </c>
      <c r="C243" t="s">
        <v>147</v>
      </c>
      <c r="D243" t="s">
        <v>579</v>
      </c>
      <c r="E243" t="s">
        <v>412</v>
      </c>
      <c r="F243" t="s">
        <v>260</v>
      </c>
    </row>
    <row r="244" spans="1:7" x14ac:dyDescent="0.25">
      <c r="A244" t="str">
        <f t="shared" si="3"/>
        <v>TC_D_01_CS Local Authorization List Management</v>
      </c>
      <c r="B244" t="s">
        <v>610</v>
      </c>
      <c r="C244" t="s">
        <v>147</v>
      </c>
      <c r="D244" t="s">
        <v>611</v>
      </c>
      <c r="E244" t="s">
        <v>412</v>
      </c>
    </row>
    <row r="245" spans="1:7" x14ac:dyDescent="0.25">
      <c r="A245" t="str">
        <f t="shared" si="3"/>
        <v>TC_D_02_CS Local Authorization List Management</v>
      </c>
      <c r="B245" t="s">
        <v>612</v>
      </c>
      <c r="C245" t="s">
        <v>147</v>
      </c>
      <c r="D245" t="s">
        <v>613</v>
      </c>
      <c r="E245" t="s">
        <v>412</v>
      </c>
    </row>
    <row r="246" spans="1:7" x14ac:dyDescent="0.25">
      <c r="A246" t="str">
        <f t="shared" si="3"/>
        <v>TC_D_03_CS Local Authorization List Management</v>
      </c>
      <c r="B246" t="s">
        <v>614</v>
      </c>
      <c r="C246" t="s">
        <v>147</v>
      </c>
      <c r="D246" t="s">
        <v>615</v>
      </c>
      <c r="E246" t="s">
        <v>412</v>
      </c>
    </row>
    <row r="247" spans="1:7" x14ac:dyDescent="0.25">
      <c r="A247" t="str">
        <f t="shared" si="3"/>
        <v>TC_D_04_CS Local Authorization List Management</v>
      </c>
      <c r="B247" t="s">
        <v>616</v>
      </c>
      <c r="C247" t="s">
        <v>147</v>
      </c>
      <c r="D247" t="s">
        <v>617</v>
      </c>
      <c r="E247" t="s">
        <v>412</v>
      </c>
    </row>
    <row r="248" spans="1:7" x14ac:dyDescent="0.25">
      <c r="A248" t="str">
        <f t="shared" si="3"/>
        <v>TC_D_05_CS Local Authorization List Management</v>
      </c>
      <c r="B248" t="s">
        <v>618</v>
      </c>
      <c r="C248" t="s">
        <v>147</v>
      </c>
      <c r="D248" t="s">
        <v>619</v>
      </c>
      <c r="E248" t="s">
        <v>412</v>
      </c>
    </row>
    <row r="249" spans="1:7" x14ac:dyDescent="0.25">
      <c r="A249" t="str">
        <f t="shared" si="3"/>
        <v>TC_D_06_CS Local Authorization List Management</v>
      </c>
      <c r="B249" t="s">
        <v>620</v>
      </c>
      <c r="C249" t="s">
        <v>147</v>
      </c>
      <c r="D249" t="s">
        <v>621</v>
      </c>
      <c r="E249" t="s">
        <v>412</v>
      </c>
    </row>
    <row r="250" spans="1:7" x14ac:dyDescent="0.25">
      <c r="A250" t="str">
        <f t="shared" si="3"/>
        <v>TC_D_07_CS Local Authorization List Management</v>
      </c>
      <c r="B250" t="s">
        <v>622</v>
      </c>
      <c r="C250" t="s">
        <v>147</v>
      </c>
      <c r="D250" t="s">
        <v>623</v>
      </c>
      <c r="E250" t="s">
        <v>412</v>
      </c>
    </row>
    <row r="251" spans="1:7" x14ac:dyDescent="0.25">
      <c r="A251" t="str">
        <f t="shared" si="3"/>
        <v>TC_D_08_CS Local Authorization List Management</v>
      </c>
      <c r="B251" t="s">
        <v>624</v>
      </c>
      <c r="C251" t="s">
        <v>147</v>
      </c>
      <c r="D251" t="s">
        <v>625</v>
      </c>
      <c r="E251" t="s">
        <v>412</v>
      </c>
      <c r="F251" t="s">
        <v>626</v>
      </c>
      <c r="G251" t="s">
        <v>627</v>
      </c>
    </row>
    <row r="252" spans="1:7" x14ac:dyDescent="0.25">
      <c r="A252" t="str">
        <f t="shared" si="3"/>
        <v>TC_D_10_CS Local Authorization List Management</v>
      </c>
      <c r="B252" t="s">
        <v>628</v>
      </c>
      <c r="C252" t="s">
        <v>147</v>
      </c>
      <c r="D252" t="s">
        <v>629</v>
      </c>
      <c r="E252" t="s">
        <v>412</v>
      </c>
    </row>
    <row r="253" spans="1:7" x14ac:dyDescent="0.25">
      <c r="A253" t="str">
        <f t="shared" si="3"/>
        <v>TC_K_01_CS Smart Charging</v>
      </c>
      <c r="B253" t="s">
        <v>845</v>
      </c>
      <c r="C253" t="s">
        <v>149</v>
      </c>
      <c r="D253" t="s">
        <v>1414</v>
      </c>
      <c r="E253" t="s">
        <v>412</v>
      </c>
    </row>
    <row r="254" spans="1:7" x14ac:dyDescent="0.25">
      <c r="A254" t="str">
        <f t="shared" si="3"/>
        <v>TC_K_10_CS Smart Charging</v>
      </c>
      <c r="B254" t="s">
        <v>858</v>
      </c>
      <c r="C254" t="s">
        <v>149</v>
      </c>
      <c r="D254" t="s">
        <v>1415</v>
      </c>
      <c r="E254" t="s">
        <v>412</v>
      </c>
      <c r="F254" t="s">
        <v>859</v>
      </c>
      <c r="G254" t="s">
        <v>860</v>
      </c>
    </row>
    <row r="255" spans="1:7" x14ac:dyDescent="0.25">
      <c r="A255" t="str">
        <f t="shared" si="3"/>
        <v>TC_K_60_CS Smart Charging</v>
      </c>
      <c r="B255" t="s">
        <v>912</v>
      </c>
      <c r="C255" t="s">
        <v>149</v>
      </c>
      <c r="D255" t="s">
        <v>1416</v>
      </c>
      <c r="E255" t="s">
        <v>412</v>
      </c>
    </row>
    <row r="256" spans="1:7" x14ac:dyDescent="0.25">
      <c r="A256" t="str">
        <f t="shared" si="3"/>
        <v>TC_K_02_CS Smart Charging</v>
      </c>
      <c r="B256" t="s">
        <v>846</v>
      </c>
      <c r="C256" t="s">
        <v>149</v>
      </c>
      <c r="D256" t="s">
        <v>1417</v>
      </c>
      <c r="E256" t="s">
        <v>412</v>
      </c>
    </row>
    <row r="257" spans="1:7" x14ac:dyDescent="0.25">
      <c r="A257" t="str">
        <f t="shared" si="3"/>
        <v>TC_K_11_CS Smart Charging</v>
      </c>
      <c r="B257" t="s">
        <v>861</v>
      </c>
      <c r="C257" t="s">
        <v>149</v>
      </c>
      <c r="D257" t="s">
        <v>1418</v>
      </c>
      <c r="E257" t="s">
        <v>412</v>
      </c>
    </row>
    <row r="258" spans="1:7" x14ac:dyDescent="0.25">
      <c r="A258" t="str">
        <f t="shared" si="3"/>
        <v>TC_K_03_CS Smart Charging</v>
      </c>
      <c r="B258" t="s">
        <v>847</v>
      </c>
      <c r="C258" t="s">
        <v>149</v>
      </c>
      <c r="D258" t="s">
        <v>1419</v>
      </c>
      <c r="E258" t="s">
        <v>412</v>
      </c>
    </row>
    <row r="259" spans="1:7" x14ac:dyDescent="0.25">
      <c r="A259" t="str">
        <f t="shared" ref="A259:A322" si="4">B259&amp;" "&amp;C259</f>
        <v>TC_K_19_CS Smart Charging</v>
      </c>
      <c r="B259" t="s">
        <v>866</v>
      </c>
      <c r="C259" t="s">
        <v>149</v>
      </c>
      <c r="D259" t="s">
        <v>1420</v>
      </c>
      <c r="E259" t="s">
        <v>412</v>
      </c>
    </row>
    <row r="260" spans="1:7" x14ac:dyDescent="0.25">
      <c r="A260" t="str">
        <f t="shared" si="4"/>
        <v>TC_K_12_CS Smart Charging</v>
      </c>
      <c r="B260" t="s">
        <v>862</v>
      </c>
      <c r="C260" t="s">
        <v>149</v>
      </c>
      <c r="D260" t="s">
        <v>1421</v>
      </c>
      <c r="E260" t="s">
        <v>430</v>
      </c>
      <c r="F260" t="s">
        <v>302</v>
      </c>
    </row>
    <row r="261" spans="1:7" x14ac:dyDescent="0.25">
      <c r="A261" t="str">
        <f t="shared" si="4"/>
        <v>TC_K_13_CS Smart Charging</v>
      </c>
      <c r="B261" t="s">
        <v>863</v>
      </c>
      <c r="C261" t="s">
        <v>149</v>
      </c>
      <c r="D261" t="s">
        <v>1422</v>
      </c>
      <c r="E261" t="s">
        <v>412</v>
      </c>
    </row>
    <row r="262" spans="1:7" x14ac:dyDescent="0.25">
      <c r="A262" t="str">
        <f t="shared" si="4"/>
        <v>TC_K_14_CS Smart Charging</v>
      </c>
      <c r="B262" t="s">
        <v>864</v>
      </c>
      <c r="C262" t="s">
        <v>149</v>
      </c>
      <c r="D262" t="s">
        <v>1423</v>
      </c>
      <c r="E262" t="s">
        <v>412</v>
      </c>
    </row>
    <row r="263" spans="1:7" x14ac:dyDescent="0.25">
      <c r="A263" t="str">
        <f t="shared" si="4"/>
        <v>TC_K_28_CS Smart Charging</v>
      </c>
      <c r="B263" t="s">
        <v>871</v>
      </c>
      <c r="C263" t="s">
        <v>149</v>
      </c>
      <c r="D263" t="s">
        <v>1424</v>
      </c>
      <c r="E263" t="s">
        <v>412</v>
      </c>
    </row>
    <row r="264" spans="1:7" x14ac:dyDescent="0.25">
      <c r="A264" t="str">
        <f t="shared" si="4"/>
        <v>TC_K_16_CS Smart Charging</v>
      </c>
      <c r="B264" t="s">
        <v>865</v>
      </c>
      <c r="C264" t="s">
        <v>149</v>
      </c>
      <c r="D264" t="s">
        <v>1425</v>
      </c>
      <c r="E264" t="s">
        <v>412</v>
      </c>
    </row>
    <row r="265" spans="1:7" x14ac:dyDescent="0.25">
      <c r="A265" t="str">
        <f t="shared" si="4"/>
        <v>TC_K_21_CS Smart Charging</v>
      </c>
      <c r="B265" t="s">
        <v>867</v>
      </c>
      <c r="C265" t="s">
        <v>149</v>
      </c>
      <c r="D265" t="s">
        <v>1426</v>
      </c>
      <c r="E265" t="s">
        <v>412</v>
      </c>
    </row>
    <row r="266" spans="1:7" x14ac:dyDescent="0.25">
      <c r="A266" t="str">
        <f t="shared" si="4"/>
        <v>TC_K_22_CS Smart Charging</v>
      </c>
      <c r="B266" t="s">
        <v>868</v>
      </c>
      <c r="C266" t="s">
        <v>149</v>
      </c>
      <c r="D266" t="s">
        <v>1427</v>
      </c>
      <c r="E266" t="s">
        <v>412</v>
      </c>
    </row>
    <row r="267" spans="1:7" x14ac:dyDescent="0.25">
      <c r="A267" t="str">
        <f t="shared" si="4"/>
        <v>TC_K_23_CS Smart Charging</v>
      </c>
      <c r="B267" t="s">
        <v>869</v>
      </c>
      <c r="C267" t="s">
        <v>149</v>
      </c>
      <c r="D267" t="s">
        <v>1428</v>
      </c>
      <c r="E267" t="s">
        <v>412</v>
      </c>
    </row>
    <row r="268" spans="1:7" x14ac:dyDescent="0.25">
      <c r="A268" t="str">
        <f t="shared" si="4"/>
        <v>TC_K_04_CS Smart Charging</v>
      </c>
      <c r="B268" t="s">
        <v>848</v>
      </c>
      <c r="C268" t="s">
        <v>149</v>
      </c>
      <c r="D268" t="s">
        <v>849</v>
      </c>
      <c r="E268" t="s">
        <v>412</v>
      </c>
    </row>
    <row r="269" spans="1:7" x14ac:dyDescent="0.25">
      <c r="A269" t="str">
        <f t="shared" si="4"/>
        <v>TC_K_37_CS Smart Charging</v>
      </c>
      <c r="B269" t="s">
        <v>888</v>
      </c>
      <c r="C269" t="s">
        <v>149</v>
      </c>
      <c r="D269" t="s">
        <v>889</v>
      </c>
      <c r="E269" t="s">
        <v>412</v>
      </c>
    </row>
    <row r="270" spans="1:7" x14ac:dyDescent="0.25">
      <c r="A270" t="str">
        <f t="shared" si="4"/>
        <v>TC_K_39_CS Smart Charging</v>
      </c>
      <c r="B270" t="s">
        <v>892</v>
      </c>
      <c r="C270" t="s">
        <v>149</v>
      </c>
      <c r="D270" t="s">
        <v>893</v>
      </c>
      <c r="E270" t="s">
        <v>412</v>
      </c>
    </row>
    <row r="271" spans="1:7" x14ac:dyDescent="0.25">
      <c r="A271" t="str">
        <f t="shared" si="4"/>
        <v>TC_K_40_CS Smart Charging</v>
      </c>
      <c r="B271" t="s">
        <v>894</v>
      </c>
      <c r="C271" t="s">
        <v>149</v>
      </c>
      <c r="D271" t="s">
        <v>895</v>
      </c>
      <c r="E271" t="s">
        <v>412</v>
      </c>
      <c r="F271" t="s">
        <v>117</v>
      </c>
      <c r="G271" t="s">
        <v>896</v>
      </c>
    </row>
    <row r="272" spans="1:7" x14ac:dyDescent="0.25">
      <c r="A272" t="str">
        <f t="shared" si="4"/>
        <v>TC_K_41_CS Smart Charging</v>
      </c>
      <c r="B272" t="s">
        <v>897</v>
      </c>
      <c r="C272" t="s">
        <v>149</v>
      </c>
      <c r="D272" t="s">
        <v>1429</v>
      </c>
      <c r="E272" t="s">
        <v>412</v>
      </c>
    </row>
    <row r="273" spans="1:6" x14ac:dyDescent="0.25">
      <c r="A273" t="str">
        <f t="shared" si="4"/>
        <v>TC_K_42_CS Smart Charging</v>
      </c>
      <c r="B273" t="s">
        <v>898</v>
      </c>
      <c r="C273" t="s">
        <v>149</v>
      </c>
      <c r="D273" t="s">
        <v>1430</v>
      </c>
      <c r="E273" t="s">
        <v>430</v>
      </c>
      <c r="F273" t="s">
        <v>302</v>
      </c>
    </row>
    <row r="274" spans="1:6" x14ac:dyDescent="0.25">
      <c r="A274" t="str">
        <f t="shared" si="4"/>
        <v>TC_K_47_CS Smart Charging</v>
      </c>
      <c r="B274" t="s">
        <v>900</v>
      </c>
      <c r="C274" t="s">
        <v>149</v>
      </c>
      <c r="D274" t="s">
        <v>901</v>
      </c>
      <c r="E274" t="s">
        <v>412</v>
      </c>
    </row>
    <row r="275" spans="1:6" x14ac:dyDescent="0.25">
      <c r="A275" t="str">
        <f t="shared" si="4"/>
        <v>TC_K_29_CS Smart Charging</v>
      </c>
      <c r="B275" t="s">
        <v>872</v>
      </c>
      <c r="C275" t="s">
        <v>149</v>
      </c>
      <c r="D275" t="s">
        <v>873</v>
      </c>
      <c r="E275" t="s">
        <v>412</v>
      </c>
    </row>
    <row r="276" spans="1:6" x14ac:dyDescent="0.25">
      <c r="A276" t="str">
        <f t="shared" si="4"/>
        <v>TC_K_30_CS Smart Charging</v>
      </c>
      <c r="B276" t="s">
        <v>874</v>
      </c>
      <c r="C276" t="s">
        <v>149</v>
      </c>
      <c r="D276" t="s">
        <v>875</v>
      </c>
      <c r="E276" t="s">
        <v>412</v>
      </c>
    </row>
    <row r="277" spans="1:6" x14ac:dyDescent="0.25">
      <c r="A277" t="str">
        <f t="shared" si="4"/>
        <v>TC_K_31_CS Smart Charging</v>
      </c>
      <c r="B277" t="s">
        <v>876</v>
      </c>
      <c r="C277" t="s">
        <v>149</v>
      </c>
      <c r="D277" t="s">
        <v>877</v>
      </c>
      <c r="E277" t="s">
        <v>412</v>
      </c>
    </row>
    <row r="278" spans="1:6" x14ac:dyDescent="0.25">
      <c r="A278" t="str">
        <f t="shared" si="4"/>
        <v>TC_K_32_CS Smart Charging</v>
      </c>
      <c r="B278" t="s">
        <v>878</v>
      </c>
      <c r="C278" t="s">
        <v>149</v>
      </c>
      <c r="D278" t="s">
        <v>879</v>
      </c>
      <c r="E278" t="s">
        <v>412</v>
      </c>
    </row>
    <row r="279" spans="1:6" x14ac:dyDescent="0.25">
      <c r="A279" t="str">
        <f t="shared" si="4"/>
        <v>TC_K_33_CS Smart Charging</v>
      </c>
      <c r="B279" t="s">
        <v>880</v>
      </c>
      <c r="C279" t="s">
        <v>149</v>
      </c>
      <c r="D279" t="s">
        <v>881</v>
      </c>
      <c r="E279" t="s">
        <v>412</v>
      </c>
    </row>
    <row r="280" spans="1:6" x14ac:dyDescent="0.25">
      <c r="A280" t="str">
        <f t="shared" si="4"/>
        <v>TC_K_34_CS Smart Charging</v>
      </c>
      <c r="B280" t="s">
        <v>882</v>
      </c>
      <c r="C280" t="s">
        <v>149</v>
      </c>
      <c r="D280" t="s">
        <v>883</v>
      </c>
      <c r="E280" t="s">
        <v>412</v>
      </c>
    </row>
    <row r="281" spans="1:6" x14ac:dyDescent="0.25">
      <c r="A281" t="str">
        <f t="shared" si="4"/>
        <v>TC_K_35_CS Smart Charging</v>
      </c>
      <c r="B281" t="s">
        <v>884</v>
      </c>
      <c r="C281" t="s">
        <v>149</v>
      </c>
      <c r="D281" t="s">
        <v>885</v>
      </c>
      <c r="E281" t="s">
        <v>412</v>
      </c>
    </row>
    <row r="282" spans="1:6" x14ac:dyDescent="0.25">
      <c r="A282" t="str">
        <f t="shared" si="4"/>
        <v>TC_K_36_CS Smart Charging</v>
      </c>
      <c r="B282" t="s">
        <v>886</v>
      </c>
      <c r="C282" t="s">
        <v>149</v>
      </c>
      <c r="D282" t="s">
        <v>887</v>
      </c>
      <c r="E282" t="s">
        <v>412</v>
      </c>
    </row>
    <row r="283" spans="1:6" x14ac:dyDescent="0.25">
      <c r="A283" t="str">
        <f t="shared" si="4"/>
        <v>TC_K_05_CS Smart Charging</v>
      </c>
      <c r="B283" t="s">
        <v>850</v>
      </c>
      <c r="C283" t="s">
        <v>149</v>
      </c>
      <c r="D283" t="s">
        <v>851</v>
      </c>
      <c r="E283" t="s">
        <v>412</v>
      </c>
    </row>
    <row r="284" spans="1:6" x14ac:dyDescent="0.25">
      <c r="A284" t="str">
        <f t="shared" si="4"/>
        <v>TC_K_06_CS Smart Charging</v>
      </c>
      <c r="B284" t="s">
        <v>852</v>
      </c>
      <c r="C284" t="s">
        <v>149</v>
      </c>
      <c r="D284" t="s">
        <v>1431</v>
      </c>
      <c r="E284" t="s">
        <v>412</v>
      </c>
    </row>
    <row r="285" spans="1:6" x14ac:dyDescent="0.25">
      <c r="A285" t="str">
        <f t="shared" si="4"/>
        <v>TC_K_07_CS Smart Charging</v>
      </c>
      <c r="B285" t="s">
        <v>853</v>
      </c>
      <c r="C285" t="s">
        <v>149</v>
      </c>
      <c r="D285" t="s">
        <v>1432</v>
      </c>
      <c r="E285" t="s">
        <v>412</v>
      </c>
    </row>
    <row r="286" spans="1:6" x14ac:dyDescent="0.25">
      <c r="A286" t="str">
        <f t="shared" si="4"/>
        <v>TC_K_08_CS Smart Charging</v>
      </c>
      <c r="B286" t="s">
        <v>854</v>
      </c>
      <c r="C286" t="s">
        <v>149</v>
      </c>
      <c r="D286" t="s">
        <v>855</v>
      </c>
      <c r="E286" t="s">
        <v>412</v>
      </c>
    </row>
    <row r="287" spans="1:6" x14ac:dyDescent="0.25">
      <c r="A287" t="str">
        <f t="shared" si="4"/>
        <v>TC_K_09_CS Smart Charging</v>
      </c>
      <c r="B287" t="s">
        <v>856</v>
      </c>
      <c r="C287" t="s">
        <v>149</v>
      </c>
      <c r="D287" t="s">
        <v>857</v>
      </c>
      <c r="E287" t="s">
        <v>412</v>
      </c>
    </row>
    <row r="288" spans="1:6" x14ac:dyDescent="0.25">
      <c r="A288" t="str">
        <f t="shared" si="4"/>
        <v>TC_K_24_CS Smart Charging</v>
      </c>
      <c r="B288" t="s">
        <v>870</v>
      </c>
      <c r="C288" t="s">
        <v>149</v>
      </c>
      <c r="D288" t="s">
        <v>1433</v>
      </c>
      <c r="E288" t="s">
        <v>430</v>
      </c>
      <c r="F288" t="s">
        <v>303</v>
      </c>
    </row>
    <row r="289" spans="1:6" x14ac:dyDescent="0.25">
      <c r="A289" t="str">
        <f t="shared" si="4"/>
        <v>TC_B_14_CS Advanced Device Management</v>
      </c>
      <c r="B289" t="s">
        <v>464</v>
      </c>
      <c r="C289" t="s">
        <v>151</v>
      </c>
      <c r="D289" t="s">
        <v>1434</v>
      </c>
      <c r="E289" t="s">
        <v>412</v>
      </c>
      <c r="F289" t="s">
        <v>113</v>
      </c>
    </row>
    <row r="290" spans="1:6" x14ac:dyDescent="0.25">
      <c r="A290" t="str">
        <f t="shared" si="4"/>
        <v>TC_B_16_CS Advanced Device Management</v>
      </c>
      <c r="B290" t="s">
        <v>467</v>
      </c>
      <c r="C290" t="s">
        <v>151</v>
      </c>
      <c r="D290" t="s">
        <v>1435</v>
      </c>
      <c r="E290" t="s">
        <v>412</v>
      </c>
    </row>
    <row r="291" spans="1:6" x14ac:dyDescent="0.25">
      <c r="A291" t="str">
        <f t="shared" si="4"/>
        <v>TC_B_17_CS Advanced Device Management</v>
      </c>
      <c r="B291" t="s">
        <v>468</v>
      </c>
      <c r="C291" t="s">
        <v>151</v>
      </c>
      <c r="D291" t="s">
        <v>1436</v>
      </c>
      <c r="E291" t="s">
        <v>412</v>
      </c>
    </row>
    <row r="292" spans="1:6" x14ac:dyDescent="0.25">
      <c r="A292" t="str">
        <f t="shared" si="4"/>
        <v>TC_B_18_CS Advanced Device Management</v>
      </c>
      <c r="B292" t="s">
        <v>469</v>
      </c>
      <c r="C292" t="s">
        <v>151</v>
      </c>
      <c r="D292" t="s">
        <v>1437</v>
      </c>
      <c r="E292" t="s">
        <v>412</v>
      </c>
    </row>
    <row r="293" spans="1:6" x14ac:dyDescent="0.25">
      <c r="A293" t="str">
        <f t="shared" si="4"/>
        <v>TC_B_54_CS Advanced Device Management</v>
      </c>
      <c r="B293" t="s">
        <v>511</v>
      </c>
      <c r="C293" t="s">
        <v>151</v>
      </c>
      <c r="D293" t="s">
        <v>1438</v>
      </c>
      <c r="E293" t="s">
        <v>412</v>
      </c>
    </row>
    <row r="294" spans="1:6" x14ac:dyDescent="0.25">
      <c r="A294" t="str">
        <f t="shared" si="4"/>
        <v>TC_B_55_CS Advanced Device Management</v>
      </c>
      <c r="B294" t="s">
        <v>512</v>
      </c>
      <c r="C294" t="s">
        <v>151</v>
      </c>
      <c r="D294" t="s">
        <v>1439</v>
      </c>
      <c r="E294" t="s">
        <v>412</v>
      </c>
    </row>
    <row r="295" spans="1:6" x14ac:dyDescent="0.25">
      <c r="A295" t="str">
        <f t="shared" si="4"/>
        <v>TC_B_56_CS Advanced Device Management</v>
      </c>
      <c r="B295" t="s">
        <v>513</v>
      </c>
      <c r="C295" t="s">
        <v>151</v>
      </c>
      <c r="D295" t="s">
        <v>1440</v>
      </c>
      <c r="E295" t="s">
        <v>412</v>
      </c>
    </row>
    <row r="296" spans="1:6" x14ac:dyDescent="0.25">
      <c r="A296" t="str">
        <f t="shared" si="4"/>
        <v>TC_N_01_CS Advanced Device Management</v>
      </c>
      <c r="B296" t="s">
        <v>991</v>
      </c>
      <c r="C296" t="s">
        <v>151</v>
      </c>
      <c r="D296" t="s">
        <v>1441</v>
      </c>
      <c r="E296" t="s">
        <v>412</v>
      </c>
    </row>
    <row r="297" spans="1:6" x14ac:dyDescent="0.25">
      <c r="A297" t="str">
        <f t="shared" si="4"/>
        <v>TC_N_02_CS Advanced Device Management</v>
      </c>
      <c r="B297" t="s">
        <v>992</v>
      </c>
      <c r="C297" t="s">
        <v>151</v>
      </c>
      <c r="D297" t="s">
        <v>1442</v>
      </c>
      <c r="E297" t="s">
        <v>412</v>
      </c>
    </row>
    <row r="298" spans="1:6" x14ac:dyDescent="0.25">
      <c r="A298" t="str">
        <f t="shared" si="4"/>
        <v>TC_N_03_CS Advanced Device Management</v>
      </c>
      <c r="B298" t="s">
        <v>993</v>
      </c>
      <c r="C298" t="s">
        <v>151</v>
      </c>
      <c r="D298" t="s">
        <v>1443</v>
      </c>
      <c r="E298" t="s">
        <v>412</v>
      </c>
    </row>
    <row r="299" spans="1:6" x14ac:dyDescent="0.25">
      <c r="A299" t="str">
        <f t="shared" si="4"/>
        <v>TC_N_47_CS Advanced Device Management</v>
      </c>
      <c r="B299" t="s">
        <v>1046</v>
      </c>
      <c r="C299" t="s">
        <v>151</v>
      </c>
      <c r="D299" t="s">
        <v>1444</v>
      </c>
      <c r="E299" t="s">
        <v>412</v>
      </c>
    </row>
    <row r="300" spans="1:6" x14ac:dyDescent="0.25">
      <c r="A300" t="str">
        <f t="shared" si="4"/>
        <v>TC_N_05_CS Advanced Device Management</v>
      </c>
      <c r="B300" t="s">
        <v>994</v>
      </c>
      <c r="C300" t="s">
        <v>151</v>
      </c>
      <c r="D300" t="s">
        <v>1445</v>
      </c>
      <c r="E300" t="s">
        <v>412</v>
      </c>
    </row>
    <row r="301" spans="1:6" x14ac:dyDescent="0.25">
      <c r="A301" t="str">
        <f t="shared" si="4"/>
        <v>TC_N_06_CS Advanced Device Management</v>
      </c>
      <c r="B301" t="s">
        <v>995</v>
      </c>
      <c r="C301" t="s">
        <v>151</v>
      </c>
      <c r="D301" t="s">
        <v>996</v>
      </c>
      <c r="E301" t="s">
        <v>412</v>
      </c>
    </row>
    <row r="302" spans="1:6" x14ac:dyDescent="0.25">
      <c r="A302" t="str">
        <f t="shared" si="4"/>
        <v>TC_N_08_CS Advanced Device Management</v>
      </c>
      <c r="B302" t="s">
        <v>997</v>
      </c>
      <c r="C302" t="s">
        <v>151</v>
      </c>
      <c r="D302" t="s">
        <v>998</v>
      </c>
      <c r="E302" t="s">
        <v>412</v>
      </c>
    </row>
    <row r="303" spans="1:6" x14ac:dyDescent="0.25">
      <c r="A303" t="str">
        <f t="shared" si="4"/>
        <v>TC_N_09_CS Advanced Device Management</v>
      </c>
      <c r="B303" t="s">
        <v>999</v>
      </c>
      <c r="C303" t="s">
        <v>151</v>
      </c>
      <c r="D303" t="s">
        <v>1446</v>
      </c>
      <c r="E303" t="s">
        <v>412</v>
      </c>
    </row>
    <row r="304" spans="1:6" x14ac:dyDescent="0.25">
      <c r="A304" t="str">
        <f t="shared" si="4"/>
        <v>TC_N_10_CS Advanced Device Management</v>
      </c>
      <c r="B304" t="s">
        <v>1000</v>
      </c>
      <c r="C304" t="s">
        <v>151</v>
      </c>
      <c r="D304" t="s">
        <v>1447</v>
      </c>
      <c r="E304" t="s">
        <v>412</v>
      </c>
    </row>
    <row r="305" spans="1:5" x14ac:dyDescent="0.25">
      <c r="A305" t="str">
        <f t="shared" si="4"/>
        <v>TC_N_11_CS Advanced Device Management</v>
      </c>
      <c r="B305" t="s">
        <v>1001</v>
      </c>
      <c r="C305" t="s">
        <v>151</v>
      </c>
      <c r="D305" t="s">
        <v>1448</v>
      </c>
      <c r="E305" t="s">
        <v>412</v>
      </c>
    </row>
    <row r="306" spans="1:5" x14ac:dyDescent="0.25">
      <c r="A306" t="str">
        <f t="shared" si="4"/>
        <v>TC_N_12_CS Advanced Device Management</v>
      </c>
      <c r="B306" t="s">
        <v>1002</v>
      </c>
      <c r="C306" t="s">
        <v>151</v>
      </c>
      <c r="D306" t="s">
        <v>1449</v>
      </c>
      <c r="E306" t="s">
        <v>412</v>
      </c>
    </row>
    <row r="307" spans="1:5" x14ac:dyDescent="0.25">
      <c r="A307" t="str">
        <f t="shared" si="4"/>
        <v>TC_N_13_CS Advanced Device Management</v>
      </c>
      <c r="B307" t="s">
        <v>1003</v>
      </c>
      <c r="C307" t="s">
        <v>151</v>
      </c>
      <c r="D307" t="s">
        <v>1450</v>
      </c>
      <c r="E307" t="s">
        <v>412</v>
      </c>
    </row>
    <row r="308" spans="1:5" x14ac:dyDescent="0.25">
      <c r="A308" t="str">
        <f t="shared" si="4"/>
        <v>TC_N_15_CS Advanced Device Management</v>
      </c>
      <c r="B308" t="s">
        <v>1004</v>
      </c>
      <c r="C308" t="s">
        <v>151</v>
      </c>
      <c r="D308" t="s">
        <v>1005</v>
      </c>
      <c r="E308" t="s">
        <v>412</v>
      </c>
    </row>
    <row r="309" spans="1:5" x14ac:dyDescent="0.25">
      <c r="A309" t="str">
        <f t="shared" si="4"/>
        <v>TC_N_24_CS Advanced Device Management</v>
      </c>
      <c r="B309" t="s">
        <v>1017</v>
      </c>
      <c r="C309" t="s">
        <v>151</v>
      </c>
      <c r="D309" t="s">
        <v>1451</v>
      </c>
      <c r="E309" t="s">
        <v>412</v>
      </c>
    </row>
    <row r="310" spans="1:5" x14ac:dyDescent="0.25">
      <c r="A310" t="str">
        <f t="shared" si="4"/>
        <v>TC_N_37_CS Advanced Device Management</v>
      </c>
      <c r="B310" t="s">
        <v>1035</v>
      </c>
      <c r="C310" t="s">
        <v>151</v>
      </c>
      <c r="D310" t="s">
        <v>1036</v>
      </c>
      <c r="E310" t="s">
        <v>412</v>
      </c>
    </row>
    <row r="311" spans="1:5" x14ac:dyDescent="0.25">
      <c r="A311" t="str">
        <f t="shared" si="4"/>
        <v>TC_N_39_CS Advanced Device Management</v>
      </c>
      <c r="B311" t="s">
        <v>1037</v>
      </c>
      <c r="C311" t="s">
        <v>151</v>
      </c>
      <c r="D311" t="s">
        <v>1038</v>
      </c>
      <c r="E311" t="s">
        <v>412</v>
      </c>
    </row>
    <row r="312" spans="1:5" x14ac:dyDescent="0.25">
      <c r="A312" t="str">
        <f t="shared" si="4"/>
        <v>TC_N_40_CS Advanced Device Management</v>
      </c>
      <c r="B312" t="s">
        <v>1039</v>
      </c>
      <c r="C312" t="s">
        <v>151</v>
      </c>
      <c r="D312" t="s">
        <v>1040</v>
      </c>
      <c r="E312" t="s">
        <v>412</v>
      </c>
    </row>
    <row r="313" spans="1:5" x14ac:dyDescent="0.25">
      <c r="A313" t="str">
        <f t="shared" si="4"/>
        <v>TC_N_41_CS Advanced Device Management</v>
      </c>
      <c r="B313" t="s">
        <v>1041</v>
      </c>
      <c r="C313" t="s">
        <v>151</v>
      </c>
      <c r="D313" t="s">
        <v>1452</v>
      </c>
      <c r="E313" t="s">
        <v>412</v>
      </c>
    </row>
    <row r="314" spans="1:5" x14ac:dyDescent="0.25">
      <c r="A314" t="str">
        <f t="shared" si="4"/>
        <v>TC_N_43_CS Advanced Device Management</v>
      </c>
      <c r="B314" t="s">
        <v>1042</v>
      </c>
      <c r="C314" t="s">
        <v>151</v>
      </c>
      <c r="D314" t="s">
        <v>1043</v>
      </c>
      <c r="E314" t="s">
        <v>412</v>
      </c>
    </row>
    <row r="315" spans="1:5" x14ac:dyDescent="0.25">
      <c r="A315" t="str">
        <f t="shared" si="4"/>
        <v>TC_N_51_CS Advanced Device Management</v>
      </c>
      <c r="B315" t="s">
        <v>1049</v>
      </c>
      <c r="C315" t="s">
        <v>151</v>
      </c>
      <c r="D315" t="s">
        <v>1453</v>
      </c>
      <c r="E315" t="s">
        <v>412</v>
      </c>
    </row>
    <row r="316" spans="1:5" x14ac:dyDescent="0.25">
      <c r="A316" t="str">
        <f t="shared" si="4"/>
        <v>TC_N_52_CS Advanced Device Management</v>
      </c>
      <c r="B316" t="s">
        <v>1050</v>
      </c>
      <c r="C316" t="s">
        <v>151</v>
      </c>
      <c r="D316" t="s">
        <v>1454</v>
      </c>
      <c r="E316" t="s">
        <v>412</v>
      </c>
    </row>
    <row r="317" spans="1:5" x14ac:dyDescent="0.25">
      <c r="A317" t="str">
        <f t="shared" si="4"/>
        <v>TC_N_16_CS Advanced Device Management</v>
      </c>
      <c r="B317" t="s">
        <v>1006</v>
      </c>
      <c r="C317" t="s">
        <v>151</v>
      </c>
      <c r="D317" t="s">
        <v>1007</v>
      </c>
      <c r="E317" t="s">
        <v>412</v>
      </c>
    </row>
    <row r="318" spans="1:5" x14ac:dyDescent="0.25">
      <c r="A318" t="str">
        <f t="shared" si="4"/>
        <v>TC_N_17_CS Advanced Device Management</v>
      </c>
      <c r="B318" t="s">
        <v>1008</v>
      </c>
      <c r="C318" t="s">
        <v>151</v>
      </c>
      <c r="D318" t="s">
        <v>1009</v>
      </c>
      <c r="E318" t="s">
        <v>412</v>
      </c>
    </row>
    <row r="319" spans="1:5" x14ac:dyDescent="0.25">
      <c r="A319" t="str">
        <f t="shared" si="4"/>
        <v>TC_N_18_CS Advanced Device Management</v>
      </c>
      <c r="B319" t="s">
        <v>1010</v>
      </c>
      <c r="C319" t="s">
        <v>151</v>
      </c>
      <c r="D319" t="s">
        <v>1455</v>
      </c>
      <c r="E319" t="s">
        <v>412</v>
      </c>
    </row>
    <row r="320" spans="1:5" x14ac:dyDescent="0.25">
      <c r="A320" t="str">
        <f t="shared" si="4"/>
        <v>TC_N_19_CS Advanced Device Management</v>
      </c>
      <c r="B320" t="s">
        <v>1011</v>
      </c>
      <c r="C320" t="s">
        <v>151</v>
      </c>
      <c r="D320" t="s">
        <v>1456</v>
      </c>
      <c r="E320" t="s">
        <v>412</v>
      </c>
    </row>
    <row r="321" spans="1:7" x14ac:dyDescent="0.25">
      <c r="A321" t="str">
        <f t="shared" si="4"/>
        <v>TC_N_44_CS Advanced Device Management</v>
      </c>
      <c r="B321" t="s">
        <v>1044</v>
      </c>
      <c r="C321" t="s">
        <v>151</v>
      </c>
      <c r="D321" t="s">
        <v>1457</v>
      </c>
      <c r="E321" t="s">
        <v>430</v>
      </c>
      <c r="F321" t="s">
        <v>169</v>
      </c>
    </row>
    <row r="322" spans="1:7" x14ac:dyDescent="0.25">
      <c r="A322" t="str">
        <f t="shared" si="4"/>
        <v>TC_N_20_CS Advanced Device Management</v>
      </c>
      <c r="B322" t="s">
        <v>1012</v>
      </c>
      <c r="C322" t="s">
        <v>151</v>
      </c>
      <c r="D322" t="s">
        <v>1458</v>
      </c>
      <c r="E322" t="s">
        <v>412</v>
      </c>
    </row>
    <row r="323" spans="1:7" x14ac:dyDescent="0.25">
      <c r="A323" t="str">
        <f t="shared" ref="A323:A386" si="5">B323&amp;" "&amp;C323</f>
        <v>TC_N_21_CS Advanced Device Management</v>
      </c>
      <c r="B323" t="s">
        <v>1013</v>
      </c>
      <c r="C323" t="s">
        <v>151</v>
      </c>
      <c r="D323" t="s">
        <v>1459</v>
      </c>
      <c r="E323" t="s">
        <v>430</v>
      </c>
      <c r="F323" t="s">
        <v>169</v>
      </c>
    </row>
    <row r="324" spans="1:7" x14ac:dyDescent="0.25">
      <c r="A324" t="str">
        <f t="shared" si="5"/>
        <v>TC_N_45_CS Advanced Device Management</v>
      </c>
      <c r="B324" t="s">
        <v>1045</v>
      </c>
      <c r="C324" t="s">
        <v>151</v>
      </c>
      <c r="D324" t="s">
        <v>1460</v>
      </c>
      <c r="E324" t="s">
        <v>412</v>
      </c>
    </row>
    <row r="325" spans="1:7" x14ac:dyDescent="0.25">
      <c r="A325" t="str">
        <f t="shared" si="5"/>
        <v>TC_N_48_CS Advanced Device Management</v>
      </c>
      <c r="B325" t="s">
        <v>1047</v>
      </c>
      <c r="C325" t="s">
        <v>151</v>
      </c>
      <c r="D325" t="s">
        <v>1048</v>
      </c>
      <c r="E325" t="s">
        <v>412</v>
      </c>
    </row>
    <row r="326" spans="1:7" x14ac:dyDescent="0.25">
      <c r="A326" t="str">
        <f t="shared" si="5"/>
        <v>TC_N_53_CS Advanced Device Management</v>
      </c>
      <c r="B326" t="s">
        <v>1051</v>
      </c>
      <c r="C326" t="s">
        <v>151</v>
      </c>
      <c r="D326" t="s">
        <v>1052</v>
      </c>
      <c r="E326" t="s">
        <v>412</v>
      </c>
    </row>
    <row r="327" spans="1:7" x14ac:dyDescent="0.25">
      <c r="A327" t="str">
        <f t="shared" si="5"/>
        <v>TC_N_56_CS Advanced Device Management</v>
      </c>
      <c r="B327" t="s">
        <v>1053</v>
      </c>
      <c r="C327" t="s">
        <v>151</v>
      </c>
      <c r="D327" t="s">
        <v>1461</v>
      </c>
      <c r="E327" t="s">
        <v>412</v>
      </c>
    </row>
    <row r="328" spans="1:7" x14ac:dyDescent="0.25">
      <c r="A328" t="str">
        <f t="shared" si="5"/>
        <v>TC_N_22_CS Advanced Device Management</v>
      </c>
      <c r="B328" t="s">
        <v>1014</v>
      </c>
      <c r="C328" t="s">
        <v>151</v>
      </c>
      <c r="D328" t="s">
        <v>1462</v>
      </c>
      <c r="E328" t="s">
        <v>430</v>
      </c>
      <c r="F328" t="s">
        <v>126</v>
      </c>
      <c r="G328" t="s">
        <v>1015</v>
      </c>
    </row>
    <row r="329" spans="1:7" x14ac:dyDescent="0.25">
      <c r="A329" t="str">
        <f t="shared" si="5"/>
        <v>TC_N_23_CS Advanced Device Management</v>
      </c>
      <c r="B329" t="s">
        <v>1016</v>
      </c>
      <c r="C329" t="s">
        <v>151</v>
      </c>
      <c r="D329" t="s">
        <v>1463</v>
      </c>
      <c r="E329" t="s">
        <v>430</v>
      </c>
      <c r="F329" t="s">
        <v>126</v>
      </c>
      <c r="G329" t="s">
        <v>1015</v>
      </c>
    </row>
    <row r="330" spans="1:7" x14ac:dyDescent="0.25">
      <c r="A330" t="str">
        <f t="shared" si="5"/>
        <v>TC_B_24_CS Reservation</v>
      </c>
      <c r="B330" t="s">
        <v>474</v>
      </c>
      <c r="C330" t="s">
        <v>153</v>
      </c>
      <c r="D330" t="s">
        <v>1464</v>
      </c>
      <c r="E330" t="s">
        <v>412</v>
      </c>
    </row>
    <row r="331" spans="1:7" x14ac:dyDescent="0.25">
      <c r="A331" t="str">
        <f t="shared" si="5"/>
        <v>TC_H_01_CS Reservation</v>
      </c>
      <c r="B331" t="s">
        <v>778</v>
      </c>
      <c r="C331" t="s">
        <v>153</v>
      </c>
      <c r="D331" t="s">
        <v>1465</v>
      </c>
      <c r="E331" t="s">
        <v>412</v>
      </c>
    </row>
    <row r="332" spans="1:7" x14ac:dyDescent="0.25">
      <c r="A332" t="str">
        <f t="shared" si="5"/>
        <v>TC_H_02_CS Reservation</v>
      </c>
      <c r="B332" t="s">
        <v>779</v>
      </c>
      <c r="C332" t="s">
        <v>153</v>
      </c>
      <c r="D332" t="s">
        <v>1466</v>
      </c>
      <c r="E332" t="s">
        <v>412</v>
      </c>
    </row>
    <row r="333" spans="1:7" x14ac:dyDescent="0.25">
      <c r="A333" t="str">
        <f t="shared" si="5"/>
        <v>TC_H_03_CS Reservation</v>
      </c>
      <c r="B333" t="s">
        <v>780</v>
      </c>
      <c r="C333" t="s">
        <v>153</v>
      </c>
      <c r="D333" t="s">
        <v>781</v>
      </c>
      <c r="E333" t="s">
        <v>412</v>
      </c>
    </row>
    <row r="334" spans="1:7" x14ac:dyDescent="0.25">
      <c r="A334" t="str">
        <f t="shared" si="5"/>
        <v>TC_H_04_CS Reservation</v>
      </c>
      <c r="B334" t="s">
        <v>782</v>
      </c>
      <c r="C334" t="s">
        <v>153</v>
      </c>
      <c r="D334" t="s">
        <v>783</v>
      </c>
      <c r="E334" t="s">
        <v>412</v>
      </c>
    </row>
    <row r="335" spans="1:7" x14ac:dyDescent="0.25">
      <c r="A335" t="str">
        <f t="shared" si="5"/>
        <v>TC_H_06_CS Reservation</v>
      </c>
      <c r="B335" t="s">
        <v>784</v>
      </c>
      <c r="C335" t="s">
        <v>153</v>
      </c>
      <c r="D335" t="s">
        <v>785</v>
      </c>
      <c r="E335" t="s">
        <v>412</v>
      </c>
    </row>
    <row r="336" spans="1:7" x14ac:dyDescent="0.25">
      <c r="A336" t="str">
        <f t="shared" si="5"/>
        <v>TC_H_07_CS Reservation</v>
      </c>
      <c r="B336" t="s">
        <v>786</v>
      </c>
      <c r="C336" t="s">
        <v>153</v>
      </c>
      <c r="D336" t="s">
        <v>787</v>
      </c>
      <c r="E336" t="s">
        <v>412</v>
      </c>
    </row>
    <row r="337" spans="1:7" x14ac:dyDescent="0.25">
      <c r="A337" t="str">
        <f t="shared" si="5"/>
        <v>TC_H_22_CS Reservation</v>
      </c>
      <c r="B337" t="s">
        <v>811</v>
      </c>
      <c r="C337" t="s">
        <v>153</v>
      </c>
      <c r="D337" t="s">
        <v>812</v>
      </c>
      <c r="E337" t="s">
        <v>430</v>
      </c>
      <c r="F337" t="s">
        <v>124</v>
      </c>
    </row>
    <row r="338" spans="1:7" x14ac:dyDescent="0.25">
      <c r="A338" t="str">
        <f t="shared" si="5"/>
        <v>TC_H_23_CS Reservation</v>
      </c>
      <c r="B338" t="s">
        <v>813</v>
      </c>
      <c r="C338" t="s">
        <v>153</v>
      </c>
      <c r="D338" t="s">
        <v>814</v>
      </c>
      <c r="E338" t="s">
        <v>412</v>
      </c>
    </row>
    <row r="339" spans="1:7" x14ac:dyDescent="0.25">
      <c r="A339" t="str">
        <f t="shared" si="5"/>
        <v>TC_H_19_CS Reservation</v>
      </c>
      <c r="B339" t="s">
        <v>808</v>
      </c>
      <c r="C339" t="s">
        <v>153</v>
      </c>
      <c r="D339" t="s">
        <v>1403</v>
      </c>
      <c r="E339" t="s">
        <v>412</v>
      </c>
    </row>
    <row r="340" spans="1:7" x14ac:dyDescent="0.25">
      <c r="A340" t="str">
        <f t="shared" si="5"/>
        <v>TC_H_08_CS Reservation</v>
      </c>
      <c r="B340" t="s">
        <v>788</v>
      </c>
      <c r="C340" t="s">
        <v>153</v>
      </c>
      <c r="D340" t="s">
        <v>789</v>
      </c>
      <c r="E340" t="s">
        <v>430</v>
      </c>
      <c r="F340" t="s">
        <v>123</v>
      </c>
      <c r="G340" t="s">
        <v>790</v>
      </c>
    </row>
    <row r="341" spans="1:7" x14ac:dyDescent="0.25">
      <c r="A341" t="str">
        <f t="shared" si="5"/>
        <v>TC_H_09_CS Reservation</v>
      </c>
      <c r="B341" t="s">
        <v>791</v>
      </c>
      <c r="C341" t="s">
        <v>153</v>
      </c>
      <c r="D341" t="s">
        <v>792</v>
      </c>
      <c r="E341" t="s">
        <v>430</v>
      </c>
      <c r="F341" t="s">
        <v>123</v>
      </c>
      <c r="G341" t="s">
        <v>790</v>
      </c>
    </row>
    <row r="342" spans="1:7" x14ac:dyDescent="0.25">
      <c r="A342" t="str">
        <f t="shared" si="5"/>
        <v>TC_H_10_CS Reservation</v>
      </c>
      <c r="B342" t="s">
        <v>793</v>
      </c>
      <c r="C342" t="s">
        <v>153</v>
      </c>
      <c r="D342" t="s">
        <v>794</v>
      </c>
      <c r="E342" t="s">
        <v>430</v>
      </c>
      <c r="F342" t="s">
        <v>123</v>
      </c>
      <c r="G342" t="s">
        <v>790</v>
      </c>
    </row>
    <row r="343" spans="1:7" x14ac:dyDescent="0.25">
      <c r="A343" t="str">
        <f t="shared" si="5"/>
        <v>TC_H_12_CS Reservation</v>
      </c>
      <c r="B343" t="s">
        <v>795</v>
      </c>
      <c r="C343" t="s">
        <v>153</v>
      </c>
      <c r="D343" t="s">
        <v>796</v>
      </c>
      <c r="E343" t="s">
        <v>430</v>
      </c>
      <c r="F343" t="s">
        <v>123</v>
      </c>
      <c r="G343" t="s">
        <v>790</v>
      </c>
    </row>
    <row r="344" spans="1:7" x14ac:dyDescent="0.25">
      <c r="A344" t="str">
        <f t="shared" si="5"/>
        <v>TC_H_13_CS Reservation</v>
      </c>
      <c r="B344" t="s">
        <v>797</v>
      </c>
      <c r="C344" t="s">
        <v>153</v>
      </c>
      <c r="D344" t="s">
        <v>798</v>
      </c>
      <c r="E344" t="s">
        <v>430</v>
      </c>
      <c r="F344" t="s">
        <v>123</v>
      </c>
      <c r="G344" t="s">
        <v>790</v>
      </c>
    </row>
    <row r="345" spans="1:7" x14ac:dyDescent="0.25">
      <c r="A345" t="str">
        <f t="shared" si="5"/>
        <v>TC_H_14_CS Reservation</v>
      </c>
      <c r="B345" t="s">
        <v>799</v>
      </c>
      <c r="C345" t="s">
        <v>153</v>
      </c>
      <c r="D345" t="s">
        <v>800</v>
      </c>
      <c r="E345" t="s">
        <v>430</v>
      </c>
      <c r="F345" t="s">
        <v>123</v>
      </c>
      <c r="G345" t="s">
        <v>790</v>
      </c>
    </row>
    <row r="346" spans="1:7" x14ac:dyDescent="0.25">
      <c r="A346" t="str">
        <f t="shared" si="5"/>
        <v>TC_H_24_CS Reservation</v>
      </c>
      <c r="B346" t="s">
        <v>815</v>
      </c>
      <c r="C346" t="s">
        <v>153</v>
      </c>
      <c r="D346" t="s">
        <v>816</v>
      </c>
      <c r="E346" t="s">
        <v>430</v>
      </c>
      <c r="F346" t="s">
        <v>123</v>
      </c>
      <c r="G346" t="s">
        <v>790</v>
      </c>
    </row>
    <row r="347" spans="1:7" x14ac:dyDescent="0.25">
      <c r="A347" t="str">
        <f t="shared" si="5"/>
        <v>TC_H_15_CS Reservation</v>
      </c>
      <c r="B347" t="s">
        <v>801</v>
      </c>
      <c r="C347" t="s">
        <v>153</v>
      </c>
      <c r="D347" t="s">
        <v>802</v>
      </c>
      <c r="E347" t="s">
        <v>430</v>
      </c>
      <c r="F347" t="s">
        <v>123</v>
      </c>
      <c r="G347" t="s">
        <v>1405</v>
      </c>
    </row>
    <row r="348" spans="1:7" x14ac:dyDescent="0.25">
      <c r="A348" t="str">
        <f t="shared" si="5"/>
        <v>TC_H_16_CS Reservation</v>
      </c>
      <c r="B348" t="s">
        <v>803</v>
      </c>
      <c r="C348" t="s">
        <v>153</v>
      </c>
      <c r="D348" t="s">
        <v>1404</v>
      </c>
      <c r="E348" t="s">
        <v>430</v>
      </c>
      <c r="F348" t="s">
        <v>123</v>
      </c>
      <c r="G348" t="s">
        <v>1405</v>
      </c>
    </row>
    <row r="349" spans="1:7" x14ac:dyDescent="0.25">
      <c r="A349" t="str">
        <f t="shared" si="5"/>
        <v>TC_H_17_CS Reservation</v>
      </c>
      <c r="B349" t="s">
        <v>804</v>
      </c>
      <c r="C349" t="s">
        <v>153</v>
      </c>
      <c r="D349" t="s">
        <v>805</v>
      </c>
      <c r="E349" t="s">
        <v>412</v>
      </c>
    </row>
    <row r="350" spans="1:7" x14ac:dyDescent="0.25">
      <c r="A350" t="str">
        <f t="shared" si="5"/>
        <v>TC_H_18_CS Reservation</v>
      </c>
      <c r="B350" t="s">
        <v>806</v>
      </c>
      <c r="C350" t="s">
        <v>153</v>
      </c>
      <c r="D350" t="s">
        <v>807</v>
      </c>
      <c r="E350" t="s">
        <v>412</v>
      </c>
    </row>
    <row r="351" spans="1:7" x14ac:dyDescent="0.25">
      <c r="A351" t="str">
        <f t="shared" si="5"/>
        <v>TC_H_21_CS Reservation</v>
      </c>
      <c r="B351" t="s">
        <v>809</v>
      </c>
      <c r="C351" t="s">
        <v>153</v>
      </c>
      <c r="D351" t="s">
        <v>810</v>
      </c>
      <c r="E351" t="s">
        <v>412</v>
      </c>
    </row>
    <row r="352" spans="1:7" x14ac:dyDescent="0.25">
      <c r="A352" t="str">
        <f t="shared" si="5"/>
        <v>TC_I_01_CS Advanced User Interface</v>
      </c>
      <c r="B352" t="s">
        <v>817</v>
      </c>
      <c r="C352" t="s">
        <v>155</v>
      </c>
      <c r="D352" t="s">
        <v>818</v>
      </c>
      <c r="E352" t="s">
        <v>412</v>
      </c>
    </row>
    <row r="353" spans="1:7" x14ac:dyDescent="0.25">
      <c r="A353" t="str">
        <f t="shared" si="5"/>
        <v>TC_I_02_CS Advanced User Interface</v>
      </c>
      <c r="B353" t="s">
        <v>819</v>
      </c>
      <c r="C353" t="s">
        <v>155</v>
      </c>
      <c r="D353" t="s">
        <v>820</v>
      </c>
      <c r="E353" t="s">
        <v>412</v>
      </c>
    </row>
    <row r="354" spans="1:7" x14ac:dyDescent="0.25">
      <c r="A354" t="str">
        <f t="shared" si="5"/>
        <v>TC_I_07_CS Advanced User Interface</v>
      </c>
      <c r="B354" t="s">
        <v>821</v>
      </c>
      <c r="C354" t="s">
        <v>155</v>
      </c>
      <c r="D354" t="s">
        <v>822</v>
      </c>
      <c r="E354" t="s">
        <v>412</v>
      </c>
    </row>
    <row r="355" spans="1:7" x14ac:dyDescent="0.25">
      <c r="A355" t="str">
        <f t="shared" si="5"/>
        <v>TC_O_01_CS Advanced User Interface</v>
      </c>
      <c r="B355" t="s">
        <v>1058</v>
      </c>
      <c r="C355" t="s">
        <v>155</v>
      </c>
      <c r="D355" t="s">
        <v>1059</v>
      </c>
      <c r="E355" t="s">
        <v>412</v>
      </c>
      <c r="F355" t="s">
        <v>1060</v>
      </c>
      <c r="G355" t="s">
        <v>1061</v>
      </c>
    </row>
    <row r="356" spans="1:7" x14ac:dyDescent="0.25">
      <c r="A356" t="str">
        <f t="shared" si="5"/>
        <v>TC_O_13_CS Advanced User Interface</v>
      </c>
      <c r="B356" t="s">
        <v>1080</v>
      </c>
      <c r="C356" t="s">
        <v>155</v>
      </c>
      <c r="D356" t="s">
        <v>1081</v>
      </c>
      <c r="E356" t="s">
        <v>412</v>
      </c>
    </row>
    <row r="357" spans="1:7" x14ac:dyDescent="0.25">
      <c r="A357" t="str">
        <f t="shared" si="5"/>
        <v>TC_O_14_CS Advanced User Interface</v>
      </c>
      <c r="B357" t="s">
        <v>1082</v>
      </c>
      <c r="C357" t="s">
        <v>155</v>
      </c>
      <c r="D357" t="s">
        <v>1083</v>
      </c>
      <c r="E357" t="s">
        <v>412</v>
      </c>
    </row>
    <row r="358" spans="1:7" x14ac:dyDescent="0.25">
      <c r="A358" t="str">
        <f t="shared" si="5"/>
        <v>TC_O_17_CS Advanced User Interface</v>
      </c>
      <c r="B358" t="s">
        <v>1086</v>
      </c>
      <c r="C358" t="s">
        <v>155</v>
      </c>
      <c r="D358" t="s">
        <v>1087</v>
      </c>
      <c r="E358" t="s">
        <v>430</v>
      </c>
      <c r="F358" t="s">
        <v>298</v>
      </c>
    </row>
    <row r="359" spans="1:7" x14ac:dyDescent="0.25">
      <c r="A359" t="str">
        <f t="shared" si="5"/>
        <v>TC_O_19_CS Advanced User Interface</v>
      </c>
      <c r="B359" t="s">
        <v>1088</v>
      </c>
      <c r="C359" t="s">
        <v>155</v>
      </c>
      <c r="D359" t="s">
        <v>1089</v>
      </c>
      <c r="E359" t="s">
        <v>430</v>
      </c>
      <c r="F359" t="s">
        <v>299</v>
      </c>
    </row>
    <row r="360" spans="1:7" x14ac:dyDescent="0.25">
      <c r="A360" t="str">
        <f t="shared" si="5"/>
        <v>TC_O_20_CS Advanced User Interface</v>
      </c>
      <c r="B360" t="s">
        <v>1090</v>
      </c>
      <c r="C360" t="s">
        <v>155</v>
      </c>
      <c r="D360" t="s">
        <v>1091</v>
      </c>
      <c r="E360" t="s">
        <v>412</v>
      </c>
    </row>
    <row r="361" spans="1:7" x14ac:dyDescent="0.25">
      <c r="A361" t="str">
        <f t="shared" si="5"/>
        <v>TC_O_22_CS Advanced User Interface</v>
      </c>
      <c r="B361" t="s">
        <v>1092</v>
      </c>
      <c r="C361" t="s">
        <v>155</v>
      </c>
      <c r="D361" t="s">
        <v>1093</v>
      </c>
      <c r="E361" t="s">
        <v>430</v>
      </c>
      <c r="F361" t="s">
        <v>133</v>
      </c>
      <c r="G361" t="s">
        <v>1094</v>
      </c>
    </row>
    <row r="362" spans="1:7" x14ac:dyDescent="0.25">
      <c r="A362" t="str">
        <f t="shared" si="5"/>
        <v>TC_O_24_CS Advanced User Interface</v>
      </c>
      <c r="B362" t="s">
        <v>1095</v>
      </c>
      <c r="C362" t="s">
        <v>155</v>
      </c>
      <c r="D362" t="s">
        <v>1096</v>
      </c>
      <c r="E362" t="s">
        <v>430</v>
      </c>
      <c r="F362" t="s">
        <v>132</v>
      </c>
      <c r="G362" t="s">
        <v>1097</v>
      </c>
    </row>
    <row r="363" spans="1:7" x14ac:dyDescent="0.25">
      <c r="A363" t="str">
        <f t="shared" si="5"/>
        <v>TC_O_36_CS Advanced User Interface</v>
      </c>
      <c r="B363" t="s">
        <v>1110</v>
      </c>
      <c r="C363" t="s">
        <v>155</v>
      </c>
      <c r="D363" t="s">
        <v>1111</v>
      </c>
      <c r="E363" t="s">
        <v>412</v>
      </c>
    </row>
    <row r="364" spans="1:7" x14ac:dyDescent="0.25">
      <c r="A364" t="str">
        <f t="shared" si="5"/>
        <v>TC_O_37_CS Advanced User Interface</v>
      </c>
      <c r="B364" t="s">
        <v>1112</v>
      </c>
      <c r="C364" t="s">
        <v>155</v>
      </c>
      <c r="D364" t="s">
        <v>1113</v>
      </c>
      <c r="E364" t="s">
        <v>412</v>
      </c>
    </row>
    <row r="365" spans="1:7" x14ac:dyDescent="0.25">
      <c r="A365" t="str">
        <f t="shared" si="5"/>
        <v>TC_O_38_CS Advanced User Interface</v>
      </c>
      <c r="B365" t="s">
        <v>1114</v>
      </c>
      <c r="C365" t="s">
        <v>155</v>
      </c>
      <c r="D365" t="s">
        <v>1115</v>
      </c>
      <c r="E365" t="s">
        <v>412</v>
      </c>
    </row>
    <row r="366" spans="1:7" x14ac:dyDescent="0.25">
      <c r="A366" t="str">
        <f t="shared" si="5"/>
        <v>TC_O_15_CS Advanced User Interface</v>
      </c>
      <c r="B366" t="s">
        <v>1084</v>
      </c>
      <c r="C366" t="s">
        <v>155</v>
      </c>
      <c r="D366" t="s">
        <v>1085</v>
      </c>
      <c r="E366" t="s">
        <v>412</v>
      </c>
    </row>
    <row r="367" spans="1:7" x14ac:dyDescent="0.25">
      <c r="A367" t="str">
        <f t="shared" si="5"/>
        <v>TC_O_12_CS Advanced User Interface</v>
      </c>
      <c r="B367" t="s">
        <v>1079</v>
      </c>
      <c r="C367" t="s">
        <v>155</v>
      </c>
      <c r="D367" t="s">
        <v>1467</v>
      </c>
      <c r="E367" t="s">
        <v>412</v>
      </c>
    </row>
    <row r="368" spans="1:7" x14ac:dyDescent="0.25">
      <c r="A368" t="str">
        <f t="shared" si="5"/>
        <v>TC_O_06_CS Advanced User Interface</v>
      </c>
      <c r="B368" t="s">
        <v>1068</v>
      </c>
      <c r="C368" t="s">
        <v>155</v>
      </c>
      <c r="D368" t="s">
        <v>1069</v>
      </c>
      <c r="E368" t="s">
        <v>412</v>
      </c>
    </row>
    <row r="369" spans="1:7" x14ac:dyDescent="0.25">
      <c r="A369" t="str">
        <f t="shared" si="5"/>
        <v>TC_O_10_CS Advanced User Interface</v>
      </c>
      <c r="B369" t="s">
        <v>1077</v>
      </c>
      <c r="C369" t="s">
        <v>155</v>
      </c>
      <c r="D369" t="s">
        <v>1468</v>
      </c>
      <c r="E369" t="s">
        <v>412</v>
      </c>
    </row>
    <row r="370" spans="1:7" x14ac:dyDescent="0.25">
      <c r="A370" t="str">
        <f t="shared" si="5"/>
        <v>TC_O_27_CS Advanced User Interface</v>
      </c>
      <c r="B370" t="s">
        <v>1098</v>
      </c>
      <c r="C370" t="s">
        <v>155</v>
      </c>
      <c r="D370" t="s">
        <v>1099</v>
      </c>
      <c r="E370" t="s">
        <v>412</v>
      </c>
    </row>
    <row r="371" spans="1:7" x14ac:dyDescent="0.25">
      <c r="A371" t="str">
        <f t="shared" si="5"/>
        <v>TC_O_28_CS Advanced User Interface</v>
      </c>
      <c r="B371" t="s">
        <v>1100</v>
      </c>
      <c r="C371" t="s">
        <v>155</v>
      </c>
      <c r="D371" t="s">
        <v>1101</v>
      </c>
      <c r="E371" t="s">
        <v>412</v>
      </c>
    </row>
    <row r="372" spans="1:7" x14ac:dyDescent="0.25">
      <c r="A372" t="str">
        <f t="shared" si="5"/>
        <v>TC_O_30_CS Advanced User Interface</v>
      </c>
      <c r="B372" t="s">
        <v>1102</v>
      </c>
      <c r="C372" t="s">
        <v>155</v>
      </c>
      <c r="D372" t="s">
        <v>1469</v>
      </c>
      <c r="E372" t="s">
        <v>430</v>
      </c>
      <c r="F372" t="s">
        <v>133</v>
      </c>
      <c r="G372" t="s">
        <v>1094</v>
      </c>
    </row>
    <row r="373" spans="1:7" x14ac:dyDescent="0.25">
      <c r="A373" t="str">
        <f t="shared" si="5"/>
        <v>TC_O_32_CS Advanced User Interface</v>
      </c>
      <c r="B373" t="s">
        <v>1103</v>
      </c>
      <c r="C373" t="s">
        <v>155</v>
      </c>
      <c r="D373" t="s">
        <v>1470</v>
      </c>
      <c r="E373" t="s">
        <v>430</v>
      </c>
      <c r="F373" t="s">
        <v>132</v>
      </c>
      <c r="G373" t="s">
        <v>1097</v>
      </c>
    </row>
    <row r="374" spans="1:7" x14ac:dyDescent="0.25">
      <c r="A374" t="str">
        <f t="shared" si="5"/>
        <v>TC_O_02_CS Advanced User Interface</v>
      </c>
      <c r="B374" t="s">
        <v>1062</v>
      </c>
      <c r="C374" t="s">
        <v>155</v>
      </c>
      <c r="D374" t="s">
        <v>1063</v>
      </c>
      <c r="E374" t="s">
        <v>412</v>
      </c>
    </row>
    <row r="375" spans="1:7" x14ac:dyDescent="0.25">
      <c r="A375" t="str">
        <f t="shared" si="5"/>
        <v>TC_O_03_CS Advanced User Interface</v>
      </c>
      <c r="B375" t="s">
        <v>1064</v>
      </c>
      <c r="C375" t="s">
        <v>155</v>
      </c>
      <c r="D375" t="s">
        <v>1065</v>
      </c>
      <c r="E375" t="s">
        <v>412</v>
      </c>
    </row>
    <row r="376" spans="1:7" x14ac:dyDescent="0.25">
      <c r="A376" t="str">
        <f t="shared" si="5"/>
        <v>TC_O_07_CS Advanced User Interface</v>
      </c>
      <c r="B376" t="s">
        <v>1070</v>
      </c>
      <c r="C376" t="s">
        <v>155</v>
      </c>
      <c r="D376" t="s">
        <v>1071</v>
      </c>
      <c r="E376" t="s">
        <v>412</v>
      </c>
    </row>
    <row r="377" spans="1:7" x14ac:dyDescent="0.25">
      <c r="A377" t="str">
        <f t="shared" si="5"/>
        <v>TC_O_08_CS Advanced User Interface</v>
      </c>
      <c r="B377" t="s">
        <v>1072</v>
      </c>
      <c r="C377" t="s">
        <v>155</v>
      </c>
      <c r="D377" t="s">
        <v>1073</v>
      </c>
      <c r="E377" t="s">
        <v>412</v>
      </c>
      <c r="F377" t="s">
        <v>131</v>
      </c>
      <c r="G377" t="s">
        <v>1074</v>
      </c>
    </row>
    <row r="378" spans="1:7" x14ac:dyDescent="0.25">
      <c r="A378" t="str">
        <f t="shared" si="5"/>
        <v>TC_O_09_CS Advanced User Interface</v>
      </c>
      <c r="B378" t="s">
        <v>1075</v>
      </c>
      <c r="C378" t="s">
        <v>155</v>
      </c>
      <c r="D378" t="s">
        <v>1076</v>
      </c>
      <c r="E378" t="s">
        <v>412</v>
      </c>
    </row>
    <row r="379" spans="1:7" x14ac:dyDescent="0.25">
      <c r="A379" t="str">
        <f t="shared" si="5"/>
        <v>TC_O_11_CS Advanced User Interface</v>
      </c>
      <c r="B379" t="s">
        <v>1078</v>
      </c>
      <c r="C379" t="s">
        <v>155</v>
      </c>
      <c r="D379" t="s">
        <v>1471</v>
      </c>
      <c r="E379" t="s">
        <v>412</v>
      </c>
    </row>
    <row r="380" spans="1:7" x14ac:dyDescent="0.25">
      <c r="A380" t="str">
        <f t="shared" si="5"/>
        <v>TC_O_33_CS Advanced User Interface</v>
      </c>
      <c r="B380" t="s">
        <v>1104</v>
      </c>
      <c r="C380" t="s">
        <v>155</v>
      </c>
      <c r="D380" t="s">
        <v>1105</v>
      </c>
      <c r="E380" t="s">
        <v>412</v>
      </c>
    </row>
    <row r="381" spans="1:7" x14ac:dyDescent="0.25">
      <c r="A381" t="str">
        <f t="shared" si="5"/>
        <v>TC_O_34_CS Advanced User Interface</v>
      </c>
      <c r="B381" t="s">
        <v>1106</v>
      </c>
      <c r="C381" t="s">
        <v>155</v>
      </c>
      <c r="D381" t="s">
        <v>1107</v>
      </c>
      <c r="E381" t="s">
        <v>412</v>
      </c>
    </row>
    <row r="382" spans="1:7" x14ac:dyDescent="0.25">
      <c r="A382" t="str">
        <f t="shared" si="5"/>
        <v>TC_O_35_CS Advanced User Interface</v>
      </c>
      <c r="B382" t="s">
        <v>1108</v>
      </c>
      <c r="C382" t="s">
        <v>155</v>
      </c>
      <c r="D382" t="s">
        <v>1109</v>
      </c>
      <c r="E382" t="s">
        <v>430</v>
      </c>
      <c r="F382" t="s">
        <v>300</v>
      </c>
      <c r="G382" t="s">
        <v>1074</v>
      </c>
    </row>
    <row r="383" spans="1:7" x14ac:dyDescent="0.25">
      <c r="A383" t="str">
        <f t="shared" si="5"/>
        <v>TC_O_04_CS Advanced User Interface</v>
      </c>
      <c r="B383" t="s">
        <v>1066</v>
      </c>
      <c r="C383" t="s">
        <v>155</v>
      </c>
      <c r="D383" t="s">
        <v>1472</v>
      </c>
      <c r="E383" t="s">
        <v>412</v>
      </c>
    </row>
    <row r="384" spans="1:7" x14ac:dyDescent="0.25">
      <c r="A384" t="str">
        <f t="shared" si="5"/>
        <v>TC_O_05_CS Advanced User Interface</v>
      </c>
      <c r="B384" t="s">
        <v>1067</v>
      </c>
      <c r="C384" t="s">
        <v>155</v>
      </c>
      <c r="D384" t="s">
        <v>1473</v>
      </c>
      <c r="E384" t="s">
        <v>412</v>
      </c>
    </row>
    <row r="385" spans="1:7" x14ac:dyDescent="0.25">
      <c r="A385" t="str">
        <f t="shared" si="5"/>
        <v>TC_A_12_CS ISO 15118 Support</v>
      </c>
      <c r="B385" t="s">
        <v>426</v>
      </c>
      <c r="C385" t="s">
        <v>157</v>
      </c>
      <c r="D385" t="s">
        <v>427</v>
      </c>
      <c r="E385" t="s">
        <v>412</v>
      </c>
    </row>
    <row r="386" spans="1:7" x14ac:dyDescent="0.25">
      <c r="A386" t="str">
        <f t="shared" si="5"/>
        <v>TC_A_13_CS ISO 15118 Support</v>
      </c>
      <c r="B386" t="s">
        <v>428</v>
      </c>
      <c r="C386" t="s">
        <v>157</v>
      </c>
      <c r="D386" t="s">
        <v>429</v>
      </c>
      <c r="E386" t="s">
        <v>430</v>
      </c>
      <c r="F386" t="s">
        <v>127</v>
      </c>
      <c r="G386" t="s">
        <v>431</v>
      </c>
    </row>
    <row r="387" spans="1:7" x14ac:dyDescent="0.25">
      <c r="A387" t="str">
        <f t="shared" ref="A387:A445" si="6">B387&amp;" "&amp;C387</f>
        <v>TC_C_50_CS ISO 15118 Support</v>
      </c>
      <c r="B387" t="s">
        <v>594</v>
      </c>
      <c r="C387" t="s">
        <v>157</v>
      </c>
      <c r="D387" t="s">
        <v>595</v>
      </c>
      <c r="E387" t="s">
        <v>412</v>
      </c>
    </row>
    <row r="388" spans="1:7" x14ac:dyDescent="0.25">
      <c r="A388" t="str">
        <f t="shared" si="6"/>
        <v>TC_C_51_CS ISO 15118 Support</v>
      </c>
      <c r="B388" t="s">
        <v>596</v>
      </c>
      <c r="C388" t="s">
        <v>157</v>
      </c>
      <c r="D388" t="s">
        <v>597</v>
      </c>
      <c r="E388" t="s">
        <v>412</v>
      </c>
    </row>
    <row r="389" spans="1:7" x14ac:dyDescent="0.25">
      <c r="A389" t="str">
        <f t="shared" si="6"/>
        <v>TC_C_52_CS ISO 15118 Support</v>
      </c>
      <c r="B389" t="s">
        <v>598</v>
      </c>
      <c r="C389" t="s">
        <v>157</v>
      </c>
      <c r="D389" t="s">
        <v>599</v>
      </c>
      <c r="E389" t="s">
        <v>430</v>
      </c>
      <c r="F389" t="s">
        <v>1399</v>
      </c>
    </row>
    <row r="390" spans="1:7" x14ac:dyDescent="0.25">
      <c r="A390" t="str">
        <f t="shared" si="6"/>
        <v>TC_C_53_CS ISO 15118 Support</v>
      </c>
      <c r="B390" t="s">
        <v>600</v>
      </c>
      <c r="C390" t="s">
        <v>157</v>
      </c>
      <c r="D390" t="s">
        <v>1401</v>
      </c>
      <c r="E390" t="s">
        <v>430</v>
      </c>
      <c r="F390" t="s">
        <v>1399</v>
      </c>
    </row>
    <row r="391" spans="1:7" x14ac:dyDescent="0.25">
      <c r="A391" t="str">
        <f t="shared" si="6"/>
        <v>TC_C_54_CS ISO 15118 Support</v>
      </c>
      <c r="B391" t="s">
        <v>601</v>
      </c>
      <c r="C391" t="s">
        <v>157</v>
      </c>
      <c r="D391" t="s">
        <v>602</v>
      </c>
      <c r="E391" t="s">
        <v>412</v>
      </c>
    </row>
    <row r="392" spans="1:7" x14ac:dyDescent="0.25">
      <c r="A392" t="str">
        <f t="shared" si="6"/>
        <v>TC_C_55_CS ISO 15118 Support</v>
      </c>
      <c r="B392" t="s">
        <v>603</v>
      </c>
      <c r="C392" t="s">
        <v>157</v>
      </c>
      <c r="D392" t="s">
        <v>604</v>
      </c>
      <c r="E392" t="s">
        <v>412</v>
      </c>
    </row>
    <row r="393" spans="1:7" x14ac:dyDescent="0.25">
      <c r="A393" t="str">
        <f t="shared" si="6"/>
        <v>TC_E_46_CS ISO 15118 Support</v>
      </c>
      <c r="B393" t="s">
        <v>709</v>
      </c>
      <c r="C393" t="s">
        <v>157</v>
      </c>
      <c r="D393" t="s">
        <v>710</v>
      </c>
      <c r="E393" t="s">
        <v>412</v>
      </c>
    </row>
    <row r="394" spans="1:7" x14ac:dyDescent="0.25">
      <c r="A394" t="str">
        <f t="shared" si="6"/>
        <v>TC_K_01_CS ISO 15118 Support</v>
      </c>
      <c r="B394" t="s">
        <v>845</v>
      </c>
      <c r="C394" t="s">
        <v>157</v>
      </c>
      <c r="D394" t="s">
        <v>1414</v>
      </c>
      <c r="E394" t="s">
        <v>412</v>
      </c>
    </row>
    <row r="395" spans="1:7" x14ac:dyDescent="0.25">
      <c r="A395" t="str">
        <f t="shared" si="6"/>
        <v>TC_K_10_CS ISO 15118 Support</v>
      </c>
      <c r="B395" t="s">
        <v>858</v>
      </c>
      <c r="C395" t="s">
        <v>157</v>
      </c>
      <c r="D395" t="s">
        <v>1415</v>
      </c>
      <c r="E395" t="s">
        <v>412</v>
      </c>
    </row>
    <row r="396" spans="1:7" x14ac:dyDescent="0.25">
      <c r="A396" t="str">
        <f t="shared" si="6"/>
        <v>TC_K_60_CS ISO 15118 Support</v>
      </c>
      <c r="B396" t="s">
        <v>912</v>
      </c>
      <c r="C396" t="s">
        <v>157</v>
      </c>
      <c r="D396" t="s">
        <v>1416</v>
      </c>
      <c r="E396" t="s">
        <v>412</v>
      </c>
    </row>
    <row r="397" spans="1:7" x14ac:dyDescent="0.25">
      <c r="A397" t="str">
        <f t="shared" si="6"/>
        <v>TC_K_02_CS ISO 15118 Support</v>
      </c>
      <c r="B397" t="s">
        <v>846</v>
      </c>
      <c r="C397" t="s">
        <v>157</v>
      </c>
      <c r="D397" t="s">
        <v>1417</v>
      </c>
      <c r="E397" t="s">
        <v>412</v>
      </c>
    </row>
    <row r="398" spans="1:7" x14ac:dyDescent="0.25">
      <c r="A398" t="str">
        <f t="shared" si="6"/>
        <v>TC_K_11_CS ISO 15118 Support</v>
      </c>
      <c r="B398" t="s">
        <v>861</v>
      </c>
      <c r="C398" t="s">
        <v>157</v>
      </c>
      <c r="D398" t="s">
        <v>1418</v>
      </c>
      <c r="E398" t="s">
        <v>412</v>
      </c>
    </row>
    <row r="399" spans="1:7" x14ac:dyDescent="0.25">
      <c r="A399" t="str">
        <f t="shared" si="6"/>
        <v>TC_K_03_CS ISO 15118 Support</v>
      </c>
      <c r="B399" t="s">
        <v>847</v>
      </c>
      <c r="C399" t="s">
        <v>157</v>
      </c>
      <c r="D399" t="s">
        <v>1419</v>
      </c>
      <c r="E399" t="s">
        <v>412</v>
      </c>
    </row>
    <row r="400" spans="1:7" x14ac:dyDescent="0.25">
      <c r="A400" t="str">
        <f t="shared" si="6"/>
        <v>TC_K_19_CS ISO 15118 Support</v>
      </c>
      <c r="B400" t="s">
        <v>866</v>
      </c>
      <c r="C400" t="s">
        <v>157</v>
      </c>
      <c r="D400" t="s">
        <v>1420</v>
      </c>
      <c r="E400" t="s">
        <v>412</v>
      </c>
    </row>
    <row r="401" spans="1:6" x14ac:dyDescent="0.25">
      <c r="A401" t="str">
        <f t="shared" si="6"/>
        <v>TC_K_12_CS ISO 15118 Support</v>
      </c>
      <c r="B401" t="s">
        <v>862</v>
      </c>
      <c r="C401" t="s">
        <v>157</v>
      </c>
      <c r="D401" t="s">
        <v>1421</v>
      </c>
      <c r="E401" t="s">
        <v>430</v>
      </c>
      <c r="F401" t="s">
        <v>302</v>
      </c>
    </row>
    <row r="402" spans="1:6" x14ac:dyDescent="0.25">
      <c r="A402" t="str">
        <f t="shared" si="6"/>
        <v>TC_K_13_CS ISO 15118 Support</v>
      </c>
      <c r="B402" t="s">
        <v>863</v>
      </c>
      <c r="C402" t="s">
        <v>157</v>
      </c>
      <c r="D402" t="s">
        <v>1422</v>
      </c>
      <c r="E402" t="s">
        <v>412</v>
      </c>
    </row>
    <row r="403" spans="1:6" x14ac:dyDescent="0.25">
      <c r="A403" t="str">
        <f t="shared" si="6"/>
        <v>TC_K_14_CS ISO 15118 Support</v>
      </c>
      <c r="B403" t="s">
        <v>864</v>
      </c>
      <c r="C403" t="s">
        <v>157</v>
      </c>
      <c r="D403" t="s">
        <v>1423</v>
      </c>
      <c r="E403" t="s">
        <v>412</v>
      </c>
    </row>
    <row r="404" spans="1:6" x14ac:dyDescent="0.25">
      <c r="A404" t="str">
        <f t="shared" si="6"/>
        <v>TC_K_28_CS ISO 15118 Support</v>
      </c>
      <c r="B404" t="s">
        <v>871</v>
      </c>
      <c r="C404" t="s">
        <v>157</v>
      </c>
      <c r="D404" t="s">
        <v>1424</v>
      </c>
      <c r="E404" t="s">
        <v>412</v>
      </c>
    </row>
    <row r="405" spans="1:6" x14ac:dyDescent="0.25">
      <c r="A405" t="str">
        <f t="shared" si="6"/>
        <v>TC_K_16_CS ISO 15118 Support</v>
      </c>
      <c r="B405" t="s">
        <v>865</v>
      </c>
      <c r="C405" t="s">
        <v>157</v>
      </c>
      <c r="D405" t="s">
        <v>1425</v>
      </c>
      <c r="E405" t="s">
        <v>412</v>
      </c>
    </row>
    <row r="406" spans="1:6" x14ac:dyDescent="0.25">
      <c r="A406" t="str">
        <f t="shared" si="6"/>
        <v>TC_K_21_CS ISO 15118 Support</v>
      </c>
      <c r="B406" t="s">
        <v>867</v>
      </c>
      <c r="C406" t="s">
        <v>157</v>
      </c>
      <c r="D406" t="s">
        <v>1426</v>
      </c>
      <c r="E406" t="s">
        <v>412</v>
      </c>
    </row>
    <row r="407" spans="1:6" x14ac:dyDescent="0.25">
      <c r="A407" t="str">
        <f t="shared" si="6"/>
        <v>TC_K_22_CS ISO 15118 Support</v>
      </c>
      <c r="B407" t="s">
        <v>868</v>
      </c>
      <c r="C407" t="s">
        <v>157</v>
      </c>
      <c r="D407" t="s">
        <v>1427</v>
      </c>
      <c r="E407" t="s">
        <v>412</v>
      </c>
    </row>
    <row r="408" spans="1:6" x14ac:dyDescent="0.25">
      <c r="A408" t="str">
        <f t="shared" si="6"/>
        <v>TC_K_23_CS ISO 15118 Support</v>
      </c>
      <c r="B408" t="s">
        <v>869</v>
      </c>
      <c r="C408" t="s">
        <v>157</v>
      </c>
      <c r="D408" t="s">
        <v>1428</v>
      </c>
      <c r="E408" t="s">
        <v>412</v>
      </c>
    </row>
    <row r="409" spans="1:6" x14ac:dyDescent="0.25">
      <c r="A409" t="str">
        <f t="shared" si="6"/>
        <v>TC_K_04_CS ISO 15118 Support</v>
      </c>
      <c r="B409" t="s">
        <v>848</v>
      </c>
      <c r="C409" t="s">
        <v>157</v>
      </c>
      <c r="D409" t="s">
        <v>849</v>
      </c>
      <c r="E409" t="s">
        <v>412</v>
      </c>
    </row>
    <row r="410" spans="1:6" x14ac:dyDescent="0.25">
      <c r="A410" t="str">
        <f t="shared" si="6"/>
        <v>TC_K_39_CS ISO 15118 Support</v>
      </c>
      <c r="B410" t="s">
        <v>892</v>
      </c>
      <c r="C410" t="s">
        <v>157</v>
      </c>
      <c r="D410" t="s">
        <v>893</v>
      </c>
      <c r="E410" t="s">
        <v>412</v>
      </c>
    </row>
    <row r="411" spans="1:6" x14ac:dyDescent="0.25">
      <c r="A411" t="str">
        <f t="shared" si="6"/>
        <v>TC_K_40_CS ISO 15118 Support</v>
      </c>
      <c r="B411" t="s">
        <v>894</v>
      </c>
      <c r="C411" t="s">
        <v>157</v>
      </c>
      <c r="D411" t="s">
        <v>895</v>
      </c>
      <c r="E411" t="s">
        <v>412</v>
      </c>
    </row>
    <row r="412" spans="1:6" x14ac:dyDescent="0.25">
      <c r="A412" t="str">
        <f t="shared" si="6"/>
        <v>TC_K_41_CS ISO 15118 Support</v>
      </c>
      <c r="B412" t="s">
        <v>897</v>
      </c>
      <c r="C412" t="s">
        <v>157</v>
      </c>
      <c r="D412" t="s">
        <v>1429</v>
      </c>
      <c r="E412" t="s">
        <v>412</v>
      </c>
    </row>
    <row r="413" spans="1:6" x14ac:dyDescent="0.25">
      <c r="A413" t="str">
        <f t="shared" si="6"/>
        <v>TC_K_42_CS ISO 15118 Support</v>
      </c>
      <c r="B413" t="s">
        <v>898</v>
      </c>
      <c r="C413" t="s">
        <v>157</v>
      </c>
      <c r="D413" t="s">
        <v>899</v>
      </c>
      <c r="E413" t="s">
        <v>430</v>
      </c>
      <c r="F413" t="s">
        <v>302</v>
      </c>
    </row>
    <row r="414" spans="1:6" x14ac:dyDescent="0.25">
      <c r="A414" t="str">
        <f t="shared" si="6"/>
        <v>TC_K_47_CS ISO 15118 Support</v>
      </c>
      <c r="B414" t="s">
        <v>900</v>
      </c>
      <c r="C414" t="s">
        <v>157</v>
      </c>
      <c r="D414" t="s">
        <v>901</v>
      </c>
      <c r="E414" t="s">
        <v>412</v>
      </c>
    </row>
    <row r="415" spans="1:6" x14ac:dyDescent="0.25">
      <c r="A415" t="str">
        <f t="shared" si="6"/>
        <v>TC_K_29_CS ISO 15118 Support</v>
      </c>
      <c r="B415" t="s">
        <v>872</v>
      </c>
      <c r="C415" t="s">
        <v>157</v>
      </c>
      <c r="D415" t="s">
        <v>873</v>
      </c>
      <c r="E415" t="s">
        <v>412</v>
      </c>
    </row>
    <row r="416" spans="1:6" x14ac:dyDescent="0.25">
      <c r="A416" t="str">
        <f t="shared" si="6"/>
        <v>TC_K_30_CS ISO 15118 Support</v>
      </c>
      <c r="B416" t="s">
        <v>874</v>
      </c>
      <c r="C416" t="s">
        <v>157</v>
      </c>
      <c r="D416" t="s">
        <v>875</v>
      </c>
      <c r="E416" t="s">
        <v>412</v>
      </c>
    </row>
    <row r="417" spans="1:6" x14ac:dyDescent="0.25">
      <c r="A417" t="str">
        <f t="shared" si="6"/>
        <v>TC_K_31_CS ISO 15118 Support</v>
      </c>
      <c r="B417" t="s">
        <v>876</v>
      </c>
      <c r="C417" t="s">
        <v>157</v>
      </c>
      <c r="D417" t="s">
        <v>877</v>
      </c>
      <c r="E417" t="s">
        <v>412</v>
      </c>
    </row>
    <row r="418" spans="1:6" x14ac:dyDescent="0.25">
      <c r="A418" t="str">
        <f t="shared" si="6"/>
        <v>TC_K_32_CS ISO 15118 Support</v>
      </c>
      <c r="B418" t="s">
        <v>878</v>
      </c>
      <c r="C418" t="s">
        <v>157</v>
      </c>
      <c r="D418" t="s">
        <v>879</v>
      </c>
      <c r="E418" t="s">
        <v>412</v>
      </c>
    </row>
    <row r="419" spans="1:6" x14ac:dyDescent="0.25">
      <c r="A419" t="str">
        <f t="shared" si="6"/>
        <v>TC_K_33_CS ISO 15118 Support</v>
      </c>
      <c r="B419" t="s">
        <v>880</v>
      </c>
      <c r="C419" t="s">
        <v>157</v>
      </c>
      <c r="D419" t="s">
        <v>881</v>
      </c>
      <c r="E419" t="s">
        <v>412</v>
      </c>
    </row>
    <row r="420" spans="1:6" x14ac:dyDescent="0.25">
      <c r="A420" t="str">
        <f t="shared" si="6"/>
        <v>TC_K_34_CS ISO 15118 Support</v>
      </c>
      <c r="B420" t="s">
        <v>882</v>
      </c>
      <c r="C420" t="s">
        <v>157</v>
      </c>
      <c r="D420" t="s">
        <v>883</v>
      </c>
      <c r="E420" t="s">
        <v>412</v>
      </c>
    </row>
    <row r="421" spans="1:6" x14ac:dyDescent="0.25">
      <c r="A421" t="str">
        <f t="shared" si="6"/>
        <v>TC_K_35_CS ISO 15118 Support</v>
      </c>
      <c r="B421" t="s">
        <v>884</v>
      </c>
      <c r="C421" t="s">
        <v>157</v>
      </c>
      <c r="D421" t="s">
        <v>885</v>
      </c>
      <c r="E421" t="s">
        <v>412</v>
      </c>
    </row>
    <row r="422" spans="1:6" x14ac:dyDescent="0.25">
      <c r="A422" t="str">
        <f t="shared" si="6"/>
        <v>TC_K_36_CS ISO 15118 Support</v>
      </c>
      <c r="B422" t="s">
        <v>886</v>
      </c>
      <c r="C422" t="s">
        <v>157</v>
      </c>
      <c r="D422" t="s">
        <v>887</v>
      </c>
      <c r="E422" t="s">
        <v>412</v>
      </c>
    </row>
    <row r="423" spans="1:6" x14ac:dyDescent="0.25">
      <c r="A423" t="str">
        <f t="shared" si="6"/>
        <v>TC_K_05_CS ISO 15118 Support</v>
      </c>
      <c r="B423" t="s">
        <v>850</v>
      </c>
      <c r="C423" t="s">
        <v>157</v>
      </c>
      <c r="D423" t="s">
        <v>851</v>
      </c>
      <c r="E423" t="s">
        <v>412</v>
      </c>
    </row>
    <row r="424" spans="1:6" x14ac:dyDescent="0.25">
      <c r="A424" t="str">
        <f t="shared" si="6"/>
        <v>TC_K_06_CS ISO 15118 Support</v>
      </c>
      <c r="B424" t="s">
        <v>852</v>
      </c>
      <c r="C424" t="s">
        <v>157</v>
      </c>
      <c r="D424" t="s">
        <v>1431</v>
      </c>
      <c r="E424" t="s">
        <v>412</v>
      </c>
    </row>
    <row r="425" spans="1:6" x14ac:dyDescent="0.25">
      <c r="A425" t="str">
        <f t="shared" si="6"/>
        <v>TC_K_24_CS ISO 15118 Support</v>
      </c>
      <c r="B425" t="s">
        <v>870</v>
      </c>
      <c r="C425" t="s">
        <v>157</v>
      </c>
      <c r="D425" t="s">
        <v>1433</v>
      </c>
      <c r="E425" t="s">
        <v>430</v>
      </c>
      <c r="F425" t="s">
        <v>303</v>
      </c>
    </row>
    <row r="426" spans="1:6" x14ac:dyDescent="0.25">
      <c r="A426" t="str">
        <f t="shared" si="6"/>
        <v>TC_K_07_CS ISO 15118 Support</v>
      </c>
      <c r="B426" t="s">
        <v>853</v>
      </c>
      <c r="C426" t="s">
        <v>157</v>
      </c>
      <c r="D426" t="s">
        <v>1432</v>
      </c>
      <c r="E426" t="s">
        <v>412</v>
      </c>
    </row>
    <row r="427" spans="1:6" x14ac:dyDescent="0.25">
      <c r="A427" t="str">
        <f t="shared" si="6"/>
        <v>TC_K_08_CS ISO 15118 Support</v>
      </c>
      <c r="B427" t="s">
        <v>854</v>
      </c>
      <c r="C427" t="s">
        <v>157</v>
      </c>
      <c r="D427" t="s">
        <v>855</v>
      </c>
      <c r="E427" t="s">
        <v>412</v>
      </c>
    </row>
    <row r="428" spans="1:6" x14ac:dyDescent="0.25">
      <c r="A428" t="str">
        <f t="shared" si="6"/>
        <v>TC_K_09_CS ISO 15118 Support</v>
      </c>
      <c r="B428" t="s">
        <v>856</v>
      </c>
      <c r="C428" t="s">
        <v>157</v>
      </c>
      <c r="D428" t="s">
        <v>857</v>
      </c>
      <c r="E428" t="s">
        <v>412</v>
      </c>
    </row>
    <row r="429" spans="1:6" x14ac:dyDescent="0.25">
      <c r="A429" t="str">
        <f t="shared" si="6"/>
        <v>TC_K_53_CS ISO 15118 Support</v>
      </c>
      <c r="B429" t="s">
        <v>902</v>
      </c>
      <c r="C429" t="s">
        <v>157</v>
      </c>
      <c r="D429" t="s">
        <v>903</v>
      </c>
      <c r="E429" t="s">
        <v>412</v>
      </c>
    </row>
    <row r="430" spans="1:6" x14ac:dyDescent="0.25">
      <c r="A430" t="str">
        <f t="shared" si="6"/>
        <v>TC_K_54_CS ISO 15118 Support</v>
      </c>
      <c r="B430" t="s">
        <v>904</v>
      </c>
      <c r="C430" t="s">
        <v>157</v>
      </c>
      <c r="D430" t="s">
        <v>905</v>
      </c>
      <c r="E430" t="s">
        <v>412</v>
      </c>
    </row>
    <row r="431" spans="1:6" x14ac:dyDescent="0.25">
      <c r="A431" t="str">
        <f t="shared" si="6"/>
        <v>TC_K_56_CS ISO 15118 Support</v>
      </c>
      <c r="B431" t="s">
        <v>906</v>
      </c>
      <c r="C431" t="s">
        <v>157</v>
      </c>
      <c r="D431" t="s">
        <v>907</v>
      </c>
      <c r="E431" t="s">
        <v>412</v>
      </c>
    </row>
    <row r="432" spans="1:6" x14ac:dyDescent="0.25">
      <c r="A432" t="str">
        <f t="shared" si="6"/>
        <v>TC_K_57_CS ISO 15118 Support</v>
      </c>
      <c r="B432" t="s">
        <v>908</v>
      </c>
      <c r="C432" t="s">
        <v>157</v>
      </c>
      <c r="D432" t="s">
        <v>909</v>
      </c>
      <c r="E432" t="s">
        <v>412</v>
      </c>
    </row>
    <row r="433" spans="1:6" x14ac:dyDescent="0.25">
      <c r="A433" t="str">
        <f t="shared" si="6"/>
        <v>TC_K_58_CS ISO 15118 Support</v>
      </c>
      <c r="B433" t="s">
        <v>910</v>
      </c>
      <c r="C433" t="s">
        <v>157</v>
      </c>
      <c r="D433" t="s">
        <v>911</v>
      </c>
      <c r="E433" t="s">
        <v>412</v>
      </c>
    </row>
    <row r="434" spans="1:6" x14ac:dyDescent="0.25">
      <c r="A434" t="str">
        <f t="shared" si="6"/>
        <v>TC_M_26_CS ISO 15118 Support</v>
      </c>
      <c r="B434" t="s">
        <v>983</v>
      </c>
      <c r="C434" t="s">
        <v>157</v>
      </c>
      <c r="D434" t="s">
        <v>1474</v>
      </c>
      <c r="E434" t="s">
        <v>412</v>
      </c>
    </row>
    <row r="435" spans="1:6" x14ac:dyDescent="0.25">
      <c r="A435" t="str">
        <f t="shared" si="6"/>
        <v>TC_M_27_CS ISO 15118 Support</v>
      </c>
      <c r="B435" t="s">
        <v>984</v>
      </c>
      <c r="C435" t="s">
        <v>157</v>
      </c>
      <c r="D435" t="s">
        <v>1475</v>
      </c>
      <c r="E435" t="s">
        <v>412</v>
      </c>
    </row>
    <row r="436" spans="1:6" x14ac:dyDescent="0.25">
      <c r="A436" t="str">
        <f t="shared" si="6"/>
        <v>TC_M_28_CS ISO 15118 Support</v>
      </c>
      <c r="B436" t="s">
        <v>985</v>
      </c>
      <c r="C436" t="s">
        <v>157</v>
      </c>
      <c r="D436" t="s">
        <v>1476</v>
      </c>
      <c r="E436" t="s">
        <v>412</v>
      </c>
    </row>
    <row r="437" spans="1:6" x14ac:dyDescent="0.25">
      <c r="A437" t="str">
        <f t="shared" si="6"/>
        <v>TC_M_29_CS ISO 15118 Support</v>
      </c>
      <c r="B437" t="s">
        <v>986</v>
      </c>
      <c r="C437" t="s">
        <v>157</v>
      </c>
      <c r="D437" t="s">
        <v>1477</v>
      </c>
      <c r="E437" t="s">
        <v>412</v>
      </c>
    </row>
    <row r="438" spans="1:6" x14ac:dyDescent="0.25">
      <c r="A438" t="str">
        <f t="shared" si="6"/>
        <v>TC_M_14_CS ISO 15118 Support</v>
      </c>
      <c r="B438" t="s">
        <v>961</v>
      </c>
      <c r="C438" t="s">
        <v>157</v>
      </c>
      <c r="D438" t="s">
        <v>962</v>
      </c>
      <c r="E438" t="s">
        <v>412</v>
      </c>
    </row>
    <row r="439" spans="1:6" x14ac:dyDescent="0.25">
      <c r="A439" t="str">
        <f t="shared" si="6"/>
        <v>TC_M_15_CS ISO 15118 Support</v>
      </c>
      <c r="B439" t="s">
        <v>963</v>
      </c>
      <c r="C439" t="s">
        <v>157</v>
      </c>
      <c r="D439" t="s">
        <v>964</v>
      </c>
      <c r="E439" t="s">
        <v>412</v>
      </c>
    </row>
    <row r="440" spans="1:6" x14ac:dyDescent="0.25">
      <c r="A440" t="str">
        <f t="shared" si="6"/>
        <v>TC_M_16_CS ISO 15118 Support</v>
      </c>
      <c r="B440" t="s">
        <v>965</v>
      </c>
      <c r="C440" t="s">
        <v>157</v>
      </c>
      <c r="D440" t="s">
        <v>966</v>
      </c>
      <c r="E440" t="s">
        <v>412</v>
      </c>
    </row>
    <row r="441" spans="1:6" x14ac:dyDescent="0.25">
      <c r="A441" t="str">
        <f t="shared" si="6"/>
        <v>TC_M_03_CS ISO 15118 Support</v>
      </c>
      <c r="B441" t="s">
        <v>948</v>
      </c>
      <c r="C441" t="s">
        <v>157</v>
      </c>
      <c r="D441" t="s">
        <v>949</v>
      </c>
      <c r="E441" t="s">
        <v>412</v>
      </c>
    </row>
    <row r="442" spans="1:6" x14ac:dyDescent="0.25">
      <c r="A442" t="str">
        <f t="shared" si="6"/>
        <v>TC_M_04_CS ISO 15118 Support</v>
      </c>
      <c r="B442" t="s">
        <v>950</v>
      </c>
      <c r="C442" t="s">
        <v>157</v>
      </c>
      <c r="D442" t="s">
        <v>951</v>
      </c>
      <c r="E442" t="s">
        <v>412</v>
      </c>
    </row>
    <row r="443" spans="1:6" x14ac:dyDescent="0.25">
      <c r="A443" t="str">
        <f t="shared" si="6"/>
        <v>TC_M_24_CS ISO 15118 Support</v>
      </c>
      <c r="B443" t="s">
        <v>979</v>
      </c>
      <c r="C443" t="s">
        <v>157</v>
      </c>
      <c r="D443" t="s">
        <v>980</v>
      </c>
      <c r="E443" t="s">
        <v>412</v>
      </c>
    </row>
    <row r="444" spans="1:6" x14ac:dyDescent="0.25">
      <c r="A444" t="str">
        <f t="shared" si="6"/>
        <v>TC_M_25_CS ISO 15118 Support</v>
      </c>
      <c r="B444" t="s">
        <v>981</v>
      </c>
      <c r="C444" t="s">
        <v>157</v>
      </c>
      <c r="D444" t="s">
        <v>982</v>
      </c>
      <c r="E444" t="s">
        <v>412</v>
      </c>
    </row>
    <row r="445" spans="1:6" x14ac:dyDescent="0.25">
      <c r="A445" t="str">
        <f t="shared" si="6"/>
        <v>TC_N_63_CS ISO 15118 Support</v>
      </c>
      <c r="B445" t="s">
        <v>1056</v>
      </c>
      <c r="C445" t="s">
        <v>157</v>
      </c>
      <c r="D445" t="s">
        <v>1057</v>
      </c>
      <c r="E445" t="s">
        <v>430</v>
      </c>
      <c r="F445" t="s">
        <v>128</v>
      </c>
    </row>
  </sheetData>
  <sortState xmlns:xlrd2="http://schemas.microsoft.com/office/spreadsheetml/2017/richdata2" ref="B2:G446">
    <sortCondition ref="B2:B446"/>
  </sortState>
  <pageMargins left="0.7" right="0.7" top="0.75" bottom="0.75" header="0.3" footer="0.3"/>
  <pageSetup paperSize="9" orientation="portrait" r:id="rId1"/>
  <headerFooter>
    <oddFooter>&amp;C_x000D_&amp;1#&amp;"Arial"&amp;9&amp;K000000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82C58-DCD6-4818-9A0F-45D812E9F9DB}">
  <dimension ref="A1:E3"/>
  <sheetViews>
    <sheetView workbookViewId="0"/>
  </sheetViews>
  <sheetFormatPr defaultColWidth="8.875" defaultRowHeight="15.75" x14ac:dyDescent="0.25"/>
  <cols>
    <col min="1" max="1" width="51.375" customWidth="1"/>
  </cols>
  <sheetData>
    <row r="1" spans="1:5" x14ac:dyDescent="0.25">
      <c r="A1" t="s">
        <v>239</v>
      </c>
      <c r="B1" t="s">
        <v>412</v>
      </c>
      <c r="E1" t="s">
        <v>1375</v>
      </c>
    </row>
    <row r="2" spans="1:5" x14ac:dyDescent="0.25">
      <c r="A2" t="s">
        <v>241</v>
      </c>
      <c r="B2" t="s">
        <v>430</v>
      </c>
      <c r="E2" t="s">
        <v>1376</v>
      </c>
    </row>
    <row r="3" spans="1:5" x14ac:dyDescent="0.25">
      <c r="A3" t="s">
        <v>240</v>
      </c>
      <c r="B3" t="s">
        <v>430</v>
      </c>
      <c r="E3" t="s">
        <v>1377</v>
      </c>
    </row>
  </sheetData>
  <pageMargins left="0.7" right="0.7" top="0.75" bottom="0.75" header="0.3" footer="0.3"/>
  <headerFooter>
    <oddFooter>&amp;C_x000D_&amp;1#&amp;"Arial"&amp;9&amp;K000000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64C14-D9E2-46BD-862C-4AA098EB5D2F}">
  <dimension ref="B1:N42"/>
  <sheetViews>
    <sheetView showGridLines="0" zoomScaleNormal="100" workbookViewId="0">
      <selection activeCell="D3" sqref="D3"/>
    </sheetView>
  </sheetViews>
  <sheetFormatPr defaultColWidth="28.375" defaultRowHeight="15.75" customHeight="1" x14ac:dyDescent="0.25"/>
  <cols>
    <col min="1" max="1" width="3.375" customWidth="1"/>
    <col min="2" max="2" width="11.5" style="11" customWidth="1"/>
    <col min="4" max="4" width="54.875" customWidth="1"/>
    <col min="5" max="5" width="31.125" customWidth="1"/>
    <col min="6" max="6" width="8" style="11" bestFit="1" customWidth="1"/>
    <col min="7" max="7" width="7.375" style="11" bestFit="1" customWidth="1"/>
    <col min="8" max="8" width="6.625" style="11" bestFit="1" customWidth="1"/>
    <col min="9" max="9" width="9.5" style="11" bestFit="1" customWidth="1"/>
    <col min="10" max="10" width="16.125" style="11" bestFit="1" customWidth="1"/>
    <col min="11" max="11" width="15.375" style="11" bestFit="1" customWidth="1"/>
    <col min="12" max="12" width="10" bestFit="1" customWidth="1"/>
    <col min="14" max="14" width="8" customWidth="1"/>
    <col min="15" max="15" width="6.125" bestFit="1" customWidth="1"/>
    <col min="16" max="16" width="6.625" bestFit="1" customWidth="1"/>
    <col min="17" max="17" width="14" bestFit="1" customWidth="1"/>
    <col min="18" max="18" width="10" bestFit="1" customWidth="1"/>
  </cols>
  <sheetData>
    <row r="1" spans="2:14" ht="30.75" customHeight="1" x14ac:dyDescent="0.35">
      <c r="B1" s="247" t="s">
        <v>10</v>
      </c>
      <c r="C1" s="247"/>
      <c r="D1" s="247"/>
      <c r="M1" s="199" t="s">
        <v>1313</v>
      </c>
      <c r="N1" s="1" t="str">
        <f>IF(AND(_xlfn.CONCAT(L:L,E:E)="",ISERROR(FIND("&lt;",_xlfn.CONCAT(D5:D7,D3,D20:D21)))),"VALID","INVALID")</f>
        <v>INVALID</v>
      </c>
    </row>
    <row r="3" spans="2:14" ht="30.95" customHeight="1" thickBot="1" x14ac:dyDescent="0.3">
      <c r="C3" s="200" t="s">
        <v>1337</v>
      </c>
      <c r="D3" s="186" t="s">
        <v>1308</v>
      </c>
      <c r="E3" s="157" t="str">
        <f>IF(ISBLANK(D3),"&lt;---- This field cannot be left empty!","")</f>
        <v/>
      </c>
      <c r="F3" s="248" t="s">
        <v>1314</v>
      </c>
      <c r="G3" s="249"/>
      <c r="H3" s="249"/>
      <c r="I3" s="249"/>
      <c r="J3" s="249"/>
      <c r="K3" s="250"/>
    </row>
    <row r="4" spans="2:14" ht="16.5" thickBot="1" x14ac:dyDescent="0.3">
      <c r="C4" s="201" t="s">
        <v>11</v>
      </c>
      <c r="D4" s="51" t="s">
        <v>1367</v>
      </c>
      <c r="E4" s="157" t="str">
        <f>IF(ISBLANK(D4),"&lt;---- This field cannot be left empty!","")</f>
        <v/>
      </c>
      <c r="F4" s="217" t="s">
        <v>1169</v>
      </c>
      <c r="G4" s="222" t="s">
        <v>1277</v>
      </c>
      <c r="H4" s="222" t="s">
        <v>1170</v>
      </c>
      <c r="I4" s="222" t="s">
        <v>1171</v>
      </c>
      <c r="J4" s="222" t="s">
        <v>1296</v>
      </c>
      <c r="K4" s="226" t="s">
        <v>1284</v>
      </c>
    </row>
    <row r="5" spans="2:14" ht="19.5" thickBot="1" x14ac:dyDescent="0.35">
      <c r="C5" s="202" t="s">
        <v>1150</v>
      </c>
      <c r="D5" s="52" t="s">
        <v>1311</v>
      </c>
      <c r="E5" s="157" t="str">
        <f>IF(ISBLANK(D5),"&lt;---- This field cannot be left empty!","")</f>
        <v/>
      </c>
      <c r="F5" s="218">
        <v>1</v>
      </c>
      <c r="G5" s="224"/>
      <c r="H5" s="224"/>
      <c r="I5" s="11">
        <v>1</v>
      </c>
      <c r="J5" s="224"/>
      <c r="K5" s="227"/>
      <c r="L5" s="203" t="str">
        <f>IF(AND($G5=MD!$E$3,OR($D$4&lt;&gt;"Charging Station Software Stack",COUNTA($F$6:$K$42)&gt;0)),"AC &amp; DC is only allowed for a single-EVSE Software Stack",IF(AND(ISBLANK(F4),ISNUMBER(F5)),"Empty lines are not allowed in this table",IF(AND(NOT(ISNUMBER(F4)),F5&lt;&gt;1),"First EVSE must be EVSE1",IF(AND(ISNUMBER(F4),NOT(OR(F5=F4,F5-1=F4))),"Next EVSE must be same id or id + 1",IF(ISBLANK(G5),"Please specify Current Type",IF(AND(F4=F5,G4&lt;&gt;G5),"Current Type must be the same for all connectors of an EVSE",IF(AND(F5=F4,I5&lt;&gt;IF(ISNUMBER(I4),I4+1,1)),_xlfn.CONCAT("Connector id on same EVSE must be ",I4+1),IF(AND(F5&lt;&gt;F4,I5&lt;&gt;1),"First Connector of an EVSE must be 1",IF(AND(G5="DC",NOT(ISBLANK(H5))),"You cannot specify number of phases for DC!",IF(AND(OR(G5=MD!$E$3,G5="AC"),ISBLANK(H5)),"You Must specify number of phases for AC!",IF(ISBLANK(J5),"Please fill in Connector Type",IF(ISBLANK(K5),"Please fill in Cable Type",""))))))))))))</f>
        <v>Please specify Current Type</v>
      </c>
    </row>
    <row r="6" spans="2:14" ht="19.5" thickBot="1" x14ac:dyDescent="0.35">
      <c r="C6" s="201" t="s">
        <v>1309</v>
      </c>
      <c r="D6" s="51" t="s">
        <v>12</v>
      </c>
      <c r="E6" s="157" t="str">
        <f>IF(ISBLANK(D6),"&lt;---- This field cannot be left empty!","")</f>
        <v/>
      </c>
      <c r="F6" s="219"/>
      <c r="G6" s="223"/>
      <c r="H6" s="223"/>
      <c r="I6" s="223"/>
      <c r="J6" s="223"/>
      <c r="K6" s="228"/>
      <c r="L6" s="203" t="str">
        <f t="shared" ref="L6:L42" si="0">IF(_xlfn.CONCAT(F6:K6)="","",IF(AND(ISBLANK(F5),ISNUMBER(F6)),"Empty lines are not allowed in this table",IF(AND(NOT(ISNUMBER(F5)),F6&lt;&gt;1),"First EVSE must be EVSE1",IF(AND(ISNUMBER(F5),NOT(OR(F6=F5,F6-1=F5))),"Next EVSE must be same id or id + 1",IF(ISBLANK(G6),"Please specify Current Type",IF(AND(F5=F6,G5&lt;&gt;G6),"Current Type must be the same for all connectors of an EVSE",IF(AND(F6=F5,I6&lt;&gt;IF(ISNUMBER(I5),I5+1,1)),_xlfn.CONCAT("Connector id on same EVSE must be ",I5+1),IF(AND(F6&lt;&gt;F5,I6&lt;&gt;1),"First Connector of an EVSE must be 1",IF(AND(G6="DC",NOT(ISBLANK(H6))),"You cannot specify number of phases for DC!",IF(AND(G6="AC",ISBLANK(H6)),"You Must specify number of phases for AC!",IF(ISBLANK(J6),"Please fill in Connector Type",IF(ISBLANK(K6),"Please fill in Cable Type",""))))))))))))</f>
        <v/>
      </c>
    </row>
    <row r="7" spans="2:14" ht="18.75" x14ac:dyDescent="0.3">
      <c r="C7" s="204" t="s">
        <v>1321</v>
      </c>
      <c r="D7" s="91" t="s">
        <v>1310</v>
      </c>
      <c r="E7" s="157" t="str">
        <f>IF(ISBLANK(D7),"&lt;---- This field cannot be left empty!","")</f>
        <v/>
      </c>
      <c r="F7" s="220"/>
      <c r="G7" s="224"/>
      <c r="H7" s="224"/>
      <c r="I7" s="224"/>
      <c r="J7" s="224"/>
      <c r="K7" s="227"/>
      <c r="L7" s="203" t="str">
        <f t="shared" si="0"/>
        <v/>
      </c>
    </row>
    <row r="8" spans="2:14" ht="18.75" x14ac:dyDescent="0.3">
      <c r="F8" s="219"/>
      <c r="G8" s="223"/>
      <c r="H8" s="223"/>
      <c r="I8" s="223"/>
      <c r="J8" s="223"/>
      <c r="K8" s="228"/>
      <c r="L8" s="203" t="str">
        <f t="shared" si="0"/>
        <v/>
      </c>
    </row>
    <row r="9" spans="2:14" ht="18.75" x14ac:dyDescent="0.3">
      <c r="C9" s="3"/>
      <c r="F9" s="220"/>
      <c r="G9" s="224"/>
      <c r="H9" s="224"/>
      <c r="I9" s="224"/>
      <c r="J9" s="224"/>
      <c r="K9" s="227"/>
      <c r="L9" s="203" t="str">
        <f t="shared" si="0"/>
        <v/>
      </c>
    </row>
    <row r="10" spans="2:14" ht="15.75" customHeight="1" x14ac:dyDescent="0.3">
      <c r="B10" s="187" t="s">
        <v>13</v>
      </c>
      <c r="C10" s="42" t="s">
        <v>38</v>
      </c>
      <c r="D10" s="188" t="s">
        <v>1338</v>
      </c>
      <c r="F10" s="219"/>
      <c r="G10" s="223"/>
      <c r="H10" s="223"/>
      <c r="I10" s="223"/>
      <c r="J10" s="223"/>
      <c r="K10" s="228"/>
      <c r="L10" s="203" t="str">
        <f t="shared" si="0"/>
        <v/>
      </c>
      <c r="M10" s="205"/>
      <c r="N10" s="205"/>
    </row>
    <row r="11" spans="2:14" ht="18.75" x14ac:dyDescent="0.3">
      <c r="B11" s="189"/>
      <c r="C11" s="190"/>
      <c r="D11" s="191"/>
      <c r="F11" s="220"/>
      <c r="G11" s="224"/>
      <c r="H11" s="224"/>
      <c r="I11" s="224"/>
      <c r="J11" s="224"/>
      <c r="K11" s="227"/>
      <c r="L11" s="203" t="str">
        <f t="shared" si="0"/>
        <v/>
      </c>
    </row>
    <row r="12" spans="2:14" ht="18.75" x14ac:dyDescent="0.3">
      <c r="B12" s="206" t="s">
        <v>14</v>
      </c>
      <c r="C12" s="33" t="s">
        <v>15</v>
      </c>
      <c r="D12" s="207" t="str">
        <f>IF(NOT(ISERROR(VLOOKUP("Detachable Cable",K:K,1,FALSE))),"Yes","No")</f>
        <v>No</v>
      </c>
      <c r="F12" s="219"/>
      <c r="G12" s="223"/>
      <c r="H12" s="223"/>
      <c r="I12" s="223"/>
      <c r="J12" s="223"/>
      <c r="K12" s="228"/>
      <c r="L12" s="203" t="str">
        <f t="shared" si="0"/>
        <v/>
      </c>
    </row>
    <row r="13" spans="2:14" ht="18.75" x14ac:dyDescent="0.3">
      <c r="B13" s="208" t="s">
        <v>17</v>
      </c>
      <c r="C13" s="46" t="s">
        <v>18</v>
      </c>
      <c r="D13" s="209" t="str">
        <f>IF(NOT(ISERROR(VLOOKUP("Fixed Cable",K:K,1,FALSE))),"Yes","No")</f>
        <v>No</v>
      </c>
      <c r="F13" s="220"/>
      <c r="G13" s="224"/>
      <c r="H13" s="224"/>
      <c r="I13" s="224"/>
      <c r="J13" s="224"/>
      <c r="K13" s="227"/>
      <c r="L13" s="203" t="str">
        <f t="shared" si="0"/>
        <v/>
      </c>
    </row>
    <row r="14" spans="2:14" ht="16.350000000000001" customHeight="1" x14ac:dyDescent="0.3">
      <c r="B14" s="206" t="s">
        <v>19</v>
      </c>
      <c r="C14" s="33" t="s">
        <v>20</v>
      </c>
      <c r="D14" s="207" t="str">
        <f>IF(NOT(AND(ISERROR(VLOOKUP("AC",G:G,1,FALSE)),ISERROR(VLOOKUP("AC &amp; DC",G:G,1,FALSE)))),"Yes","No")</f>
        <v>No</v>
      </c>
      <c r="F14" s="219"/>
      <c r="G14" s="223"/>
      <c r="H14" s="223"/>
      <c r="I14" s="223"/>
      <c r="J14" s="223"/>
      <c r="K14" s="228"/>
      <c r="L14" s="203" t="str">
        <f t="shared" si="0"/>
        <v/>
      </c>
    </row>
    <row r="15" spans="2:14" ht="16.350000000000001" customHeight="1" x14ac:dyDescent="0.3">
      <c r="B15" s="208" t="s">
        <v>22</v>
      </c>
      <c r="C15" s="46" t="s">
        <v>23</v>
      </c>
      <c r="D15" s="209" t="str">
        <f>IF(NOT(AND(ISERROR(VLOOKUP("DC",G:G,1,FALSE)),ISERROR(VLOOKUP("AC &amp; DC",G:G,1,FALSE)))),"Yes","No")</f>
        <v>No</v>
      </c>
      <c r="F15" s="220"/>
      <c r="G15" s="224"/>
      <c r="H15" s="224"/>
      <c r="I15" s="224"/>
      <c r="J15" s="224"/>
      <c r="K15" s="227"/>
      <c r="L15" s="203" t="str">
        <f t="shared" si="0"/>
        <v/>
      </c>
    </row>
    <row r="16" spans="2:14" ht="16.350000000000001" customHeight="1" x14ac:dyDescent="0.3">
      <c r="B16" s="206" t="s">
        <v>24</v>
      </c>
      <c r="C16" s="33" t="s">
        <v>25</v>
      </c>
      <c r="D16" s="207" t="str">
        <f>IF(NOT(ISERROR(FIND("1",_xlfn.CONCAT(H:H)))),"Yes","No")</f>
        <v>No</v>
      </c>
      <c r="F16" s="219"/>
      <c r="G16" s="223"/>
      <c r="H16" s="223"/>
      <c r="I16" s="223"/>
      <c r="J16" s="223"/>
      <c r="K16" s="228"/>
      <c r="L16" s="203" t="str">
        <f t="shared" si="0"/>
        <v/>
      </c>
    </row>
    <row r="17" spans="2:12" ht="16.350000000000001" customHeight="1" x14ac:dyDescent="0.3">
      <c r="B17" s="208" t="s">
        <v>26</v>
      </c>
      <c r="C17" s="46" t="s">
        <v>27</v>
      </c>
      <c r="D17" s="209" t="str">
        <f>IF(NOT(ISERROR(FIND("2",_xlfn.CONCAT(H:H)))),"Yes","No")</f>
        <v>No</v>
      </c>
      <c r="F17" s="220"/>
      <c r="G17" s="224"/>
      <c r="H17" s="224"/>
      <c r="I17" s="224"/>
      <c r="J17" s="224"/>
      <c r="K17" s="227"/>
      <c r="L17" s="203" t="str">
        <f t="shared" si="0"/>
        <v/>
      </c>
    </row>
    <row r="18" spans="2:12" ht="16.350000000000001" customHeight="1" x14ac:dyDescent="0.3">
      <c r="B18" s="206" t="s">
        <v>28</v>
      </c>
      <c r="C18" s="33" t="s">
        <v>29</v>
      </c>
      <c r="D18" s="207" t="str">
        <f>IF(NOT(ISERROR(FIND("3",_xlfn.CONCAT(H:H)))),"Yes","No")</f>
        <v>No</v>
      </c>
      <c r="E18" s="33"/>
      <c r="F18" s="219"/>
      <c r="G18" s="223"/>
      <c r="H18" s="223"/>
      <c r="I18" s="223"/>
      <c r="J18" s="223"/>
      <c r="K18" s="228"/>
      <c r="L18" s="203" t="str">
        <f t="shared" si="0"/>
        <v/>
      </c>
    </row>
    <row r="19" spans="2:12" ht="18.75" x14ac:dyDescent="0.3">
      <c r="B19" s="208" t="s">
        <v>30</v>
      </c>
      <c r="C19" s="46" t="s">
        <v>31</v>
      </c>
      <c r="D19" s="209">
        <f>MAX(F:F)</f>
        <v>1</v>
      </c>
      <c r="F19" s="220"/>
      <c r="G19" s="224"/>
      <c r="H19" s="224"/>
      <c r="I19" s="224"/>
      <c r="J19" s="224"/>
      <c r="K19" s="227"/>
      <c r="L19" s="203" t="str">
        <f t="shared" si="0"/>
        <v/>
      </c>
    </row>
    <row r="20" spans="2:12" ht="18.75" x14ac:dyDescent="0.3">
      <c r="B20" s="206" t="s">
        <v>1285</v>
      </c>
      <c r="C20" s="33" t="s">
        <v>32</v>
      </c>
      <c r="D20" s="82" t="s">
        <v>1320</v>
      </c>
      <c r="E20" s="157" t="str">
        <f>IF(ISBLANK(D20),"&lt;---- This field cannot be left empty!","")</f>
        <v/>
      </c>
      <c r="F20" s="219"/>
      <c r="G20" s="223"/>
      <c r="H20" s="223"/>
      <c r="I20" s="223"/>
      <c r="J20" s="223"/>
      <c r="K20" s="228"/>
      <c r="L20" s="203" t="str">
        <f t="shared" si="0"/>
        <v/>
      </c>
    </row>
    <row r="21" spans="2:12" ht="18.75" x14ac:dyDescent="0.3">
      <c r="B21" s="189" t="s">
        <v>1286</v>
      </c>
      <c r="C21" s="46" t="s">
        <v>33</v>
      </c>
      <c r="D21" s="83" t="s">
        <v>1312</v>
      </c>
      <c r="E21" s="157" t="str">
        <f>IF(ISBLANK(D21),"&lt;---- This field cannot be left empty!","")</f>
        <v/>
      </c>
      <c r="F21" s="220"/>
      <c r="G21" s="224"/>
      <c r="H21" s="224"/>
      <c r="I21" s="224"/>
      <c r="J21" s="224"/>
      <c r="K21" s="227"/>
      <c r="L21" s="203" t="str">
        <f t="shared" si="0"/>
        <v/>
      </c>
    </row>
    <row r="22" spans="2:12" ht="18.75" x14ac:dyDescent="0.3">
      <c r="B22" s="192"/>
      <c r="C22" s="193"/>
      <c r="D22" s="194"/>
      <c r="F22" s="219"/>
      <c r="G22" s="223"/>
      <c r="H22" s="223"/>
      <c r="I22" s="223"/>
      <c r="J22" s="223"/>
      <c r="K22" s="228"/>
      <c r="L22" s="203" t="str">
        <f t="shared" si="0"/>
        <v/>
      </c>
    </row>
    <row r="23" spans="2:12" ht="18.75" x14ac:dyDescent="0.3">
      <c r="B23" s="195"/>
      <c r="C23" s="196"/>
      <c r="D23" s="4"/>
      <c r="F23" s="220"/>
      <c r="G23" s="224"/>
      <c r="H23" s="224"/>
      <c r="I23" s="224"/>
      <c r="J23" s="224"/>
      <c r="K23" s="227"/>
      <c r="L23" s="203" t="str">
        <f t="shared" si="0"/>
        <v/>
      </c>
    </row>
    <row r="24" spans="2:12" ht="18.75" x14ac:dyDescent="0.3">
      <c r="B24" s="197"/>
      <c r="C24" s="33"/>
      <c r="D24" s="4"/>
      <c r="F24" s="219"/>
      <c r="G24" s="223"/>
      <c r="H24" s="223"/>
      <c r="I24" s="223"/>
      <c r="J24" s="223"/>
      <c r="K24" s="228"/>
      <c r="L24" s="203" t="str">
        <f t="shared" si="0"/>
        <v/>
      </c>
    </row>
    <row r="25" spans="2:12" ht="18.75" x14ac:dyDescent="0.3">
      <c r="B25" s="195"/>
      <c r="C25" s="198"/>
      <c r="D25" s="4"/>
      <c r="F25" s="220"/>
      <c r="G25" s="224"/>
      <c r="H25" s="224"/>
      <c r="I25" s="224"/>
      <c r="J25" s="224"/>
      <c r="K25" s="227"/>
      <c r="L25" s="203" t="str">
        <f t="shared" si="0"/>
        <v/>
      </c>
    </row>
    <row r="26" spans="2:12" ht="18.75" x14ac:dyDescent="0.3">
      <c r="B26" s="197"/>
      <c r="C26" s="33"/>
      <c r="D26" s="4"/>
      <c r="F26" s="219"/>
      <c r="G26" s="223"/>
      <c r="H26" s="223"/>
      <c r="I26" s="223"/>
      <c r="J26" s="223"/>
      <c r="K26" s="228"/>
      <c r="L26" s="203" t="str">
        <f t="shared" si="0"/>
        <v/>
      </c>
    </row>
    <row r="27" spans="2:12" ht="18.75" x14ac:dyDescent="0.3">
      <c r="B27" s="195"/>
      <c r="C27" s="33"/>
      <c r="D27" s="4"/>
      <c r="F27" s="220"/>
      <c r="G27" s="224"/>
      <c r="H27" s="224"/>
      <c r="I27" s="224"/>
      <c r="J27" s="224"/>
      <c r="K27" s="227"/>
      <c r="L27" s="203" t="str">
        <f t="shared" si="0"/>
        <v/>
      </c>
    </row>
    <row r="28" spans="2:12" ht="18.75" x14ac:dyDescent="0.3">
      <c r="F28" s="219"/>
      <c r="G28" s="223"/>
      <c r="H28" s="223"/>
      <c r="I28" s="223"/>
      <c r="J28" s="223"/>
      <c r="K28" s="228"/>
      <c r="L28" s="203" t="str">
        <f t="shared" si="0"/>
        <v/>
      </c>
    </row>
    <row r="29" spans="2:12" ht="18.75" x14ac:dyDescent="0.3">
      <c r="F29" s="220"/>
      <c r="G29" s="224"/>
      <c r="H29" s="224"/>
      <c r="I29" s="224"/>
      <c r="J29" s="224"/>
      <c r="K29" s="227"/>
      <c r="L29" s="203" t="str">
        <f t="shared" si="0"/>
        <v/>
      </c>
    </row>
    <row r="30" spans="2:12" ht="17.100000000000001" customHeight="1" x14ac:dyDescent="0.3">
      <c r="F30" s="219"/>
      <c r="G30" s="223"/>
      <c r="H30" s="223"/>
      <c r="I30" s="223"/>
      <c r="J30" s="223"/>
      <c r="K30" s="228"/>
      <c r="L30" s="203" t="str">
        <f t="shared" si="0"/>
        <v/>
      </c>
    </row>
    <row r="31" spans="2:12" ht="16.350000000000001" customHeight="1" x14ac:dyDescent="0.3">
      <c r="B31" s="195"/>
      <c r="C31" s="33"/>
      <c r="D31" s="4"/>
      <c r="F31" s="220"/>
      <c r="G31" s="224"/>
      <c r="H31" s="224"/>
      <c r="I31" s="224"/>
      <c r="J31" s="224"/>
      <c r="K31" s="227"/>
      <c r="L31" s="203" t="str">
        <f t="shared" si="0"/>
        <v/>
      </c>
    </row>
    <row r="32" spans="2:12" ht="16.350000000000001" customHeight="1" x14ac:dyDescent="0.3">
      <c r="B32" s="197"/>
      <c r="C32" s="33"/>
      <c r="D32" s="3"/>
      <c r="F32" s="219"/>
      <c r="G32" s="223"/>
      <c r="H32" s="223"/>
      <c r="I32" s="223"/>
      <c r="J32" s="223"/>
      <c r="K32" s="228"/>
      <c r="L32" s="203" t="str">
        <f t="shared" si="0"/>
        <v/>
      </c>
    </row>
    <row r="33" spans="3:12" ht="18.75" x14ac:dyDescent="0.3">
      <c r="C33" s="210"/>
      <c r="D33" s="3"/>
      <c r="F33" s="220"/>
      <c r="G33" s="224"/>
      <c r="H33" s="224"/>
      <c r="I33" s="224"/>
      <c r="J33" s="224"/>
      <c r="K33" s="227"/>
      <c r="L33" s="203" t="str">
        <f t="shared" si="0"/>
        <v/>
      </c>
    </row>
    <row r="34" spans="3:12" ht="15.75" customHeight="1" x14ac:dyDescent="0.3">
      <c r="F34" s="219"/>
      <c r="G34" s="223"/>
      <c r="H34" s="223"/>
      <c r="I34" s="223"/>
      <c r="J34" s="223"/>
      <c r="K34" s="228"/>
      <c r="L34" s="203" t="str">
        <f t="shared" si="0"/>
        <v/>
      </c>
    </row>
    <row r="35" spans="3:12" ht="15.75" customHeight="1" x14ac:dyDescent="0.3">
      <c r="F35" s="220"/>
      <c r="G35" s="224"/>
      <c r="H35" s="224"/>
      <c r="I35" s="224"/>
      <c r="J35" s="224"/>
      <c r="K35" s="227"/>
      <c r="L35" s="203" t="str">
        <f t="shared" si="0"/>
        <v/>
      </c>
    </row>
    <row r="36" spans="3:12" ht="15.75" customHeight="1" x14ac:dyDescent="0.3">
      <c r="F36" s="219"/>
      <c r="G36" s="223"/>
      <c r="H36" s="223"/>
      <c r="I36" s="223"/>
      <c r="J36" s="223"/>
      <c r="K36" s="228"/>
      <c r="L36" s="203" t="str">
        <f t="shared" si="0"/>
        <v/>
      </c>
    </row>
    <row r="37" spans="3:12" ht="15.75" customHeight="1" x14ac:dyDescent="0.3">
      <c r="F37" s="220"/>
      <c r="G37" s="224"/>
      <c r="H37" s="224"/>
      <c r="I37" s="224"/>
      <c r="J37" s="224"/>
      <c r="K37" s="227"/>
      <c r="L37" s="203" t="str">
        <f t="shared" si="0"/>
        <v/>
      </c>
    </row>
    <row r="38" spans="3:12" ht="15.75" customHeight="1" x14ac:dyDescent="0.3">
      <c r="F38" s="219"/>
      <c r="G38" s="223"/>
      <c r="H38" s="223"/>
      <c r="I38" s="223"/>
      <c r="J38" s="223"/>
      <c r="K38" s="228"/>
      <c r="L38" s="203" t="str">
        <f t="shared" si="0"/>
        <v/>
      </c>
    </row>
    <row r="39" spans="3:12" ht="15.75" customHeight="1" x14ac:dyDescent="0.3">
      <c r="F39" s="220"/>
      <c r="G39" s="224"/>
      <c r="H39" s="224"/>
      <c r="I39" s="224"/>
      <c r="J39" s="224"/>
      <c r="K39" s="227"/>
      <c r="L39" s="203" t="str">
        <f t="shared" si="0"/>
        <v/>
      </c>
    </row>
    <row r="40" spans="3:12" ht="15.75" customHeight="1" x14ac:dyDescent="0.3">
      <c r="F40" s="219"/>
      <c r="G40" s="223"/>
      <c r="H40" s="223"/>
      <c r="I40" s="223"/>
      <c r="J40" s="223"/>
      <c r="K40" s="228"/>
      <c r="L40" s="203" t="str">
        <f t="shared" si="0"/>
        <v/>
      </c>
    </row>
    <row r="41" spans="3:12" ht="15.75" customHeight="1" x14ac:dyDescent="0.3">
      <c r="F41" s="220"/>
      <c r="G41" s="224"/>
      <c r="H41" s="224"/>
      <c r="I41" s="224"/>
      <c r="J41" s="224"/>
      <c r="K41" s="227"/>
      <c r="L41" s="203" t="str">
        <f t="shared" si="0"/>
        <v/>
      </c>
    </row>
    <row r="42" spans="3:12" ht="15.75" customHeight="1" x14ac:dyDescent="0.3">
      <c r="F42" s="221"/>
      <c r="G42" s="225"/>
      <c r="H42" s="225"/>
      <c r="I42" s="225"/>
      <c r="J42" s="225"/>
      <c r="K42" s="229"/>
      <c r="L42" s="203" t="str">
        <f t="shared" si="0"/>
        <v/>
      </c>
    </row>
  </sheetData>
  <sheetProtection algorithmName="SHA-512" hashValue="LhQ2evK/1AjI5wGSfJToaa/4rveSvPS1zCxh8p4UHgGVKKOwVHNR9E6aUr0Xt5Caz8hQ4rj/0IduocoJo1/yQg==" saltValue="FhdwwqWGJMWyprilvPt20g==" spinCount="100000" sheet="1" objects="1" scenarios="1"/>
  <mergeCells count="2">
    <mergeCell ref="B1:D1"/>
    <mergeCell ref="F3:K3"/>
  </mergeCells>
  <conditionalFormatting sqref="N1">
    <cfRule type="cellIs" dxfId="11" priority="1" operator="equal">
      <formula>"INVALID"</formula>
    </cfRule>
    <cfRule type="cellIs" dxfId="10" priority="2" operator="equal">
      <formula>"VALID"</formula>
    </cfRule>
  </conditionalFormatting>
  <dataValidations count="9">
    <dataValidation showInputMessage="1" showErrorMessage="1" sqref="D20" xr:uid="{1DE3AD11-78CF-5041-8D71-2C89FC6CDCFA}"/>
    <dataValidation type="list" showInputMessage="1" showErrorMessage="1" sqref="D21" xr:uid="{8F6751DE-26CA-B74C-BDBC-B6F3B2A1237D}">
      <formula1>"None,Single,One per EVSE"</formula1>
    </dataValidation>
    <dataValidation type="list" showInputMessage="1" showErrorMessage="1" sqref="D5" xr:uid="{4FC34C37-AA5B-104B-8E93-CDC3148C1D9C}">
      <formula1>"N/A,Mode 1/2-only Charging Station"</formula1>
    </dataValidation>
    <dataValidation type="whole" operator="greaterThanOrEqual" allowBlank="1" showInputMessage="1" showErrorMessage="1" sqref="F1:F1048576 I1:I1048576" xr:uid="{41E48F05-480F-3B4B-B61C-6FA5F338C050}">
      <formula1>1</formula1>
    </dataValidation>
    <dataValidation type="list" allowBlank="1" showInputMessage="1" showErrorMessage="1" sqref="H1:H1048576" xr:uid="{708513C4-5B37-3F42-A82A-5979E936543B}">
      <formula1>"1,1 &amp; 3,1 &amp; 2 &amp; 3,3"</formula1>
    </dataValidation>
    <dataValidation type="list" allowBlank="1" showInputMessage="1" showErrorMessage="1" sqref="J1:J1048576" xr:uid="{497F230E-FFB4-6C40-9FBB-871BB566A264}">
      <formula1>"cCCS1,cCCS2,cG105,cTesla,cType1,cType2,s309-1P-16A,s309-1P-32A,s309-3P-16A,s309-3P-32A,sBS1361,sCEE-7-7,sType2,sType3,Other1PhMax16A,Other1PhOver16A,Other3Ph,Pan,wInductive,wResonant"</formula1>
    </dataValidation>
    <dataValidation type="list" allowBlank="1" showInputMessage="1" showErrorMessage="1" sqref="K1:K1048576" xr:uid="{374382D6-ED55-5F4E-B230-71E0F1CD2EBE}">
      <formula1>"Fixed Cable,Detachable Cable,Other"</formula1>
    </dataValidation>
    <dataValidation type="list" allowBlank="1" showInputMessage="1" showErrorMessage="1" sqref="G1:G4 G6:G1048576" xr:uid="{797364BC-EAB9-D343-9A9E-3BC141FB38F9}">
      <formula1>"AC,DC"</formula1>
    </dataValidation>
    <dataValidation type="list" showInputMessage="1" showErrorMessage="1" sqref="D4" xr:uid="{75C25747-1E68-7D4A-ABFF-97C7502A3842}">
      <formula1>"Charging Station,Charging Station Software Stack"</formula1>
    </dataValidation>
  </dataValidations>
  <pageMargins left="0.7" right="0.7" top="0.75" bottom="0.75" header="0.3" footer="0.3"/>
  <pageSetup paperSize="9" orientation="portrait" r:id="rId1"/>
  <headerFooter>
    <oddFooter>&amp;C_x000D_&amp;1#&amp;"Arial"&amp;9&amp;K000000 Internal</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637CD4B-212B-479E-AA42-FD7DD051ADFE}">
          <x14:formula1>
            <xm:f>IF(AND($D$4="Charging Station Software Stack",COUNTA($F$6:$K$42)=0),MD!$E$1:$E$3,MD!$E$1:$E$2)</xm:f>
          </x14:formula1>
          <xm:sqref>G5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78EAF-3DB1-4B8C-98C9-BDBA037EDD4E}">
  <dimension ref="B1:E11"/>
  <sheetViews>
    <sheetView showGridLines="0" workbookViewId="0">
      <selection activeCell="C5" sqref="C5"/>
    </sheetView>
  </sheetViews>
  <sheetFormatPr defaultColWidth="8.875" defaultRowHeight="15.75" x14ac:dyDescent="0.25"/>
  <cols>
    <col min="2" max="2" width="34.125" bestFit="1" customWidth="1"/>
    <col min="3" max="3" width="17.625" customWidth="1"/>
    <col min="4" max="4" width="69.125" customWidth="1"/>
  </cols>
  <sheetData>
    <row r="1" spans="2:5" ht="30.75" customHeight="1" x14ac:dyDescent="0.35">
      <c r="B1" s="247" t="s">
        <v>140</v>
      </c>
      <c r="C1" s="247"/>
      <c r="D1" s="247"/>
    </row>
    <row r="2" spans="2:5" ht="38.25" customHeight="1" x14ac:dyDescent="0.25"/>
    <row r="3" spans="2:5" ht="16.5" thickBot="1" x14ac:dyDescent="0.3">
      <c r="B3" s="18" t="s">
        <v>141</v>
      </c>
      <c r="C3" s="22" t="s">
        <v>91</v>
      </c>
      <c r="D3" s="19" t="s">
        <v>142</v>
      </c>
    </row>
    <row r="4" spans="2:5" ht="41.25" customHeight="1" thickBot="1" x14ac:dyDescent="0.3">
      <c r="B4" s="20" t="s">
        <v>143</v>
      </c>
      <c r="C4" s="70" t="s">
        <v>16</v>
      </c>
      <c r="D4" s="20" t="s">
        <v>144</v>
      </c>
      <c r="E4" s="157" t="str">
        <f t="shared" ref="E4:E11" si="0">IF(ISBLANK(C4),"&lt;---- This field cannot be left empty!","")</f>
        <v/>
      </c>
    </row>
    <row r="5" spans="2:5" ht="41.25" customHeight="1" thickBot="1" x14ac:dyDescent="0.3">
      <c r="B5" s="21" t="s">
        <v>145</v>
      </c>
      <c r="C5" s="55" t="s">
        <v>16</v>
      </c>
      <c r="D5" s="21" t="s">
        <v>146</v>
      </c>
      <c r="E5" s="157" t="str">
        <f t="shared" si="0"/>
        <v/>
      </c>
    </row>
    <row r="6" spans="2:5" ht="41.25" customHeight="1" thickBot="1" x14ac:dyDescent="0.3">
      <c r="B6" s="235" t="s">
        <v>147</v>
      </c>
      <c r="C6" s="236" t="s">
        <v>21</v>
      </c>
      <c r="D6" s="235" t="s">
        <v>148</v>
      </c>
      <c r="E6" s="157" t="str">
        <f t="shared" si="0"/>
        <v/>
      </c>
    </row>
    <row r="7" spans="2:5" ht="41.25" customHeight="1" thickBot="1" x14ac:dyDescent="0.3">
      <c r="B7" s="237" t="s">
        <v>149</v>
      </c>
      <c r="C7" s="238" t="s">
        <v>21</v>
      </c>
      <c r="D7" s="237" t="s">
        <v>150</v>
      </c>
      <c r="E7" s="157" t="str">
        <f t="shared" si="0"/>
        <v/>
      </c>
    </row>
    <row r="8" spans="2:5" ht="41.25" customHeight="1" thickBot="1" x14ac:dyDescent="0.3">
      <c r="B8" s="235" t="s">
        <v>151</v>
      </c>
      <c r="C8" s="236" t="s">
        <v>21</v>
      </c>
      <c r="D8" s="235" t="s">
        <v>152</v>
      </c>
      <c r="E8" s="157" t="str">
        <f t="shared" si="0"/>
        <v/>
      </c>
    </row>
    <row r="9" spans="2:5" ht="41.25" customHeight="1" thickBot="1" x14ac:dyDescent="0.3">
      <c r="B9" s="237" t="s">
        <v>153</v>
      </c>
      <c r="C9" s="238" t="s">
        <v>21</v>
      </c>
      <c r="D9" s="237" t="s">
        <v>154</v>
      </c>
      <c r="E9" s="157" t="str">
        <f t="shared" si="0"/>
        <v/>
      </c>
    </row>
    <row r="10" spans="2:5" ht="41.25" customHeight="1" thickBot="1" x14ac:dyDescent="0.3">
      <c r="B10" s="235" t="s">
        <v>155</v>
      </c>
      <c r="C10" s="236" t="s">
        <v>21</v>
      </c>
      <c r="D10" s="235" t="s">
        <v>156</v>
      </c>
      <c r="E10" s="157" t="str">
        <f t="shared" si="0"/>
        <v/>
      </c>
    </row>
    <row r="11" spans="2:5" ht="41.25" customHeight="1" thickBot="1" x14ac:dyDescent="0.3">
      <c r="B11" s="239" t="s">
        <v>157</v>
      </c>
      <c r="C11" s="240" t="s">
        <v>21</v>
      </c>
      <c r="D11" s="239" t="s">
        <v>158</v>
      </c>
      <c r="E11" s="157" t="str">
        <f t="shared" si="0"/>
        <v/>
      </c>
    </row>
  </sheetData>
  <sheetProtection algorithmName="SHA-512" hashValue="0y6enEkDHnSsJ0o+jF4InfY7FFGSS8xkMGzV9oJd9RgdcgCE4XscSkcXDT1nGBQyIANiOs3bhMLlwkTekC69KQ==" saltValue="s0uUXbnsMEOIo1oo++crBQ==" spinCount="100000" sheet="1" objects="1" scenarios="1"/>
  <mergeCells count="1">
    <mergeCell ref="B1:D1"/>
  </mergeCells>
  <dataValidations count="1">
    <dataValidation type="list" showInputMessage="1" showErrorMessage="1" sqref="C5:C11" xr:uid="{37913597-F0A1-49EC-BB4F-CCEB808C1C5E}">
      <formula1>"Yes,No"</formula1>
    </dataValidation>
  </dataValidations>
  <pageMargins left="0.7" right="0.7" top="0.75" bottom="0.75" header="0.3" footer="0.3"/>
  <pageSetup paperSize="9" orientation="portrait" r:id="rId1"/>
  <headerFooter>
    <oddFooter>&amp;C_x000D_&amp;1#&amp;"Arial"&amp;9&amp;K000000 Internal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AA72A-1F49-431F-8688-341CA06B3164}">
  <sheetPr>
    <outlinePr summaryBelow="0" summaryRight="0"/>
  </sheetPr>
  <dimension ref="A1:F128"/>
  <sheetViews>
    <sheetView showGridLines="0" zoomScaleNormal="100" workbookViewId="0">
      <selection activeCell="D5" sqref="D5"/>
    </sheetView>
  </sheetViews>
  <sheetFormatPr defaultColWidth="28.375" defaultRowHeight="15.75" outlineLevelRow="1" x14ac:dyDescent="0.25"/>
  <cols>
    <col min="1" max="1" width="14.125" customWidth="1"/>
    <col min="2" max="2" width="8" style="16" customWidth="1"/>
    <col min="3" max="3" width="98.375" customWidth="1"/>
    <col min="4" max="4" width="51.125" style="11" bestFit="1" customWidth="1"/>
    <col min="5" max="5" width="37.875" customWidth="1"/>
    <col min="6" max="6" width="8.5" bestFit="1" customWidth="1"/>
  </cols>
  <sheetData>
    <row r="1" spans="2:6" ht="32.450000000000003" customHeight="1" x14ac:dyDescent="0.35">
      <c r="B1" s="251" t="s">
        <v>34</v>
      </c>
      <c r="C1" s="251"/>
      <c r="D1" s="251"/>
      <c r="E1" s="151" t="s">
        <v>35</v>
      </c>
      <c r="F1" s="151" t="str">
        <f>IF(_xlfn.CONCAT(E3,E5:E46,F48:F68,E76:E128)="","VALID","INVALID")</f>
        <v>INVALID</v>
      </c>
    </row>
    <row r="2" spans="2:6" ht="24" customHeight="1" x14ac:dyDescent="0.25"/>
    <row r="3" spans="2:6" x14ac:dyDescent="0.25">
      <c r="B3" s="158" t="s">
        <v>37</v>
      </c>
      <c r="C3" s="159" t="s">
        <v>1372</v>
      </c>
      <c r="D3" s="160" t="s">
        <v>1338</v>
      </c>
      <c r="E3" s="74" t="str">
        <f>IF(NOT(AND(VLOOKUP("C-01",'Optional features'!B:D,3,FALSE)="Yes",VLOOKUP("C-30",'Optional features'!B:D,3,FALSE)="No",VLOOKUP("C-31",'Optional features'!B:D,3,FALSE)="No",VLOOKUP("C-32",'Optional features'!B:D,3,FALSE)="No",VLOOKUP("C-34",'Optional features'!B:D,3,FALSE)="No")),"","C-01: missing (at least) 1 local authorization option")</f>
        <v/>
      </c>
    </row>
    <row r="4" spans="2:6" x14ac:dyDescent="0.25">
      <c r="B4" s="14" t="s">
        <v>40</v>
      </c>
      <c r="C4" s="17" t="str">
        <f>VLOOKUP(B4,'HIDDEN features'!A:D,3,FALSE)</f>
        <v>Support for offline authorization of transactions</v>
      </c>
      <c r="D4" s="62" t="str">
        <f>IF(OR('Profile selection'!C6="Yes",D5="Yes",D84="Yes"),"Yes","No")</f>
        <v>Yes</v>
      </c>
      <c r="E4" t="s">
        <v>41</v>
      </c>
    </row>
    <row r="5" spans="2:6" x14ac:dyDescent="0.25">
      <c r="B5" s="13" t="s">
        <v>42</v>
      </c>
      <c r="C5" s="63" t="str">
        <f>VLOOKUP(B5,'HIDDEN features'!A:D,3,FALSE)</f>
        <v>Support for allowing Offline Authorization for Unknown Ids (OfflineTxForUnknownIdEnabled)</v>
      </c>
      <c r="D5" s="56" t="s">
        <v>21</v>
      </c>
      <c r="E5" s="157" t="str">
        <f>IF(AND(NOT(ISBLANK(B5)),ISBLANK(D5)),"&lt;---- This field cannot be left empty!","")</f>
        <v/>
      </c>
    </row>
    <row r="6" spans="2:6" x14ac:dyDescent="0.25">
      <c r="B6" s="14" t="s">
        <v>43</v>
      </c>
      <c r="C6" s="17" t="str">
        <f>VLOOKUP(B6,'HIDDEN features'!A:D,3,FALSE)</f>
        <v>Support for maximizing energy for invalid ids (MaxEnergyOnInvalidId)</v>
      </c>
      <c r="D6" s="57" t="s">
        <v>21</v>
      </c>
      <c r="E6" s="157" t="str">
        <f>IF(AND(NOT(ISBLANK(B6)),ISBLANK(D6)),"&lt;---- This field cannot be left empty!","")</f>
        <v/>
      </c>
    </row>
    <row r="7" spans="2:6" x14ac:dyDescent="0.25">
      <c r="B7" s="13" t="s">
        <v>44</v>
      </c>
      <c r="C7" s="63" t="str">
        <f>VLOOKUP(B7,'HIDDEN features'!A:D,3,FALSE)</f>
        <v>Support to limit StatusNotifications (MinimumStatusDuration)</v>
      </c>
      <c r="D7" s="56" t="s">
        <v>21</v>
      </c>
      <c r="E7" s="157" t="str">
        <f>IF(AND(NOT(ISBLANK(B7)),ISBLANK(D7)),"&lt;---- This field cannot be left empty!","")</f>
        <v/>
      </c>
    </row>
    <row r="8" spans="2:6" x14ac:dyDescent="0.25">
      <c r="B8" s="14" t="s">
        <v>45</v>
      </c>
      <c r="C8" s="17" t="str">
        <f>VLOOKUP(B8,'HIDDEN features'!A:D,3,FALSE)</f>
        <v>Authorization status after cable disconnected on EV side (StopTxOnEVSideDisconnect)</v>
      </c>
      <c r="D8" s="10" t="str">
        <f>VLOOKUP(B8,'HIDDEN features'!A:D,4,FALSE)</f>
        <v>(At least one of the suboptions below is required)</v>
      </c>
      <c r="E8" s="74" t="str">
        <f>IF(AND(D9="No",D10="No"),"&lt;-- Please select at least one option from C-06.1 and C-06.2","")</f>
        <v/>
      </c>
    </row>
    <row r="9" spans="2:6" x14ac:dyDescent="0.25">
      <c r="B9" s="25" t="s">
        <v>46</v>
      </c>
      <c r="C9" s="66" t="str">
        <f>VLOOKUP(B9,'HIDDEN features'!A:D,3,FALSE)</f>
        <v>Support for maintaining authorization when cable disconnected on EV side</v>
      </c>
      <c r="D9" s="56" t="s">
        <v>21</v>
      </c>
      <c r="E9" s="157" t="str">
        <f>IF(AND(NOT(ISBLANK(B9)),ISBLANK(D9)),"&lt;---- This field cannot be left empty!","")</f>
        <v/>
      </c>
    </row>
    <row r="10" spans="2:6" x14ac:dyDescent="0.25">
      <c r="B10" s="26" t="s">
        <v>47</v>
      </c>
      <c r="C10" s="65" t="str">
        <f>VLOOKUP(B10,'HIDDEN features'!A:D,3,FALSE)</f>
        <v>Support for not maintaining authorization when cable disconnected on EV side</v>
      </c>
      <c r="D10" s="57" t="s">
        <v>16</v>
      </c>
      <c r="E10" s="157" t="str">
        <f>IF(AND(NOT(ISBLANK(B10)),ISBLANK(D10)),"&lt;---- This field cannot be left empty!","")</f>
        <v/>
      </c>
    </row>
    <row r="11" spans="2:6" x14ac:dyDescent="0.25">
      <c r="B11" s="13" t="s">
        <v>48</v>
      </c>
      <c r="C11" s="63" t="str">
        <f>VLOOKUP(B11,'HIDDEN features'!A:D,3,FALSE)</f>
        <v>Support for using a Master Pass for charging stations with UI (MasterPassGroupId)</v>
      </c>
      <c r="D11" s="56" t="s">
        <v>16</v>
      </c>
      <c r="E11" s="157" t="str">
        <f>IF(AND(NOT(ISBLANK(B11)),ISBLANK(D11)),"&lt;---- This field cannot be left empty!","")</f>
        <v/>
      </c>
    </row>
    <row r="12" spans="2:6" x14ac:dyDescent="0.25">
      <c r="B12" s="14" t="s">
        <v>49</v>
      </c>
      <c r="C12" s="17" t="str">
        <f>VLOOKUP(B12,'HIDDEN features'!A:D,3,FALSE)</f>
        <v>Support for using a Master Pass for charging stations without UI (MasterPassGroupId)</v>
      </c>
      <c r="D12" s="57" t="s">
        <v>21</v>
      </c>
      <c r="E12" s="157" t="str">
        <f>IF(AND(NOT(ISBLANK(B12)),ISBLANK(D12)),"&lt;---- This field cannot be left empty!","")</f>
        <v/>
      </c>
    </row>
    <row r="13" spans="2:6" x14ac:dyDescent="0.25">
      <c r="B13" s="13" t="s">
        <v>50</v>
      </c>
      <c r="C13" s="63" t="str">
        <f>VLOOKUP(B13,'HIDDEN features'!A:D,3,FALSE)</f>
        <v>Supported Transaction Start points (TxStartPoint)</v>
      </c>
      <c r="D13" s="9" t="str">
        <f>VLOOKUP(B13,'HIDDEN features'!A:D,4,FALSE)</f>
        <v>(At least one of the suboptions below is required)</v>
      </c>
      <c r="E13" s="74" t="str">
        <f>IF(AND(D14="No",D15="No",D16="No",D17="No",D18="No",D19="No"),"&lt;-- Please select at least one TxStartPoint","")</f>
        <v/>
      </c>
    </row>
    <row r="14" spans="2:6" outlineLevel="1" x14ac:dyDescent="0.25">
      <c r="B14" s="26" t="s">
        <v>51</v>
      </c>
      <c r="C14" s="65" t="str">
        <f>VLOOKUP(B14,'HIDDEN features'!A:D,3,FALSE)</f>
        <v>Start transaction options - EVConnected</v>
      </c>
      <c r="D14" s="57" t="s">
        <v>21</v>
      </c>
      <c r="E14" s="74" t="str">
        <f>IF(VLOOKUP("C-09.1",'Optional features'!B:E,3,FALSE)="No","",IF(NOT(AND(VLOOKUP("C-51",'Optional features'!B:E,3,FALSE)="No",VLOOKUP("C-09.1",'Optional features'!B:E,3,FALSE)="Yes",VLOOKUP("C-09.6",'Optional features'!B:E,3,FALSE)="Yes")),"","&lt;-- the combination of TxStartPoints seems invalid (taking into account that C-51 = No)"))</f>
        <v/>
      </c>
    </row>
    <row r="15" spans="2:6" outlineLevel="1" x14ac:dyDescent="0.25">
      <c r="B15" s="25" t="s">
        <v>52</v>
      </c>
      <c r="C15" s="66" t="str">
        <f>VLOOKUP(B15,'HIDDEN features'!A:D,3,FALSE)</f>
        <v>Start transaction options - Authorized</v>
      </c>
      <c r="D15" s="56" t="s">
        <v>21</v>
      </c>
      <c r="E15" s="74" t="str">
        <f>IF(VLOOKUP("C-09.2",'Optional features'!B:E,3,FALSE)="No","",IF(NOT(AND(VLOOKUP("C-51",'Optional features'!B:E,3,FALSE)="No",VLOOKUP("C-09.2",'Optional features'!B:E,3,FALSE)="Yes",VLOOKUP("C-09.6",'Optional features'!B:E,3,FALSE)="Yes")),"","&lt;-- the combination of TxStartPoints seems invalid (taking into account that C-51 = No)"))</f>
        <v/>
      </c>
    </row>
    <row r="16" spans="2:6" outlineLevel="1" x14ac:dyDescent="0.25">
      <c r="B16" s="26" t="s">
        <v>53</v>
      </c>
      <c r="C16" s="65" t="str">
        <f>VLOOKUP(B16,'HIDDEN features'!A:D,3,FALSE)</f>
        <v>Start transaction options - DataSigned</v>
      </c>
      <c r="D16" s="57" t="s">
        <v>21</v>
      </c>
      <c r="E16" s="74" t="str">
        <f>IF(OR(VLOOKUP("C-09.3",'Optional features'!B:E,3,FALSE)="No",VLOOKUP("C-51",'Optional features'!B:E,3,FALSE)="Yes"),"",IF(NOT(AND(VLOOKUP("C-51",'Optional features'!B:E,3,FALSE)="No",VLOOKUP("C-09.3",'Optional features'!B:E,3,FALSE)="Yes",VLOOKUP("C-09.1",'Optional features'!B:E,3,FALSE)="No",VLOOKUP("C-09.2",'Optional features'!B:E,3,FALSE)="No",VLOOKUP("C-09.6",'Optional features'!B:E,3,FALSE)="No")),"&lt;-- the combination of TxStartPoints seems invalid (taking into account that C-51 = No)",""))</f>
        <v/>
      </c>
    </row>
    <row r="17" spans="2:5" outlineLevel="1" x14ac:dyDescent="0.25">
      <c r="B17" s="25" t="s">
        <v>54</v>
      </c>
      <c r="C17" s="66" t="str">
        <f>VLOOKUP(B17,'HIDDEN features'!A:D,3,FALSE)</f>
        <v>Start transaction options - PowerPathClosed</v>
      </c>
      <c r="D17" s="56" t="s">
        <v>16</v>
      </c>
      <c r="E17" s="74" t="str">
        <f>IF(OR(VLOOKUP("C-09.4",'Optional features'!B:E,3,FALSE)="No",VLOOKUP("C-51",'Optional features'!B:E,3,FALSE)="Yes"),"",IF(NOT(AND(VLOOKUP("C-51",'Optional features'!B:E,3,FALSE)="No",VLOOKUP("C-09.4",'Optional features'!B:E,3,FALSE)="Yes",VLOOKUP("C-09.1",'Optional features'!B:E,3,FALSE)="No",VLOOKUP("C-09.2",'Optional features'!B:E,3,FALSE)="No",VLOOKUP("C-09.6",'Optional features'!B:E,3,FALSE)="No")),"&lt;-- the combination of TxStartPoints seems invalid (taking into account that C-51 = No)",""))</f>
        <v/>
      </c>
    </row>
    <row r="18" spans="2:5" outlineLevel="1" x14ac:dyDescent="0.25">
      <c r="B18" s="26" t="s">
        <v>55</v>
      </c>
      <c r="C18" s="65" t="str">
        <f>VLOOKUP(B18,'HIDDEN features'!A:D,3,FALSE)</f>
        <v>Start transaction options - EnergyTransfer</v>
      </c>
      <c r="D18" s="57" t="s">
        <v>21</v>
      </c>
      <c r="E18" s="74" t="str">
        <f>IF(OR(VLOOKUP("C-09.5",'Optional features'!B:E,3,FALSE)="No",VLOOKUP("C-51",'Optional features'!B:E,3,FALSE)="Yes"),"",IF(NOT(AND(VLOOKUP("C-51",'Optional features'!B:E,3,FALSE)="No",VLOOKUP("C-09.5",'Optional features'!B:E,3,FALSE)="Yes",VLOOKUP("C-09.1",'Optional features'!B:E,3,FALSE)="No",VLOOKUP("C-09.2",'Optional features'!B:E,3,FALSE)="No",VLOOKUP("C-09.3",'Optional features'!B:E,3,FALSE)="No",VLOOKUP("C-09.4",'Optional features'!B:E,3,FALSE)="No",VLOOKUP("C-09.6",'Optional features'!B:E,3,FALSE)="No")),"&lt;-- the combination of TxStartPoints seems invalid (taking into account that C-51 = No)",""))</f>
        <v/>
      </c>
    </row>
    <row r="19" spans="2:5" outlineLevel="1" x14ac:dyDescent="0.25">
      <c r="B19" s="25" t="s">
        <v>56</v>
      </c>
      <c r="C19" s="66" t="str">
        <f>VLOOKUP(B19,'HIDDEN features'!A:D,3,FALSE)</f>
        <v>Start transaction options - ParkingBayOccupancy</v>
      </c>
      <c r="D19" s="56" t="s">
        <v>21</v>
      </c>
      <c r="E19" s="157" t="str">
        <f>IF(AND(NOT(ISBLANK(B19)),ISBLANK(D19)),"&lt;---- This field cannot be left empty!","")</f>
        <v/>
      </c>
    </row>
    <row r="20" spans="2:5" x14ac:dyDescent="0.25">
      <c r="B20" s="14" t="s">
        <v>57</v>
      </c>
      <c r="C20" s="17" t="str">
        <f>VLOOKUP(B20,'HIDDEN features'!A:D,3,FALSE)</f>
        <v>Supported Transaction Stop points (TxStopPoint)</v>
      </c>
      <c r="D20" s="10" t="str">
        <f>VLOOKUP(B20,'HIDDEN features'!A:D,4,FALSE)</f>
        <v>(At least one of the suboptions below is required)</v>
      </c>
      <c r="E20" s="74" t="str">
        <f>IF(AND(D21="No",D22="No",D23="No",D24="No",D25="No"),"&lt;-- Please select at least one TxStopPoint","")</f>
        <v/>
      </c>
    </row>
    <row r="21" spans="2:5" outlineLevel="1" x14ac:dyDescent="0.25">
      <c r="B21" s="25" t="s">
        <v>58</v>
      </c>
      <c r="C21" s="66" t="str">
        <f>VLOOKUP(B21,'HIDDEN features'!A:D,3,FALSE)</f>
        <v>Stop transaction options - EVConnected</v>
      </c>
      <c r="D21" s="56" t="s">
        <v>16</v>
      </c>
      <c r="E21" s="74" t="str">
        <f>IF(OR(VLOOKUP("C-10.1",'Optional features'!B:E,3,FALSE)="No",VLOOKUP("C-52",'Optional features'!B:E,3,FALSE)="Yes"),"",IF(NOT(AND(VLOOKUP("C-52",'Optional features'!B:E,3,FALSE)="No",VLOOKUP("C-10.1",'Optional features'!B:E,3,FALSE)="Yes",VLOOKUP("C-10.4",'Optional features'!B:E,3,FALSE)="No")),"&lt;-- the combination of TxStopPoints seems invalid (taking into account that C-52 = No)",""))</f>
        <v/>
      </c>
    </row>
    <row r="22" spans="2:5" outlineLevel="1" x14ac:dyDescent="0.25">
      <c r="B22" s="26" t="s">
        <v>59</v>
      </c>
      <c r="C22" s="65" t="str">
        <f>VLOOKUP(B22,'HIDDEN features'!A:D,3,FALSE)</f>
        <v>Stop transaction options - Authorized</v>
      </c>
      <c r="D22" s="57" t="s">
        <v>16</v>
      </c>
      <c r="E22" s="74"/>
    </row>
    <row r="23" spans="2:5" outlineLevel="1" x14ac:dyDescent="0.25">
      <c r="B23" s="25" t="s">
        <v>60</v>
      </c>
      <c r="C23" s="66" t="str">
        <f>VLOOKUP(B23,'HIDDEN features'!A:D,3,FALSE)</f>
        <v>Stop transaction options - PowerPathClosed</v>
      </c>
      <c r="D23" s="56" t="s">
        <v>21</v>
      </c>
      <c r="E23" s="74"/>
    </row>
    <row r="24" spans="2:5" outlineLevel="1" x14ac:dyDescent="0.25">
      <c r="B24" s="26" t="s">
        <v>61</v>
      </c>
      <c r="C24" s="65" t="str">
        <f>VLOOKUP(B24,'HIDDEN features'!A:D,3,FALSE)</f>
        <v>Stop transaction options - EnergyTransfer</v>
      </c>
      <c r="D24" s="57" t="s">
        <v>21</v>
      </c>
      <c r="E24" s="74"/>
    </row>
    <row r="25" spans="2:5" outlineLevel="1" x14ac:dyDescent="0.25">
      <c r="B25" s="25" t="s">
        <v>62</v>
      </c>
      <c r="C25" s="66" t="str">
        <f>VLOOKUP(B25,'HIDDEN features'!A:D,3,FALSE)</f>
        <v>Stop transaction options - ParkingBayOccupancy</v>
      </c>
      <c r="D25" s="56" t="s">
        <v>21</v>
      </c>
      <c r="E25" s="74" t="str">
        <f>IF(OR(VLOOKUP("C-10.5",'Optional features'!B:E,3,FALSE)="No",VLOOKUP("C-52",'Optional features'!B:E,3,FALSE)="Yes"),"",IF(NOT(AND(VLOOKUP("C-52",'Optional features'!B:E,3,FALSE)="No",VLOOKUP("C-10.5",'Optional features'!B:E,3,FALSE)="Yes",VLOOKUP("C-10.1",'Optional features'!B:E,3,FALSE)="No",VLOOKUP("C-10.2",'Optional features'!B:E,3,FALSE)="No",VLOOKUP("C-10.3",'Optional features'!B:E,3,FALSE)="No",VLOOKUP("C-10.4",'Optional features'!B:E,3,FALSE)="No")),"&lt;-- the combination of TxStopPoints seems invalid (taking into account that C-52 = No)",""))</f>
        <v/>
      </c>
    </row>
    <row r="26" spans="2:5" x14ac:dyDescent="0.25">
      <c r="B26" s="14" t="s">
        <v>63</v>
      </c>
      <c r="C26" s="17" t="str">
        <f>VLOOKUP(B26,'HIDDEN features'!A:D,3,FALSE)</f>
        <v>Unlocking of connector when cable disconnected on EV side (UnlockOnEVSideDisconnect)</v>
      </c>
      <c r="D26" s="10" t="str">
        <f>VLOOKUP(B26,'HIDDEN features'!A:D,4,FALSE)</f>
        <v>(At least one of the suboptions below is required)</v>
      </c>
      <c r="E26" s="74" t="str">
        <f>IF(AND(D27="No",D28="No"),"&lt;-- Please select at least one option from C-12.1 and C-12.2","")</f>
        <v/>
      </c>
    </row>
    <row r="27" spans="2:5" outlineLevel="1" x14ac:dyDescent="0.25">
      <c r="B27" s="25" t="s">
        <v>64</v>
      </c>
      <c r="C27" s="66" t="str">
        <f>VLOOKUP(B27,'HIDDEN features'!A:D,3,FALSE)</f>
        <v>Support for unlocking connector when cable disconnected on EV side</v>
      </c>
      <c r="D27" s="56" t="s">
        <v>16</v>
      </c>
      <c r="E27" s="157" t="str">
        <f t="shared" ref="E27:E38" si="0">IF(AND(NOT(ISBLANK(B27)),ISBLANK(D27)),"&lt;---- This field cannot be left empty!","")</f>
        <v/>
      </c>
    </row>
    <row r="28" spans="2:5" outlineLevel="1" x14ac:dyDescent="0.25">
      <c r="B28" s="26" t="s">
        <v>65</v>
      </c>
      <c r="C28" s="65" t="str">
        <f>VLOOKUP(B28,'HIDDEN features'!A:D,3,FALSE)</f>
        <v>Support for not unlocking when cable disconnected on EV side</v>
      </c>
      <c r="D28" s="57" t="s">
        <v>16</v>
      </c>
      <c r="E28" s="157" t="str">
        <f t="shared" si="0"/>
        <v/>
      </c>
    </row>
    <row r="29" spans="2:5" x14ac:dyDescent="0.25">
      <c r="B29" s="13" t="s">
        <v>66</v>
      </c>
      <c r="C29" s="63" t="str">
        <f>VLOOKUP(B29,'HIDDEN features'!A:D,3,FALSE)</f>
        <v>Support for Reset per EVSE (AllowReset)</v>
      </c>
      <c r="D29" s="56" t="s">
        <v>21</v>
      </c>
      <c r="E29" s="157" t="str">
        <f t="shared" si="0"/>
        <v/>
      </c>
    </row>
    <row r="30" spans="2:5" x14ac:dyDescent="0.25">
      <c r="B30" s="14" t="s">
        <v>67</v>
      </c>
      <c r="C30" s="17" t="str">
        <f>VLOOKUP(B30,'HIDDEN features'!A:D,3,FALSE)</f>
        <v>Support for retrieving / deleting CustomerInformation - CustomerIdentifier</v>
      </c>
      <c r="D30" s="57" t="s">
        <v>21</v>
      </c>
      <c r="E30" s="157" t="str">
        <f t="shared" si="0"/>
        <v/>
      </c>
    </row>
    <row r="31" spans="2:5" x14ac:dyDescent="0.25">
      <c r="B31" s="13" t="s">
        <v>68</v>
      </c>
      <c r="C31" s="63" t="str">
        <f>VLOOKUP(B31,'HIDDEN features'!A:D,3,FALSE)</f>
        <v>Allowing New Sessions Pending a FirmwareUpdate (AllowNewSessionsPendingFirmwareUpdate )</v>
      </c>
      <c r="D31" s="56" t="s">
        <v>16</v>
      </c>
      <c r="E31" s="157" t="str">
        <f t="shared" si="0"/>
        <v/>
      </c>
    </row>
    <row r="32" spans="2:5" ht="28.5" x14ac:dyDescent="0.25">
      <c r="B32" s="14" t="s">
        <v>69</v>
      </c>
      <c r="C32" s="17" t="str">
        <f>VLOOKUP(B32,'HIDDEN features'!A:D,3,FALSE)</f>
        <v>Support for queuing all or only Transaction related messages until they are delivered to the CSMS (QueueAllMessages)</v>
      </c>
      <c r="D32" s="57" t="s">
        <v>21</v>
      </c>
      <c r="E32" s="157" t="str">
        <f t="shared" si="0"/>
        <v/>
      </c>
    </row>
    <row r="33" spans="2:5" x14ac:dyDescent="0.25">
      <c r="B33" s="13" t="s">
        <v>70</v>
      </c>
      <c r="C33" s="63"/>
      <c r="D33" s="9" t="s">
        <v>36</v>
      </c>
      <c r="E33" s="157" t="str">
        <f t="shared" si="0"/>
        <v/>
      </c>
    </row>
    <row r="34" spans="2:5" x14ac:dyDescent="0.25">
      <c r="B34" s="14" t="s">
        <v>71</v>
      </c>
      <c r="C34" s="17" t="str">
        <f>VLOOKUP(B34,'HIDDEN features'!A:D,3,FALSE)</f>
        <v>Supported time sources (TimeSource)</v>
      </c>
      <c r="D34" s="57" t="s">
        <v>1290</v>
      </c>
      <c r="E34" s="157" t="str">
        <f>IF(AND(NOT(ISBLANK(B34)),ISBLANK(D34)),"&lt;---- This field cannot be left empty!",IF(NOT(ISERROR(FIND("&lt;",D34))),"&lt;---- Please enter a valid value or list of supporteded time sources",""))</f>
        <v>&lt;---- Please enter a valid value or list of supporteded time sources</v>
      </c>
    </row>
    <row r="35" spans="2:5" x14ac:dyDescent="0.25">
      <c r="B35" s="13" t="s">
        <v>72</v>
      </c>
      <c r="C35" s="63" t="str">
        <f>VLOOKUP(B35,'HIDDEN features'!A:D,3,FALSE)</f>
        <v>Support for setting a TimeOffset (TimeOffset)</v>
      </c>
      <c r="D35" s="56" t="s">
        <v>21</v>
      </c>
      <c r="E35" s="157" t="str">
        <f t="shared" si="0"/>
        <v/>
      </c>
    </row>
    <row r="36" spans="2:5" x14ac:dyDescent="0.25">
      <c r="B36" s="14" t="s">
        <v>73</v>
      </c>
      <c r="C36" s="17" t="str">
        <f>VLOOKUP(B36,'HIDDEN features'!A:D,3,FALSE)</f>
        <v>Support for setting the TimeZone (TimeZone)</v>
      </c>
      <c r="D36" s="57" t="s">
        <v>21</v>
      </c>
      <c r="E36" s="157" t="str">
        <f t="shared" si="0"/>
        <v/>
      </c>
    </row>
    <row r="37" spans="2:5" x14ac:dyDescent="0.25">
      <c r="B37" s="13"/>
      <c r="C37" s="63"/>
      <c r="D37" s="9"/>
      <c r="E37" s="157" t="str">
        <f t="shared" si="0"/>
        <v/>
      </c>
    </row>
    <row r="38" spans="2:5" x14ac:dyDescent="0.25">
      <c r="B38" s="14" t="s">
        <v>74</v>
      </c>
      <c r="C38" s="17" t="str">
        <f>VLOOKUP(B38,'HIDDEN features'!A:D,3,FALSE)</f>
        <v>Toggle sending clock aligned meter values when a transaction is ongoing / Idle (AlignedDataSendDuringIdle)</v>
      </c>
      <c r="D38" s="57" t="s">
        <v>21</v>
      </c>
      <c r="E38" s="157" t="str">
        <f t="shared" si="0"/>
        <v/>
      </c>
    </row>
    <row r="39" spans="2:5" x14ac:dyDescent="0.25">
      <c r="B39" s="13" t="s">
        <v>75</v>
      </c>
      <c r="C39" s="63" t="str">
        <f>VLOOKUP(B39,'HIDDEN features'!A:D,3,FALSE)</f>
        <v>TriggerMessage</v>
      </c>
      <c r="D39" s="9" t="str">
        <f>VLOOKUP(B39,'HIDDEN features'!A:D,4,FALSE)</f>
        <v>(Select all supported suboptions)</v>
      </c>
      <c r="E39" s="1"/>
    </row>
    <row r="40" spans="2:5" outlineLevel="1" x14ac:dyDescent="0.25">
      <c r="B40" s="26" t="s">
        <v>76</v>
      </c>
      <c r="C40" s="65" t="str">
        <f>VLOOKUP(B40,'HIDDEN features'!A:D,3,FALSE)</f>
        <v>Trigger message - MeterValues</v>
      </c>
      <c r="D40" s="57" t="s">
        <v>21</v>
      </c>
      <c r="E40" s="157" t="str">
        <f t="shared" ref="E40:E46" si="1">IF(AND(NOT(ISBLANK(B40)),ISBLANK(D40)),"&lt;---- This field cannot be left empty!","")</f>
        <v/>
      </c>
    </row>
    <row r="41" spans="2:5" outlineLevel="1" x14ac:dyDescent="0.25">
      <c r="B41" s="25" t="s">
        <v>77</v>
      </c>
      <c r="C41" s="66" t="str">
        <f>VLOOKUP(B41,'HIDDEN features'!A:D,3,FALSE)</f>
        <v>Trigger message - TransactionEvent</v>
      </c>
      <c r="D41" s="56" t="s">
        <v>21</v>
      </c>
      <c r="E41" s="157" t="str">
        <f t="shared" si="1"/>
        <v/>
      </c>
    </row>
    <row r="42" spans="2:5" outlineLevel="1" x14ac:dyDescent="0.25">
      <c r="B42" s="26" t="s">
        <v>78</v>
      </c>
      <c r="C42" s="65" t="str">
        <f>VLOOKUP(B42,'HIDDEN features'!A:D,3,FALSE)</f>
        <v>Trigger message - LogStatusNotification</v>
      </c>
      <c r="D42" s="57" t="s">
        <v>21</v>
      </c>
      <c r="E42" s="157" t="str">
        <f t="shared" si="1"/>
        <v/>
      </c>
    </row>
    <row r="43" spans="2:5" outlineLevel="1" x14ac:dyDescent="0.25">
      <c r="B43" s="25" t="s">
        <v>79</v>
      </c>
      <c r="C43" s="66" t="str">
        <f>VLOOKUP(B43,'HIDDEN features'!A:D,3,FALSE)</f>
        <v>Trigger message - FirmwareStatusNotification</v>
      </c>
      <c r="D43" s="56" t="s">
        <v>21</v>
      </c>
      <c r="E43" s="157" t="str">
        <f t="shared" si="1"/>
        <v/>
      </c>
    </row>
    <row r="44" spans="2:5" outlineLevel="1" x14ac:dyDescent="0.25">
      <c r="B44" s="26" t="s">
        <v>80</v>
      </c>
      <c r="C44" s="65" t="str">
        <f>VLOOKUP(B44,'HIDDEN features'!A:D,3,FALSE)</f>
        <v>Trigger message - StatusNotification</v>
      </c>
      <c r="D44" s="57" t="s">
        <v>21</v>
      </c>
      <c r="E44" s="157" t="str">
        <f t="shared" si="1"/>
        <v/>
      </c>
    </row>
    <row r="45" spans="2:5" outlineLevel="1" x14ac:dyDescent="0.25">
      <c r="B45" s="25" t="s">
        <v>81</v>
      </c>
      <c r="C45" s="66" t="str">
        <f>VLOOKUP(B45,'HIDDEN features'!A:D,3,FALSE)</f>
        <v>Trigger message - BootNotification</v>
      </c>
      <c r="D45" s="56" t="s">
        <v>21</v>
      </c>
      <c r="E45" s="157" t="str">
        <f t="shared" si="1"/>
        <v/>
      </c>
    </row>
    <row r="46" spans="2:5" x14ac:dyDescent="0.25">
      <c r="B46" s="32"/>
      <c r="C46" s="99"/>
      <c r="D46" s="116"/>
      <c r="E46" s="157" t="str">
        <f t="shared" si="1"/>
        <v/>
      </c>
    </row>
    <row r="47" spans="2:5" x14ac:dyDescent="0.25">
      <c r="B47" s="17"/>
      <c r="C47" s="4"/>
      <c r="D47" s="117"/>
    </row>
    <row r="48" spans="2:5" ht="30" x14ac:dyDescent="0.25">
      <c r="B48" s="161" t="s">
        <v>37</v>
      </c>
      <c r="C48" s="162" t="s">
        <v>82</v>
      </c>
      <c r="D48" s="163" t="s">
        <v>1339</v>
      </c>
      <c r="E48" s="120" t="s">
        <v>1340</v>
      </c>
    </row>
    <row r="49" spans="1:6" x14ac:dyDescent="0.25">
      <c r="B49" s="13" t="s">
        <v>83</v>
      </c>
      <c r="C49" s="63" t="str">
        <f>VLOOKUP(B49,'HIDDEN features'!A:D,3,FALSE)</f>
        <v>Authorization - using RFID ISO14443</v>
      </c>
      <c r="D49" s="76" t="s">
        <v>16</v>
      </c>
      <c r="E49" s="56" t="s">
        <v>16</v>
      </c>
      <c r="F49" s="157" t="str">
        <f t="shared" ref="F49:F54" si="2">IF(AND(NOT(ISBLANK(B49)),ISBLANK(D49)),"&lt;---- This field cannot be left empty!","")</f>
        <v/>
      </c>
    </row>
    <row r="50" spans="1:6" x14ac:dyDescent="0.25">
      <c r="B50" s="14" t="s">
        <v>84</v>
      </c>
      <c r="C50" s="17" t="str">
        <f>VLOOKUP(B50,'HIDDEN features'!A:D,3,FALSE)</f>
        <v>Authorization - using RFID ISO15693</v>
      </c>
      <c r="D50" s="72" t="s">
        <v>21</v>
      </c>
      <c r="E50" s="57" t="s">
        <v>16</v>
      </c>
      <c r="F50" s="157" t="str">
        <f t="shared" si="2"/>
        <v/>
      </c>
    </row>
    <row r="51" spans="1:6" x14ac:dyDescent="0.25">
      <c r="B51" s="13" t="s">
        <v>85</v>
      </c>
      <c r="C51" s="63" t="str">
        <f>VLOOKUP(B51,'HIDDEN features'!A:D,3,FALSE)</f>
        <v>Authorization - using KeyCode</v>
      </c>
      <c r="D51" s="76" t="s">
        <v>21</v>
      </c>
      <c r="E51" s="56" t="s">
        <v>16</v>
      </c>
      <c r="F51" s="157" t="str">
        <f t="shared" si="2"/>
        <v/>
      </c>
    </row>
    <row r="52" spans="1:6" x14ac:dyDescent="0.25">
      <c r="B52" s="14" t="s">
        <v>86</v>
      </c>
      <c r="C52" s="17" t="str">
        <f>VLOOKUP(B52,'HIDDEN features'!A:D,3,FALSE)</f>
        <v>Authorization - using locally generated id</v>
      </c>
      <c r="D52" s="72" t="s">
        <v>21</v>
      </c>
      <c r="E52" s="57" t="s">
        <v>16</v>
      </c>
      <c r="F52" s="157" t="str">
        <f t="shared" si="2"/>
        <v/>
      </c>
    </row>
    <row r="53" spans="1:6" x14ac:dyDescent="0.25">
      <c r="B53" s="13" t="s">
        <v>87</v>
      </c>
      <c r="C53" s="63" t="str">
        <f>VLOOKUP(B53,'HIDDEN features'!A:D,3,FALSE)</f>
        <v>Authorization - MacAddress</v>
      </c>
      <c r="D53" s="76" t="s">
        <v>21</v>
      </c>
      <c r="E53" s="56" t="s">
        <v>16</v>
      </c>
      <c r="F53" s="157" t="str">
        <f t="shared" si="2"/>
        <v/>
      </c>
    </row>
    <row r="54" spans="1:6" x14ac:dyDescent="0.25">
      <c r="B54" s="14" t="s">
        <v>88</v>
      </c>
      <c r="C54" s="17" t="str">
        <f>VLOOKUP(B54,'HIDDEN features'!A:D,3,FALSE)</f>
        <v>Authorization - NoAuthorization</v>
      </c>
      <c r="D54" s="72" t="s">
        <v>21</v>
      </c>
      <c r="E54" s="57" t="s">
        <v>16</v>
      </c>
      <c r="F54" s="157" t="str">
        <f t="shared" si="2"/>
        <v/>
      </c>
    </row>
    <row r="55" spans="1:6" x14ac:dyDescent="0.25">
      <c r="B55" s="169"/>
      <c r="C55" s="169"/>
      <c r="D55" s="170"/>
      <c r="E55" s="170"/>
    </row>
    <row r="56" spans="1:6" ht="30" x14ac:dyDescent="0.25">
      <c r="B56" s="60" t="s">
        <v>89</v>
      </c>
      <c r="C56" s="164" t="s">
        <v>90</v>
      </c>
      <c r="D56" s="163" t="s">
        <v>1339</v>
      </c>
      <c r="E56" s="120" t="s">
        <v>1340</v>
      </c>
      <c r="F56" s="74" t="str">
        <f>IF(ISERROR(VLOOKUP("Yes",D57:D60,1,FALSE)),"&lt;---- At least one remote start authorization option must be selected","")</f>
        <v/>
      </c>
    </row>
    <row r="57" spans="1:6" x14ac:dyDescent="0.25">
      <c r="B57" s="13" t="s">
        <v>92</v>
      </c>
      <c r="C57" s="63" t="str">
        <f>VLOOKUP(B57,'HIDDEN features'!A:D,3,FALSE)</f>
        <v>Authorization - using RFID ISO14443</v>
      </c>
      <c r="D57" s="76" t="s">
        <v>16</v>
      </c>
      <c r="E57" s="56" t="s">
        <v>16</v>
      </c>
      <c r="F57" s="157" t="str">
        <f>IF(AND(NOT(ISBLANK(B57)),ISBLANK(D57)),"&lt;---- This field cannot be left empty!","")</f>
        <v/>
      </c>
    </row>
    <row r="58" spans="1:6" x14ac:dyDescent="0.25">
      <c r="B58" s="14" t="s">
        <v>93</v>
      </c>
      <c r="C58" s="17" t="str">
        <f>VLOOKUP(B58,'HIDDEN features'!A:D,3,FALSE)</f>
        <v>Authorization - using RFID ISO15693</v>
      </c>
      <c r="D58" s="72" t="s">
        <v>21</v>
      </c>
      <c r="E58" s="57" t="s">
        <v>16</v>
      </c>
      <c r="F58" s="157" t="str">
        <f>IF(AND(NOT(ISBLANK(B58)),ISBLANK(D58)),"&lt;---- This field cannot be left empty!","")</f>
        <v/>
      </c>
    </row>
    <row r="59" spans="1:6" x14ac:dyDescent="0.25">
      <c r="A59" s="2"/>
      <c r="B59" s="13" t="s">
        <v>94</v>
      </c>
      <c r="C59" s="63" t="str">
        <f>VLOOKUP(B59,'HIDDEN features'!A:D,3,FALSE)</f>
        <v>Authorization - using centrally, in the CSMS (or other server) generated id</v>
      </c>
      <c r="D59" s="76" t="s">
        <v>21</v>
      </c>
      <c r="E59" s="56" t="s">
        <v>16</v>
      </c>
      <c r="F59" s="157" t="str">
        <f>IF(AND(NOT(ISBLANK(B59)),ISBLANK(D59)),"&lt;---- This field cannot be left empty!","")</f>
        <v/>
      </c>
    </row>
    <row r="60" spans="1:6" x14ac:dyDescent="0.25">
      <c r="B60" s="14" t="s">
        <v>95</v>
      </c>
      <c r="C60" s="17" t="str">
        <f>VLOOKUP(B60,'HIDDEN features'!A:D,3,FALSE)</f>
        <v>Authorization - NoAuthorization</v>
      </c>
      <c r="D60" s="72" t="s">
        <v>21</v>
      </c>
      <c r="E60" s="57" t="s">
        <v>16</v>
      </c>
      <c r="F60" s="157" t="str">
        <f>IF(AND(NOT(ISBLANK(B60)),ISBLANK(D60)),"&lt;---- This field cannot be left empty!","")</f>
        <v/>
      </c>
    </row>
    <row r="61" spans="1:6" x14ac:dyDescent="0.25">
      <c r="B61" s="169"/>
      <c r="C61" s="169"/>
      <c r="D61" s="170"/>
      <c r="E61" s="170"/>
    </row>
    <row r="62" spans="1:6" ht="30" x14ac:dyDescent="0.25">
      <c r="B62" s="165" t="s">
        <v>13</v>
      </c>
      <c r="C62" s="166" t="s">
        <v>1172</v>
      </c>
      <c r="D62" s="167" t="s">
        <v>1341</v>
      </c>
      <c r="E62" s="168" t="s">
        <v>1342</v>
      </c>
    </row>
    <row r="63" spans="1:6" ht="22.35" customHeight="1" x14ac:dyDescent="0.25">
      <c r="B63" s="13" t="s">
        <v>96</v>
      </c>
      <c r="C63" s="63" t="str">
        <f>VLOOKUP(B63,'HIDDEN features'!A:D,3,FALSE)</f>
        <v>Supported MeterValue Measurands</v>
      </c>
      <c r="D63" s="118"/>
      <c r="E63" s="9"/>
    </row>
    <row r="64" spans="1:6" x14ac:dyDescent="0.25">
      <c r="B64" s="14" t="s">
        <v>1164</v>
      </c>
      <c r="C64" s="4" t="str">
        <f>SUBSTITUTE(VLOOKUP(B64,'HIDDEN features'!A:D,3,FALSE),"Measurands"," Measurands")</f>
        <v>SampledTxStarted Measurands</v>
      </c>
      <c r="D64" s="182" t="str">
        <f>IFERROR(VLOOKUP(SUBSTITUTE(C64," ",""),'HIDDEN Testrun Results'!$A:$B,2,FALSE),"&lt;will be filled in by testlab&gt;")</f>
        <v>&lt;will be filled in by testlab&gt;</v>
      </c>
      <c r="E64" s="57" t="s">
        <v>1291</v>
      </c>
      <c r="F64" s="157" t="str">
        <f>IF(AND(NOT(ISBLANK(C64)),ISBLANK(E64)),"&lt;---- This field cannot be left empty!",IF(NOT(ISERROR(FIND("&lt;",E64))),"&lt;---- Please enter a valid list of supported measurands",""))</f>
        <v>&lt;---- Please enter a valid list of supported measurands</v>
      </c>
    </row>
    <row r="65" spans="2:6" x14ac:dyDescent="0.25">
      <c r="B65" s="13" t="s">
        <v>1165</v>
      </c>
      <c r="C65" s="63" t="str">
        <f>SUBSTITUTE(VLOOKUP(B65,'HIDDEN features'!A:D,3,FALSE),"Measurands"," Measurands")</f>
        <v>SampledTxUpdated Measurands</v>
      </c>
      <c r="D65" s="118" t="str">
        <f>IFERROR(VLOOKUP(SUBSTITUTE(C65," ",""),'HIDDEN Testrun Results'!$A:$B,2,FALSE),"&lt;will be filled in by testlab&gt;")</f>
        <v>&lt;will be filled in by testlab&gt;</v>
      </c>
      <c r="E65" s="56" t="s">
        <v>1291</v>
      </c>
      <c r="F65" s="157" t="str">
        <f>IF(AND(NOT(ISBLANK(C65)),ISBLANK(E65)),"&lt;---- This field cannot be left empty!",IF(NOT(ISERROR(FIND("&lt;",E65))),"&lt;---- Please enter a valid list of supported measurands",""))</f>
        <v>&lt;---- Please enter a valid list of supported measurands</v>
      </c>
    </row>
    <row r="66" spans="2:6" x14ac:dyDescent="0.25">
      <c r="B66" s="14" t="s">
        <v>1166</v>
      </c>
      <c r="C66" s="17" t="str">
        <f>SUBSTITUTE(VLOOKUP(B66,'HIDDEN features'!A:D,3,FALSE),"Measurands"," Measurands")</f>
        <v>SampledTxEnded Measurands</v>
      </c>
      <c r="D66" s="182" t="str">
        <f>IFERROR(VLOOKUP(SUBSTITUTE(C66," ",""),'HIDDEN Testrun Results'!$A:$B,2,FALSE),"&lt;will be filled in by testlab&gt;")</f>
        <v>&lt;will be filled in by testlab&gt;</v>
      </c>
      <c r="E66" s="57" t="s">
        <v>1291</v>
      </c>
      <c r="F66" s="157" t="str">
        <f>IF(AND(NOT(ISBLANK(C66)),ISBLANK(E66)),"&lt;---- This field cannot be left empty!",IF(NOT(ISERROR(FIND("&lt;",E66))),"&lt;---- Please enter a valid list of supported measurands",""))</f>
        <v>&lt;---- Please enter a valid list of supported measurands</v>
      </c>
    </row>
    <row r="67" spans="2:6" x14ac:dyDescent="0.25">
      <c r="B67" s="13" t="s">
        <v>1167</v>
      </c>
      <c r="C67" s="63" t="str">
        <f>SUBSTITUTE(VLOOKUP(B67,'HIDDEN features'!A:D,3,FALSE),"Measurands"," Measurands")</f>
        <v>AlignedData Measurands</v>
      </c>
      <c r="D67" s="118" t="str">
        <f>IFERROR(VLOOKUP(SUBSTITUTE(C67," ",""),'HIDDEN Testrun Results'!$A:$B,2,FALSE),"&lt;will be filled in by testlab&gt;")</f>
        <v>&lt;will be filled in by testlab&gt;</v>
      </c>
      <c r="E67" s="56" t="s">
        <v>1291</v>
      </c>
      <c r="F67" s="157" t="str">
        <f>IF(AND(NOT(ISBLANK(C67)),ISBLANK(E67)),"&lt;---- This field cannot be left empty!",IF(NOT(ISERROR(FIND("&lt;",E67))),"&lt;---- Please enter a valid list of supported measurands",""))</f>
        <v>&lt;---- Please enter a valid list of supported measurands</v>
      </c>
    </row>
    <row r="68" spans="2:6" x14ac:dyDescent="0.25">
      <c r="B68" s="32" t="s">
        <v>1168</v>
      </c>
      <c r="C68" s="69" t="str">
        <f>SUBSTITUTE(VLOOKUP(B68,'HIDDEN features'!A:D,3,FALSE),"Measurands"," Measurands")</f>
        <v>AlignedDataTxEnded Measurands</v>
      </c>
      <c r="D68" s="183" t="str">
        <f>IFERROR(VLOOKUP(SUBSTITUTE(C68," ",""),'HIDDEN Testrun Results'!$A:$B,2,FALSE),"&lt;will be filled in by testlab&gt;")</f>
        <v>&lt;will be filled in by testlab&gt;</v>
      </c>
      <c r="E68" s="71" t="s">
        <v>1291</v>
      </c>
      <c r="F68" s="157" t="str">
        <f>IF(AND(NOT(ISBLANK(C68)),ISBLANK(E68)),"&lt;---- This field cannot be left empty!",IF(NOT(ISERROR(FIND("&lt;",E68))),"&lt;---- Please enter a valid list of supported measurands",""))</f>
        <v>&lt;---- Please enter a valid list of supported measurands</v>
      </c>
    </row>
    <row r="69" spans="2:6" x14ac:dyDescent="0.25">
      <c r="B69" s="119" t="s">
        <v>98</v>
      </c>
    </row>
    <row r="70" spans="2:6" x14ac:dyDescent="0.25">
      <c r="B70" s="119" t="s">
        <v>1158</v>
      </c>
    </row>
    <row r="71" spans="2:6" x14ac:dyDescent="0.25">
      <c r="B71" s="119" t="s">
        <v>1157</v>
      </c>
    </row>
    <row r="72" spans="2:6" x14ac:dyDescent="0.25">
      <c r="B72" s="12"/>
    </row>
    <row r="73" spans="2:6" x14ac:dyDescent="0.25">
      <c r="B73" s="158" t="s">
        <v>37</v>
      </c>
      <c r="C73" s="159" t="s">
        <v>1373</v>
      </c>
      <c r="D73" s="160" t="s">
        <v>1338</v>
      </c>
    </row>
    <row r="74" spans="2:6" ht="71.25" x14ac:dyDescent="0.25">
      <c r="B74" s="212" t="s">
        <v>99</v>
      </c>
      <c r="C74" s="169" t="str">
        <f>VLOOKUP(B74,'HIDDEN features'!A:D,3,FALSE)</f>
        <v>Supported Cipher Suites</v>
      </c>
      <c r="D74" s="213" t="str">
        <f>VLOOKUP(B74,'HIDDEN features'!A:D,4,FALSE)</f>
        <v>{ list of cipher suites } -&gt; at least one of + TLS_ECDHE_ECDSA_WITH_AES_128_GCM_SHA256 + TLS_ECDHE_ECDSA_WITH_AES_256_GCM_SHA384 + OR + TLS_RSA_WITH_AES_128_GCM_SHA256 + TLS_RSA_WITH_AES_256_GCM_SHA384</v>
      </c>
      <c r="E74" s="157" t="str">
        <f>IF(AND(NOT(ISBLANK(B74)),ISBLANK(D74)),"&lt;---- This field cannot be left empty!",IF(NOT(ISERROR(FIND("{",D74))),"&lt;---- Please enter a valid list of supported cipher suites",""))</f>
        <v>&lt;---- Please enter a valid list of supported cipher suites</v>
      </c>
    </row>
    <row r="75" spans="2:6" x14ac:dyDescent="0.25">
      <c r="B75" s="12"/>
    </row>
    <row r="76" spans="2:6" x14ac:dyDescent="0.25">
      <c r="B76" s="60" t="s">
        <v>37</v>
      </c>
      <c r="C76" s="61" t="s">
        <v>1372</v>
      </c>
      <c r="D76" s="211" t="s">
        <v>1338</v>
      </c>
    </row>
    <row r="77" spans="2:6" x14ac:dyDescent="0.25">
      <c r="B77" s="13" t="s">
        <v>100</v>
      </c>
      <c r="C77" s="63" t="str">
        <f>VLOOKUP(B77,'HIDDEN features'!A:D,3,FALSE)</f>
        <v>Signed Metervalues (SampledDataSignReadings)</v>
      </c>
      <c r="D77" s="56" t="s">
        <v>21</v>
      </c>
      <c r="E77" s="157" t="str">
        <f>IF(AND(NOT(ISBLANK(B77)),ISBLANK(D77)),"&lt;---- This field cannot be left empty!","")</f>
        <v/>
      </c>
    </row>
    <row r="78" spans="2:6" x14ac:dyDescent="0.25">
      <c r="B78" s="14" t="s">
        <v>101</v>
      </c>
      <c r="C78" s="17" t="str">
        <f>VLOOKUP(B78,'HIDDEN features'!A:D,3,FALSE)</f>
        <v>Install and activate Firmware with ongoing transaction(s)</v>
      </c>
      <c r="D78" s="57" t="s">
        <v>21</v>
      </c>
      <c r="E78" s="157" t="str">
        <f>IF(AND(NOT(ISBLANK(B78)),ISBLANK(D78)),"&lt;---- This field cannot be left empty!","")</f>
        <v/>
      </c>
    </row>
    <row r="79" spans="2:6" ht="28.5" x14ac:dyDescent="0.25">
      <c r="B79" s="13" t="s">
        <v>102</v>
      </c>
      <c r="C79" s="63" t="str">
        <f>VLOOKUP(B79,'HIDDEN features'!A:D,3,FALSE)</f>
        <v>Support for falling back to default OCPP reconnection mechanism when NetworkConnection profile connection has failed</v>
      </c>
      <c r="D79" s="56" t="s">
        <v>21</v>
      </c>
      <c r="E79" s="157" t="str">
        <f>IF(AND(NOT(ISBLANK(B79)),ISBLANK(D79)),"&lt;---- This field cannot be left empty!","")</f>
        <v/>
      </c>
    </row>
    <row r="80" spans="2:6" x14ac:dyDescent="0.25">
      <c r="B80" s="14" t="s">
        <v>103</v>
      </c>
      <c r="C80" s="17" t="str">
        <f>VLOOKUP(B80,'HIDDEN features'!A:D,3,FALSE)</f>
        <v>Authorization of remote start (AuthorizeRemoteStart)</v>
      </c>
      <c r="D80" s="171" t="str">
        <f>VLOOKUP(B80,'HIDDEN features'!A:D,4,FALSE)</f>
        <v>(At least one of the suboptions below is required)</v>
      </c>
      <c r="E80" s="74" t="str">
        <f>IF(AND(D81="No",D82="No"),"&lt;-- Please select at least one option from C-06.1 and C-06.2","")</f>
        <v/>
      </c>
    </row>
    <row r="81" spans="2:5" x14ac:dyDescent="0.25">
      <c r="B81" s="25" t="s">
        <v>104</v>
      </c>
      <c r="C81" s="66" t="str">
        <f>VLOOKUP(B81,'HIDDEN features'!A:D,3,FALSE)</f>
        <v>Option for authorization in case of a remote start</v>
      </c>
      <c r="D81" s="56" t="s">
        <v>21</v>
      </c>
      <c r="E81" s="157" t="str">
        <f t="shared" ref="E81:E92" si="3">IF(AND(NOT(ISBLANK(B81)),ISBLANK(D81)),"&lt;---- This field cannot be left empty!","")</f>
        <v/>
      </c>
    </row>
    <row r="82" spans="2:5" x14ac:dyDescent="0.25">
      <c r="B82" s="26" t="s">
        <v>105</v>
      </c>
      <c r="C82" s="65" t="str">
        <f>VLOOKUP(B82,'HIDDEN features'!A:D,3,FALSE)</f>
        <v>Option for no authorization in case of a remote start</v>
      </c>
      <c r="D82" s="57" t="s">
        <v>16</v>
      </c>
      <c r="E82" s="157" t="str">
        <f t="shared" si="3"/>
        <v/>
      </c>
    </row>
    <row r="83" spans="2:5" x14ac:dyDescent="0.25">
      <c r="B83" s="13" t="s">
        <v>106</v>
      </c>
      <c r="C83" s="63" t="str">
        <f>VLOOKUP(B83,'HIDDEN features'!A:D,3,FALSE)</f>
        <v>Option for disabling remote authorization	(DisableRemoteAuthorization)</v>
      </c>
      <c r="D83" s="56" t="s">
        <v>21</v>
      </c>
      <c r="E83" s="157" t="str">
        <f t="shared" si="3"/>
        <v/>
      </c>
    </row>
    <row r="84" spans="2:5" x14ac:dyDescent="0.25">
      <c r="B84" s="14" t="s">
        <v>107</v>
      </c>
      <c r="C84" s="17" t="str">
        <f>VLOOKUP(B84,'HIDDEN features'!A:D,3,FALSE)</f>
        <v>Authorization Cache (AuthCacheEnabled)</v>
      </c>
      <c r="D84" s="57" t="s">
        <v>16</v>
      </c>
      <c r="E84" s="157" t="str">
        <f t="shared" si="3"/>
        <v/>
      </c>
    </row>
    <row r="85" spans="2:5" x14ac:dyDescent="0.25">
      <c r="B85" s="13" t="s">
        <v>108</v>
      </c>
      <c r="C85" s="63" t="str">
        <f>VLOOKUP(B85,'HIDDEN features'!A:D,3,FALSE)</f>
        <v>Option for disabling remote authorization for cached invalid idTokens (AuthCacheDisablePostAuthorize)</v>
      </c>
      <c r="D85" s="56" t="s">
        <v>21</v>
      </c>
      <c r="E85" s="157" t="str">
        <f t="shared" si="3"/>
        <v/>
      </c>
    </row>
    <row r="86" spans="2:5" x14ac:dyDescent="0.25">
      <c r="B86" s="14" t="s">
        <v>109</v>
      </c>
      <c r="C86" s="17" t="str">
        <f>VLOOKUP(B86,'HIDDEN features'!A:D,3,FALSE)</f>
        <v>Configurable TxStartPoint</v>
      </c>
      <c r="D86" s="57" t="s">
        <v>21</v>
      </c>
      <c r="E86" s="157" t="str">
        <f t="shared" si="3"/>
        <v/>
      </c>
    </row>
    <row r="87" spans="2:5" x14ac:dyDescent="0.25">
      <c r="B87" s="13" t="s">
        <v>110</v>
      </c>
      <c r="C87" s="63" t="str">
        <f>VLOOKUP(B87,'HIDDEN features'!A:D,3,FALSE)</f>
        <v>Configurable TxStopPoint</v>
      </c>
      <c r="D87" s="56" t="s">
        <v>21</v>
      </c>
      <c r="E87" s="157" t="str">
        <f t="shared" si="3"/>
        <v/>
      </c>
    </row>
    <row r="88" spans="2:5" x14ac:dyDescent="0.25">
      <c r="B88" s="14" t="s">
        <v>111</v>
      </c>
      <c r="C88" s="17" t="str">
        <f>VLOOKUP(B88,'HIDDEN features'!A:D,3,FALSE)</f>
        <v>Support for lifetime cached token (AuthCacheLifeTime)</v>
      </c>
      <c r="D88" s="57" t="s">
        <v>21</v>
      </c>
      <c r="E88" s="157" t="str">
        <f t="shared" si="3"/>
        <v/>
      </c>
    </row>
    <row r="89" spans="2:5" x14ac:dyDescent="0.25">
      <c r="B89" s="13" t="s">
        <v>112</v>
      </c>
      <c r="C89" s="63" t="str">
        <f>VLOOKUP(B89,'HIDDEN features'!A:D,3,FALSE)</f>
        <v>Supported policies for replacing cached entries (AuthCachePolicy)</v>
      </c>
      <c r="D89" s="56" t="s">
        <v>21</v>
      </c>
      <c r="E89" s="157" t="str">
        <f t="shared" si="3"/>
        <v/>
      </c>
    </row>
    <row r="90" spans="2:5" x14ac:dyDescent="0.25">
      <c r="B90" s="14" t="s">
        <v>113</v>
      </c>
      <c r="C90" s="17" t="str">
        <f>VLOOKUP(B90,'HIDDEN features'!A:D,3,FALSE)</f>
        <v>Support for providing the SummaryInventory</v>
      </c>
      <c r="D90" s="57" t="s">
        <v>21</v>
      </c>
      <c r="E90" s="157" t="str">
        <f t="shared" si="3"/>
        <v/>
      </c>
    </row>
    <row r="91" spans="2:5" x14ac:dyDescent="0.25">
      <c r="B91" s="13" t="s">
        <v>114</v>
      </c>
      <c r="C91" s="63" t="str">
        <f>VLOOKUP(B91,'HIDDEN features'!A:D,3,FALSE)</f>
        <v>Support for cancelling ongoing log file upload</v>
      </c>
      <c r="D91" s="56" t="s">
        <v>21</v>
      </c>
      <c r="E91" s="157" t="str">
        <f t="shared" si="3"/>
        <v/>
      </c>
    </row>
    <row r="92" spans="2:5" x14ac:dyDescent="0.25">
      <c r="B92" s="32" t="s">
        <v>115</v>
      </c>
      <c r="C92" s="69" t="str">
        <f>VLOOKUP(B92,'HIDDEN features'!A:D,3,FALSE)</f>
        <v>Support for cancelling ongoing firmware update</v>
      </c>
      <c r="D92" s="71" t="s">
        <v>21</v>
      </c>
      <c r="E92" s="157" t="str">
        <f t="shared" si="3"/>
        <v/>
      </c>
    </row>
    <row r="93" spans="2:5" x14ac:dyDescent="0.25">
      <c r="B93" s="12"/>
    </row>
    <row r="94" spans="2:5" x14ac:dyDescent="0.25">
      <c r="B94" s="60" t="s">
        <v>13</v>
      </c>
      <c r="C94" s="61" t="s">
        <v>1359</v>
      </c>
      <c r="D94" s="120" t="s">
        <v>1343</v>
      </c>
    </row>
    <row r="95" spans="2:5" x14ac:dyDescent="0.25">
      <c r="B95" s="13" t="s">
        <v>117</v>
      </c>
      <c r="C95" s="63" t="str">
        <f>VLOOKUP(B95,'HIDDEN features'!A:D,3,FALSE)</f>
        <v>Supported charging rate units (ChargingScheduleChargingRateUnit)</v>
      </c>
      <c r="D95" s="9" t="str">
        <f>VLOOKUP(B95,'HIDDEN features'!A:D,4,FALSE)</f>
        <v>(Select all supported suboptions)</v>
      </c>
      <c r="E95" s="157" t="str">
        <f>IF(AND(ISERROR(VLOOKUP("Yes",D96:D97,1,FALSE)),VLOOKUP(RIGHT(C94,LEN(C94)-FIND(":",C94)-1),Profile_Selection,2,FALSE)="Yes"),"&lt;-- Please select at least one option","")</f>
        <v/>
      </c>
    </row>
    <row r="96" spans="2:5" x14ac:dyDescent="0.25">
      <c r="B96" s="26" t="s">
        <v>118</v>
      </c>
      <c r="C96" s="65" t="str">
        <f>VLOOKUP(B96,'HIDDEN features'!A:D,3,FALSE)</f>
        <v>A</v>
      </c>
      <c r="D96" s="57" t="s">
        <v>21</v>
      </c>
      <c r="E96" s="157" t="str">
        <f>IF(AND(D96="Yes",VLOOKUP(RIGHT(C94,LEN(C94)-FIND(":",C94)-1),Profile_Selection,2,FALSE)&lt;&gt;"Yes"),_xlfn.CONCAT("&lt;---- Value must be 'No' as ",C94," is not selected"),IF(AND(NOT(ISBLANK(B96)),ISBLANK(D96)),"&lt;---- This field cannot be left empty!",""))</f>
        <v/>
      </c>
    </row>
    <row r="97" spans="2:5" x14ac:dyDescent="0.25">
      <c r="B97" s="27" t="s">
        <v>119</v>
      </c>
      <c r="C97" s="68" t="str">
        <f>VLOOKUP(B97,'HIDDEN features'!A:D,3,FALSE)</f>
        <v>W</v>
      </c>
      <c r="D97" s="73" t="s">
        <v>21</v>
      </c>
      <c r="E97" s="157" t="str">
        <f>IF(AND(D97="Yes",VLOOKUP(RIGHT(C94,LEN(C94)-FIND(":",C94)-1),Profile_Selection,2,FALSE)&lt;&gt;"Yes"),_xlfn.CONCAT("&lt;---- Value must be 'No' as ",C94," is not selected"),IF(AND(NOT(ISBLANK(B97)),ISBLANK(D97)),"&lt;---- This field cannot be left empty!",""))</f>
        <v/>
      </c>
    </row>
    <row r="98" spans="2:5" x14ac:dyDescent="0.25">
      <c r="B98" s="12"/>
    </row>
    <row r="99" spans="2:5" x14ac:dyDescent="0.25">
      <c r="B99" s="60" t="s">
        <v>13</v>
      </c>
      <c r="C99" s="61" t="s">
        <v>1358</v>
      </c>
      <c r="D99" s="120" t="s">
        <v>1343</v>
      </c>
    </row>
    <row r="100" spans="2:5" x14ac:dyDescent="0.25">
      <c r="B100" s="13" t="s">
        <v>120</v>
      </c>
      <c r="C100" s="63" t="str">
        <f>VLOOKUP(B100,'HIDDEN features'!A:D,3,FALSE)</f>
        <v>Additional root certificate check mechanism implemented (AdditionalRootCertificateCheck)</v>
      </c>
      <c r="D100" s="56" t="s">
        <v>21</v>
      </c>
      <c r="E100" s="157" t="str">
        <f>IF(AND(D100="Yes",VLOOKUP(RIGHT(C99,LEN(C99)-FIND(":",C99)-1),Profile_Selection,2,FALSE)&lt;&gt;"Yes"),_xlfn.CONCAT("&lt;---- Value must be 'No' as ",C99," is not selected"),IF(AND(NOT(ISBLANK(B100)),ISBLANK(D100)),"&lt;---- This field cannot be left empty!",""))</f>
        <v/>
      </c>
    </row>
    <row r="101" spans="2:5" ht="28.5" x14ac:dyDescent="0.25">
      <c r="B101" s="32" t="s">
        <v>121</v>
      </c>
      <c r="C101" s="69" t="str">
        <f>VLOOKUP(B101,'HIDDEN features'!A:D,3,FALSE)</f>
        <v>Update Charging Station Certificate - CertificateSignedRequest Timeout (CertSigningWaitMinimum,CertSigningRepeatTimes)</v>
      </c>
      <c r="D101" s="71" t="s">
        <v>21</v>
      </c>
      <c r="E101" s="157" t="str">
        <f>IF(AND(D101="Yes",VLOOKUP(RIGHT(C99,LEN(C99)-FIND(":",C99)-1),Profile_Selection,2,FALSE)&lt;&gt;"Yes"),_xlfn.CONCAT("&lt;---- Value must be 'No' as ",C99," is not selected"),IF(AND(NOT(ISBLANK(B101)),ISBLANK(D101)),"&lt;---- This field cannot be left empty!",""))</f>
        <v/>
      </c>
    </row>
    <row r="102" spans="2:5" x14ac:dyDescent="0.25">
      <c r="B102" s="12"/>
    </row>
    <row r="103" spans="2:5" x14ac:dyDescent="0.25">
      <c r="B103" s="60" t="s">
        <v>13</v>
      </c>
      <c r="C103" s="61" t="s">
        <v>122</v>
      </c>
      <c r="D103" s="120" t="s">
        <v>1343</v>
      </c>
    </row>
    <row r="104" spans="2:5" x14ac:dyDescent="0.25">
      <c r="B104" s="13" t="s">
        <v>123</v>
      </c>
      <c r="C104" s="63" t="str">
        <f>VLOOKUP(B104,'HIDDEN features'!A:D,3,FALSE)</f>
        <v>Support for reservation of unspecified EVSE (ReservationNonEvseSpecific)</v>
      </c>
      <c r="D104" s="56" t="s">
        <v>21</v>
      </c>
      <c r="E104" s="157" t="str">
        <f>IF(AND(D104="Yes",VLOOKUP(RIGHT(C103,LEN(C103)-FIND(":",C103)-1),Profile_Selection,2,FALSE)&lt;&gt;"Yes"),_xlfn.CONCAT("&lt;---- Value must be 'No' as ",C103," is not selected"),IF(AND(NOT(ISBLANK(B104)),ISBLANK(D104)),"&lt;---- This field cannot be left empty!",""))</f>
        <v/>
      </c>
    </row>
    <row r="105" spans="2:5" x14ac:dyDescent="0.25">
      <c r="B105" s="32" t="s">
        <v>124</v>
      </c>
      <c r="C105" s="69" t="str">
        <f>VLOOKUP(B105,'HIDDEN features'!A:D,3,FALSE)</f>
        <v>Reservation support (ReservationEnabled)</v>
      </c>
      <c r="D105" s="71" t="s">
        <v>21</v>
      </c>
      <c r="E105" s="157" t="str">
        <f>IF(AND(D105="Yes",VLOOKUP(RIGHT(C103,LEN(C103)-FIND(":",C103)-1),Profile_Selection,2,FALSE)&lt;&gt;"Yes"),_xlfn.CONCAT("&lt;---- Value must be 'No' as ",C103," is not selected"),IF(AND(NOT(ISBLANK(B105)),ISBLANK(D105)),"&lt;---- This field cannot be left empty!",""))</f>
        <v/>
      </c>
    </row>
    <row r="106" spans="2:5" x14ac:dyDescent="0.25">
      <c r="B106" s="12"/>
    </row>
    <row r="107" spans="2:5" x14ac:dyDescent="0.25">
      <c r="B107" s="60" t="s">
        <v>13</v>
      </c>
      <c r="C107" s="61" t="s">
        <v>1357</v>
      </c>
      <c r="D107" s="120" t="s">
        <v>1343</v>
      </c>
    </row>
    <row r="108" spans="2:5" x14ac:dyDescent="0.25">
      <c r="B108" s="15" t="s">
        <v>126</v>
      </c>
      <c r="C108" s="67" t="str">
        <f>VLOOKUP(B108,'HIDDEN features'!A:D,3,FALSE)</f>
        <v>Queue notifyEventRequest messages for specific severities (OfflineMonitoringEventQueuingSeverity)</v>
      </c>
      <c r="D108" s="73" t="s">
        <v>21</v>
      </c>
      <c r="E108" s="157" t="str">
        <f>IF(AND(D108="Yes",VLOOKUP(RIGHT(C107,LEN(C107)-FIND(":",C107)-1),Profile_Selection,2,FALSE)&lt;&gt;"Yes"),_xlfn.CONCAT("&lt;---- Value must be 'No' as ",C107," is not selected"),IF(AND(NOT(ISBLANK(B108)),ISBLANK(D108)),"&lt;---- This field cannot be left empty!",""))</f>
        <v/>
      </c>
    </row>
    <row r="109" spans="2:5" x14ac:dyDescent="0.25">
      <c r="B109" s="12"/>
    </row>
    <row r="110" spans="2:5" x14ac:dyDescent="0.25">
      <c r="B110" s="60" t="s">
        <v>13</v>
      </c>
      <c r="C110" s="61" t="s">
        <v>1356</v>
      </c>
      <c r="D110" s="120" t="s">
        <v>1343</v>
      </c>
    </row>
    <row r="111" spans="2:5" x14ac:dyDescent="0.25">
      <c r="B111" s="232" t="s">
        <v>127</v>
      </c>
      <c r="C111" s="233" t="str">
        <f>VLOOKUP(B111,'HIDDEN features'!A:D,3,FALSE)</f>
        <v>Combined charging station Certificate (for both OCPP and ISO 15118)</v>
      </c>
      <c r="D111" s="234" t="s">
        <v>21</v>
      </c>
      <c r="E111" s="157" t="str">
        <f>IF(AND(D111="Yes",VLOOKUP(RIGHT(C110,LEN(C110)-FIND(":",C110)-1),Profile_Selection,2,FALSE)&lt;&gt;"Yes"),_xlfn.CONCAT("&lt;---- Value must be 'No' as ",C110," is not selected"),IF(AND(NOT(ISBLANK(B111)),ISBLANK(D111)),"&lt;---- This field cannot be left empty!",""))</f>
        <v/>
      </c>
    </row>
    <row r="112" spans="2:5" x14ac:dyDescent="0.25">
      <c r="B112" s="14" t="s">
        <v>128</v>
      </c>
      <c r="C112" s="17" t="str">
        <f>VLOOKUP(B112,'HIDDEN features'!A:D,3,FALSE)</f>
        <v>Support for retrieving / deleting CustomerInformation - CustomerCertificate</v>
      </c>
      <c r="D112" s="57" t="s">
        <v>21</v>
      </c>
      <c r="E112" s="157"/>
    </row>
    <row r="113" spans="1:5" ht="17.25" customHeight="1" x14ac:dyDescent="0.25">
      <c r="B113" s="15" t="s">
        <v>1399</v>
      </c>
      <c r="C113" s="67" t="str">
        <f>VLOOKUP(B113,'HIDDEN features'!A:D,3,FALSE)</f>
        <v>Charging Station can provide a contract certificate that it cannot validate to the CSMS (CentralContractValidationAllowed)</v>
      </c>
      <c r="D113" s="73" t="s">
        <v>21</v>
      </c>
      <c r="E113" s="157" t="str">
        <f>IF(AND(D113="Yes",VLOOKUP(RIGHT(C110,LEN(C110)-FIND(":",C110)-1),Profile_Selection,2,FALSE)&lt;&gt;"Yes"),_xlfn.CONCAT("&lt;---- Value must be 'No' as ",C110," is not selected"),IF(AND(NOT(ISBLANK(B113)),ISBLANK(D113)),"&lt;---- This field cannot be left empty!",""))</f>
        <v/>
      </c>
    </row>
    <row r="114" spans="1:5" x14ac:dyDescent="0.25">
      <c r="A114" s="12"/>
    </row>
    <row r="115" spans="1:5" x14ac:dyDescent="0.25">
      <c r="B115" s="60" t="s">
        <v>13</v>
      </c>
      <c r="C115" s="61" t="s">
        <v>1346</v>
      </c>
      <c r="D115" s="120" t="s">
        <v>1343</v>
      </c>
    </row>
    <row r="116" spans="1:5" x14ac:dyDescent="0.25">
      <c r="B116" s="13" t="s">
        <v>129</v>
      </c>
      <c r="C116" s="63" t="str">
        <f>VLOOKUP(B116,'HIDDEN features'!A:D,3,FALSE)</f>
        <v>Authorization list support (LocalAuthListEnabled)</v>
      </c>
      <c r="D116" s="56" t="s">
        <v>21</v>
      </c>
      <c r="E116" s="157" t="str">
        <f>IF(AND(D116="Yes",VLOOKUP(RIGHT(C115,LEN(C115)-FIND(":",C115)-1),Profile_Selection,2,FALSE)&lt;&gt;"Yes"),_xlfn.CONCAT("&lt;---- Value must be 'No' as ",C115," is not selected"),IF(AND(NOT(ISBLANK(B116)),ISBLANK(D116)),"&lt;---- This field cannot be left empty!",""))</f>
        <v/>
      </c>
    </row>
    <row r="117" spans="1:5" ht="28.5" x14ac:dyDescent="0.25">
      <c r="B117" s="32" t="s">
        <v>130</v>
      </c>
      <c r="C117" s="69" t="str">
        <f>VLOOKUP(B117,'HIDDEN features'!A:D,3,FALSE)</f>
        <v>Option for disabling remote authorization for invalid idTokens stored at the Local Authorization List (LocalAuthListDisablePostAuthorize)</v>
      </c>
      <c r="D117" s="71" t="s">
        <v>21</v>
      </c>
      <c r="E117" s="157" t="str">
        <f>IF(AND(D117="Yes",VLOOKUP(RIGHT(C115,LEN(C115)-FIND(":",C115)-1),Profile_Selection,2,FALSE)&lt;&gt;"Yes"),_xlfn.CONCAT("&lt;---- Value must be 'No' as ",C115," is not selected"),IF(AND(NOT(ISBLANK(B117)),ISBLANK(D117)),"&lt;---- This field cannot be left empty!",""))</f>
        <v/>
      </c>
    </row>
    <row r="118" spans="1:5" x14ac:dyDescent="0.25">
      <c r="B118" s="12"/>
    </row>
    <row r="119" spans="1:5" x14ac:dyDescent="0.25">
      <c r="B119" s="60" t="s">
        <v>13</v>
      </c>
      <c r="C119" s="61" t="s">
        <v>1355</v>
      </c>
      <c r="D119" s="120" t="s">
        <v>1343</v>
      </c>
    </row>
    <row r="120" spans="1:5" x14ac:dyDescent="0.25">
      <c r="B120" s="13" t="s">
        <v>131</v>
      </c>
      <c r="C120" s="63" t="str">
        <f>VLOOKUP(B120,'HIDDEN features'!A:D,3,FALSE)</f>
        <v>Supported message priorities (DisplayMessageSupportedPriorities)</v>
      </c>
      <c r="D120" s="9" t="str">
        <f>VLOOKUP(B120,'HIDDEN features'!A:D,4,FALSE)</f>
        <v>(At least one of the suboptions below is required)</v>
      </c>
      <c r="E120" s="157" t="str">
        <f>IF(AND(ISERROR(VLOOKUP("Yes",D121:D123,1,FALSE)),VLOOKUP(RIGHT(C119,LEN(C119)-FIND(":",C119)-1),Profile_Selection,2,FALSE)="Yes"),"&lt;-- Please select at least one option","")</f>
        <v/>
      </c>
    </row>
    <row r="121" spans="1:5" x14ac:dyDescent="0.25">
      <c r="B121" s="26" t="s">
        <v>132</v>
      </c>
      <c r="C121" s="65" t="str">
        <f>VLOOKUP(B121,'HIDDEN features'!A:D,3,FALSE)</f>
        <v>AlwaysFront</v>
      </c>
      <c r="D121" s="57" t="s">
        <v>21</v>
      </c>
      <c r="E121" s="157" t="str">
        <f>IF(AND(D121="Yes",VLOOKUP(RIGHT(C119,LEN(C119)-FIND(":",C119)-1),Profile_Selection,2,FALSE)&lt;&gt;"Yes"),_xlfn.CONCAT("&lt;---- Value must be 'No' as ",C119," is not selected"),IF(AND(NOT(ISBLANK(B121)),ISBLANK(D121)),"&lt;---- This field cannot be left empty!",""))</f>
        <v/>
      </c>
    </row>
    <row r="122" spans="1:5" x14ac:dyDescent="0.25">
      <c r="B122" s="25" t="s">
        <v>133</v>
      </c>
      <c r="C122" s="66" t="str">
        <f>VLOOKUP(B122,'HIDDEN features'!A:D,3,FALSE)</f>
        <v>InFront</v>
      </c>
      <c r="D122" s="56" t="s">
        <v>21</v>
      </c>
      <c r="E122" s="157" t="str">
        <f>IF(AND(D122="Yes",VLOOKUP(RIGHT(C119,LEN(C119)-FIND(":",C119)-1),Profile_Selection,2,FALSE)&lt;&gt;"Yes"),_xlfn.CONCAT("&lt;---- Value must be 'No' as ",C119," is not selected"),IF(AND(NOT(ISBLANK(B122)),ISBLANK(D122)),"&lt;---- This field cannot be left empty!",""))</f>
        <v/>
      </c>
    </row>
    <row r="123" spans="1:5" x14ac:dyDescent="0.25">
      <c r="B123" s="26" t="s">
        <v>134</v>
      </c>
      <c r="C123" s="65" t="str">
        <f>VLOOKUP(B123,'HIDDEN features'!A:D,3,FALSE)</f>
        <v>NormalCycle</v>
      </c>
      <c r="D123" s="57" t="s">
        <v>21</v>
      </c>
      <c r="E123" s="157" t="str">
        <f>IF(AND(D123="Yes",VLOOKUP(RIGHT(C119,LEN(C119)-FIND(":",C119)-1),Profile_Selection,2,FALSE)&lt;&gt;"Yes"),_xlfn.CONCAT("&lt;---- Value must be 'No' as ",C119," is not selected"),IF(AND(NOT(ISBLANK(B123)),ISBLANK(D123)),"&lt;---- This field cannot be left empty!",""))</f>
        <v/>
      </c>
    </row>
    <row r="124" spans="1:5" x14ac:dyDescent="0.25">
      <c r="B124" s="25" t="s">
        <v>135</v>
      </c>
      <c r="C124" s="64" t="str">
        <f>VLOOKUP(B124,'HIDDEN features'!A:D,3,FALSE)</f>
        <v>Supported message formats (DisplayMessageSupportedFormats)</v>
      </c>
      <c r="D124" s="9" t="str">
        <f>VLOOKUP(B124,'HIDDEN features'!A:D,4,FALSE)</f>
        <v>(At least one of the suboptions below is required)</v>
      </c>
      <c r="E124" s="157" t="str">
        <f>IF(AND(ISERROR(VLOOKUP("Yes",D125:D128,1,FALSE)),VLOOKUP(RIGHT(C119,LEN(C119)-FIND(":",C119)-1),Profile_Selection,2,FALSE)="Yes"),"&lt;-- Please select at least one option","")</f>
        <v/>
      </c>
    </row>
    <row r="125" spans="1:5" x14ac:dyDescent="0.25">
      <c r="B125" s="26" t="s">
        <v>136</v>
      </c>
      <c r="C125" s="65" t="str">
        <f>VLOOKUP(B125,'HIDDEN features'!A:D,3,FALSE)</f>
        <v>ASCII</v>
      </c>
      <c r="D125" s="57" t="s">
        <v>21</v>
      </c>
      <c r="E125" s="157" t="str">
        <f>IF(AND(D125="Yes",VLOOKUP(RIGHT(C119,LEN(C119)-FIND(":",C119)-1),Profile_Selection,2,FALSE)&lt;&gt;"Yes"),_xlfn.CONCAT("&lt;---- Value must be 'No' as ",C119," is not selected"),IF(AND(NOT(ISBLANK(B125)),ISBLANK(D125)),"&lt;---- This field cannot be left empty!",""))</f>
        <v/>
      </c>
    </row>
    <row r="126" spans="1:5" x14ac:dyDescent="0.25">
      <c r="B126" s="25" t="s">
        <v>137</v>
      </c>
      <c r="C126" s="66" t="str">
        <f>VLOOKUP(B126,'HIDDEN features'!A:D,3,FALSE)</f>
        <v>HTML</v>
      </c>
      <c r="D126" s="56" t="s">
        <v>21</v>
      </c>
      <c r="E126" s="157" t="str">
        <f>IF(AND(D126="Yes",VLOOKUP(RIGHT(C119,LEN(C119)-FIND(":",C119)-1),Profile_Selection,2,FALSE)&lt;&gt;"Yes"),_xlfn.CONCAT("&lt;---- Value must be 'No' as ",C119," is not selected"),IF(AND(NOT(ISBLANK(B126)),ISBLANK(D126)),"&lt;---- This field cannot be left empty!",""))</f>
        <v/>
      </c>
    </row>
    <row r="127" spans="1:5" x14ac:dyDescent="0.25">
      <c r="B127" s="26" t="s">
        <v>138</v>
      </c>
      <c r="C127" s="65" t="str">
        <f>VLOOKUP(B127,'HIDDEN features'!A:D,3,FALSE)</f>
        <v>URI</v>
      </c>
      <c r="D127" s="57" t="s">
        <v>21</v>
      </c>
      <c r="E127" s="157" t="str">
        <f>IF(AND(D127="Yes",VLOOKUP(RIGHT(C119,LEN(C119)-FIND(":",C119)-1),Profile_Selection,2,FALSE)&lt;&gt;"Yes"),_xlfn.CONCAT("&lt;---- Value must be 'No' as ",C119," is not selected"),IF(AND(NOT(ISBLANK(B127)),ISBLANK(D127)),"&lt;---- This field cannot be left empty!",""))</f>
        <v/>
      </c>
    </row>
    <row r="128" spans="1:5" x14ac:dyDescent="0.25">
      <c r="B128" s="27" t="s">
        <v>139</v>
      </c>
      <c r="C128" s="68" t="str">
        <f>VLOOKUP(B128,'HIDDEN features'!A:D,3,FALSE)</f>
        <v>UTF8</v>
      </c>
      <c r="D128" s="73" t="s">
        <v>21</v>
      </c>
      <c r="E128" s="157" t="str">
        <f>IF(AND(D128="Yes",VLOOKUP(RIGHT(C119,LEN(C119)-FIND(":",C119)-1),Profile_Selection,2,FALSE)&lt;&gt;"Yes"),_xlfn.CONCAT("&lt;---- Value must be 'No' as ",C119," is not selected"),IF(AND(NOT(ISBLANK(B128)),ISBLANK(D128)),"&lt;---- This field cannot be left empty!",""))</f>
        <v/>
      </c>
    </row>
  </sheetData>
  <sheetProtection algorithmName="SHA-512" hashValue="8nxQ/dvXMjMfr6yfpLAVsRn0nB4FBue2/BXqCgUc1Uqta8tC9Tou31kjUJAKhbAG/O5SgFAdk815mZfrJHlEVQ==" saltValue="MoO6qh3Ta0BUoI+pXLZMBw==" spinCount="100000" sheet="1" objects="1" scenarios="1"/>
  <mergeCells count="1">
    <mergeCell ref="B1:D1"/>
  </mergeCells>
  <conditionalFormatting sqref="F1">
    <cfRule type="cellIs" dxfId="9" priority="1" operator="equal">
      <formula>"INVALID"</formula>
    </cfRule>
    <cfRule type="cellIs" dxfId="8" priority="2" operator="equal">
      <formula>"VALID"</formula>
    </cfRule>
  </conditionalFormatting>
  <dataValidations count="2">
    <dataValidation type="list" allowBlank="1" showInputMessage="1" showErrorMessage="1" sqref="D111:D113 D27:D32 D57:E60 D35:D38 D100:D101 D108 D40:D45 D49:E55 D14:D19 D21:D25 D104:D105 D5:D7 D9:D12 D116:D117 D96:D97 D77:D79 D81:D92" xr:uid="{C041260F-75D1-4DA8-9B13-2E9101B865DB}">
      <formula1>"Yes,No"</formula1>
    </dataValidation>
    <dataValidation type="list" showInputMessage="1" showErrorMessage="1" sqref="D121:D123 D125:D128" xr:uid="{12E003BA-17B3-B047-BD5C-86FD75ABB4E9}">
      <formula1>"Yes,No"</formula1>
    </dataValidation>
  </dataValidations>
  <pageMargins left="0.7" right="0.7" top="0.75" bottom="0.75" header="0.3" footer="0.3"/>
  <pageSetup paperSize="9" orientation="portrait" r:id="rId1"/>
  <headerFooter>
    <oddFooter>&amp;C_x000D_&amp;1#&amp;"Arial"&amp;9&amp;K000000 Internal</oddFooter>
  </headerFooter>
  <ignoredErrors>
    <ignoredError sqref="E34"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3E844-10AE-418A-8FD0-F0A6EFD67A93}">
  <dimension ref="B1:F26"/>
  <sheetViews>
    <sheetView showGridLines="0" workbookViewId="0">
      <selection activeCell="D3" sqref="D3"/>
    </sheetView>
  </sheetViews>
  <sheetFormatPr defaultColWidth="28.375" defaultRowHeight="15.75" customHeight="1" x14ac:dyDescent="0.25"/>
  <cols>
    <col min="1" max="1" width="11.625" customWidth="1"/>
    <col min="2" max="2" width="6" customWidth="1"/>
    <col min="3" max="3" width="97.125" customWidth="1"/>
    <col min="4" max="4" width="25.125" customWidth="1"/>
    <col min="5" max="5" width="35" bestFit="1" customWidth="1"/>
  </cols>
  <sheetData>
    <row r="1" spans="2:6" ht="58.5" customHeight="1" x14ac:dyDescent="0.25">
      <c r="C1" s="50" t="s">
        <v>159</v>
      </c>
      <c r="E1" s="151" t="s">
        <v>1364</v>
      </c>
      <c r="F1" s="151" t="str">
        <f>IF(_xlfn.CONCAT(E3:E14)="","VALID","INVALID")</f>
        <v>VALID</v>
      </c>
    </row>
    <row r="2" spans="2:6" x14ac:dyDescent="0.25">
      <c r="B2" s="47" t="s">
        <v>13</v>
      </c>
      <c r="C2" s="42" t="s">
        <v>160</v>
      </c>
      <c r="D2" s="43" t="s">
        <v>39</v>
      </c>
    </row>
    <row r="3" spans="2:6" x14ac:dyDescent="0.25">
      <c r="B3" s="48" t="s">
        <v>161</v>
      </c>
      <c r="C3" s="46" t="s">
        <v>162</v>
      </c>
      <c r="D3" s="56" t="s">
        <v>21</v>
      </c>
      <c r="E3" s="157" t="str">
        <f>IF(AND(NOT(ISBLANK(B3)),ISBLANK(D3)),"&lt;---- This field cannot be left empty!","")</f>
        <v/>
      </c>
    </row>
    <row r="4" spans="2:6" ht="30" x14ac:dyDescent="0.25">
      <c r="B4" s="49" t="s">
        <v>163</v>
      </c>
      <c r="C4" s="33" t="s">
        <v>164</v>
      </c>
      <c r="D4" s="57" t="s">
        <v>21</v>
      </c>
      <c r="E4" s="157" t="str">
        <f t="shared" ref="E4:E13" si="0">IF(AND(NOT(ISBLANK(B4)),ISBLANK(D4)),"&lt;---- This field cannot be left empty!","")</f>
        <v/>
      </c>
    </row>
    <row r="5" spans="2:6" x14ac:dyDescent="0.25">
      <c r="B5" s="48" t="s">
        <v>165</v>
      </c>
      <c r="C5" s="46" t="s">
        <v>166</v>
      </c>
      <c r="D5" s="56" t="s">
        <v>21</v>
      </c>
      <c r="E5" s="157" t="str">
        <f t="shared" si="0"/>
        <v/>
      </c>
    </row>
    <row r="6" spans="2:6" x14ac:dyDescent="0.25">
      <c r="B6" s="49" t="s">
        <v>167</v>
      </c>
      <c r="C6" s="33" t="s">
        <v>168</v>
      </c>
      <c r="D6" s="57" t="s">
        <v>21</v>
      </c>
      <c r="E6" s="157" t="str">
        <f t="shared" si="0"/>
        <v/>
      </c>
    </row>
    <row r="7" spans="2:6" x14ac:dyDescent="0.25">
      <c r="B7" s="172" t="s">
        <v>169</v>
      </c>
      <c r="C7" s="173" t="s">
        <v>170</v>
      </c>
      <c r="D7" s="174" t="s">
        <v>21</v>
      </c>
      <c r="E7" s="157" t="str">
        <f t="shared" si="0"/>
        <v/>
      </c>
    </row>
    <row r="8" spans="2:6" x14ac:dyDescent="0.25">
      <c r="B8" s="175"/>
      <c r="C8" s="176" t="s">
        <v>171</v>
      </c>
      <c r="D8" s="177"/>
      <c r="E8" s="157" t="str">
        <f t="shared" si="0"/>
        <v/>
      </c>
    </row>
    <row r="9" spans="2:6" x14ac:dyDescent="0.25">
      <c r="B9" s="172" t="s">
        <v>172</v>
      </c>
      <c r="C9" s="173" t="s">
        <v>173</v>
      </c>
      <c r="D9" s="174" t="s">
        <v>21</v>
      </c>
      <c r="E9" s="157" t="str">
        <f t="shared" si="0"/>
        <v/>
      </c>
    </row>
    <row r="10" spans="2:6" x14ac:dyDescent="0.25">
      <c r="B10" s="175"/>
      <c r="C10" s="176" t="s">
        <v>174</v>
      </c>
      <c r="D10" s="177"/>
      <c r="E10" s="157" t="str">
        <f t="shared" si="0"/>
        <v/>
      </c>
    </row>
    <row r="11" spans="2:6" x14ac:dyDescent="0.25">
      <c r="B11" s="48" t="s">
        <v>175</v>
      </c>
      <c r="C11" s="46" t="s">
        <v>176</v>
      </c>
      <c r="D11" s="56" t="s">
        <v>21</v>
      </c>
      <c r="E11" s="157" t="str">
        <f t="shared" si="0"/>
        <v/>
      </c>
    </row>
    <row r="12" spans="2:6" x14ac:dyDescent="0.25">
      <c r="B12" s="49" t="s">
        <v>177</v>
      </c>
      <c r="C12" s="33" t="s">
        <v>178</v>
      </c>
      <c r="D12" s="57" t="s">
        <v>21</v>
      </c>
      <c r="E12" s="157" t="str">
        <f t="shared" si="0"/>
        <v/>
      </c>
    </row>
    <row r="13" spans="2:6" ht="19.5" customHeight="1" x14ac:dyDescent="0.25">
      <c r="B13" s="105" t="s">
        <v>1127</v>
      </c>
      <c r="C13" s="106" t="s">
        <v>1134</v>
      </c>
      <c r="D13" s="73" t="s">
        <v>21</v>
      </c>
      <c r="E13" s="157" t="str">
        <f t="shared" si="0"/>
        <v/>
      </c>
    </row>
    <row r="14" spans="2:6" x14ac:dyDescent="0.25">
      <c r="B14" s="101"/>
      <c r="C14" s="102"/>
      <c r="D14" s="102"/>
    </row>
    <row r="15" spans="2:6" x14ac:dyDescent="0.25">
      <c r="B15" s="101"/>
      <c r="C15" s="81"/>
      <c r="D15" s="72"/>
    </row>
    <row r="16" spans="2:6" x14ac:dyDescent="0.25">
      <c r="B16" s="101"/>
      <c r="C16" s="103"/>
      <c r="D16" s="102"/>
    </row>
    <row r="17" spans="2:4" x14ac:dyDescent="0.25">
      <c r="B17" s="101"/>
      <c r="C17" s="104"/>
      <c r="D17" s="72"/>
    </row>
    <row r="18" spans="2:4" x14ac:dyDescent="0.25">
      <c r="B18" s="101"/>
      <c r="C18" s="81"/>
      <c r="D18" s="54"/>
    </row>
    <row r="19" spans="2:4" x14ac:dyDescent="0.25">
      <c r="C19" s="3"/>
    </row>
    <row r="26" spans="2:4" x14ac:dyDescent="0.25">
      <c r="C26" t="s">
        <v>3</v>
      </c>
    </row>
  </sheetData>
  <sheetProtection algorithmName="SHA-512" hashValue="ebjL9r1h36j0pZ90ZXB08KJakvp1HVKt3ghubZZ8r7QyJg7EhJ/4Iua67AMZubxt7wHISTxYj8XUINfJpVLqcg==" saltValue="RCxGufoEGrfUkkE0WzgSZQ==" spinCount="100000" sheet="1" objects="1" scenarios="1"/>
  <conditionalFormatting sqref="F1">
    <cfRule type="cellIs" dxfId="7" priority="1" operator="equal">
      <formula>"INVALID"</formula>
    </cfRule>
    <cfRule type="cellIs" dxfId="6" priority="2" operator="equal">
      <formula>"VALID"</formula>
    </cfRule>
  </conditionalFormatting>
  <dataValidations count="1">
    <dataValidation type="list" allowBlank="1" showInputMessage="1" showErrorMessage="1" sqref="D3:D7 D9 D11:D13" xr:uid="{28070518-DDD2-469A-8404-FE76BF5B1220}">
      <formula1>"Yes,No"</formula1>
    </dataValidation>
  </dataValidations>
  <pageMargins left="0.7" right="0.7" top="0.75" bottom="0.75" header="0.3" footer="0.3"/>
  <pageSetup paperSize="9" orientation="portrait" r:id="rId1"/>
  <headerFooter>
    <oddFooter>&amp;C_x000D_&amp;1#&amp;"Arial"&amp;9&amp;K000000 Internal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32B88-7246-4D99-AEEA-0304BDCC43E2}">
  <dimension ref="B1:F47"/>
  <sheetViews>
    <sheetView showGridLines="0" zoomScaleNormal="85" workbookViewId="0">
      <selection activeCell="D4" sqref="D4"/>
    </sheetView>
  </sheetViews>
  <sheetFormatPr defaultColWidth="28.375" defaultRowHeight="15.75" x14ac:dyDescent="0.25"/>
  <cols>
    <col min="1" max="1" width="13.125" customWidth="1"/>
    <col min="2" max="2" width="8.125" customWidth="1"/>
    <col min="3" max="3" width="55" customWidth="1"/>
    <col min="4" max="4" width="54.125" customWidth="1"/>
    <col min="5" max="5" width="37.875" customWidth="1"/>
  </cols>
  <sheetData>
    <row r="1" spans="2:6" ht="35.25" customHeight="1" x14ac:dyDescent="0.35">
      <c r="B1" s="247" t="s">
        <v>179</v>
      </c>
      <c r="C1" s="247"/>
      <c r="D1" s="247"/>
      <c r="E1" s="151" t="s">
        <v>1349</v>
      </c>
      <c r="F1" s="151" t="str">
        <f>IF(ISERROR(FIND("&lt;please ", _xlfn.CONCAT(D3:D45))),"VALID","INVALID")</f>
        <v>INVALID</v>
      </c>
    </row>
    <row r="2" spans="2:6" ht="21.75" customHeight="1" x14ac:dyDescent="0.25"/>
    <row r="3" spans="2:6" ht="16.5" thickBot="1" x14ac:dyDescent="0.3">
      <c r="B3" s="8" t="s">
        <v>13</v>
      </c>
      <c r="C3" s="29" t="s">
        <v>1345</v>
      </c>
      <c r="D3" s="100" t="s">
        <v>180</v>
      </c>
    </row>
    <row r="4" spans="2:6" ht="16.5" thickBot="1" x14ac:dyDescent="0.3">
      <c r="B4" s="30" t="s">
        <v>181</v>
      </c>
      <c r="C4" s="24" t="s">
        <v>182</v>
      </c>
      <c r="D4" s="58" t="s">
        <v>183</v>
      </c>
    </row>
    <row r="5" spans="2:6" ht="16.5" thickBot="1" x14ac:dyDescent="0.3">
      <c r="B5" s="31" t="s">
        <v>184</v>
      </c>
      <c r="C5" s="28" t="s">
        <v>185</v>
      </c>
      <c r="D5" s="59" t="s">
        <v>183</v>
      </c>
    </row>
    <row r="6" spans="2:6" ht="16.5" thickBot="1" x14ac:dyDescent="0.3">
      <c r="B6" s="30" t="s">
        <v>186</v>
      </c>
      <c r="C6" s="24" t="s">
        <v>187</v>
      </c>
      <c r="D6" s="58" t="s">
        <v>183</v>
      </c>
    </row>
    <row r="7" spans="2:6" ht="16.5" thickBot="1" x14ac:dyDescent="0.3">
      <c r="B7" s="31" t="s">
        <v>188</v>
      </c>
      <c r="C7" s="28" t="s">
        <v>189</v>
      </c>
      <c r="D7" s="59" t="s">
        <v>183</v>
      </c>
    </row>
    <row r="8" spans="2:6" ht="16.5" thickBot="1" x14ac:dyDescent="0.3">
      <c r="B8" s="30" t="s">
        <v>190</v>
      </c>
      <c r="C8" s="24" t="s">
        <v>191</v>
      </c>
      <c r="D8" s="58" t="s">
        <v>183</v>
      </c>
    </row>
    <row r="9" spans="2:6" ht="16.5" thickBot="1" x14ac:dyDescent="0.3">
      <c r="B9" s="31" t="s">
        <v>192</v>
      </c>
      <c r="C9" s="28" t="s">
        <v>193</v>
      </c>
      <c r="D9" s="59" t="s">
        <v>183</v>
      </c>
    </row>
    <row r="10" spans="2:6" ht="16.5" thickBot="1" x14ac:dyDescent="0.3">
      <c r="B10" s="30" t="s">
        <v>194</v>
      </c>
      <c r="C10" s="156" t="s">
        <v>1354</v>
      </c>
      <c r="D10" s="58" t="s">
        <v>183</v>
      </c>
    </row>
    <row r="11" spans="2:6" ht="16.5" thickBot="1" x14ac:dyDescent="0.3">
      <c r="B11" s="31" t="s">
        <v>195</v>
      </c>
      <c r="C11" s="155" t="s">
        <v>1353</v>
      </c>
      <c r="D11" s="59" t="s">
        <v>183</v>
      </c>
    </row>
    <row r="12" spans="2:6" ht="16.5" thickBot="1" x14ac:dyDescent="0.3">
      <c r="B12" s="30" t="s">
        <v>196</v>
      </c>
      <c r="C12" s="24" t="s">
        <v>197</v>
      </c>
      <c r="D12" s="58" t="s">
        <v>183</v>
      </c>
    </row>
    <row r="13" spans="2:6" ht="16.5" thickBot="1" x14ac:dyDescent="0.3">
      <c r="B13" s="31" t="s">
        <v>198</v>
      </c>
      <c r="C13" s="28" t="s">
        <v>199</v>
      </c>
      <c r="D13" s="59" t="s">
        <v>183</v>
      </c>
    </row>
    <row r="14" spans="2:6" ht="16.5" thickBot="1" x14ac:dyDescent="0.3">
      <c r="B14" s="30" t="s">
        <v>200</v>
      </c>
      <c r="C14" s="24" t="s">
        <v>201</v>
      </c>
      <c r="D14" s="58" t="s">
        <v>183</v>
      </c>
    </row>
    <row r="15" spans="2:6" ht="16.5" thickBot="1" x14ac:dyDescent="0.3">
      <c r="B15" s="31" t="s">
        <v>202</v>
      </c>
      <c r="C15" s="28" t="s">
        <v>203</v>
      </c>
      <c r="D15" s="59" t="s">
        <v>183</v>
      </c>
    </row>
    <row r="16" spans="2:6" ht="16.5" thickBot="1" x14ac:dyDescent="0.3">
      <c r="B16" s="30" t="s">
        <v>204</v>
      </c>
      <c r="C16" s="24" t="s">
        <v>1351</v>
      </c>
      <c r="D16" s="58" t="s">
        <v>183</v>
      </c>
    </row>
    <row r="17" spans="2:5" ht="16.5" thickBot="1" x14ac:dyDescent="0.3">
      <c r="B17" s="31" t="s">
        <v>205</v>
      </c>
      <c r="C17" s="155" t="s">
        <v>1352</v>
      </c>
      <c r="D17" s="59" t="s">
        <v>183</v>
      </c>
    </row>
    <row r="18" spans="2:5" ht="16.5" thickBot="1" x14ac:dyDescent="0.3">
      <c r="B18" s="30" t="s">
        <v>206</v>
      </c>
      <c r="C18" s="156" t="s">
        <v>207</v>
      </c>
      <c r="D18" s="58" t="s">
        <v>1350</v>
      </c>
    </row>
    <row r="19" spans="2:5" ht="16.5" thickBot="1" x14ac:dyDescent="0.3">
      <c r="B19" s="31"/>
      <c r="C19" s="28"/>
      <c r="D19" s="59"/>
      <c r="E19" s="36"/>
    </row>
    <row r="20" spans="2:5" ht="16.5" thickBot="1" x14ac:dyDescent="0.3">
      <c r="B20" s="30"/>
      <c r="C20" s="24"/>
      <c r="D20" s="58"/>
    </row>
    <row r="21" spans="2:5" ht="16.5" thickBot="1" x14ac:dyDescent="0.3">
      <c r="B21" s="86" t="s">
        <v>13</v>
      </c>
      <c r="C21" s="84" t="s">
        <v>1344</v>
      </c>
      <c r="D21" s="100" t="s">
        <v>1180</v>
      </c>
    </row>
    <row r="22" spans="2:5" ht="16.5" thickBot="1" x14ac:dyDescent="0.3">
      <c r="B22" s="30" t="s">
        <v>208</v>
      </c>
      <c r="C22" s="24" t="s">
        <v>209</v>
      </c>
      <c r="D22" s="58" t="s">
        <v>1315</v>
      </c>
    </row>
    <row r="23" spans="2:5" ht="16.5" thickBot="1" x14ac:dyDescent="0.3">
      <c r="B23" s="31" t="s">
        <v>210</v>
      </c>
      <c r="C23" s="28" t="s">
        <v>211</v>
      </c>
      <c r="D23" s="59" t="s">
        <v>183</v>
      </c>
    </row>
    <row r="24" spans="2:5" ht="16.5" thickBot="1" x14ac:dyDescent="0.3">
      <c r="B24" s="30"/>
      <c r="C24" s="24"/>
      <c r="D24" s="121"/>
    </row>
    <row r="25" spans="2:5" ht="16.5" thickBot="1" x14ac:dyDescent="0.3">
      <c r="B25" s="86" t="s">
        <v>13</v>
      </c>
      <c r="C25" s="85" t="s">
        <v>1346</v>
      </c>
      <c r="D25" s="100" t="s">
        <v>1180</v>
      </c>
    </row>
    <row r="26" spans="2:5" ht="16.5" thickBot="1" x14ac:dyDescent="0.3">
      <c r="B26" s="30" t="s">
        <v>212</v>
      </c>
      <c r="C26" s="24" t="s">
        <v>213</v>
      </c>
      <c r="D26" s="58" t="s">
        <v>183</v>
      </c>
    </row>
    <row r="27" spans="2:5" ht="16.5" thickBot="1" x14ac:dyDescent="0.3">
      <c r="B27" s="31" t="s">
        <v>214</v>
      </c>
      <c r="C27" s="28" t="s">
        <v>215</v>
      </c>
      <c r="D27" s="59" t="s">
        <v>183</v>
      </c>
    </row>
    <row r="28" spans="2:5" ht="16.5" thickBot="1" x14ac:dyDescent="0.3">
      <c r="B28" s="30" t="s">
        <v>216</v>
      </c>
      <c r="C28" s="24" t="s">
        <v>217</v>
      </c>
      <c r="D28" s="58" t="s">
        <v>183</v>
      </c>
    </row>
    <row r="29" spans="2:5" ht="16.5" thickBot="1" x14ac:dyDescent="0.3">
      <c r="B29" s="31"/>
      <c r="C29" s="28"/>
      <c r="D29" s="129"/>
    </row>
    <row r="30" spans="2:5" ht="16.5" thickBot="1" x14ac:dyDescent="0.3">
      <c r="B30" s="130" t="s">
        <v>13</v>
      </c>
      <c r="C30" s="131" t="s">
        <v>116</v>
      </c>
      <c r="D30" s="135" t="s">
        <v>1180</v>
      </c>
    </row>
    <row r="31" spans="2:5" ht="16.5" thickBot="1" x14ac:dyDescent="0.3">
      <c r="B31" s="31" t="s">
        <v>218</v>
      </c>
      <c r="C31" s="28" t="s">
        <v>219</v>
      </c>
      <c r="D31" s="59" t="s">
        <v>183</v>
      </c>
    </row>
    <row r="32" spans="2:5" ht="16.5" thickBot="1" x14ac:dyDescent="0.3">
      <c r="B32" s="30" t="s">
        <v>220</v>
      </c>
      <c r="C32" s="24" t="s">
        <v>221</v>
      </c>
      <c r="D32" s="58" t="s">
        <v>183</v>
      </c>
    </row>
    <row r="33" spans="2:4" ht="16.5" thickBot="1" x14ac:dyDescent="0.3">
      <c r="B33" s="31"/>
      <c r="C33" s="28"/>
      <c r="D33" s="129"/>
    </row>
    <row r="34" spans="2:4" ht="16.5" thickBot="1" x14ac:dyDescent="0.3">
      <c r="B34" s="30"/>
      <c r="C34" s="24"/>
      <c r="D34" s="121"/>
    </row>
    <row r="35" spans="2:4" ht="16.5" thickBot="1" x14ac:dyDescent="0.3">
      <c r="B35" s="86" t="s">
        <v>13</v>
      </c>
      <c r="C35" s="84" t="s">
        <v>1347</v>
      </c>
      <c r="D35" s="100" t="s">
        <v>1180</v>
      </c>
    </row>
    <row r="36" spans="2:4" ht="16.5" thickBot="1" x14ac:dyDescent="0.3">
      <c r="B36" s="30" t="s">
        <v>222</v>
      </c>
      <c r="C36" s="24" t="s">
        <v>223</v>
      </c>
      <c r="D36" s="58" t="s">
        <v>1348</v>
      </c>
    </row>
    <row r="37" spans="2:4" ht="16.5" thickBot="1" x14ac:dyDescent="0.3">
      <c r="B37" s="31"/>
      <c r="C37" s="28"/>
      <c r="D37" s="129"/>
    </row>
    <row r="38" spans="2:4" ht="16.5" thickBot="1" x14ac:dyDescent="0.3">
      <c r="B38" s="130" t="s">
        <v>13</v>
      </c>
      <c r="C38" s="131" t="s">
        <v>125</v>
      </c>
      <c r="D38" s="135" t="s">
        <v>1180</v>
      </c>
    </row>
    <row r="39" spans="2:4" ht="16.5" thickBot="1" x14ac:dyDescent="0.3">
      <c r="B39" s="31" t="s">
        <v>224</v>
      </c>
      <c r="C39" s="28" t="s">
        <v>225</v>
      </c>
      <c r="D39" s="59" t="s">
        <v>183</v>
      </c>
    </row>
    <row r="40" spans="2:4" x14ac:dyDescent="0.25">
      <c r="B40" s="30" t="s">
        <v>226</v>
      </c>
      <c r="C40" s="24" t="s">
        <v>227</v>
      </c>
      <c r="D40" s="58" t="s">
        <v>183</v>
      </c>
    </row>
    <row r="41" spans="2:4" ht="16.5" thickBot="1" x14ac:dyDescent="0.3">
      <c r="B41" s="31"/>
      <c r="C41" s="28"/>
      <c r="D41" s="129"/>
    </row>
    <row r="42" spans="2:4" ht="16.5" thickBot="1" x14ac:dyDescent="0.3">
      <c r="B42" s="30"/>
      <c r="C42" s="24"/>
      <c r="D42" s="121"/>
    </row>
    <row r="43" spans="2:4" ht="16.5" thickBot="1" x14ac:dyDescent="0.3">
      <c r="B43" s="86" t="s">
        <v>13</v>
      </c>
      <c r="C43" s="84" t="s">
        <v>1355</v>
      </c>
      <c r="D43" s="100" t="s">
        <v>1180</v>
      </c>
    </row>
    <row r="44" spans="2:4" ht="16.5" thickBot="1" x14ac:dyDescent="0.3">
      <c r="B44" s="30" t="s">
        <v>228</v>
      </c>
      <c r="C44" s="24" t="s">
        <v>229</v>
      </c>
      <c r="D44" s="58" t="s">
        <v>183</v>
      </c>
    </row>
    <row r="45" spans="2:4" x14ac:dyDescent="0.25">
      <c r="B45" s="132"/>
      <c r="C45" s="133"/>
      <c r="D45" s="134"/>
    </row>
    <row r="46" spans="2:4" x14ac:dyDescent="0.25">
      <c r="B46" s="3"/>
      <c r="C46" s="3"/>
    </row>
    <row r="47" spans="2:4" x14ac:dyDescent="0.25">
      <c r="B47" s="3"/>
      <c r="C47" s="3"/>
    </row>
  </sheetData>
  <sheetProtection algorithmName="SHA-512" hashValue="zI9lbXXKSrHQnxwAMnQJ8wuPijaWOmyWAro3UicNxz+5QFltN4mjhnfTjJ0bngIMTPysMgH55laDPeTqLMgmig==" saltValue="NcqGh8ma52C7fwoQRd/btQ==" spinCount="100000" sheet="1" objects="1" scenarios="1"/>
  <mergeCells count="1">
    <mergeCell ref="B1:D1"/>
  </mergeCells>
  <conditionalFormatting sqref="F1">
    <cfRule type="cellIs" dxfId="5" priority="1" operator="equal">
      <formula>"INVALID"</formula>
    </cfRule>
    <cfRule type="cellIs" dxfId="4" priority="2" operator="equal">
      <formula>"VALID"</formula>
    </cfRule>
  </conditionalFormatting>
  <dataValidations count="2">
    <dataValidation type="whole" showInputMessage="1" showErrorMessage="1" errorTitle="Invalid value" error="The WebSocketPingInterval must be set to a value between 1 and 120 for certification to ensure a stable connection between your CS and the test tool (OCTT)" sqref="D19" xr:uid="{F79F6F86-BD89-064B-9BF9-EBD2D5813CA7}">
      <formula1>1</formula1>
      <formula2>120</formula2>
    </dataValidation>
    <dataValidation type="whole" operator="greaterThanOrEqual" showInputMessage="1" showErrorMessage="1" sqref="D4:D18" xr:uid="{D026B649-786A-4245-9395-6E1C4B4BCEE3}">
      <formula1>0</formula1>
    </dataValidation>
  </dataValidations>
  <pageMargins left="0.7" right="0.7" top="0.75" bottom="0.75" header="0.3" footer="0.3"/>
  <pageSetup paperSize="9" orientation="portrait" r:id="rId1"/>
  <headerFooter>
    <oddFooter>&amp;C_x000D_&amp;1#&amp;"Arial"&amp;9&amp;K000000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2F45A-58F3-457E-83B1-6C789C58C5DA}">
  <dimension ref="B2:D28"/>
  <sheetViews>
    <sheetView showGridLines="0" workbookViewId="0">
      <selection activeCell="B6" sqref="B6"/>
    </sheetView>
  </sheetViews>
  <sheetFormatPr defaultColWidth="18.125" defaultRowHeight="15.75" x14ac:dyDescent="0.25"/>
  <cols>
    <col min="1" max="1" width="14.875" customWidth="1"/>
    <col min="2" max="2" width="24.625" customWidth="1"/>
    <col min="3" max="3" width="69.125" customWidth="1"/>
    <col min="4" max="4" width="56.625" customWidth="1"/>
  </cols>
  <sheetData>
    <row r="2" spans="2:4" ht="61.5" customHeight="1" x14ac:dyDescent="0.25">
      <c r="B2" s="252" t="s">
        <v>1292</v>
      </c>
      <c r="C2" s="252"/>
    </row>
    <row r="3" spans="2:4" ht="37.5" customHeight="1" x14ac:dyDescent="0.25">
      <c r="B3" s="253" t="s">
        <v>1319</v>
      </c>
      <c r="C3" s="253"/>
      <c r="D3" s="253"/>
    </row>
    <row r="4" spans="2:4" x14ac:dyDescent="0.25">
      <c r="B4" s="3"/>
    </row>
    <row r="5" spans="2:4" ht="16.5" thickBot="1" x14ac:dyDescent="0.3">
      <c r="B5" s="8" t="s">
        <v>1293</v>
      </c>
      <c r="C5" s="29" t="s">
        <v>1294</v>
      </c>
      <c r="D5" s="100" t="s">
        <v>142</v>
      </c>
    </row>
    <row r="6" spans="2:4" ht="16.5" thickBot="1" x14ac:dyDescent="0.3">
      <c r="B6" s="178" t="s">
        <v>1295</v>
      </c>
      <c r="C6" s="179" t="s">
        <v>1295</v>
      </c>
      <c r="D6" s="180" t="s">
        <v>1295</v>
      </c>
    </row>
    <row r="7" spans="2:4" ht="16.5" thickBot="1" x14ac:dyDescent="0.3">
      <c r="B7" s="127" t="s">
        <v>1315</v>
      </c>
      <c r="C7" s="128" t="s">
        <v>1318</v>
      </c>
      <c r="D7" s="59" t="s">
        <v>1315</v>
      </c>
    </row>
    <row r="8" spans="2:4" ht="16.5" thickBot="1" x14ac:dyDescent="0.3">
      <c r="B8" s="178" t="s">
        <v>1295</v>
      </c>
      <c r="C8" s="179" t="s">
        <v>1295</v>
      </c>
      <c r="D8" s="180" t="s">
        <v>1295</v>
      </c>
    </row>
    <row r="9" spans="2:4" ht="16.5" thickBot="1" x14ac:dyDescent="0.3">
      <c r="B9" s="127" t="s">
        <v>1315</v>
      </c>
      <c r="C9" s="128" t="s">
        <v>1318</v>
      </c>
      <c r="D9" s="59" t="s">
        <v>1315</v>
      </c>
    </row>
    <row r="10" spans="2:4" ht="16.5" thickBot="1" x14ac:dyDescent="0.3">
      <c r="B10" s="178" t="s">
        <v>1295</v>
      </c>
      <c r="C10" s="179" t="s">
        <v>1295</v>
      </c>
      <c r="D10" s="180" t="s">
        <v>1295</v>
      </c>
    </row>
    <row r="11" spans="2:4" ht="16.5" thickBot="1" x14ac:dyDescent="0.3">
      <c r="B11" s="127" t="s">
        <v>1315</v>
      </c>
      <c r="C11" s="128" t="s">
        <v>1318</v>
      </c>
      <c r="D11" s="59" t="s">
        <v>1315</v>
      </c>
    </row>
    <row r="12" spans="2:4" ht="16.5" thickBot="1" x14ac:dyDescent="0.3">
      <c r="B12" s="178" t="s">
        <v>1295</v>
      </c>
      <c r="C12" s="179" t="s">
        <v>1295</v>
      </c>
      <c r="D12" s="180" t="s">
        <v>1295</v>
      </c>
    </row>
    <row r="13" spans="2:4" ht="16.5" thickBot="1" x14ac:dyDescent="0.3">
      <c r="B13" s="127" t="s">
        <v>1315</v>
      </c>
      <c r="C13" s="128" t="s">
        <v>1318</v>
      </c>
      <c r="D13" s="59" t="s">
        <v>1315</v>
      </c>
    </row>
    <row r="14" spans="2:4" ht="16.5" thickBot="1" x14ac:dyDescent="0.3">
      <c r="B14" s="178" t="s">
        <v>1295</v>
      </c>
      <c r="C14" s="179" t="s">
        <v>1295</v>
      </c>
      <c r="D14" s="180" t="s">
        <v>1295</v>
      </c>
    </row>
    <row r="15" spans="2:4" ht="16.5" thickBot="1" x14ac:dyDescent="0.3">
      <c r="B15" s="127" t="s">
        <v>1315</v>
      </c>
      <c r="C15" s="128" t="s">
        <v>1318</v>
      </c>
      <c r="D15" s="59" t="s">
        <v>1315</v>
      </c>
    </row>
    <row r="16" spans="2:4" ht="16.5" thickBot="1" x14ac:dyDescent="0.3">
      <c r="B16" s="178" t="s">
        <v>1295</v>
      </c>
      <c r="C16" s="179" t="s">
        <v>1295</v>
      </c>
      <c r="D16" s="180" t="s">
        <v>1295</v>
      </c>
    </row>
    <row r="17" spans="2:4" ht="16.5" thickBot="1" x14ac:dyDescent="0.3">
      <c r="B17" s="127" t="s">
        <v>1315</v>
      </c>
      <c r="C17" s="128" t="s">
        <v>1318</v>
      </c>
      <c r="D17" s="59" t="s">
        <v>1315</v>
      </c>
    </row>
    <row r="18" spans="2:4" ht="16.5" thickBot="1" x14ac:dyDescent="0.3">
      <c r="B18" s="178" t="s">
        <v>1295</v>
      </c>
      <c r="C18" s="179" t="s">
        <v>1295</v>
      </c>
      <c r="D18" s="180" t="s">
        <v>1295</v>
      </c>
    </row>
    <row r="19" spans="2:4" ht="16.5" thickBot="1" x14ac:dyDescent="0.3">
      <c r="B19" s="127" t="s">
        <v>1315</v>
      </c>
      <c r="C19" s="128" t="s">
        <v>1318</v>
      </c>
      <c r="D19" s="59" t="s">
        <v>1315</v>
      </c>
    </row>
    <row r="20" spans="2:4" ht="16.5" thickBot="1" x14ac:dyDescent="0.3">
      <c r="B20" s="178" t="s">
        <v>1295</v>
      </c>
      <c r="C20" s="179" t="s">
        <v>1295</v>
      </c>
      <c r="D20" s="180" t="s">
        <v>1295</v>
      </c>
    </row>
    <row r="21" spans="2:4" ht="16.5" thickBot="1" x14ac:dyDescent="0.3">
      <c r="B21" s="127" t="s">
        <v>1315</v>
      </c>
      <c r="C21" s="128" t="s">
        <v>1318</v>
      </c>
      <c r="D21" s="59" t="s">
        <v>1315</v>
      </c>
    </row>
    <row r="22" spans="2:4" ht="16.5" thickBot="1" x14ac:dyDescent="0.3">
      <c r="B22" s="178" t="s">
        <v>1295</v>
      </c>
      <c r="C22" s="179" t="s">
        <v>1295</v>
      </c>
      <c r="D22" s="180" t="s">
        <v>1295</v>
      </c>
    </row>
    <row r="23" spans="2:4" ht="16.5" thickBot="1" x14ac:dyDescent="0.3">
      <c r="B23" s="127" t="s">
        <v>1315</v>
      </c>
      <c r="C23" s="128" t="s">
        <v>1318</v>
      </c>
      <c r="D23" s="59" t="s">
        <v>1315</v>
      </c>
    </row>
    <row r="24" spans="2:4" ht="16.5" thickBot="1" x14ac:dyDescent="0.3">
      <c r="B24" s="178" t="s">
        <v>1295</v>
      </c>
      <c r="C24" s="179" t="s">
        <v>1295</v>
      </c>
      <c r="D24" s="180" t="s">
        <v>1295</v>
      </c>
    </row>
    <row r="25" spans="2:4" ht="16.5" thickBot="1" x14ac:dyDescent="0.3">
      <c r="B25" s="127" t="s">
        <v>1315</v>
      </c>
      <c r="C25" s="128" t="s">
        <v>1318</v>
      </c>
      <c r="D25" s="59" t="s">
        <v>1315</v>
      </c>
    </row>
    <row r="26" spans="2:4" ht="16.5" thickBot="1" x14ac:dyDescent="0.3">
      <c r="B26" s="178" t="s">
        <v>1295</v>
      </c>
      <c r="C26" s="179" t="s">
        <v>1295</v>
      </c>
      <c r="D26" s="180" t="s">
        <v>1295</v>
      </c>
    </row>
    <row r="27" spans="2:4" ht="16.5" thickBot="1" x14ac:dyDescent="0.3">
      <c r="B27" s="127" t="s">
        <v>1315</v>
      </c>
      <c r="C27" s="128" t="s">
        <v>1318</v>
      </c>
      <c r="D27" s="59" t="s">
        <v>1315</v>
      </c>
    </row>
    <row r="28" spans="2:4" ht="16.5" thickBot="1" x14ac:dyDescent="0.3">
      <c r="B28" s="178" t="s">
        <v>1295</v>
      </c>
      <c r="C28" s="179" t="s">
        <v>1295</v>
      </c>
      <c r="D28" s="180" t="s">
        <v>1295</v>
      </c>
    </row>
  </sheetData>
  <sheetProtection algorithmName="SHA-512" hashValue="A6beDsf6stxWPZl/m4jTQV31bWsd/iz3DgqqQ6f4izK7wbmid2xJCHcelJaP4AUq5Pt31NR2v7Hsinr99URzDQ==" saltValue="7W1D8SI3092Pw0WafTQgoQ==" spinCount="100000" sheet="1" formatCells="0" formatColumns="0" formatRows="0"/>
  <mergeCells count="2">
    <mergeCell ref="B2:C2"/>
    <mergeCell ref="B3:D3"/>
  </mergeCells>
  <pageMargins left="0.7" right="0.7" top="0.75" bottom="0.75" header="0.3" footer="0.3"/>
  <pageSetup paperSize="9" orientation="portrait" r:id="rId1"/>
  <headerFooter>
    <oddFooter>&amp;C_x000D_&amp;1#&amp;"Arial"&amp;9&amp;K000000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A5F02-67F7-AC4D-A0FB-E39ED9F19490}">
  <dimension ref="A1:B1"/>
  <sheetViews>
    <sheetView workbookViewId="0"/>
  </sheetViews>
  <sheetFormatPr defaultColWidth="11" defaultRowHeight="15.75" x14ac:dyDescent="0.25"/>
  <cols>
    <col min="1" max="1" width="2.625" bestFit="1" customWidth="1"/>
    <col min="2" max="2" width="5.875" bestFit="1" customWidth="1"/>
  </cols>
  <sheetData>
    <row r="1" spans="1:2" x14ac:dyDescent="0.25">
      <c r="A1" t="s">
        <v>13</v>
      </c>
      <c r="B1" t="s">
        <v>1180</v>
      </c>
    </row>
  </sheetData>
  <pageMargins left="0.7" right="0.7" top="0.75" bottom="0.75" header="0.3" footer="0.3"/>
  <headerFooter>
    <oddFooter>&amp;C_x000D_&amp;1#&amp;"Arial"&amp;9&amp;K000000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B28C4-7E74-4806-B40A-5D1EC3B15708}">
  <dimension ref="B1:I22"/>
  <sheetViews>
    <sheetView showGridLines="0" topLeftCell="B1" zoomScaleNormal="100" workbookViewId="0">
      <selection activeCell="C4" sqref="C4"/>
    </sheetView>
  </sheetViews>
  <sheetFormatPr defaultColWidth="28.375" defaultRowHeight="15.75" x14ac:dyDescent="0.25"/>
  <cols>
    <col min="1" max="1" width="14.875" customWidth="1"/>
    <col min="2" max="2" width="51.625" customWidth="1"/>
    <col min="3" max="5" width="19.125" customWidth="1"/>
    <col min="7" max="7" width="32.125" customWidth="1"/>
    <col min="8" max="8" width="35" bestFit="1" customWidth="1"/>
  </cols>
  <sheetData>
    <row r="1" spans="2:9" ht="73.5" customHeight="1" x14ac:dyDescent="0.25">
      <c r="B1" s="255" t="s">
        <v>242</v>
      </c>
      <c r="C1" s="255"/>
      <c r="D1" s="255"/>
      <c r="H1" s="151" t="s">
        <v>1366</v>
      </c>
      <c r="I1" s="151" t="str">
        <f>IF(AND(ISERROR(FIND("&lt;",_xlfn.CONCAT(C4:C7))),_xlfn.CONCAT(H3:H7)=""),"VALID","INVALID")</f>
        <v>INVALID</v>
      </c>
    </row>
    <row r="2" spans="2:9" ht="26.25" customHeight="1" x14ac:dyDescent="0.25">
      <c r="B2" s="94" t="s">
        <v>1282</v>
      </c>
      <c r="C2" s="93"/>
    </row>
    <row r="3" spans="2:9" ht="21" customHeight="1" thickBot="1" x14ac:dyDescent="0.3">
      <c r="B3" s="92" t="s">
        <v>243</v>
      </c>
      <c r="C3" s="125" t="s">
        <v>1280</v>
      </c>
      <c r="D3" s="6" t="s">
        <v>244</v>
      </c>
      <c r="E3" s="256" t="s">
        <v>245</v>
      </c>
      <c r="F3" s="256"/>
      <c r="G3" s="256"/>
    </row>
    <row r="4" spans="2:9" ht="50.1" customHeight="1" thickBot="1" x14ac:dyDescent="0.3">
      <c r="B4" s="95" t="s">
        <v>248</v>
      </c>
      <c r="C4" s="215" t="s">
        <v>1316</v>
      </c>
      <c r="D4" s="96" t="s">
        <v>246</v>
      </c>
      <c r="E4" s="260" t="s">
        <v>1279</v>
      </c>
      <c r="F4" s="261"/>
      <c r="G4" s="262"/>
      <c r="H4" s="157" t="str">
        <f>IF(ISBLANK(C4),"&lt;---- This field cannot be left empty!","")</f>
        <v/>
      </c>
    </row>
    <row r="5" spans="2:9" ht="59.1" customHeight="1" thickBot="1" x14ac:dyDescent="0.3">
      <c r="B5" s="97" t="s">
        <v>247</v>
      </c>
      <c r="C5" s="216" t="s">
        <v>1316</v>
      </c>
      <c r="D5" s="98" t="s">
        <v>246</v>
      </c>
      <c r="E5" s="263" t="s">
        <v>1369</v>
      </c>
      <c r="F5" s="264"/>
      <c r="G5" s="265"/>
      <c r="H5" s="157" t="str">
        <f>IF(ISBLANK(C5),"&lt;---- This field cannot be left empty!","")</f>
        <v/>
      </c>
    </row>
    <row r="6" spans="2:9" ht="77.099999999999994" customHeight="1" thickBot="1" x14ac:dyDescent="0.3">
      <c r="B6" s="95" t="s">
        <v>1306</v>
      </c>
      <c r="C6" s="215" t="s">
        <v>1316</v>
      </c>
      <c r="D6" s="96" t="s">
        <v>246</v>
      </c>
      <c r="E6" s="260" t="s">
        <v>1371</v>
      </c>
      <c r="F6" s="261"/>
      <c r="G6" s="262"/>
      <c r="H6" s="157" t="str">
        <f>IF(ISBLANK(C6),"&lt;---- This field cannot be left empty!","")</f>
        <v/>
      </c>
    </row>
    <row r="7" spans="2:9" ht="89.1" customHeight="1" thickBot="1" x14ac:dyDescent="0.3">
      <c r="B7" s="152" t="s">
        <v>1307</v>
      </c>
      <c r="C7" s="216" t="s">
        <v>1316</v>
      </c>
      <c r="D7" s="154" t="s">
        <v>246</v>
      </c>
      <c r="E7" s="257" t="s">
        <v>1370</v>
      </c>
      <c r="F7" s="258"/>
      <c r="G7" s="259"/>
      <c r="H7" s="157" t="str">
        <f>IF(ISBLANK(C7),"&lt;---- This field cannot be left empty!","")</f>
        <v/>
      </c>
    </row>
    <row r="8" spans="2:9" ht="26.25" customHeight="1" x14ac:dyDescent="0.25">
      <c r="B8" s="3"/>
      <c r="C8" s="53"/>
    </row>
    <row r="9" spans="2:9" ht="21.75" customHeight="1" x14ac:dyDescent="0.25">
      <c r="B9" s="254" t="s">
        <v>1317</v>
      </c>
      <c r="C9" s="254"/>
      <c r="D9" s="254"/>
      <c r="E9" s="254"/>
      <c r="F9" s="254"/>
    </row>
    <row r="10" spans="2:9" ht="42.75" customHeight="1" thickBot="1" x14ac:dyDescent="0.3">
      <c r="B10" s="5" t="s">
        <v>243</v>
      </c>
      <c r="C10" s="126" t="s">
        <v>1281</v>
      </c>
      <c r="D10" s="126" t="s">
        <v>1280</v>
      </c>
      <c r="E10" s="126" t="s">
        <v>1297</v>
      </c>
      <c r="F10" s="6" t="s">
        <v>244</v>
      </c>
    </row>
    <row r="11" spans="2:9" ht="34.5" customHeight="1" thickBot="1" x14ac:dyDescent="0.3">
      <c r="B11" s="95" t="s">
        <v>248</v>
      </c>
      <c r="C11" s="184" t="str">
        <f>IFERROR(VLOOKUP("perf_Overall_min",'HIDDEN Testrun Results'!$A:$B,2,FALSE),"&lt;min.  measurement&gt;")</f>
        <v>&lt;min.  measurement&gt;</v>
      </c>
      <c r="D11" s="184" t="str">
        <f>IFERROR(VLOOKUP("perf_Overall_max",'HIDDEN Testrun Results'!$A:$B,2,FALSE),"&lt;max.  measurement&gt;")</f>
        <v>&lt;max.  measurement&gt;</v>
      </c>
      <c r="E11" s="184" t="str">
        <f>IFERROR(VLOOKUP("perf_Overall_avg",'HIDDEN Testrun Results'!$A:$B,2,FALSE),"&lt;avg.  measurement&gt;")</f>
        <v>&lt;avg.  measurement&gt;</v>
      </c>
      <c r="F11" s="122" t="s">
        <v>246</v>
      </c>
    </row>
    <row r="12" spans="2:9" ht="34.5" customHeight="1" thickBot="1" x14ac:dyDescent="0.3">
      <c r="B12" s="97" t="s">
        <v>247</v>
      </c>
      <c r="C12" s="185" t="str">
        <f>IFERROR(VLOOKUP("perf_Asynchronous_min",'HIDDEN Testrun Results'!$A:$B,2,FALSE),"&lt;min.  measurement&gt;")</f>
        <v>&lt;min.  measurement&gt;</v>
      </c>
      <c r="D12" s="185" t="str">
        <f>IFERROR(VLOOKUP("perf_Asynchronous_max",'HIDDEN Testrun Results'!$A:$B,2,FALSE),"&lt;max.  measurement&gt;")</f>
        <v>&lt;max.  measurement&gt;</v>
      </c>
      <c r="E12" s="185" t="str">
        <f>IFERROR(VLOOKUP("perf_Asynchronous_avg",'HIDDEN Testrun Results'!$A:$B,2,FALSE),"&lt;avg.  measurement&gt;")</f>
        <v>&lt;avg.  measurement&gt;</v>
      </c>
      <c r="F12" s="123" t="s">
        <v>246</v>
      </c>
    </row>
    <row r="13" spans="2:9" ht="34.5" customHeight="1" thickBot="1" x14ac:dyDescent="0.3">
      <c r="B13" s="113" t="s">
        <v>1306</v>
      </c>
      <c r="C13" s="184" t="str">
        <f>IFERROR(VLOOKUP("perf_RequestStartTransaction - TransactionEvent_min",'HIDDEN Testrun Results'!$A:$B,2,FALSE),"&lt;min.  measurement&gt;")</f>
        <v>&lt;min.  measurement&gt;</v>
      </c>
      <c r="D13" s="184" t="str">
        <f>IFERROR(VLOOKUP("perf_RequestStartTransaction - TransactionEvent_max",'HIDDEN Testrun Results'!$A:$B,2,FALSE),"&lt;max.  measurement&gt;")</f>
        <v>&lt;max.  measurement&gt;</v>
      </c>
      <c r="E13" s="184" t="str">
        <f>IFERROR(VLOOKUP("perf_RequestStartTransaction - TransactionEvent_avg",'HIDDEN Testrun Results'!$A:$B,2,FALSE),"&lt;avg.  measurement&gt;")</f>
        <v>&lt;avg.  measurement&gt;</v>
      </c>
      <c r="F13" s="124" t="s">
        <v>246</v>
      </c>
    </row>
    <row r="14" spans="2:9" ht="30.75" thickBot="1" x14ac:dyDescent="0.3">
      <c r="B14" s="152" t="s">
        <v>1307</v>
      </c>
      <c r="C14" s="185" t="str">
        <f>IFERROR(VLOOKUP("perf_RequestStopTransaction - TransactionEvent_min",'HIDDEN Testrun Results'!$A:$B,2,FALSE),"&lt;min.  measurement&gt;")</f>
        <v>&lt;min.  measurement&gt;</v>
      </c>
      <c r="D14" s="185" t="str">
        <f>IFERROR(VLOOKUP("perf_RequestStopTransaction - TransactionEvent_max",'HIDDEN Testrun Results'!$A:$B,2,FALSE),"&lt;max.  measurement&gt;")</f>
        <v>&lt;max.  measurement&gt;</v>
      </c>
      <c r="E14" s="185" t="str">
        <f>IFERROR(VLOOKUP("perf_RequestStopTransaction - TransactionEvent_avg",'HIDDEN Testrun Results'!$A:$B,2,FALSE),"&lt;avg.  measurement&gt;")</f>
        <v>&lt;avg.  measurement&gt;</v>
      </c>
      <c r="F14" s="153" t="s">
        <v>246</v>
      </c>
    </row>
    <row r="15" spans="2:9" x14ac:dyDescent="0.25">
      <c r="B15" s="3"/>
      <c r="C15" s="53"/>
    </row>
    <row r="16" spans="2:9" ht="30" x14ac:dyDescent="0.25">
      <c r="B16" s="7" t="s">
        <v>1283</v>
      </c>
      <c r="C16" s="136" t="s">
        <v>1322</v>
      </c>
    </row>
    <row r="17" spans="2:3" ht="27" customHeight="1" x14ac:dyDescent="0.25">
      <c r="B17" s="3"/>
      <c r="C17" s="53"/>
    </row>
    <row r="18" spans="2:3" ht="57" x14ac:dyDescent="0.25">
      <c r="B18" s="3" t="s">
        <v>249</v>
      </c>
      <c r="C18" s="53"/>
    </row>
    <row r="22" spans="2:3" x14ac:dyDescent="0.25">
      <c r="B22" s="3"/>
    </row>
  </sheetData>
  <sheetProtection algorithmName="SHA-512" hashValue="oi6zTm66IcD7Q4LtZycBzMzMWwvvlisDbVNNVCHVC9COpElDY1TPJXWYvlSpsjJ2M9dtiN9l65XQYdDUHQ3VqA==" saltValue="Pag+EHY1SwjC1HizXXHhBA==" spinCount="100000" sheet="1" objects="1" scenarios="1"/>
  <mergeCells count="7">
    <mergeCell ref="B9:F9"/>
    <mergeCell ref="B1:D1"/>
    <mergeCell ref="E3:G3"/>
    <mergeCell ref="E7:G7"/>
    <mergeCell ref="E4:G4"/>
    <mergeCell ref="E5:G5"/>
    <mergeCell ref="E6:G6"/>
  </mergeCells>
  <conditionalFormatting sqref="I1">
    <cfRule type="cellIs" dxfId="3" priority="1" operator="equal">
      <formula>"INVALID"</formula>
    </cfRule>
    <cfRule type="cellIs" dxfId="2" priority="2" operator="equal">
      <formula>"VALID"</formula>
    </cfRule>
  </conditionalFormatting>
  <dataValidations count="2">
    <dataValidation type="list" allowBlank="1" showInputMessage="1" showErrorMessage="1" sqref="C16" xr:uid="{5F8E7F0C-E62C-3540-9771-B463AFAE868A}">
      <formula1>"WiFi,Ethernet,Mobile Network"</formula1>
    </dataValidation>
    <dataValidation type="decimal" operator="greaterThan" allowBlank="1" showInputMessage="1" showErrorMessage="1" sqref="C4:C7" xr:uid="{96C75459-C242-1D4B-8962-9C7D7CC95106}">
      <formula1>0</formula1>
    </dataValidation>
  </dataValidations>
  <pageMargins left="0.7" right="0.7" top="0.75" bottom="0.75" header="0.3" footer="0.3"/>
  <pageSetup paperSize="9" orientation="portrait" r:id="rId1"/>
  <headerFooter>
    <oddFooter>&amp;C_x000D_&amp;1#&amp;"Arial"&amp;9&amp;K000000 Internal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c0df782-0713-43be-b8d1-e2ff849827a7" xsi:nil="true"/>
    <lcf76f155ced4ddcb4097134ff3c332f xmlns="4d8613b4-e81d-4525-b3bf-245aa758d49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81D62FE54BF1D49A4E2FF9B597CC145" ma:contentTypeVersion="16" ma:contentTypeDescription="Een nieuw document maken." ma:contentTypeScope="" ma:versionID="1f8b24117face3f15985504c530e0944">
  <xsd:schema xmlns:xsd="http://www.w3.org/2001/XMLSchema" xmlns:xs="http://www.w3.org/2001/XMLSchema" xmlns:p="http://schemas.microsoft.com/office/2006/metadata/properties" xmlns:ns2="4d8613b4-e81d-4525-b3bf-245aa758d498" xmlns:ns3="4c0df782-0713-43be-b8d1-e2ff849827a7" targetNamespace="http://schemas.microsoft.com/office/2006/metadata/properties" ma:root="true" ma:fieldsID="9dd2f6231fa2505e99cb1c0f558a04e0" ns2:_="" ns3:_="">
    <xsd:import namespace="4d8613b4-e81d-4525-b3bf-245aa758d498"/>
    <xsd:import namespace="4c0df782-0713-43be-b8d1-e2ff849827a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LengthInSeconds"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8613b4-e81d-4525-b3bf-245aa758d4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88de567b-8e6c-4af0-ad3d-8df73b5d25c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c0df782-0713-43be-b8d1-e2ff849827a7" elementFormDefault="qualified">
    <xsd:import namespace="http://schemas.microsoft.com/office/2006/documentManagement/types"/>
    <xsd:import namespace="http://schemas.microsoft.com/office/infopath/2007/PartnerControls"/>
    <xsd:element name="SharedWithUsers" ma:index="19"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Gedeeld met details" ma:internalName="SharedWithDetails" ma:readOnly="true">
      <xsd:simpleType>
        <xsd:restriction base="dms:Note">
          <xsd:maxLength value="255"/>
        </xsd:restriction>
      </xsd:simpleType>
    </xsd:element>
    <xsd:element name="TaxCatchAll" ma:index="23" nillable="true" ma:displayName="Taxonomy Catch All Column" ma:hidden="true" ma:list="{3cec4785-7953-43cd-b88d-f7a19bc64697}" ma:internalName="TaxCatchAll" ma:showField="CatchAllData" ma:web="4c0df782-0713-43be-b8d1-e2ff849827a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E41E37-E4D8-4D58-87C7-704F401B18C5}">
  <ds:schemaRefs>
    <ds:schemaRef ds:uri="http://schemas.microsoft.com/office/2006/documentManagement/types"/>
    <ds:schemaRef ds:uri="http://purl.org/dc/dcmitype/"/>
    <ds:schemaRef ds:uri="4d8613b4-e81d-4525-b3bf-245aa758d498"/>
    <ds:schemaRef ds:uri="http://schemas.openxmlformats.org/package/2006/metadata/core-properties"/>
    <ds:schemaRef ds:uri="http://purl.org/dc/elements/1.1/"/>
    <ds:schemaRef ds:uri="http://schemas.microsoft.com/office/2006/metadata/properties"/>
    <ds:schemaRef ds:uri="http://purl.org/dc/terms/"/>
    <ds:schemaRef ds:uri="http://schemas.microsoft.com/office/infopath/2007/PartnerControls"/>
    <ds:schemaRef ds:uri="4c0df782-0713-43be-b8d1-e2ff849827a7"/>
    <ds:schemaRef ds:uri="http://www.w3.org/XML/1998/namespace"/>
  </ds:schemaRefs>
</ds:datastoreItem>
</file>

<file path=customXml/itemProps2.xml><?xml version="1.0" encoding="utf-8"?>
<ds:datastoreItem xmlns:ds="http://schemas.openxmlformats.org/officeDocument/2006/customXml" ds:itemID="{529F2A46-E0C0-4240-968F-3A29C80244F4}">
  <ds:schemaRefs>
    <ds:schemaRef ds:uri="http://schemas.microsoft.com/sharepoint/v3/contenttype/forms"/>
  </ds:schemaRefs>
</ds:datastoreItem>
</file>

<file path=customXml/itemProps3.xml><?xml version="1.0" encoding="utf-8"?>
<ds:datastoreItem xmlns:ds="http://schemas.openxmlformats.org/officeDocument/2006/customXml" ds:itemID="{4B181CE2-DB0E-4720-AFA9-6EF8293AEA44}">
  <ds:schemaRefs>
    <ds:schemaRef ds:uri="http://schemas.microsoft.com/office/2006/metadata/contentType"/>
    <ds:schemaRef ds:uri="http://schemas.microsoft.com/office/2006/metadata/properties/metaAttributes"/>
    <ds:schemaRef ds:uri="http://www.w3.org/2000/xmlns/"/>
    <ds:schemaRef ds:uri="http://www.w3.org/2001/XMLSchema"/>
    <ds:schemaRef ds:uri="4d8613b4-e81d-4525-b3bf-245aa758d498"/>
    <ds:schemaRef ds:uri="4c0df782-0713-43be-b8d1-e2ff849827a7"/>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4af293e6-3850-4258-b2c7-0aa0e3bfa7d9}" enabled="1" method="Privileged" siteId="{b9fec68c-c92d-461e-9a97-3d03a0f18b82}" contentBits="3"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35</vt:i4>
      </vt:variant>
    </vt:vector>
  </HeadingPairs>
  <TitlesOfParts>
    <vt:vector size="50" baseType="lpstr">
      <vt:lpstr>Explanation</vt:lpstr>
      <vt:lpstr>Hardware Feature set</vt:lpstr>
      <vt:lpstr>Profile selection</vt:lpstr>
      <vt:lpstr>Optional features</vt:lpstr>
      <vt:lpstr>Additional questions</vt:lpstr>
      <vt:lpstr>Other relevant settings</vt:lpstr>
      <vt:lpstr>Vendor Specific Settings</vt:lpstr>
      <vt:lpstr>HIDDEN Testrun Results</vt:lpstr>
      <vt:lpstr>Performance Measurement</vt:lpstr>
      <vt:lpstr>Charging Station Testcases</vt:lpstr>
      <vt:lpstr>Statement of Approval</vt:lpstr>
      <vt:lpstr>HIDDEN calc sheet</vt:lpstr>
      <vt:lpstr>HIDDEN features</vt:lpstr>
      <vt:lpstr>HIDDEN import</vt:lpstr>
      <vt:lpstr>MD</vt:lpstr>
      <vt:lpstr>Additional_questions</vt:lpstr>
      <vt:lpstr>Authorization_options_for_local_start</vt:lpstr>
      <vt:lpstr>Authorization_options_for_remote_start</vt:lpstr>
      <vt:lpstr>Cipher_Suites</vt:lpstr>
      <vt:lpstr>Communication_technology</vt:lpstr>
      <vt:lpstr>CP_Advanced_Device_Management</vt:lpstr>
      <vt:lpstr>CP_Advanced_Security</vt:lpstr>
      <vt:lpstr>CP_Advanced_User_Interface</vt:lpstr>
      <vt:lpstr>CP_CORE</vt:lpstr>
      <vt:lpstr>CP_CORE_2</vt:lpstr>
      <vt:lpstr>CP_ISO15118_Support</vt:lpstr>
      <vt:lpstr>CP_Local_Authorization_List_Management</vt:lpstr>
      <vt:lpstr>CP_Reservation</vt:lpstr>
      <vt:lpstr>CP_Smart_Charging</vt:lpstr>
      <vt:lpstr>Device_info</vt:lpstr>
      <vt:lpstr>DUT_photo</vt:lpstr>
      <vt:lpstr>EVSE_list</vt:lpstr>
      <vt:lpstr>Hardware_feature_set</vt:lpstr>
      <vt:lpstr>Measured_performance</vt:lpstr>
      <vt:lpstr>Metervalues</vt:lpstr>
      <vt:lpstr>OCPP_201_Certification</vt:lpstr>
      <vt:lpstr>Other_relevant_settings</vt:lpstr>
      <vt:lpstr>Performance_measurement</vt:lpstr>
      <vt:lpstr>Performed_On</vt:lpstr>
      <vt:lpstr>Profile_Selection</vt:lpstr>
      <vt:lpstr>Test_laboratory</vt:lpstr>
      <vt:lpstr>Test_laboratory_signature</vt:lpstr>
      <vt:lpstr>Test_laboratory_signature_image</vt:lpstr>
      <vt:lpstr>Test_Location</vt:lpstr>
      <vt:lpstr>Test_Report_Reference</vt:lpstr>
      <vt:lpstr>'HIDDEN Testrun Results'!testresults</vt:lpstr>
      <vt:lpstr>Vendor</vt:lpstr>
      <vt:lpstr>Vendor_signature</vt:lpstr>
      <vt:lpstr>Vendor_signature_image</vt:lpstr>
      <vt:lpstr>Vendor_Specific_Settings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OCPP 2.0.1. PICS CS</dc:title>
  <dc:subject>OCPP 2.0.1 Protocol Implementation Confirmance Statement for Charging Stations</dc:subject>
  <dc:creator>Open Charge Alliance</dc:creator>
  <cp:keywords/>
  <dc:description/>
  <cp:lastModifiedBy>Klapwijk, Paul</cp:lastModifiedBy>
  <cp:revision/>
  <dcterms:created xsi:type="dcterms:W3CDTF">2023-01-12T22:50:24Z</dcterms:created>
  <dcterms:modified xsi:type="dcterms:W3CDTF">2024-09-26T07:55:09Z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0x010100381D62FE54BF1D49A4E2FF9B597CC145</vt:lpwstr>
  </property>
  <property fmtid="{D5CDD505-2E9C-101B-9397-08002B2CF9AE}" pid="3" name="MediaServiceImageTags">
    <vt:lpwstr/>
  </property>
</Properties>
</file>