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queryTables/queryTable1.xml" ContentType="application/vnd.openxmlformats-officedocument.spreadsheetml.queryTab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wsl$\Ubuntu\home\paul\local_git\OCTT-certification\PICS\"/>
    </mc:Choice>
  </mc:AlternateContent>
  <xr:revisionPtr revIDLastSave="0" documentId="13_ncr:1_{FA86BEEE-0421-475C-A435-71B92B9B9EAA}" xr6:coauthVersionLast="47" xr6:coauthVersionMax="47" xr10:uidLastSave="{00000000-0000-0000-0000-000000000000}"/>
  <workbookProtection workbookAlgorithmName="SHA-512" workbookHashValue="XDs9VRs12cCJZW8X1NedqqnKKu00wnvGSfP95X1bBCVLCqWLipM5x6Cgm4GWl2+ETzMoincvBXJkCMvI5DKAlA==" workbookSaltValue="CavI9EIOl3eztCPFSNUBOQ==" workbookSpinCount="100000" lockStructure="1"/>
  <bookViews>
    <workbookView xWindow="-120" yWindow="-120" windowWidth="29040" windowHeight="15840" tabRatio="840" xr2:uid="{AA674DD9-1E2A-F346-8CC4-024FE9D19703}"/>
  </bookViews>
  <sheets>
    <sheet name="Explanation" sheetId="12" r:id="rId1"/>
    <sheet name="General information" sheetId="3" r:id="rId2"/>
    <sheet name="Profile selection" sheetId="13" r:id="rId3"/>
    <sheet name="Optional features" sheetId="5" r:id="rId4"/>
    <sheet name="Additional questions" sheetId="10" r:id="rId5"/>
    <sheet name="Other&amp;Vendor Specific Settings" sheetId="18" r:id="rId6"/>
    <sheet name="HIDDEN Testrun Results" sheetId="19" state="hidden" r:id="rId7"/>
    <sheet name="Performance Measurement" sheetId="8" r:id="rId8"/>
    <sheet name="CSMS Testcases" sheetId="1" r:id="rId9"/>
    <sheet name="Statement of Approval" sheetId="17" r:id="rId10"/>
    <sheet name="HIDDEN features" sheetId="16" state="hidden" r:id="rId11"/>
    <sheet name="HIDDEN import" sheetId="11" state="hidden" r:id="rId12"/>
    <sheet name="HIDDEN calc sheet" sheetId="15" state="hidden" r:id="rId13"/>
    <sheet name="MD" sheetId="9" state="hidden" r:id="rId14"/>
  </sheets>
  <definedNames>
    <definedName name="_xlnm._FilterDatabase" localSheetId="8" hidden="1">'CSMS Testcases'!$A$1:$O$253</definedName>
    <definedName name="Additional_questions">'Additional questions'!$B$3:$D$13</definedName>
    <definedName name="Authorization_options_for_local_start">'Optional features'!$B$17:$D$24</definedName>
    <definedName name="Authorization_options_for_remote_start">'Optional features'!$B$25:$D$29</definedName>
    <definedName name="Communication_technology">'Performance Measurement'!$B$12:$C$12</definedName>
    <definedName name="CP_Advanced_Device_Management">'Optional features'!$B$49:$D$50</definedName>
    <definedName name="CP_Advanced_Security">'Optional features'!$B$42:$D$43</definedName>
    <definedName name="CP_Advanced_User_Interface">'Optional features'!$B$59:$D$60</definedName>
    <definedName name="CP_CORE">'Optional features'!$B$2:$D$15</definedName>
    <definedName name="CP_CORE_2">'Optional features'!$B$31:$D$37</definedName>
    <definedName name="CP_ISO15118_Support">'Optional features'!$B$52:$D$54</definedName>
    <definedName name="CP_Local_Authorization_List_Management">'Optional features'!$B$56:$D$57</definedName>
    <definedName name="CP_Reservation">'Optional features'!$B$45:$D$47</definedName>
    <definedName name="CP_Smart_Charging">'Optional features'!$B$39:$D$40</definedName>
    <definedName name="Device_info">'General information'!$B$2:$C$5</definedName>
    <definedName name="Measured_performance">'Performance Measurement'!$B$8:$F$10</definedName>
    <definedName name="OCPP_201_Certification">Explanation!$C$6:$D$10</definedName>
    <definedName name="Performance_measurement">'Performance Measurement'!$B$3:$G$5</definedName>
    <definedName name="Performed_On">'Statement of Approval'!$B$13:$C$13</definedName>
    <definedName name="Profile_Selection">'Profile selection'!$B$3:$D$11</definedName>
    <definedName name="Test_laboratory">'Statement of Approval'!$B$15:$C$20</definedName>
    <definedName name="Test_laboratory_signature">'Statement of Approval'!$E$12:$F$13</definedName>
    <definedName name="Test_laboratory_signature_image">'Statement of Approval'!$A$11:$H$21</definedName>
    <definedName name="Test_Report_Reference">'Statement of Approval'!$B$14:$C$14</definedName>
    <definedName name="testresults" localSheetId="6">'HIDDEN Testrun Results'!$A$1:$B$1</definedName>
    <definedName name="Vendor">'Statement of Approval'!$B$5:$C$9</definedName>
    <definedName name="Vendor_signature">'Statement of Approval'!$E$4:$F$5</definedName>
    <definedName name="Vendor_signature_image">'Statement of Approval'!$A$3:$H$10</definedName>
    <definedName name="Vendor_Specific_Settings">'Other&amp;Vendor Specific Settings'!$B$5:$D$28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10" l="1"/>
  <c r="E8" i="10"/>
  <c r="E7" i="10"/>
  <c r="E6" i="10"/>
  <c r="G16" i="17" l="1"/>
  <c r="A253" i="1"/>
  <c r="B253" i="1"/>
  <c r="J253" i="1" s="1"/>
  <c r="C253" i="1"/>
  <c r="E253" i="1"/>
  <c r="F253" i="1"/>
  <c r="A253" i="11"/>
  <c r="G253" i="1" l="1"/>
  <c r="G20" i="17"/>
  <c r="G19" i="17"/>
  <c r="G18" i="17"/>
  <c r="G17" i="17"/>
  <c r="G15" i="17"/>
  <c r="G14" i="17"/>
  <c r="G13" i="17"/>
  <c r="G12" i="17"/>
  <c r="G9" i="17"/>
  <c r="G8" i="17"/>
  <c r="G7" i="17"/>
  <c r="G6" i="17"/>
  <c r="G5" i="17"/>
  <c r="G4" i="17"/>
  <c r="I1" i="17"/>
  <c r="C10" i="8"/>
  <c r="D10" i="8"/>
  <c r="E10" i="8"/>
  <c r="E9" i="8"/>
  <c r="D9" i="8"/>
  <c r="C9" i="8"/>
  <c r="N12" i="1" l="1"/>
  <c r="N13" i="1"/>
  <c r="N19" i="1"/>
  <c r="H5" i="8" l="1"/>
  <c r="H4" i="8"/>
  <c r="E4" i="10"/>
  <c r="F1" i="10" s="1"/>
  <c r="E60" i="5"/>
  <c r="E57" i="5"/>
  <c r="E54" i="5"/>
  <c r="E53" i="5"/>
  <c r="E47" i="5"/>
  <c r="E46" i="5"/>
  <c r="E50" i="5"/>
  <c r="E43" i="5"/>
  <c r="E40" i="5"/>
  <c r="E37" i="5"/>
  <c r="E36" i="5"/>
  <c r="E34" i="5"/>
  <c r="E33" i="5"/>
  <c r="E32" i="5"/>
  <c r="E35" i="5"/>
  <c r="F29" i="5"/>
  <c r="F28" i="5"/>
  <c r="F27" i="5"/>
  <c r="F26" i="5"/>
  <c r="F23" i="5"/>
  <c r="F22" i="5"/>
  <c r="F21" i="5"/>
  <c r="F20" i="5"/>
  <c r="F19" i="5"/>
  <c r="F18" i="5"/>
  <c r="E15" i="5"/>
  <c r="E14" i="5"/>
  <c r="E13" i="5"/>
  <c r="E12" i="5"/>
  <c r="E11" i="5"/>
  <c r="E10" i="5"/>
  <c r="E8" i="5"/>
  <c r="E7" i="5"/>
  <c r="E6" i="5"/>
  <c r="E5" i="5"/>
  <c r="E4" i="5"/>
  <c r="E3" i="5"/>
  <c r="D5" i="3"/>
  <c r="D4" i="3"/>
  <c r="D3" i="3"/>
  <c r="D2" i="3"/>
  <c r="E11" i="13"/>
  <c r="E10" i="13"/>
  <c r="E9" i="13"/>
  <c r="E8" i="13"/>
  <c r="E7" i="13"/>
  <c r="E6" i="13"/>
  <c r="E4" i="13"/>
  <c r="E5" i="13"/>
  <c r="F25" i="5"/>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 i="11"/>
  <c r="D253" i="1" l="1"/>
  <c r="K253" i="1" s="1"/>
  <c r="I253" i="1"/>
  <c r="H253" i="1" s="1"/>
  <c r="I1" i="8"/>
  <c r="D35" i="5"/>
  <c r="D9" i="5"/>
  <c r="E9" i="5" s="1"/>
  <c r="F1" i="5" s="1"/>
  <c r="I2" i="17" s="1"/>
  <c r="C9" i="5"/>
  <c r="B2" i="15"/>
  <c r="B3" i="15" l="1"/>
  <c r="E3" i="16" l="1"/>
  <c r="E4" i="16"/>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2" i="16"/>
  <c r="C57" i="5"/>
  <c r="C54" i="5"/>
  <c r="C53" i="5"/>
  <c r="C47" i="5"/>
  <c r="C46" i="5"/>
  <c r="C40" i="5"/>
  <c r="C37" i="5"/>
  <c r="C36" i="5"/>
  <c r="C35" i="5"/>
  <c r="C34" i="5"/>
  <c r="C33" i="5"/>
  <c r="C32" i="5"/>
  <c r="C29" i="5"/>
  <c r="C28" i="5"/>
  <c r="C27" i="5"/>
  <c r="C26" i="5"/>
  <c r="C23" i="5"/>
  <c r="C22" i="5"/>
  <c r="C21" i="5"/>
  <c r="C20" i="5"/>
  <c r="C19" i="5"/>
  <c r="C18" i="5"/>
  <c r="C4" i="5"/>
  <c r="C5" i="5"/>
  <c r="C6" i="5"/>
  <c r="C7" i="5"/>
  <c r="C8" i="5"/>
  <c r="C10" i="5"/>
  <c r="C11" i="5"/>
  <c r="C12" i="5"/>
  <c r="C13" i="5"/>
  <c r="C14" i="5"/>
  <c r="C3" i="5"/>
  <c r="E3" i="1" l="1"/>
  <c r="F3" i="1"/>
  <c r="E4" i="1"/>
  <c r="F4" i="1"/>
  <c r="E5" i="1"/>
  <c r="F5" i="1"/>
  <c r="E6" i="1"/>
  <c r="F6" i="1"/>
  <c r="E7" i="1"/>
  <c r="F7" i="1"/>
  <c r="E8" i="1"/>
  <c r="F8" i="1"/>
  <c r="E9" i="1"/>
  <c r="F9" i="1"/>
  <c r="E10" i="1"/>
  <c r="F10" i="1"/>
  <c r="E11" i="1"/>
  <c r="F11" i="1"/>
  <c r="E12" i="1"/>
  <c r="F12"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L72" i="1" s="1"/>
  <c r="F72" i="1"/>
  <c r="E73" i="1"/>
  <c r="F73" i="1"/>
  <c r="E74" i="1"/>
  <c r="L74" i="1" s="1"/>
  <c r="F74" i="1"/>
  <c r="E75" i="1"/>
  <c r="L75" i="1" s="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201" i="1"/>
  <c r="F201" i="1"/>
  <c r="E202" i="1"/>
  <c r="F202" i="1"/>
  <c r="E203" i="1"/>
  <c r="F203" i="1"/>
  <c r="E204" i="1"/>
  <c r="F204" i="1"/>
  <c r="E205" i="1"/>
  <c r="F205" i="1"/>
  <c r="E206" i="1"/>
  <c r="F206" i="1"/>
  <c r="E207" i="1"/>
  <c r="F207" i="1"/>
  <c r="E208" i="1"/>
  <c r="F208" i="1"/>
  <c r="E209" i="1"/>
  <c r="F209" i="1"/>
  <c r="E210" i="1"/>
  <c r="F210" i="1"/>
  <c r="E211" i="1"/>
  <c r="F211" i="1"/>
  <c r="E212" i="1"/>
  <c r="F212" i="1"/>
  <c r="E213" i="1"/>
  <c r="F213" i="1"/>
  <c r="E214" i="1"/>
  <c r="F214" i="1"/>
  <c r="E215" i="1"/>
  <c r="F215" i="1"/>
  <c r="E216" i="1"/>
  <c r="F216" i="1"/>
  <c r="E217" i="1"/>
  <c r="F217" i="1"/>
  <c r="E218" i="1"/>
  <c r="F218" i="1"/>
  <c r="E219" i="1"/>
  <c r="F219" i="1"/>
  <c r="E220" i="1"/>
  <c r="F220" i="1"/>
  <c r="E221" i="1"/>
  <c r="F221" i="1"/>
  <c r="E222" i="1"/>
  <c r="F222" i="1"/>
  <c r="E223" i="1"/>
  <c r="F223" i="1"/>
  <c r="E224" i="1"/>
  <c r="F224" i="1"/>
  <c r="E225" i="1"/>
  <c r="F225" i="1"/>
  <c r="E226" i="1"/>
  <c r="F226" i="1"/>
  <c r="E227" i="1"/>
  <c r="F227" i="1"/>
  <c r="E228" i="1"/>
  <c r="F228" i="1"/>
  <c r="E229" i="1"/>
  <c r="F229" i="1"/>
  <c r="E230" i="1"/>
  <c r="F230" i="1"/>
  <c r="E231" i="1"/>
  <c r="F231" i="1"/>
  <c r="E232" i="1"/>
  <c r="F232" i="1"/>
  <c r="E233" i="1"/>
  <c r="F233" i="1"/>
  <c r="E234" i="1"/>
  <c r="F234" i="1"/>
  <c r="E235" i="1"/>
  <c r="F235" i="1"/>
  <c r="E236" i="1"/>
  <c r="F236" i="1"/>
  <c r="E237" i="1"/>
  <c r="F237" i="1"/>
  <c r="E238" i="1"/>
  <c r="F238" i="1"/>
  <c r="E239" i="1"/>
  <c r="F239" i="1"/>
  <c r="E240" i="1"/>
  <c r="F240" i="1"/>
  <c r="E241" i="1"/>
  <c r="F241" i="1"/>
  <c r="E242" i="1"/>
  <c r="F242" i="1"/>
  <c r="E243" i="1"/>
  <c r="F243" i="1"/>
  <c r="E244" i="1"/>
  <c r="F244" i="1"/>
  <c r="E245" i="1"/>
  <c r="F245" i="1"/>
  <c r="E246" i="1"/>
  <c r="F246" i="1"/>
  <c r="E247" i="1"/>
  <c r="F247" i="1"/>
  <c r="E248" i="1"/>
  <c r="F248" i="1"/>
  <c r="E249" i="1"/>
  <c r="F249" i="1"/>
  <c r="E250" i="1"/>
  <c r="F250" i="1"/>
  <c r="E251" i="1"/>
  <c r="F251" i="1"/>
  <c r="E252" i="1"/>
  <c r="F252" i="1"/>
  <c r="F2" i="1"/>
  <c r="E2" i="1"/>
  <c r="A3" i="1"/>
  <c r="G3" i="1" s="1"/>
  <c r="B3" i="1"/>
  <c r="C3" i="1"/>
  <c r="A4" i="1"/>
  <c r="G4" i="1" s="1"/>
  <c r="B4" i="1"/>
  <c r="C4" i="1"/>
  <c r="A5" i="1"/>
  <c r="G5" i="1" s="1"/>
  <c r="B5" i="1"/>
  <c r="C5" i="1"/>
  <c r="A6" i="1"/>
  <c r="G6" i="1" s="1"/>
  <c r="B6" i="1"/>
  <c r="J6" i="1" s="1"/>
  <c r="C6" i="1"/>
  <c r="A7" i="1"/>
  <c r="G7" i="1" s="1"/>
  <c r="B7" i="1"/>
  <c r="C7" i="1"/>
  <c r="A8" i="1"/>
  <c r="G8" i="1" s="1"/>
  <c r="B8" i="1"/>
  <c r="J8" i="1" s="1"/>
  <c r="C8" i="1"/>
  <c r="A9" i="1"/>
  <c r="G9" i="1" s="1"/>
  <c r="B9" i="1"/>
  <c r="C9" i="1"/>
  <c r="A10" i="1"/>
  <c r="G10" i="1" s="1"/>
  <c r="B10" i="1"/>
  <c r="J10" i="1" s="1"/>
  <c r="C10" i="1"/>
  <c r="A11" i="1"/>
  <c r="G11" i="1" s="1"/>
  <c r="B11" i="1"/>
  <c r="J11" i="1" s="1"/>
  <c r="C11" i="1"/>
  <c r="A12" i="1"/>
  <c r="G12" i="1" s="1"/>
  <c r="B12" i="1"/>
  <c r="C12" i="1"/>
  <c r="A13" i="1"/>
  <c r="G13" i="1" s="1"/>
  <c r="B13" i="1"/>
  <c r="C13" i="1"/>
  <c r="A14" i="1"/>
  <c r="G14" i="1" s="1"/>
  <c r="B14" i="1"/>
  <c r="J14" i="1" s="1"/>
  <c r="C14" i="1"/>
  <c r="A15" i="1"/>
  <c r="G15" i="1" s="1"/>
  <c r="B15" i="1"/>
  <c r="J15" i="1" s="1"/>
  <c r="C15" i="1"/>
  <c r="A16" i="1"/>
  <c r="G16" i="1" s="1"/>
  <c r="B16" i="1"/>
  <c r="C16" i="1"/>
  <c r="A17" i="1"/>
  <c r="G17" i="1" s="1"/>
  <c r="B17" i="1"/>
  <c r="J17" i="1" s="1"/>
  <c r="C17" i="1"/>
  <c r="A18" i="1"/>
  <c r="G18" i="1" s="1"/>
  <c r="B18" i="1"/>
  <c r="C18" i="1"/>
  <c r="A19" i="1"/>
  <c r="G19" i="1" s="1"/>
  <c r="B19" i="1"/>
  <c r="C19" i="1"/>
  <c r="A20" i="1"/>
  <c r="G20" i="1" s="1"/>
  <c r="B20" i="1"/>
  <c r="C20" i="1"/>
  <c r="A21" i="1"/>
  <c r="G21" i="1" s="1"/>
  <c r="B21" i="1"/>
  <c r="C21" i="1"/>
  <c r="A22" i="1"/>
  <c r="G22" i="1" s="1"/>
  <c r="B22" i="1"/>
  <c r="J22" i="1" s="1"/>
  <c r="C22" i="1"/>
  <c r="A23" i="1"/>
  <c r="G23" i="1" s="1"/>
  <c r="B23" i="1"/>
  <c r="C23" i="1"/>
  <c r="A24" i="1"/>
  <c r="G24" i="1" s="1"/>
  <c r="B24" i="1"/>
  <c r="C24" i="1"/>
  <c r="A25" i="1"/>
  <c r="G25" i="1" s="1"/>
  <c r="B25" i="1"/>
  <c r="C25" i="1"/>
  <c r="A26" i="1"/>
  <c r="G26" i="1" s="1"/>
  <c r="B26" i="1"/>
  <c r="J26" i="1" s="1"/>
  <c r="C26" i="1"/>
  <c r="A27" i="1"/>
  <c r="G27" i="1" s="1"/>
  <c r="B27" i="1"/>
  <c r="J27" i="1" s="1"/>
  <c r="C27" i="1"/>
  <c r="A28" i="1"/>
  <c r="G28" i="1" s="1"/>
  <c r="B28" i="1"/>
  <c r="C28" i="1"/>
  <c r="A29" i="1"/>
  <c r="G29" i="1" s="1"/>
  <c r="B29" i="1"/>
  <c r="C29" i="1"/>
  <c r="A30" i="1"/>
  <c r="G30" i="1" s="1"/>
  <c r="B30" i="1"/>
  <c r="J30" i="1" s="1"/>
  <c r="C30" i="1"/>
  <c r="A31" i="1"/>
  <c r="G31" i="1" s="1"/>
  <c r="B31" i="1"/>
  <c r="J31" i="1" s="1"/>
  <c r="C31" i="1"/>
  <c r="A32" i="1"/>
  <c r="G32" i="1" s="1"/>
  <c r="B32" i="1"/>
  <c r="C32" i="1"/>
  <c r="A33" i="1"/>
  <c r="G33" i="1" s="1"/>
  <c r="B33" i="1"/>
  <c r="J33" i="1" s="1"/>
  <c r="C33" i="1"/>
  <c r="A34" i="1"/>
  <c r="G34" i="1" s="1"/>
  <c r="B34" i="1"/>
  <c r="C34" i="1"/>
  <c r="A35" i="1"/>
  <c r="G35" i="1" s="1"/>
  <c r="B35" i="1"/>
  <c r="C35" i="1"/>
  <c r="A36" i="1"/>
  <c r="G36" i="1" s="1"/>
  <c r="B36" i="1"/>
  <c r="C36" i="1"/>
  <c r="A37" i="1"/>
  <c r="G37" i="1" s="1"/>
  <c r="B37" i="1"/>
  <c r="C37" i="1"/>
  <c r="A38" i="1"/>
  <c r="G38" i="1" s="1"/>
  <c r="B38" i="1"/>
  <c r="J38" i="1" s="1"/>
  <c r="C38" i="1"/>
  <c r="A39" i="1"/>
  <c r="G39" i="1" s="1"/>
  <c r="B39" i="1"/>
  <c r="C39" i="1"/>
  <c r="A40" i="1"/>
  <c r="G40" i="1" s="1"/>
  <c r="B40" i="1"/>
  <c r="C40" i="1"/>
  <c r="A41" i="1"/>
  <c r="G41" i="1" s="1"/>
  <c r="B41" i="1"/>
  <c r="C41" i="1"/>
  <c r="A42" i="1"/>
  <c r="G42" i="1" s="1"/>
  <c r="B42" i="1"/>
  <c r="C42" i="1"/>
  <c r="A43" i="1"/>
  <c r="G43" i="1" s="1"/>
  <c r="B43" i="1"/>
  <c r="J43" i="1" s="1"/>
  <c r="C43" i="1"/>
  <c r="A44" i="1"/>
  <c r="G44" i="1" s="1"/>
  <c r="B44" i="1"/>
  <c r="C44" i="1"/>
  <c r="A45" i="1"/>
  <c r="G45" i="1" s="1"/>
  <c r="B45" i="1"/>
  <c r="C45" i="1"/>
  <c r="A46" i="1"/>
  <c r="G46" i="1" s="1"/>
  <c r="B46" i="1"/>
  <c r="J46" i="1" s="1"/>
  <c r="C46" i="1"/>
  <c r="A47" i="1"/>
  <c r="G47" i="1" s="1"/>
  <c r="B47" i="1"/>
  <c r="J47" i="1" s="1"/>
  <c r="C47" i="1"/>
  <c r="A48" i="1"/>
  <c r="G48" i="1" s="1"/>
  <c r="B48" i="1"/>
  <c r="J48" i="1" s="1"/>
  <c r="C48" i="1"/>
  <c r="A49" i="1"/>
  <c r="G49" i="1" s="1"/>
  <c r="B49" i="1"/>
  <c r="C49" i="1"/>
  <c r="A50" i="1"/>
  <c r="G50" i="1" s="1"/>
  <c r="B50" i="1"/>
  <c r="C50" i="1"/>
  <c r="A51" i="1"/>
  <c r="G51" i="1" s="1"/>
  <c r="B51" i="1"/>
  <c r="C51" i="1"/>
  <c r="A52" i="1"/>
  <c r="G52" i="1" s="1"/>
  <c r="B52" i="1"/>
  <c r="C52" i="1"/>
  <c r="A53" i="1"/>
  <c r="G53" i="1" s="1"/>
  <c r="B53" i="1"/>
  <c r="C53" i="1"/>
  <c r="A54" i="1"/>
  <c r="G54" i="1" s="1"/>
  <c r="B54" i="1"/>
  <c r="J54" i="1" s="1"/>
  <c r="C54" i="1"/>
  <c r="A55" i="1"/>
  <c r="G55" i="1" s="1"/>
  <c r="B55" i="1"/>
  <c r="C55" i="1"/>
  <c r="A56" i="1"/>
  <c r="G56" i="1" s="1"/>
  <c r="B56" i="1"/>
  <c r="C56" i="1"/>
  <c r="A57" i="1"/>
  <c r="G57" i="1" s="1"/>
  <c r="B57" i="1"/>
  <c r="C57" i="1"/>
  <c r="A58" i="1"/>
  <c r="G58" i="1" s="1"/>
  <c r="B58" i="1"/>
  <c r="C58" i="1"/>
  <c r="A59" i="1"/>
  <c r="G59" i="1" s="1"/>
  <c r="B59" i="1"/>
  <c r="J59" i="1" s="1"/>
  <c r="C59" i="1"/>
  <c r="A60" i="1"/>
  <c r="G60" i="1" s="1"/>
  <c r="B60" i="1"/>
  <c r="C60" i="1"/>
  <c r="A61" i="1"/>
  <c r="G61" i="1" s="1"/>
  <c r="B61" i="1"/>
  <c r="C61" i="1"/>
  <c r="A62" i="1"/>
  <c r="G62" i="1" s="1"/>
  <c r="B62" i="1"/>
  <c r="J62" i="1" s="1"/>
  <c r="C62" i="1"/>
  <c r="A63" i="1"/>
  <c r="G63" i="1" s="1"/>
  <c r="B63" i="1"/>
  <c r="J63" i="1" s="1"/>
  <c r="C63" i="1"/>
  <c r="A64" i="1"/>
  <c r="G64" i="1" s="1"/>
  <c r="B64" i="1"/>
  <c r="J64" i="1" s="1"/>
  <c r="C64" i="1"/>
  <c r="A65" i="1"/>
  <c r="G65" i="1" s="1"/>
  <c r="B65" i="1"/>
  <c r="C65" i="1"/>
  <c r="A66" i="1"/>
  <c r="G66" i="1" s="1"/>
  <c r="B66" i="1"/>
  <c r="C66" i="1"/>
  <c r="A67" i="1"/>
  <c r="G67" i="1" s="1"/>
  <c r="B67" i="1"/>
  <c r="C67" i="1"/>
  <c r="A68" i="1"/>
  <c r="G68" i="1" s="1"/>
  <c r="B68" i="1"/>
  <c r="C68" i="1"/>
  <c r="A69" i="1"/>
  <c r="G69" i="1" s="1"/>
  <c r="B69" i="1"/>
  <c r="C69" i="1"/>
  <c r="A70" i="1"/>
  <c r="G70" i="1" s="1"/>
  <c r="B70" i="1"/>
  <c r="C70" i="1"/>
  <c r="A71" i="1"/>
  <c r="G71" i="1" s="1"/>
  <c r="B71" i="1"/>
  <c r="C71" i="1"/>
  <c r="A72" i="1"/>
  <c r="G72" i="1" s="1"/>
  <c r="B72" i="1"/>
  <c r="C72" i="1"/>
  <c r="A73" i="1"/>
  <c r="G73" i="1" s="1"/>
  <c r="B73" i="1"/>
  <c r="C73" i="1"/>
  <c r="A74" i="1"/>
  <c r="G74" i="1" s="1"/>
  <c r="B74" i="1"/>
  <c r="J74" i="1" s="1"/>
  <c r="C74" i="1"/>
  <c r="A75" i="1"/>
  <c r="G75" i="1" s="1"/>
  <c r="B75" i="1"/>
  <c r="J75" i="1" s="1"/>
  <c r="C75" i="1"/>
  <c r="A76" i="1"/>
  <c r="G76" i="1" s="1"/>
  <c r="B76" i="1"/>
  <c r="C76" i="1"/>
  <c r="A77" i="1"/>
  <c r="G77" i="1" s="1"/>
  <c r="B77" i="1"/>
  <c r="C77" i="1"/>
  <c r="A78" i="1"/>
  <c r="G78" i="1" s="1"/>
  <c r="B78" i="1"/>
  <c r="J78" i="1" s="1"/>
  <c r="C78" i="1"/>
  <c r="A79" i="1"/>
  <c r="G79" i="1" s="1"/>
  <c r="B79" i="1"/>
  <c r="J79" i="1" s="1"/>
  <c r="C79" i="1"/>
  <c r="A80" i="1"/>
  <c r="G80" i="1" s="1"/>
  <c r="B80" i="1"/>
  <c r="C80" i="1"/>
  <c r="A81" i="1"/>
  <c r="G81" i="1" s="1"/>
  <c r="B81" i="1"/>
  <c r="J81" i="1" s="1"/>
  <c r="C81" i="1"/>
  <c r="A82" i="1"/>
  <c r="G82" i="1" s="1"/>
  <c r="B82" i="1"/>
  <c r="C82" i="1"/>
  <c r="A83" i="1"/>
  <c r="G83" i="1" s="1"/>
  <c r="B83" i="1"/>
  <c r="C83" i="1"/>
  <c r="A84" i="1"/>
  <c r="G84" i="1" s="1"/>
  <c r="B84" i="1"/>
  <c r="C84" i="1"/>
  <c r="A85" i="1"/>
  <c r="G85" i="1" s="1"/>
  <c r="B85" i="1"/>
  <c r="C85" i="1"/>
  <c r="A86" i="1"/>
  <c r="G86" i="1" s="1"/>
  <c r="B86" i="1"/>
  <c r="J86" i="1" s="1"/>
  <c r="C86" i="1"/>
  <c r="A87" i="1"/>
  <c r="G87" i="1" s="1"/>
  <c r="B87" i="1"/>
  <c r="C87" i="1"/>
  <c r="A88" i="1"/>
  <c r="G88" i="1" s="1"/>
  <c r="B88" i="1"/>
  <c r="C88" i="1"/>
  <c r="A89" i="1"/>
  <c r="G89" i="1" s="1"/>
  <c r="B89" i="1"/>
  <c r="J89" i="1" s="1"/>
  <c r="C89" i="1"/>
  <c r="A90" i="1"/>
  <c r="G90" i="1" s="1"/>
  <c r="B90" i="1"/>
  <c r="C90" i="1"/>
  <c r="A91" i="1"/>
  <c r="G91" i="1" s="1"/>
  <c r="B91" i="1"/>
  <c r="J91" i="1" s="1"/>
  <c r="C91" i="1"/>
  <c r="A92" i="1"/>
  <c r="G92" i="1" s="1"/>
  <c r="B92" i="1"/>
  <c r="C92" i="1"/>
  <c r="A93" i="1"/>
  <c r="G93" i="1" s="1"/>
  <c r="B93" i="1"/>
  <c r="C93" i="1"/>
  <c r="A94" i="1"/>
  <c r="G94" i="1" s="1"/>
  <c r="B94" i="1"/>
  <c r="J94" i="1" s="1"/>
  <c r="C94" i="1"/>
  <c r="A95" i="1"/>
  <c r="G95" i="1" s="1"/>
  <c r="B95" i="1"/>
  <c r="J95" i="1" s="1"/>
  <c r="C95" i="1"/>
  <c r="A96" i="1"/>
  <c r="G96" i="1" s="1"/>
  <c r="B96" i="1"/>
  <c r="J96" i="1" s="1"/>
  <c r="C96" i="1"/>
  <c r="A97" i="1"/>
  <c r="G97" i="1" s="1"/>
  <c r="B97" i="1"/>
  <c r="J97" i="1" s="1"/>
  <c r="C97" i="1"/>
  <c r="A98" i="1"/>
  <c r="G98" i="1" s="1"/>
  <c r="B98" i="1"/>
  <c r="C98" i="1"/>
  <c r="A99" i="1"/>
  <c r="G99" i="1" s="1"/>
  <c r="B99" i="1"/>
  <c r="C99" i="1"/>
  <c r="A100" i="1"/>
  <c r="G100" i="1" s="1"/>
  <c r="B100" i="1"/>
  <c r="C100" i="1"/>
  <c r="A101" i="1"/>
  <c r="G101" i="1" s="1"/>
  <c r="B101" i="1"/>
  <c r="J101" i="1" s="1"/>
  <c r="C101" i="1"/>
  <c r="A102" i="1"/>
  <c r="G102" i="1" s="1"/>
  <c r="B102" i="1"/>
  <c r="C102" i="1"/>
  <c r="A103" i="1"/>
  <c r="G103" i="1" s="1"/>
  <c r="B103" i="1"/>
  <c r="C103" i="1"/>
  <c r="A104" i="1"/>
  <c r="G104" i="1" s="1"/>
  <c r="B104" i="1"/>
  <c r="C104" i="1"/>
  <c r="A105" i="1"/>
  <c r="G105" i="1" s="1"/>
  <c r="B105" i="1"/>
  <c r="C105" i="1"/>
  <c r="A106" i="1"/>
  <c r="G106" i="1" s="1"/>
  <c r="B106" i="1"/>
  <c r="C106" i="1"/>
  <c r="A107" i="1"/>
  <c r="G107" i="1" s="1"/>
  <c r="B107" i="1"/>
  <c r="J107" i="1" s="1"/>
  <c r="C107" i="1"/>
  <c r="A108" i="1"/>
  <c r="G108" i="1" s="1"/>
  <c r="B108" i="1"/>
  <c r="C108" i="1"/>
  <c r="A109" i="1"/>
  <c r="G109" i="1" s="1"/>
  <c r="B109" i="1"/>
  <c r="C109" i="1"/>
  <c r="A110" i="1"/>
  <c r="G110" i="1" s="1"/>
  <c r="B110" i="1"/>
  <c r="J110" i="1" s="1"/>
  <c r="C110" i="1"/>
  <c r="A111" i="1"/>
  <c r="G111" i="1" s="1"/>
  <c r="B111" i="1"/>
  <c r="J111" i="1" s="1"/>
  <c r="C111" i="1"/>
  <c r="A112" i="1"/>
  <c r="G112" i="1" s="1"/>
  <c r="B112" i="1"/>
  <c r="C112" i="1"/>
  <c r="A113" i="1"/>
  <c r="G113" i="1" s="1"/>
  <c r="B113" i="1"/>
  <c r="C113" i="1"/>
  <c r="A114" i="1"/>
  <c r="G114" i="1" s="1"/>
  <c r="B114" i="1"/>
  <c r="C114" i="1"/>
  <c r="A115" i="1"/>
  <c r="G115" i="1" s="1"/>
  <c r="B115" i="1"/>
  <c r="C115" i="1"/>
  <c r="A116" i="1"/>
  <c r="G116" i="1" s="1"/>
  <c r="B116" i="1"/>
  <c r="C116" i="1"/>
  <c r="A117" i="1"/>
  <c r="G117" i="1" s="1"/>
  <c r="B117" i="1"/>
  <c r="C117" i="1"/>
  <c r="A118" i="1"/>
  <c r="G118" i="1" s="1"/>
  <c r="B118" i="1"/>
  <c r="C118" i="1"/>
  <c r="A119" i="1"/>
  <c r="G119" i="1" s="1"/>
  <c r="B119" i="1"/>
  <c r="C119" i="1"/>
  <c r="A120" i="1"/>
  <c r="G120" i="1" s="1"/>
  <c r="B120" i="1"/>
  <c r="C120" i="1"/>
  <c r="A121" i="1"/>
  <c r="G121" i="1" s="1"/>
  <c r="B121" i="1"/>
  <c r="C121" i="1"/>
  <c r="A122" i="1"/>
  <c r="G122" i="1" s="1"/>
  <c r="B122" i="1"/>
  <c r="C122" i="1"/>
  <c r="A123" i="1"/>
  <c r="G123" i="1" s="1"/>
  <c r="B123" i="1"/>
  <c r="J123" i="1" s="1"/>
  <c r="C123" i="1"/>
  <c r="A124" i="1"/>
  <c r="G124" i="1" s="1"/>
  <c r="B124" i="1"/>
  <c r="C124" i="1"/>
  <c r="A125" i="1"/>
  <c r="G125" i="1" s="1"/>
  <c r="B125" i="1"/>
  <c r="C125" i="1"/>
  <c r="A126" i="1"/>
  <c r="G126" i="1" s="1"/>
  <c r="B126" i="1"/>
  <c r="J126" i="1" s="1"/>
  <c r="C126" i="1"/>
  <c r="A127" i="1"/>
  <c r="G127" i="1" s="1"/>
  <c r="B127" i="1"/>
  <c r="J127" i="1" s="1"/>
  <c r="C127" i="1"/>
  <c r="A128" i="1"/>
  <c r="G128" i="1" s="1"/>
  <c r="B128" i="1"/>
  <c r="C128" i="1"/>
  <c r="A129" i="1"/>
  <c r="G129" i="1" s="1"/>
  <c r="B129" i="1"/>
  <c r="J129" i="1" s="1"/>
  <c r="C129" i="1"/>
  <c r="A130" i="1"/>
  <c r="G130" i="1" s="1"/>
  <c r="B130" i="1"/>
  <c r="C130" i="1"/>
  <c r="A131" i="1"/>
  <c r="G131" i="1" s="1"/>
  <c r="B131" i="1"/>
  <c r="C131" i="1"/>
  <c r="A132" i="1"/>
  <c r="G132" i="1" s="1"/>
  <c r="B132" i="1"/>
  <c r="C132" i="1"/>
  <c r="A133" i="1"/>
  <c r="G133" i="1" s="1"/>
  <c r="B133" i="1"/>
  <c r="C133" i="1"/>
  <c r="A134" i="1"/>
  <c r="G134" i="1" s="1"/>
  <c r="B134" i="1"/>
  <c r="C134" i="1"/>
  <c r="A135" i="1"/>
  <c r="G135" i="1" s="1"/>
  <c r="B135" i="1"/>
  <c r="C135" i="1"/>
  <c r="A136" i="1"/>
  <c r="G136" i="1" s="1"/>
  <c r="B136" i="1"/>
  <c r="C136" i="1"/>
  <c r="A137" i="1"/>
  <c r="G137" i="1" s="1"/>
  <c r="B137" i="1"/>
  <c r="C137" i="1"/>
  <c r="A138" i="1"/>
  <c r="G138" i="1" s="1"/>
  <c r="B138" i="1"/>
  <c r="J138" i="1" s="1"/>
  <c r="C138" i="1"/>
  <c r="A139" i="1"/>
  <c r="G139" i="1" s="1"/>
  <c r="B139" i="1"/>
  <c r="J139" i="1" s="1"/>
  <c r="C139" i="1"/>
  <c r="A140" i="1"/>
  <c r="G140" i="1" s="1"/>
  <c r="B140" i="1"/>
  <c r="C140" i="1"/>
  <c r="A141" i="1"/>
  <c r="G141" i="1" s="1"/>
  <c r="B141" i="1"/>
  <c r="C141" i="1"/>
  <c r="A142" i="1"/>
  <c r="G142" i="1" s="1"/>
  <c r="B142" i="1"/>
  <c r="J142" i="1" s="1"/>
  <c r="C142" i="1"/>
  <c r="A143" i="1"/>
  <c r="G143" i="1" s="1"/>
  <c r="B143" i="1"/>
  <c r="J143" i="1" s="1"/>
  <c r="C143" i="1"/>
  <c r="A144" i="1"/>
  <c r="G144" i="1" s="1"/>
  <c r="B144" i="1"/>
  <c r="C144" i="1"/>
  <c r="A145" i="1"/>
  <c r="G145" i="1" s="1"/>
  <c r="B145" i="1"/>
  <c r="C145" i="1"/>
  <c r="A146" i="1"/>
  <c r="G146" i="1" s="1"/>
  <c r="B146" i="1"/>
  <c r="C146" i="1"/>
  <c r="A147" i="1"/>
  <c r="G147" i="1" s="1"/>
  <c r="B147" i="1"/>
  <c r="C147" i="1"/>
  <c r="A148" i="1"/>
  <c r="G148" i="1" s="1"/>
  <c r="B148" i="1"/>
  <c r="C148" i="1"/>
  <c r="A149" i="1"/>
  <c r="G149" i="1" s="1"/>
  <c r="B149" i="1"/>
  <c r="C149" i="1"/>
  <c r="A150" i="1"/>
  <c r="G150" i="1" s="1"/>
  <c r="B150" i="1"/>
  <c r="J150" i="1" s="1"/>
  <c r="C150" i="1"/>
  <c r="A151" i="1"/>
  <c r="G151" i="1" s="1"/>
  <c r="B151" i="1"/>
  <c r="C151" i="1"/>
  <c r="A152" i="1"/>
  <c r="G152" i="1" s="1"/>
  <c r="B152" i="1"/>
  <c r="C152" i="1"/>
  <c r="A153" i="1"/>
  <c r="G153" i="1" s="1"/>
  <c r="B153" i="1"/>
  <c r="C153" i="1"/>
  <c r="A154" i="1"/>
  <c r="G154" i="1" s="1"/>
  <c r="B154" i="1"/>
  <c r="C154" i="1"/>
  <c r="A155" i="1"/>
  <c r="G155" i="1" s="1"/>
  <c r="B155" i="1"/>
  <c r="J155" i="1" s="1"/>
  <c r="C155" i="1"/>
  <c r="A156" i="1"/>
  <c r="G156" i="1" s="1"/>
  <c r="B156" i="1"/>
  <c r="C156" i="1"/>
  <c r="A157" i="1"/>
  <c r="G157" i="1" s="1"/>
  <c r="B157" i="1"/>
  <c r="C157" i="1"/>
  <c r="A158" i="1"/>
  <c r="G158" i="1" s="1"/>
  <c r="B158" i="1"/>
  <c r="J158" i="1" s="1"/>
  <c r="C158" i="1"/>
  <c r="A159" i="1"/>
  <c r="G159" i="1" s="1"/>
  <c r="B159" i="1"/>
  <c r="J159" i="1" s="1"/>
  <c r="C159" i="1"/>
  <c r="A160" i="1"/>
  <c r="G160" i="1" s="1"/>
  <c r="B160" i="1"/>
  <c r="C160" i="1"/>
  <c r="A161" i="1"/>
  <c r="G161" i="1" s="1"/>
  <c r="B161" i="1"/>
  <c r="C161" i="1"/>
  <c r="A162" i="1"/>
  <c r="G162" i="1" s="1"/>
  <c r="B162" i="1"/>
  <c r="C162" i="1"/>
  <c r="A163" i="1"/>
  <c r="G163" i="1" s="1"/>
  <c r="B163" i="1"/>
  <c r="C163" i="1"/>
  <c r="A164" i="1"/>
  <c r="G164" i="1" s="1"/>
  <c r="B164" i="1"/>
  <c r="C164" i="1"/>
  <c r="A165" i="1"/>
  <c r="G165" i="1" s="1"/>
  <c r="B165" i="1"/>
  <c r="C165" i="1"/>
  <c r="A166" i="1"/>
  <c r="G166" i="1" s="1"/>
  <c r="B166" i="1"/>
  <c r="C166" i="1"/>
  <c r="A167" i="1"/>
  <c r="G167" i="1" s="1"/>
  <c r="B167" i="1"/>
  <c r="C167" i="1"/>
  <c r="A168" i="1"/>
  <c r="G168" i="1" s="1"/>
  <c r="B168" i="1"/>
  <c r="J168" i="1" s="1"/>
  <c r="C168" i="1"/>
  <c r="A169" i="1"/>
  <c r="G169" i="1" s="1"/>
  <c r="B169" i="1"/>
  <c r="C169" i="1"/>
  <c r="A170" i="1"/>
  <c r="G170" i="1" s="1"/>
  <c r="B170" i="1"/>
  <c r="C170" i="1"/>
  <c r="A171" i="1"/>
  <c r="G171" i="1" s="1"/>
  <c r="B171" i="1"/>
  <c r="J171" i="1" s="1"/>
  <c r="C171" i="1"/>
  <c r="A172" i="1"/>
  <c r="G172" i="1" s="1"/>
  <c r="B172" i="1"/>
  <c r="C172" i="1"/>
  <c r="A173" i="1"/>
  <c r="G173" i="1" s="1"/>
  <c r="B173" i="1"/>
  <c r="C173" i="1"/>
  <c r="A174" i="1"/>
  <c r="G174" i="1" s="1"/>
  <c r="B174" i="1"/>
  <c r="J174" i="1" s="1"/>
  <c r="C174" i="1"/>
  <c r="A175" i="1"/>
  <c r="G175" i="1" s="1"/>
  <c r="B175" i="1"/>
  <c r="J175" i="1" s="1"/>
  <c r="C175" i="1"/>
  <c r="A176" i="1"/>
  <c r="G176" i="1" s="1"/>
  <c r="B176" i="1"/>
  <c r="C176" i="1"/>
  <c r="A177" i="1"/>
  <c r="G177" i="1" s="1"/>
  <c r="B177" i="1"/>
  <c r="C177" i="1"/>
  <c r="A178" i="1"/>
  <c r="G178" i="1" s="1"/>
  <c r="B178" i="1"/>
  <c r="C178" i="1"/>
  <c r="A179" i="1"/>
  <c r="G179" i="1" s="1"/>
  <c r="B179" i="1"/>
  <c r="C179" i="1"/>
  <c r="A180" i="1"/>
  <c r="G180" i="1" s="1"/>
  <c r="B180" i="1"/>
  <c r="C180" i="1"/>
  <c r="A181" i="1"/>
  <c r="G181" i="1" s="1"/>
  <c r="B181" i="1"/>
  <c r="C181" i="1"/>
  <c r="A182" i="1"/>
  <c r="G182" i="1" s="1"/>
  <c r="B182" i="1"/>
  <c r="C182" i="1"/>
  <c r="A183" i="1"/>
  <c r="G183" i="1" s="1"/>
  <c r="B183" i="1"/>
  <c r="C183" i="1"/>
  <c r="A184" i="1"/>
  <c r="G184" i="1" s="1"/>
  <c r="B184" i="1"/>
  <c r="C184" i="1"/>
  <c r="A185" i="1"/>
  <c r="G185" i="1" s="1"/>
  <c r="B185" i="1"/>
  <c r="C185" i="1"/>
  <c r="A186" i="1"/>
  <c r="G186" i="1" s="1"/>
  <c r="B186" i="1"/>
  <c r="J186" i="1" s="1"/>
  <c r="C186" i="1"/>
  <c r="A187" i="1"/>
  <c r="G187" i="1" s="1"/>
  <c r="B187" i="1"/>
  <c r="J187" i="1" s="1"/>
  <c r="C187" i="1"/>
  <c r="A188" i="1"/>
  <c r="G188" i="1" s="1"/>
  <c r="B188" i="1"/>
  <c r="C188" i="1"/>
  <c r="A189" i="1"/>
  <c r="G189" i="1" s="1"/>
  <c r="B189" i="1"/>
  <c r="C189" i="1"/>
  <c r="A190" i="1"/>
  <c r="G190" i="1" s="1"/>
  <c r="B190" i="1"/>
  <c r="J190" i="1" s="1"/>
  <c r="C190" i="1"/>
  <c r="A191" i="1"/>
  <c r="G191" i="1" s="1"/>
  <c r="B191" i="1"/>
  <c r="J191" i="1" s="1"/>
  <c r="C191" i="1"/>
  <c r="A192" i="1"/>
  <c r="G192" i="1" s="1"/>
  <c r="B192" i="1"/>
  <c r="C192" i="1"/>
  <c r="A193" i="1"/>
  <c r="G193" i="1" s="1"/>
  <c r="B193" i="1"/>
  <c r="J193" i="1" s="1"/>
  <c r="C193" i="1"/>
  <c r="A194" i="1"/>
  <c r="G194" i="1" s="1"/>
  <c r="B194" i="1"/>
  <c r="C194" i="1"/>
  <c r="A195" i="1"/>
  <c r="G195" i="1" s="1"/>
  <c r="B195" i="1"/>
  <c r="C195" i="1"/>
  <c r="A196" i="1"/>
  <c r="G196" i="1" s="1"/>
  <c r="B196" i="1"/>
  <c r="C196" i="1"/>
  <c r="A197" i="1"/>
  <c r="G197" i="1" s="1"/>
  <c r="B197" i="1"/>
  <c r="C197" i="1"/>
  <c r="A198" i="1"/>
  <c r="G198" i="1" s="1"/>
  <c r="B198" i="1"/>
  <c r="C198" i="1"/>
  <c r="A199" i="1"/>
  <c r="G199" i="1" s="1"/>
  <c r="B199" i="1"/>
  <c r="C199" i="1"/>
  <c r="A200" i="1"/>
  <c r="G200" i="1" s="1"/>
  <c r="B200" i="1"/>
  <c r="C200" i="1"/>
  <c r="A201" i="1"/>
  <c r="G201" i="1" s="1"/>
  <c r="B201" i="1"/>
  <c r="J201" i="1" s="1"/>
  <c r="C201" i="1"/>
  <c r="A202" i="1"/>
  <c r="G202" i="1" s="1"/>
  <c r="B202" i="1"/>
  <c r="C202" i="1"/>
  <c r="A203" i="1"/>
  <c r="G203" i="1" s="1"/>
  <c r="B203" i="1"/>
  <c r="J203" i="1" s="1"/>
  <c r="C203" i="1"/>
  <c r="A204" i="1"/>
  <c r="G204" i="1" s="1"/>
  <c r="B204" i="1"/>
  <c r="C204" i="1"/>
  <c r="A205" i="1"/>
  <c r="G205" i="1" s="1"/>
  <c r="B205" i="1"/>
  <c r="C205" i="1"/>
  <c r="A206" i="1"/>
  <c r="G206" i="1" s="1"/>
  <c r="B206" i="1"/>
  <c r="J206" i="1" s="1"/>
  <c r="C206" i="1"/>
  <c r="A207" i="1"/>
  <c r="G207" i="1" s="1"/>
  <c r="B207" i="1"/>
  <c r="J207" i="1" s="1"/>
  <c r="C207" i="1"/>
  <c r="A208" i="1"/>
  <c r="G208" i="1" s="1"/>
  <c r="B208" i="1"/>
  <c r="C208" i="1"/>
  <c r="A209" i="1"/>
  <c r="G209" i="1" s="1"/>
  <c r="B209" i="1"/>
  <c r="J209" i="1" s="1"/>
  <c r="C209" i="1"/>
  <c r="A210" i="1"/>
  <c r="G210" i="1" s="1"/>
  <c r="B210" i="1"/>
  <c r="C210" i="1"/>
  <c r="A211" i="1"/>
  <c r="G211" i="1" s="1"/>
  <c r="B211" i="1"/>
  <c r="C211" i="1"/>
  <c r="A212" i="1"/>
  <c r="G212" i="1" s="1"/>
  <c r="B212" i="1"/>
  <c r="C212" i="1"/>
  <c r="A213" i="1"/>
  <c r="G213" i="1" s="1"/>
  <c r="B213" i="1"/>
  <c r="J213" i="1" s="1"/>
  <c r="C213" i="1"/>
  <c r="A214" i="1"/>
  <c r="G214" i="1" s="1"/>
  <c r="B214" i="1"/>
  <c r="C214" i="1"/>
  <c r="A215" i="1"/>
  <c r="G215" i="1" s="1"/>
  <c r="B215" i="1"/>
  <c r="C215" i="1"/>
  <c r="A216" i="1"/>
  <c r="G216" i="1" s="1"/>
  <c r="B216" i="1"/>
  <c r="C216" i="1"/>
  <c r="A217" i="1"/>
  <c r="G217" i="1" s="1"/>
  <c r="B217" i="1"/>
  <c r="J217" i="1" s="1"/>
  <c r="C217" i="1"/>
  <c r="A218" i="1"/>
  <c r="G218" i="1" s="1"/>
  <c r="B218" i="1"/>
  <c r="C218" i="1"/>
  <c r="A219" i="1"/>
  <c r="G219" i="1" s="1"/>
  <c r="B219" i="1"/>
  <c r="J219" i="1" s="1"/>
  <c r="C219" i="1"/>
  <c r="A220" i="1"/>
  <c r="G220" i="1" s="1"/>
  <c r="B220" i="1"/>
  <c r="C220" i="1"/>
  <c r="A221" i="1"/>
  <c r="G221" i="1" s="1"/>
  <c r="B221" i="1"/>
  <c r="C221" i="1"/>
  <c r="A222" i="1"/>
  <c r="G222" i="1" s="1"/>
  <c r="B222" i="1"/>
  <c r="J222" i="1" s="1"/>
  <c r="C222" i="1"/>
  <c r="A223" i="1"/>
  <c r="G223" i="1" s="1"/>
  <c r="B223" i="1"/>
  <c r="J223" i="1" s="1"/>
  <c r="C223" i="1"/>
  <c r="A224" i="1"/>
  <c r="G224" i="1" s="1"/>
  <c r="B224" i="1"/>
  <c r="C224" i="1"/>
  <c r="A225" i="1"/>
  <c r="G225" i="1" s="1"/>
  <c r="B225" i="1"/>
  <c r="C225" i="1"/>
  <c r="A226" i="1"/>
  <c r="G226" i="1" s="1"/>
  <c r="B226" i="1"/>
  <c r="C226" i="1"/>
  <c r="A227" i="1"/>
  <c r="G227" i="1" s="1"/>
  <c r="B227" i="1"/>
  <c r="C227" i="1"/>
  <c r="A228" i="1"/>
  <c r="G228" i="1" s="1"/>
  <c r="B228" i="1"/>
  <c r="C228" i="1"/>
  <c r="A229" i="1"/>
  <c r="G229" i="1" s="1"/>
  <c r="B229" i="1"/>
  <c r="C229" i="1"/>
  <c r="A230" i="1"/>
  <c r="G230" i="1" s="1"/>
  <c r="B230" i="1"/>
  <c r="C230" i="1"/>
  <c r="A231" i="1"/>
  <c r="G231" i="1" s="1"/>
  <c r="B231" i="1"/>
  <c r="C231" i="1"/>
  <c r="A232" i="1"/>
  <c r="G232" i="1" s="1"/>
  <c r="B232" i="1"/>
  <c r="C232" i="1"/>
  <c r="A233" i="1"/>
  <c r="G233" i="1" s="1"/>
  <c r="B233" i="1"/>
  <c r="C233" i="1"/>
  <c r="A234" i="1"/>
  <c r="G234" i="1" s="1"/>
  <c r="B234" i="1"/>
  <c r="J234" i="1" s="1"/>
  <c r="C234" i="1"/>
  <c r="A235" i="1"/>
  <c r="G235" i="1" s="1"/>
  <c r="B235" i="1"/>
  <c r="J235" i="1" s="1"/>
  <c r="C235" i="1"/>
  <c r="A236" i="1"/>
  <c r="G236" i="1" s="1"/>
  <c r="B236" i="1"/>
  <c r="C236" i="1"/>
  <c r="A237" i="1"/>
  <c r="G237" i="1" s="1"/>
  <c r="B237" i="1"/>
  <c r="C237" i="1"/>
  <c r="A238" i="1"/>
  <c r="G238" i="1" s="1"/>
  <c r="B238" i="1"/>
  <c r="J238" i="1" s="1"/>
  <c r="C238" i="1"/>
  <c r="A239" i="1"/>
  <c r="G239" i="1" s="1"/>
  <c r="B239" i="1"/>
  <c r="J239" i="1" s="1"/>
  <c r="C239" i="1"/>
  <c r="A240" i="1"/>
  <c r="G240" i="1" s="1"/>
  <c r="B240" i="1"/>
  <c r="C240" i="1"/>
  <c r="A241" i="1"/>
  <c r="G241" i="1" s="1"/>
  <c r="B241" i="1"/>
  <c r="C241" i="1"/>
  <c r="A242" i="1"/>
  <c r="G242" i="1" s="1"/>
  <c r="B242" i="1"/>
  <c r="C242" i="1"/>
  <c r="A243" i="1"/>
  <c r="G243" i="1" s="1"/>
  <c r="B243" i="1"/>
  <c r="C243" i="1"/>
  <c r="A244" i="1"/>
  <c r="G244" i="1" s="1"/>
  <c r="B244" i="1"/>
  <c r="C244" i="1"/>
  <c r="A245" i="1"/>
  <c r="G245" i="1" s="1"/>
  <c r="B245" i="1"/>
  <c r="C245" i="1"/>
  <c r="A246" i="1"/>
  <c r="G246" i="1" s="1"/>
  <c r="B246" i="1"/>
  <c r="C246" i="1"/>
  <c r="A247" i="1"/>
  <c r="G247" i="1" s="1"/>
  <c r="B247" i="1"/>
  <c r="C247" i="1"/>
  <c r="A248" i="1"/>
  <c r="G248" i="1" s="1"/>
  <c r="B248" i="1"/>
  <c r="C248" i="1"/>
  <c r="A249" i="1"/>
  <c r="G249" i="1" s="1"/>
  <c r="B249" i="1"/>
  <c r="C249" i="1"/>
  <c r="A250" i="1"/>
  <c r="G250" i="1" s="1"/>
  <c r="B250" i="1"/>
  <c r="C250" i="1"/>
  <c r="A251" i="1"/>
  <c r="G251" i="1" s="1"/>
  <c r="B251" i="1"/>
  <c r="J251" i="1" s="1"/>
  <c r="C251" i="1"/>
  <c r="A252" i="1"/>
  <c r="G252" i="1" s="1"/>
  <c r="B252" i="1"/>
  <c r="C252" i="1"/>
  <c r="B2" i="1"/>
  <c r="C2" i="1"/>
  <c r="A2" i="1"/>
  <c r="G2" i="1" s="1"/>
  <c r="M89" i="1"/>
  <c r="M10" i="1" l="1"/>
  <c r="M201" i="1"/>
  <c r="M15" i="1"/>
  <c r="M79" i="1"/>
  <c r="M31" i="1"/>
  <c r="M11" i="1"/>
  <c r="M127" i="1"/>
  <c r="M63" i="1"/>
  <c r="M95" i="1"/>
  <c r="M96" i="1"/>
  <c r="M27" i="1"/>
  <c r="M17" i="1"/>
  <c r="M81" i="1"/>
  <c r="M64" i="1"/>
  <c r="M48" i="1"/>
  <c r="M207" i="1"/>
  <c r="M91" i="1"/>
  <c r="M75" i="1"/>
  <c r="M111" i="1"/>
  <c r="M22" i="1"/>
  <c r="M43" i="1"/>
  <c r="M193" i="1"/>
  <c r="M150" i="1"/>
  <c r="M33" i="1"/>
  <c r="M209" i="1"/>
  <c r="M38" i="1"/>
  <c r="M143" i="1"/>
  <c r="D2" i="15"/>
  <c r="D3" i="15"/>
  <c r="M139" i="1"/>
  <c r="M94" i="1"/>
  <c r="M187" i="1"/>
  <c r="M14" i="1"/>
  <c r="M175" i="1"/>
  <c r="M155" i="1"/>
  <c r="M158" i="1"/>
  <c r="M46" i="1"/>
  <c r="M126" i="1"/>
  <c r="M238" i="1"/>
  <c r="M213" i="1"/>
  <c r="M30" i="1"/>
  <c r="M101" i="1"/>
  <c r="M74" i="1"/>
  <c r="M186" i="1"/>
  <c r="M223" i="1"/>
  <c r="M174" i="1"/>
  <c r="M110" i="1"/>
  <c r="M62" i="1"/>
  <c r="M235" i="1"/>
  <c r="M123" i="1"/>
  <c r="M234" i="1"/>
  <c r="M222" i="1"/>
  <c r="M171" i="1"/>
  <c r="M107" i="1"/>
  <c r="M59" i="1"/>
  <c r="M219" i="1"/>
  <c r="M168" i="1"/>
  <c r="M8" i="1"/>
  <c r="M217" i="1"/>
  <c r="M159" i="1"/>
  <c r="M97" i="1"/>
  <c r="M47" i="1"/>
  <c r="M206" i="1"/>
  <c r="M203" i="1"/>
  <c r="M142" i="1"/>
  <c r="M251" i="1"/>
  <c r="M191" i="1"/>
  <c r="M129" i="1"/>
  <c r="M78" i="1"/>
  <c r="M26" i="1"/>
  <c r="M138" i="1"/>
  <c r="M239" i="1"/>
  <c r="M190" i="1"/>
  <c r="D2" i="1"/>
  <c r="I2" i="1"/>
  <c r="M2" i="1"/>
  <c r="J2" i="1"/>
  <c r="M252" i="1"/>
  <c r="J252" i="1"/>
  <c r="I252" i="1"/>
  <c r="D251" i="1"/>
  <c r="I251" i="1"/>
  <c r="H251" i="1" s="1"/>
  <c r="M250" i="1"/>
  <c r="J250" i="1"/>
  <c r="I250" i="1"/>
  <c r="M249" i="1"/>
  <c r="J249" i="1"/>
  <c r="I249" i="1"/>
  <c r="M248" i="1"/>
  <c r="J248" i="1"/>
  <c r="D248" i="1"/>
  <c r="I248" i="1"/>
  <c r="M247" i="1"/>
  <c r="J247" i="1"/>
  <c r="I247" i="1"/>
  <c r="M246" i="1"/>
  <c r="J246" i="1"/>
  <c r="I246" i="1"/>
  <c r="M245" i="1"/>
  <c r="J245" i="1"/>
  <c r="I245" i="1"/>
  <c r="M244" i="1"/>
  <c r="J244" i="1"/>
  <c r="I244" i="1"/>
  <c r="M243" i="1"/>
  <c r="J243" i="1"/>
  <c r="I243" i="1"/>
  <c r="M242" i="1"/>
  <c r="J242" i="1"/>
  <c r="D242" i="1"/>
  <c r="I242" i="1"/>
  <c r="M241" i="1"/>
  <c r="J241" i="1"/>
  <c r="I241" i="1"/>
  <c r="M240" i="1"/>
  <c r="J240" i="1"/>
  <c r="I240" i="1"/>
  <c r="D239" i="1"/>
  <c r="I239" i="1"/>
  <c r="H239" i="1" s="1"/>
  <c r="I238" i="1"/>
  <c r="H238" i="1" s="1"/>
  <c r="M237" i="1"/>
  <c r="J237" i="1"/>
  <c r="I237" i="1"/>
  <c r="M236" i="1"/>
  <c r="J236" i="1"/>
  <c r="D236" i="1"/>
  <c r="I236" i="1"/>
  <c r="D235" i="1"/>
  <c r="I235" i="1"/>
  <c r="H235" i="1" s="1"/>
  <c r="I234" i="1"/>
  <c r="H234" i="1" s="1"/>
  <c r="M233" i="1"/>
  <c r="J233" i="1"/>
  <c r="I233" i="1"/>
  <c r="M232" i="1"/>
  <c r="J232" i="1"/>
  <c r="D232" i="1"/>
  <c r="I232" i="1"/>
  <c r="M231" i="1"/>
  <c r="J231" i="1"/>
  <c r="I231" i="1"/>
  <c r="M230" i="1"/>
  <c r="J230" i="1"/>
  <c r="I230" i="1"/>
  <c r="M229" i="1"/>
  <c r="J229" i="1"/>
  <c r="I229" i="1"/>
  <c r="M228" i="1"/>
  <c r="J228" i="1"/>
  <c r="I228" i="1"/>
  <c r="M227" i="1"/>
  <c r="J227" i="1"/>
  <c r="I227" i="1"/>
  <c r="M226" i="1"/>
  <c r="J226" i="1"/>
  <c r="D226" i="1"/>
  <c r="I226" i="1"/>
  <c r="M225" i="1"/>
  <c r="J225" i="1"/>
  <c r="I225" i="1"/>
  <c r="M224" i="1"/>
  <c r="J224" i="1"/>
  <c r="I224" i="1"/>
  <c r="D223" i="1"/>
  <c r="I223" i="1"/>
  <c r="H223" i="1" s="1"/>
  <c r="I222" i="1"/>
  <c r="H222" i="1" s="1"/>
  <c r="M221" i="1"/>
  <c r="J221" i="1"/>
  <c r="I221" i="1"/>
  <c r="M220" i="1"/>
  <c r="J220" i="1"/>
  <c r="D220" i="1"/>
  <c r="I220" i="1"/>
  <c r="D219" i="1"/>
  <c r="I219" i="1"/>
  <c r="H219" i="1" s="1"/>
  <c r="M218" i="1"/>
  <c r="J218" i="1"/>
  <c r="I218" i="1"/>
  <c r="I217" i="1"/>
  <c r="H217" i="1" s="1"/>
  <c r="M216" i="1"/>
  <c r="J216" i="1"/>
  <c r="D216" i="1"/>
  <c r="I216" i="1"/>
  <c r="M215" i="1"/>
  <c r="J215" i="1"/>
  <c r="I215" i="1"/>
  <c r="M214" i="1"/>
  <c r="J214" i="1"/>
  <c r="I214" i="1"/>
  <c r="I213" i="1"/>
  <c r="H213" i="1" s="1"/>
  <c r="M212" i="1"/>
  <c r="J212" i="1"/>
  <c r="I212" i="1"/>
  <c r="M211" i="1"/>
  <c r="J211" i="1"/>
  <c r="I211" i="1"/>
  <c r="M210" i="1"/>
  <c r="J210" i="1"/>
  <c r="I210" i="1"/>
  <c r="D210" i="1"/>
  <c r="I209" i="1"/>
  <c r="H209" i="1" s="1"/>
  <c r="M208" i="1"/>
  <c r="J208" i="1"/>
  <c r="I208" i="1"/>
  <c r="D207" i="1"/>
  <c r="I207" i="1"/>
  <c r="H207" i="1" s="1"/>
  <c r="I206" i="1"/>
  <c r="H206" i="1" s="1"/>
  <c r="M205" i="1"/>
  <c r="J205" i="1"/>
  <c r="I205" i="1"/>
  <c r="M204" i="1"/>
  <c r="J204" i="1"/>
  <c r="D204" i="1"/>
  <c r="I204" i="1"/>
  <c r="D203" i="1"/>
  <c r="I203" i="1"/>
  <c r="H203" i="1" s="1"/>
  <c r="M202" i="1"/>
  <c r="J202" i="1"/>
  <c r="I202" i="1"/>
  <c r="I201" i="1"/>
  <c r="H201" i="1" s="1"/>
  <c r="D201" i="1"/>
  <c r="M200" i="1"/>
  <c r="J200" i="1"/>
  <c r="D200" i="1"/>
  <c r="I200" i="1"/>
  <c r="M199" i="1"/>
  <c r="J199" i="1"/>
  <c r="I199" i="1"/>
  <c r="M198" i="1"/>
  <c r="J198" i="1"/>
  <c r="I198" i="1"/>
  <c r="M197" i="1"/>
  <c r="J197" i="1"/>
  <c r="I197" i="1"/>
  <c r="M196" i="1"/>
  <c r="J196" i="1"/>
  <c r="I196" i="1"/>
  <c r="M195" i="1"/>
  <c r="J195" i="1"/>
  <c r="D195" i="1"/>
  <c r="I195" i="1"/>
  <c r="M194" i="1"/>
  <c r="J194" i="1"/>
  <c r="I194" i="1"/>
  <c r="I193" i="1"/>
  <c r="H193" i="1" s="1"/>
  <c r="M192" i="1"/>
  <c r="J192" i="1"/>
  <c r="I192" i="1"/>
  <c r="D191" i="1"/>
  <c r="I191" i="1"/>
  <c r="H191" i="1" s="1"/>
  <c r="I190" i="1"/>
  <c r="H190" i="1" s="1"/>
  <c r="M189" i="1"/>
  <c r="J189" i="1"/>
  <c r="I189" i="1"/>
  <c r="M188" i="1"/>
  <c r="J188" i="1"/>
  <c r="D188" i="1"/>
  <c r="I188" i="1"/>
  <c r="D187" i="1"/>
  <c r="I187" i="1"/>
  <c r="H187" i="1" s="1"/>
  <c r="I186" i="1"/>
  <c r="H186" i="1" s="1"/>
  <c r="M185" i="1"/>
  <c r="J185" i="1"/>
  <c r="I185" i="1"/>
  <c r="M184" i="1"/>
  <c r="J184" i="1"/>
  <c r="D184" i="1"/>
  <c r="I184" i="1"/>
  <c r="M183" i="1"/>
  <c r="J183" i="1"/>
  <c r="I183" i="1"/>
  <c r="M182" i="1"/>
  <c r="J182" i="1"/>
  <c r="I182" i="1"/>
  <c r="M181" i="1"/>
  <c r="J181" i="1"/>
  <c r="I181" i="1"/>
  <c r="M180" i="1"/>
  <c r="J180" i="1"/>
  <c r="I180" i="1"/>
  <c r="M179" i="1"/>
  <c r="J179" i="1"/>
  <c r="I179" i="1"/>
  <c r="M178" i="1"/>
  <c r="J178" i="1"/>
  <c r="I178" i="1"/>
  <c r="M177" i="1"/>
  <c r="J177" i="1"/>
  <c r="I177" i="1"/>
  <c r="M176" i="1"/>
  <c r="J176" i="1"/>
  <c r="I176" i="1"/>
  <c r="D175" i="1"/>
  <c r="I175" i="1"/>
  <c r="H175" i="1" s="1"/>
  <c r="I174" i="1"/>
  <c r="H174" i="1" s="1"/>
  <c r="M173" i="1"/>
  <c r="J173" i="1"/>
  <c r="I173" i="1"/>
  <c r="M172" i="1"/>
  <c r="J172" i="1"/>
  <c r="D172" i="1"/>
  <c r="I172" i="1"/>
  <c r="D171" i="1"/>
  <c r="I171" i="1"/>
  <c r="H171" i="1" s="1"/>
  <c r="M170" i="1"/>
  <c r="J170" i="1"/>
  <c r="I170" i="1"/>
  <c r="M169" i="1"/>
  <c r="J169" i="1"/>
  <c r="I169" i="1"/>
  <c r="D168" i="1"/>
  <c r="I168" i="1"/>
  <c r="H168" i="1" s="1"/>
  <c r="M167" i="1"/>
  <c r="J167" i="1"/>
  <c r="I167" i="1"/>
  <c r="M166" i="1"/>
  <c r="J166" i="1"/>
  <c r="I166" i="1"/>
  <c r="M165" i="1"/>
  <c r="J165" i="1"/>
  <c r="I165" i="1"/>
  <c r="M164" i="1"/>
  <c r="J164" i="1"/>
  <c r="I164" i="1"/>
  <c r="M163" i="1"/>
  <c r="J163" i="1"/>
  <c r="I163" i="1"/>
  <c r="M162" i="1"/>
  <c r="J162" i="1"/>
  <c r="I162" i="1"/>
  <c r="M161" i="1"/>
  <c r="J161" i="1"/>
  <c r="I161" i="1"/>
  <c r="M160" i="1"/>
  <c r="J160" i="1"/>
  <c r="I160" i="1"/>
  <c r="D159" i="1"/>
  <c r="I159" i="1"/>
  <c r="H159" i="1" s="1"/>
  <c r="I158" i="1"/>
  <c r="H158" i="1" s="1"/>
  <c r="M157" i="1"/>
  <c r="J157" i="1"/>
  <c r="I157" i="1"/>
  <c r="M156" i="1"/>
  <c r="J156" i="1"/>
  <c r="D156" i="1"/>
  <c r="I156" i="1"/>
  <c r="D155" i="1"/>
  <c r="I155" i="1"/>
  <c r="H155" i="1" s="1"/>
  <c r="M154" i="1"/>
  <c r="J154" i="1"/>
  <c r="I154" i="1"/>
  <c r="M153" i="1"/>
  <c r="J153" i="1"/>
  <c r="I153" i="1"/>
  <c r="M152" i="1"/>
  <c r="J152" i="1"/>
  <c r="D152" i="1"/>
  <c r="I152" i="1"/>
  <c r="M151" i="1"/>
  <c r="J151" i="1"/>
  <c r="I151" i="1"/>
  <c r="I150" i="1"/>
  <c r="H150" i="1" s="1"/>
  <c r="M149" i="1"/>
  <c r="J149" i="1"/>
  <c r="I149" i="1"/>
  <c r="M148" i="1"/>
  <c r="J148" i="1"/>
  <c r="I148" i="1"/>
  <c r="M147" i="1"/>
  <c r="J147" i="1"/>
  <c r="I147" i="1"/>
  <c r="M146" i="1"/>
  <c r="J146" i="1"/>
  <c r="D146" i="1"/>
  <c r="I146" i="1"/>
  <c r="M145" i="1"/>
  <c r="J145" i="1"/>
  <c r="I145" i="1"/>
  <c r="M144" i="1"/>
  <c r="J144" i="1"/>
  <c r="I144" i="1"/>
  <c r="D143" i="1"/>
  <c r="I143" i="1"/>
  <c r="H143" i="1" s="1"/>
  <c r="I142" i="1"/>
  <c r="H142" i="1" s="1"/>
  <c r="M141" i="1"/>
  <c r="J141" i="1"/>
  <c r="I141" i="1"/>
  <c r="M140" i="1"/>
  <c r="J140" i="1"/>
  <c r="D140" i="1"/>
  <c r="I140" i="1"/>
  <c r="D139" i="1"/>
  <c r="I139" i="1"/>
  <c r="H139" i="1" s="1"/>
  <c r="I138" i="1"/>
  <c r="H138" i="1" s="1"/>
  <c r="M137" i="1"/>
  <c r="J137" i="1"/>
  <c r="I137" i="1"/>
  <c r="D137" i="1"/>
  <c r="M136" i="1"/>
  <c r="J136" i="1"/>
  <c r="D136" i="1"/>
  <c r="I136" i="1"/>
  <c r="M135" i="1"/>
  <c r="J135" i="1"/>
  <c r="I135" i="1"/>
  <c r="D135" i="1"/>
  <c r="M134" i="1"/>
  <c r="J134" i="1"/>
  <c r="I134" i="1"/>
  <c r="M133" i="1"/>
  <c r="J133" i="1"/>
  <c r="I133" i="1"/>
  <c r="M132" i="1"/>
  <c r="J132" i="1"/>
  <c r="I132" i="1"/>
  <c r="M131" i="1"/>
  <c r="J131" i="1"/>
  <c r="D131" i="1"/>
  <c r="I131" i="1"/>
  <c r="M130" i="1"/>
  <c r="J130" i="1"/>
  <c r="D130" i="1"/>
  <c r="I130" i="1"/>
  <c r="I129" i="1"/>
  <c r="H129" i="1" s="1"/>
  <c r="M128" i="1"/>
  <c r="J128" i="1"/>
  <c r="D128" i="1"/>
  <c r="I128" i="1"/>
  <c r="D127" i="1"/>
  <c r="I127" i="1"/>
  <c r="H127" i="1" s="1"/>
  <c r="I126" i="1"/>
  <c r="H126" i="1" s="1"/>
  <c r="M125" i="1"/>
  <c r="J125" i="1"/>
  <c r="I125" i="1"/>
  <c r="M124" i="1"/>
  <c r="J124" i="1"/>
  <c r="D124" i="1"/>
  <c r="I124" i="1"/>
  <c r="D123" i="1"/>
  <c r="I123" i="1"/>
  <c r="H123" i="1" s="1"/>
  <c r="M122" i="1"/>
  <c r="J122" i="1"/>
  <c r="I122" i="1"/>
  <c r="M121" i="1"/>
  <c r="J121" i="1"/>
  <c r="D121" i="1"/>
  <c r="I121" i="1"/>
  <c r="M120" i="1"/>
  <c r="J120" i="1"/>
  <c r="D120" i="1"/>
  <c r="I120" i="1"/>
  <c r="M119" i="1"/>
  <c r="J119" i="1"/>
  <c r="D119" i="1"/>
  <c r="I119" i="1"/>
  <c r="M118" i="1"/>
  <c r="J118" i="1"/>
  <c r="I118" i="1"/>
  <c r="M117" i="1"/>
  <c r="J117" i="1"/>
  <c r="I117" i="1"/>
  <c r="M116" i="1"/>
  <c r="J116" i="1"/>
  <c r="I116" i="1"/>
  <c r="M115" i="1"/>
  <c r="J115" i="1"/>
  <c r="D115" i="1"/>
  <c r="I115" i="1"/>
  <c r="M114" i="1"/>
  <c r="J114" i="1"/>
  <c r="D114" i="1"/>
  <c r="I114" i="1"/>
  <c r="M113" i="1"/>
  <c r="J113" i="1"/>
  <c r="I113" i="1"/>
  <c r="M112" i="1"/>
  <c r="J112" i="1"/>
  <c r="D112" i="1"/>
  <c r="I112" i="1"/>
  <c r="D111" i="1"/>
  <c r="I111" i="1"/>
  <c r="H111" i="1" s="1"/>
  <c r="I110" i="1"/>
  <c r="H110" i="1" s="1"/>
  <c r="M109" i="1"/>
  <c r="J109" i="1"/>
  <c r="I109" i="1"/>
  <c r="M108" i="1"/>
  <c r="J108" i="1"/>
  <c r="D108" i="1"/>
  <c r="I108" i="1"/>
  <c r="D107" i="1"/>
  <c r="I107" i="1"/>
  <c r="H107" i="1" s="1"/>
  <c r="M106" i="1"/>
  <c r="J106" i="1"/>
  <c r="I106" i="1"/>
  <c r="M105" i="1"/>
  <c r="J105" i="1"/>
  <c r="D105" i="1"/>
  <c r="I105" i="1"/>
  <c r="M104" i="1"/>
  <c r="J104" i="1"/>
  <c r="D104" i="1"/>
  <c r="I104" i="1"/>
  <c r="M103" i="1"/>
  <c r="J103" i="1"/>
  <c r="D103" i="1"/>
  <c r="I103" i="1"/>
  <c r="M102" i="1"/>
  <c r="J102" i="1"/>
  <c r="I102" i="1"/>
  <c r="I101" i="1"/>
  <c r="H101" i="1" s="1"/>
  <c r="M100" i="1"/>
  <c r="J100" i="1"/>
  <c r="I100" i="1"/>
  <c r="M99" i="1"/>
  <c r="J99" i="1"/>
  <c r="I99" i="1"/>
  <c r="M98" i="1"/>
  <c r="J98" i="1"/>
  <c r="D98" i="1"/>
  <c r="I98" i="1"/>
  <c r="I97" i="1"/>
  <c r="H97" i="1" s="1"/>
  <c r="D96" i="1"/>
  <c r="I96" i="1"/>
  <c r="H96" i="1" s="1"/>
  <c r="D95" i="1"/>
  <c r="I95" i="1"/>
  <c r="H95" i="1" s="1"/>
  <c r="I94" i="1"/>
  <c r="H94" i="1" s="1"/>
  <c r="M93" i="1"/>
  <c r="J93" i="1"/>
  <c r="I93" i="1"/>
  <c r="M92" i="1"/>
  <c r="J92" i="1"/>
  <c r="D92" i="1"/>
  <c r="I92" i="1"/>
  <c r="D91" i="1"/>
  <c r="I91" i="1"/>
  <c r="H91" i="1" s="1"/>
  <c r="M90" i="1"/>
  <c r="J90" i="1"/>
  <c r="I90" i="1"/>
  <c r="D89" i="1"/>
  <c r="I89" i="1"/>
  <c r="H89" i="1" s="1"/>
  <c r="M88" i="1"/>
  <c r="J88" i="1"/>
  <c r="D88" i="1"/>
  <c r="I88" i="1"/>
  <c r="M87" i="1"/>
  <c r="J87" i="1"/>
  <c r="D87" i="1"/>
  <c r="I87" i="1"/>
  <c r="I86" i="1"/>
  <c r="H86" i="1" s="1"/>
  <c r="M85" i="1"/>
  <c r="J85" i="1"/>
  <c r="I85" i="1"/>
  <c r="M84" i="1"/>
  <c r="J84" i="1"/>
  <c r="I84" i="1"/>
  <c r="M83" i="1"/>
  <c r="J83" i="1"/>
  <c r="I83" i="1"/>
  <c r="M82" i="1"/>
  <c r="J82" i="1"/>
  <c r="D82" i="1"/>
  <c r="I82" i="1"/>
  <c r="I81" i="1"/>
  <c r="H81" i="1" s="1"/>
  <c r="M80" i="1"/>
  <c r="J80" i="1"/>
  <c r="D80" i="1"/>
  <c r="I80" i="1"/>
  <c r="D79" i="1"/>
  <c r="I79" i="1"/>
  <c r="H79" i="1" s="1"/>
  <c r="I78" i="1"/>
  <c r="H78" i="1" s="1"/>
  <c r="M77" i="1"/>
  <c r="J77" i="1"/>
  <c r="I77" i="1"/>
  <c r="M76" i="1"/>
  <c r="J76" i="1"/>
  <c r="D76" i="1"/>
  <c r="I76" i="1"/>
  <c r="D75" i="1"/>
  <c r="I75" i="1"/>
  <c r="H75" i="1" s="1"/>
  <c r="I74" i="1"/>
  <c r="H74" i="1" s="1"/>
  <c r="M73" i="1"/>
  <c r="J73" i="1"/>
  <c r="I73" i="1"/>
  <c r="D73" i="1"/>
  <c r="M72" i="1"/>
  <c r="J72" i="1"/>
  <c r="D72" i="1"/>
  <c r="I72" i="1"/>
  <c r="M71" i="1"/>
  <c r="J71" i="1"/>
  <c r="I71" i="1"/>
  <c r="M70" i="1"/>
  <c r="J70" i="1"/>
  <c r="I70" i="1"/>
  <c r="M69" i="1"/>
  <c r="J69" i="1"/>
  <c r="I69" i="1"/>
  <c r="M68" i="1"/>
  <c r="J68" i="1"/>
  <c r="I68" i="1"/>
  <c r="M67" i="1"/>
  <c r="J67" i="1"/>
  <c r="I67" i="1"/>
  <c r="D67" i="1"/>
  <c r="M66" i="1"/>
  <c r="J66" i="1"/>
  <c r="I66" i="1"/>
  <c r="M65" i="1"/>
  <c r="J65" i="1"/>
  <c r="I65" i="1"/>
  <c r="D64" i="1"/>
  <c r="I64" i="1"/>
  <c r="H64" i="1" s="1"/>
  <c r="D63" i="1"/>
  <c r="I63" i="1"/>
  <c r="H63" i="1" s="1"/>
  <c r="I62" i="1"/>
  <c r="H62" i="1" s="1"/>
  <c r="M61" i="1"/>
  <c r="J61" i="1"/>
  <c r="I61" i="1"/>
  <c r="M60" i="1"/>
  <c r="J60" i="1"/>
  <c r="D60" i="1"/>
  <c r="I60" i="1"/>
  <c r="D59" i="1"/>
  <c r="I59" i="1"/>
  <c r="H59" i="1" s="1"/>
  <c r="M58" i="1"/>
  <c r="J58" i="1"/>
  <c r="I58" i="1"/>
  <c r="M57" i="1"/>
  <c r="J57" i="1"/>
  <c r="D57" i="1"/>
  <c r="I57" i="1"/>
  <c r="M56" i="1"/>
  <c r="J56" i="1"/>
  <c r="D56" i="1"/>
  <c r="I56" i="1"/>
  <c r="M55" i="1"/>
  <c r="J55" i="1"/>
  <c r="D55" i="1"/>
  <c r="I55" i="1"/>
  <c r="I54" i="1"/>
  <c r="H54" i="1" s="1"/>
  <c r="M53" i="1"/>
  <c r="J53" i="1"/>
  <c r="I53" i="1"/>
  <c r="M52" i="1"/>
  <c r="J52" i="1"/>
  <c r="I52" i="1"/>
  <c r="M51" i="1"/>
  <c r="J51" i="1"/>
  <c r="D51" i="1"/>
  <c r="I51" i="1"/>
  <c r="M50" i="1"/>
  <c r="J50" i="1"/>
  <c r="I50" i="1"/>
  <c r="M49" i="1"/>
  <c r="J49" i="1"/>
  <c r="I49" i="1"/>
  <c r="D48" i="1"/>
  <c r="I48" i="1"/>
  <c r="H48" i="1" s="1"/>
  <c r="D47" i="1"/>
  <c r="I47" i="1"/>
  <c r="H47" i="1" s="1"/>
  <c r="I46" i="1"/>
  <c r="H46" i="1" s="1"/>
  <c r="M45" i="1"/>
  <c r="J45" i="1"/>
  <c r="I45" i="1"/>
  <c r="M44" i="1"/>
  <c r="J44" i="1"/>
  <c r="D44" i="1"/>
  <c r="I44" i="1"/>
  <c r="D43" i="1"/>
  <c r="I43" i="1"/>
  <c r="H43" i="1" s="1"/>
  <c r="M42" i="1"/>
  <c r="J42" i="1"/>
  <c r="I42" i="1"/>
  <c r="M41" i="1"/>
  <c r="J41" i="1"/>
  <c r="D41" i="1"/>
  <c r="I41" i="1"/>
  <c r="M40" i="1"/>
  <c r="J40" i="1"/>
  <c r="D40" i="1"/>
  <c r="I40" i="1"/>
  <c r="M39" i="1"/>
  <c r="J39" i="1"/>
  <c r="D39" i="1"/>
  <c r="I39" i="1"/>
  <c r="I38" i="1"/>
  <c r="H38" i="1" s="1"/>
  <c r="M37" i="1"/>
  <c r="J37" i="1"/>
  <c r="I37" i="1"/>
  <c r="M36" i="1"/>
  <c r="J36" i="1"/>
  <c r="I36" i="1"/>
  <c r="M35" i="1"/>
  <c r="J35" i="1"/>
  <c r="I35" i="1"/>
  <c r="M34" i="1"/>
  <c r="J34" i="1"/>
  <c r="I34" i="1"/>
  <c r="I33" i="1"/>
  <c r="H33" i="1" s="1"/>
  <c r="M32" i="1"/>
  <c r="J32" i="1"/>
  <c r="D32" i="1"/>
  <c r="I32" i="1"/>
  <c r="D31" i="1"/>
  <c r="I31" i="1"/>
  <c r="H31" i="1" s="1"/>
  <c r="I30" i="1"/>
  <c r="H30" i="1" s="1"/>
  <c r="M29" i="1"/>
  <c r="J29" i="1"/>
  <c r="I29" i="1"/>
  <c r="M28" i="1"/>
  <c r="J28" i="1"/>
  <c r="D28" i="1"/>
  <c r="I28" i="1"/>
  <c r="D27" i="1"/>
  <c r="I27" i="1"/>
  <c r="H27" i="1" s="1"/>
  <c r="I26" i="1"/>
  <c r="H26" i="1" s="1"/>
  <c r="M25" i="1"/>
  <c r="J25" i="1"/>
  <c r="D25" i="1"/>
  <c r="I25" i="1"/>
  <c r="M24" i="1"/>
  <c r="J24" i="1"/>
  <c r="I24" i="1"/>
  <c r="M23" i="1"/>
  <c r="J23" i="1"/>
  <c r="I23" i="1"/>
  <c r="I22" i="1"/>
  <c r="H22" i="1" s="1"/>
  <c r="M21" i="1"/>
  <c r="J21" i="1"/>
  <c r="I21" i="1"/>
  <c r="M20" i="1"/>
  <c r="J20" i="1"/>
  <c r="I20" i="1"/>
  <c r="M19" i="1"/>
  <c r="J19" i="1"/>
  <c r="I19" i="1"/>
  <c r="M18" i="1"/>
  <c r="J18" i="1"/>
  <c r="I18" i="1"/>
  <c r="I17" i="1"/>
  <c r="H17" i="1" s="1"/>
  <c r="M16" i="1"/>
  <c r="J16" i="1"/>
  <c r="D16" i="1"/>
  <c r="I16" i="1"/>
  <c r="D15" i="1"/>
  <c r="I15" i="1"/>
  <c r="H15" i="1" s="1"/>
  <c r="I14" i="1"/>
  <c r="H14" i="1" s="1"/>
  <c r="M13" i="1"/>
  <c r="J13" i="1"/>
  <c r="I13" i="1"/>
  <c r="M12" i="1"/>
  <c r="J12" i="1"/>
  <c r="D12" i="1"/>
  <c r="I12" i="1"/>
  <c r="D11" i="1"/>
  <c r="I11" i="1"/>
  <c r="H11" i="1" s="1"/>
  <c r="I10" i="1"/>
  <c r="H10" i="1" s="1"/>
  <c r="M9" i="1"/>
  <c r="J9" i="1"/>
  <c r="D9" i="1"/>
  <c r="I9" i="1"/>
  <c r="I8" i="1"/>
  <c r="H8" i="1" s="1"/>
  <c r="M7" i="1"/>
  <c r="J7" i="1"/>
  <c r="D7" i="1"/>
  <c r="I7" i="1"/>
  <c r="I6" i="1"/>
  <c r="H6" i="1" s="1"/>
  <c r="M5" i="1"/>
  <c r="J5" i="1"/>
  <c r="I5" i="1"/>
  <c r="M4" i="1"/>
  <c r="J4" i="1"/>
  <c r="I4" i="1"/>
  <c r="M3" i="1"/>
  <c r="J3" i="1"/>
  <c r="I3" i="1"/>
  <c r="D3" i="1"/>
  <c r="D250" i="1"/>
  <c r="D234" i="1"/>
  <c r="D218" i="1"/>
  <c r="D202" i="1"/>
  <c r="D186" i="1"/>
  <c r="D170" i="1"/>
  <c r="D154" i="1"/>
  <c r="D138" i="1"/>
  <c r="D122" i="1"/>
  <c r="D106" i="1"/>
  <c r="D90" i="1"/>
  <c r="D74" i="1"/>
  <c r="D58" i="1"/>
  <c r="D42" i="1"/>
  <c r="D26" i="1"/>
  <c r="D10" i="1"/>
  <c r="D199" i="1"/>
  <c r="D66" i="1"/>
  <c r="D194" i="1"/>
  <c r="D224" i="1"/>
  <c r="D176" i="1"/>
  <c r="D144" i="1"/>
  <c r="D244" i="1"/>
  <c r="D249" i="1"/>
  <c r="D185" i="1"/>
  <c r="D208" i="1"/>
  <c r="D247" i="1"/>
  <c r="D183" i="1"/>
  <c r="D50" i="1"/>
  <c r="D240" i="1"/>
  <c r="D192" i="1"/>
  <c r="D243" i="1"/>
  <c r="D179" i="1"/>
  <c r="D178" i="1"/>
  <c r="D233" i="1"/>
  <c r="D169" i="1"/>
  <c r="D35" i="1"/>
  <c r="D160" i="1"/>
  <c r="D231" i="1"/>
  <c r="D163" i="1"/>
  <c r="D99" i="1"/>
  <c r="D34" i="1"/>
  <c r="D227" i="1"/>
  <c r="D162" i="1"/>
  <c r="D153" i="1"/>
  <c r="D19" i="1"/>
  <c r="D252" i="1"/>
  <c r="D225" i="1"/>
  <c r="D193" i="1"/>
  <c r="D177" i="1"/>
  <c r="D145" i="1"/>
  <c r="D129" i="1"/>
  <c r="D81" i="1"/>
  <c r="D65" i="1"/>
  <c r="D49" i="1"/>
  <c r="D33" i="1"/>
  <c r="D17" i="1"/>
  <c r="D167" i="1"/>
  <c r="D71" i="1"/>
  <c r="D23" i="1"/>
  <c r="D217" i="1"/>
  <c r="D151" i="1"/>
  <c r="D18" i="1"/>
  <c r="D209" i="1"/>
  <c r="D161" i="1"/>
  <c r="D113" i="1"/>
  <c r="D97" i="1"/>
  <c r="D246" i="1"/>
  <c r="D230" i="1"/>
  <c r="D214" i="1"/>
  <c r="D215" i="1"/>
  <c r="D147" i="1"/>
  <c r="D83" i="1"/>
  <c r="D211" i="1"/>
  <c r="M86" i="1"/>
  <c r="D241" i="1"/>
  <c r="M6" i="1"/>
  <c r="D238" i="1"/>
  <c r="D222" i="1"/>
  <c r="D206" i="1"/>
  <c r="D190" i="1"/>
  <c r="D174" i="1"/>
  <c r="D158" i="1"/>
  <c r="D142" i="1"/>
  <c r="D126" i="1"/>
  <c r="D110" i="1"/>
  <c r="D94" i="1"/>
  <c r="D78" i="1"/>
  <c r="D62" i="1"/>
  <c r="D46" i="1"/>
  <c r="D30" i="1"/>
  <c r="D14" i="1"/>
  <c r="M54" i="1"/>
  <c r="D237" i="1"/>
  <c r="D221" i="1"/>
  <c r="D205" i="1"/>
  <c r="D189" i="1"/>
  <c r="D173" i="1"/>
  <c r="D157" i="1"/>
  <c r="D141" i="1"/>
  <c r="D125" i="1"/>
  <c r="D109" i="1"/>
  <c r="D93" i="1"/>
  <c r="D77" i="1"/>
  <c r="D61" i="1"/>
  <c r="D45" i="1"/>
  <c r="D29" i="1"/>
  <c r="D13" i="1"/>
  <c r="D24" i="1"/>
  <c r="D8" i="1"/>
  <c r="D198" i="1"/>
  <c r="D182" i="1"/>
  <c r="D166" i="1"/>
  <c r="D150" i="1"/>
  <c r="D134" i="1"/>
  <c r="D118" i="1"/>
  <c r="D102" i="1"/>
  <c r="D86" i="1"/>
  <c r="D70" i="1"/>
  <c r="D54" i="1"/>
  <c r="D38" i="1"/>
  <c r="D22" i="1"/>
  <c r="D6" i="1"/>
  <c r="D245" i="1"/>
  <c r="D229" i="1"/>
  <c r="D213" i="1"/>
  <c r="D197" i="1"/>
  <c r="D181" i="1"/>
  <c r="D165" i="1"/>
  <c r="D149" i="1"/>
  <c r="D133" i="1"/>
  <c r="D117" i="1"/>
  <c r="D101" i="1"/>
  <c r="D85" i="1"/>
  <c r="D69" i="1"/>
  <c r="D53" i="1"/>
  <c r="D37" i="1"/>
  <c r="D21" i="1"/>
  <c r="D5" i="1"/>
  <c r="D228" i="1"/>
  <c r="D212" i="1"/>
  <c r="D196" i="1"/>
  <c r="D180" i="1"/>
  <c r="D164" i="1"/>
  <c r="D148" i="1"/>
  <c r="D132" i="1"/>
  <c r="D116" i="1"/>
  <c r="D100" i="1"/>
  <c r="D84" i="1"/>
  <c r="D68" i="1"/>
  <c r="D52" i="1"/>
  <c r="D36" i="1"/>
  <c r="D20" i="1"/>
  <c r="D4" i="1"/>
  <c r="H13" i="1" l="1"/>
  <c r="H128" i="1"/>
  <c r="H67" i="1"/>
  <c r="H113" i="1"/>
  <c r="H122" i="1"/>
  <c r="H202" i="1"/>
  <c r="H57" i="1"/>
  <c r="H80" i="1"/>
  <c r="H119" i="1"/>
  <c r="H130" i="1"/>
  <c r="H140" i="1"/>
  <c r="H146" i="1"/>
  <c r="H216" i="1"/>
  <c r="H23" i="1"/>
  <c r="H52" i="1"/>
  <c r="H104" i="1"/>
  <c r="H124" i="1"/>
  <c r="H157" i="1"/>
  <c r="H228" i="1"/>
  <c r="H184" i="1"/>
  <c r="H72" i="1"/>
  <c r="H167" i="1"/>
  <c r="H179" i="1"/>
  <c r="H12" i="1"/>
  <c r="H134" i="1"/>
  <c r="H151" i="1"/>
  <c r="H221" i="1"/>
  <c r="H227" i="1"/>
  <c r="H169" i="1"/>
  <c r="H233" i="1"/>
  <c r="H240" i="1"/>
  <c r="H245" i="1"/>
  <c r="H250" i="1"/>
  <c r="H247" i="1"/>
  <c r="H220" i="1"/>
  <c r="H226" i="1"/>
  <c r="H44" i="1"/>
  <c r="H133" i="1"/>
  <c r="H208" i="1"/>
  <c r="H237" i="1"/>
  <c r="H243" i="1"/>
  <c r="H244" i="1"/>
  <c r="H83" i="1"/>
  <c r="H106" i="1"/>
  <c r="H84" i="1"/>
  <c r="H163" i="1"/>
  <c r="H76" i="1"/>
  <c r="H152" i="1"/>
  <c r="H204" i="1"/>
  <c r="H4" i="1"/>
  <c r="H29" i="1"/>
  <c r="H69" i="1"/>
  <c r="H37" i="1"/>
  <c r="H42" i="1"/>
  <c r="H93" i="1"/>
  <c r="H100" i="1"/>
  <c r="H165" i="1"/>
  <c r="H177" i="1"/>
  <c r="H252" i="1"/>
  <c r="H18" i="1"/>
  <c r="H24" i="1"/>
  <c r="H53" i="1"/>
  <c r="H58" i="1"/>
  <c r="H141" i="1"/>
  <c r="H147" i="1"/>
  <c r="H170" i="1"/>
  <c r="H224" i="1"/>
  <c r="H229" i="1"/>
  <c r="H241" i="1"/>
  <c r="H246" i="1"/>
  <c r="H120" i="1"/>
  <c r="H131" i="1"/>
  <c r="H65" i="1"/>
  <c r="H82" i="1"/>
  <c r="H105" i="1"/>
  <c r="H32" i="1"/>
  <c r="H55" i="1"/>
  <c r="H112" i="1"/>
  <c r="H121" i="1"/>
  <c r="H7" i="1"/>
  <c r="H60" i="1"/>
  <c r="H166" i="1"/>
  <c r="H172" i="1"/>
  <c r="H178" i="1"/>
  <c r="H189" i="1"/>
  <c r="K2" i="1"/>
  <c r="H9" i="1"/>
  <c r="H28" i="1"/>
  <c r="H40" i="1"/>
  <c r="H108" i="1"/>
  <c r="H20" i="1"/>
  <c r="H39" i="1"/>
  <c r="H50" i="1"/>
  <c r="H77" i="1"/>
  <c r="H102" i="1"/>
  <c r="H117" i="1"/>
  <c r="H137" i="1"/>
  <c r="H144" i="1"/>
  <c r="H149" i="1"/>
  <c r="H161" i="1"/>
  <c r="H196" i="1"/>
  <c r="H214" i="1"/>
  <c r="H231" i="1"/>
  <c r="H248" i="1"/>
  <c r="H56" i="1"/>
  <c r="H21" i="1"/>
  <c r="H34" i="1"/>
  <c r="H51" i="1"/>
  <c r="H61" i="1"/>
  <c r="H90" i="1"/>
  <c r="H103" i="1"/>
  <c r="H118" i="1"/>
  <c r="H145" i="1"/>
  <c r="H156" i="1"/>
  <c r="H162" i="1"/>
  <c r="H173" i="1"/>
  <c r="H197" i="1"/>
  <c r="H215" i="1"/>
  <c r="H232" i="1"/>
  <c r="H249" i="1"/>
  <c r="H3" i="1"/>
  <c r="H16" i="1"/>
  <c r="H45" i="1"/>
  <c r="H68" i="1"/>
  <c r="H85" i="1"/>
  <c r="H98" i="1"/>
  <c r="H114" i="1"/>
  <c r="H180" i="1"/>
  <c r="H185" i="1"/>
  <c r="H192" i="1"/>
  <c r="H35" i="1"/>
  <c r="H73" i="1"/>
  <c r="H198" i="1"/>
  <c r="H210" i="1"/>
  <c r="H41" i="1"/>
  <c r="H92" i="1"/>
  <c r="H109" i="1"/>
  <c r="H135" i="1"/>
  <c r="H181" i="1"/>
  <c r="H36" i="1"/>
  <c r="H87" i="1"/>
  <c r="H99" i="1"/>
  <c r="H115" i="1"/>
  <c r="H164" i="1"/>
  <c r="H176" i="1"/>
  <c r="H194" i="1"/>
  <c r="H199" i="1"/>
  <c r="H211" i="1"/>
  <c r="H5" i="1"/>
  <c r="H70" i="1"/>
  <c r="H125" i="1"/>
  <c r="H136" i="1"/>
  <c r="H153" i="1"/>
  <c r="H182" i="1"/>
  <c r="H188" i="1"/>
  <c r="H205" i="1"/>
  <c r="H218" i="1"/>
  <c r="H195" i="1"/>
  <c r="H200" i="1"/>
  <c r="H212" i="1"/>
  <c r="H19" i="1"/>
  <c r="H25" i="1"/>
  <c r="H49" i="1"/>
  <c r="H88" i="1"/>
  <c r="H116" i="1"/>
  <c r="H148" i="1"/>
  <c r="H160" i="1"/>
  <c r="H225" i="1"/>
  <c r="H230" i="1"/>
  <c r="H236" i="1"/>
  <c r="H242" i="1"/>
  <c r="H66" i="1"/>
  <c r="H71" i="1"/>
  <c r="H132" i="1"/>
  <c r="H154" i="1"/>
  <c r="H183" i="1"/>
  <c r="K3" i="1"/>
  <c r="H2" i="1"/>
  <c r="L11" i="1"/>
  <c r="L68" i="1"/>
  <c r="L69" i="1"/>
  <c r="L70" i="1"/>
  <c r="L71" i="1"/>
  <c r="L67" i="1"/>
  <c r="L240" i="1"/>
  <c r="L239" i="1"/>
  <c r="L238" i="1"/>
  <c r="L237" i="1"/>
  <c r="L236" i="1"/>
  <c r="L235" i="1"/>
  <c r="L234" i="1"/>
  <c r="L233" i="1"/>
  <c r="L220" i="1"/>
  <c r="L194" i="1"/>
  <c r="L193" i="1"/>
  <c r="L192" i="1"/>
  <c r="L167" i="1"/>
  <c r="L166" i="1"/>
  <c r="L165" i="1"/>
  <c r="L164" i="1"/>
  <c r="L163" i="1"/>
  <c r="L162" i="1"/>
  <c r="L161" i="1"/>
  <c r="L160" i="1"/>
  <c r="L147" i="1"/>
  <c r="L98" i="1"/>
  <c r="L97" i="1"/>
  <c r="L95" i="1"/>
  <c r="L66" i="1"/>
  <c r="L61" i="1"/>
  <c r="L60" i="1"/>
  <c r="L59" i="1"/>
  <c r="L58" i="1"/>
  <c r="L57" i="1"/>
  <c r="L41" i="1"/>
  <c r="L25" i="1"/>
  <c r="L24" i="1"/>
  <c r="L23" i="1"/>
  <c r="L18" i="1"/>
  <c r="L17" i="1"/>
  <c r="L15" i="1"/>
  <c r="K4" i="1" l="1"/>
  <c r="K5" i="1"/>
  <c r="K6" i="1"/>
  <c r="K7" i="1"/>
  <c r="K8" i="1"/>
  <c r="K9" i="1"/>
  <c r="K10" i="1"/>
  <c r="K11" i="1"/>
  <c r="K12" i="1"/>
  <c r="K13" i="1"/>
  <c r="K14" i="1"/>
  <c r="K15" i="1"/>
  <c r="K16" i="1"/>
  <c r="K18" i="1"/>
  <c r="K19" i="1"/>
  <c r="K20" i="1"/>
  <c r="K21" i="1"/>
  <c r="K22" i="1"/>
  <c r="K24" i="1"/>
  <c r="K25" i="1"/>
  <c r="K26" i="1"/>
  <c r="K27" i="1"/>
  <c r="K28" i="1"/>
  <c r="K29" i="1"/>
  <c r="K30" i="1"/>
  <c r="K31" i="1"/>
  <c r="K32" i="1"/>
  <c r="K35" i="1"/>
  <c r="K37" i="1"/>
  <c r="K38" i="1"/>
  <c r="K39" i="1"/>
  <c r="K40" i="1"/>
  <c r="K41" i="1"/>
  <c r="K42" i="1"/>
  <c r="K43" i="1"/>
  <c r="K44" i="1"/>
  <c r="K45" i="1"/>
  <c r="K46" i="1"/>
  <c r="K47" i="1"/>
  <c r="K48" i="1"/>
  <c r="K52" i="1"/>
  <c r="K53" i="1"/>
  <c r="K54" i="1"/>
  <c r="K55" i="1"/>
  <c r="K56" i="1"/>
  <c r="K57" i="1"/>
  <c r="K58" i="1"/>
  <c r="K59" i="1"/>
  <c r="K60" i="1"/>
  <c r="K61" i="1"/>
  <c r="K62" i="1"/>
  <c r="K63" i="1"/>
  <c r="K64" i="1"/>
  <c r="K67" i="1"/>
  <c r="K68" i="1"/>
  <c r="K69" i="1"/>
  <c r="K70" i="1"/>
  <c r="K71" i="1"/>
  <c r="K72" i="1"/>
  <c r="K73" i="1"/>
  <c r="K74" i="1"/>
  <c r="K75" i="1"/>
  <c r="K76" i="1"/>
  <c r="K77" i="1"/>
  <c r="K78" i="1"/>
  <c r="K79" i="1"/>
  <c r="K80" i="1"/>
  <c r="K82" i="1"/>
  <c r="K83" i="1"/>
  <c r="K85" i="1"/>
  <c r="K86" i="1"/>
  <c r="K87" i="1"/>
  <c r="K88" i="1"/>
  <c r="K89" i="1"/>
  <c r="K90" i="1"/>
  <c r="K91" i="1"/>
  <c r="K92" i="1"/>
  <c r="K93" i="1"/>
  <c r="K94" i="1"/>
  <c r="K95" i="1"/>
  <c r="K96"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3" i="1"/>
  <c r="K164" i="1"/>
  <c r="K165" i="1"/>
  <c r="K166" i="1"/>
  <c r="K167" i="1"/>
  <c r="K168" i="1"/>
  <c r="K169" i="1"/>
  <c r="K170" i="1"/>
  <c r="K171" i="1"/>
  <c r="K172" i="1"/>
  <c r="K173" i="1"/>
  <c r="K174" i="1"/>
  <c r="K175" i="1"/>
  <c r="K176" i="1"/>
  <c r="K177"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17" i="1"/>
  <c r="K23" i="1"/>
  <c r="K33" i="1"/>
  <c r="K34" i="1"/>
  <c r="K36" i="1"/>
  <c r="K49" i="1"/>
  <c r="K50" i="1"/>
  <c r="K51" i="1"/>
  <c r="K65" i="1"/>
  <c r="K66" i="1"/>
  <c r="K81" i="1"/>
  <c r="K84" i="1"/>
  <c r="K97" i="1"/>
  <c r="K98" i="1"/>
  <c r="K129" i="1"/>
  <c r="K130" i="1"/>
  <c r="K162" i="1"/>
  <c r="K178" i="1"/>
  <c r="K179"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FF7E469-07B6-9C41-9446-B7088928F0EC}" name="testresults" type="6" refreshedVersion="8" background="1" saveData="1">
    <textPr sourceFile="/Users/frederik/Library/CloudStorage/OneDrive-StichtingOpenChargeAlliance/OCTT-certification/testresults.csv" comma="1">
      <textFields count="2">
        <textField/>
        <textField/>
      </textFields>
    </textPr>
  </connection>
</connections>
</file>

<file path=xl/sharedStrings.xml><?xml version="1.0" encoding="utf-8"?>
<sst xmlns="http://schemas.openxmlformats.org/spreadsheetml/2006/main" count="1712" uniqueCount="804">
  <si>
    <t>Protocol Implementation Conformance Statement</t>
  </si>
  <si>
    <t>OCPP 2.0.1 Certification</t>
  </si>
  <si>
    <t>Date:</t>
  </si>
  <si>
    <t>Instruction</t>
  </si>
  <si>
    <t>This document can be used by following these steps:</t>
  </si>
  <si>
    <r>
      <t>Specify the General information of your CSMS in column C of the tab "</t>
    </r>
    <r>
      <rPr>
        <i/>
        <sz val="12"/>
        <color rgb="FF000000"/>
        <rFont val="Calibri"/>
        <family val="2"/>
      </rPr>
      <t>General information</t>
    </r>
    <r>
      <rPr>
        <sz val="12"/>
        <color rgb="FF000000"/>
        <rFont val="Calibri"/>
        <family val="2"/>
      </rPr>
      <t>".</t>
    </r>
  </si>
  <si>
    <r>
      <rPr>
        <sz val="12"/>
        <color rgb="FF000000"/>
        <rFont val="Calibri"/>
        <family val="2"/>
      </rPr>
      <t>Select the Certification Profiles that you want to certify during your Certification run in column C of the tab "</t>
    </r>
    <r>
      <rPr>
        <i/>
        <sz val="12"/>
        <color rgb="FF000000"/>
        <rFont val="Calibri"/>
        <family val="2"/>
      </rPr>
      <t>Profile Selection</t>
    </r>
    <r>
      <rPr>
        <sz val="12"/>
        <color rgb="FF000000"/>
        <rFont val="Calibri"/>
        <family val="2"/>
      </rPr>
      <t>"</t>
    </r>
  </si>
  <si>
    <t>Fill in the answer to the questions on the tab "Additional questions" (in column D)</t>
  </si>
  <si>
    <t>General information</t>
  </si>
  <si>
    <t>&lt;fill in your company name&gt; </t>
  </si>
  <si>
    <t>Profile selection</t>
  </si>
  <si>
    <t>Certification Profile</t>
  </si>
  <si>
    <t>Supported</t>
  </si>
  <si>
    <t>Description</t>
  </si>
  <si>
    <t>Core</t>
  </si>
  <si>
    <t>Yes</t>
  </si>
  <si>
    <t>Basic Charging Station functionality for booting, authorization (incl. cache if available), configuration, transactions, remote control, including basic security.</t>
  </si>
  <si>
    <t>Advanced Security</t>
  </si>
  <si>
    <t>Support for TLS with client authentication.</t>
  </si>
  <si>
    <t>Local Authorization List Management</t>
  </si>
  <si>
    <t>No</t>
  </si>
  <si>
    <t>Support for local authorization list management and optionally of an authorization cache.</t>
  </si>
  <si>
    <t>Smart Charging</t>
  </si>
  <si>
    <t>Support for Smart Charging (all profile types, including stacking), to control charging.</t>
  </si>
  <si>
    <t>Advanced Device Management</t>
  </si>
  <si>
    <t>Support for the OCPP Device Model and advanced logging and monitoring.</t>
  </si>
  <si>
    <t>Reservation</t>
  </si>
  <si>
    <t>Support for reservation of a connector of a Charging Station.</t>
  </si>
  <si>
    <t>Advanced User Interface</t>
  </si>
  <si>
    <t>Support for tariff &amp; cost and DisplayMessage functionality.</t>
  </si>
  <si>
    <t>ISO 15118 Support</t>
  </si>
  <si>
    <t>Support for ISO 15118 Smart Charging and Plug and Charge authorization.</t>
  </si>
  <si>
    <t>Optional features</t>
  </si>
  <si>
    <t>C-11</t>
  </si>
  <si>
    <t>C-13</t>
  </si>
  <si>
    <t>C-14</t>
  </si>
  <si>
    <t>C-15</t>
  </si>
  <si>
    <t>C-16</t>
  </si>
  <si>
    <t>C-17</t>
  </si>
  <si>
    <t>C-29</t>
  </si>
  <si>
    <t>C-29.1</t>
  </si>
  <si>
    <t>C-29.2</t>
  </si>
  <si>
    <t>C-29.3</t>
  </si>
  <si>
    <t>C-29.4</t>
  </si>
  <si>
    <t>C-29.5</t>
  </si>
  <si>
    <t>Authorization options for local start </t>
  </si>
  <si>
    <t>C-30</t>
  </si>
  <si>
    <t>Yes*</t>
  </si>
  <si>
    <t>C-31</t>
  </si>
  <si>
    <t>C-32</t>
  </si>
  <si>
    <t>C-33</t>
  </si>
  <si>
    <t>C-34</t>
  </si>
  <si>
    <t>C-35</t>
  </si>
  <si>
    <t> Id </t>
  </si>
  <si>
    <r>
      <t>Authorization options for remote start</t>
    </r>
    <r>
      <rPr>
        <sz val="11"/>
        <color rgb="FF7030A0"/>
        <rFont val="Arial"/>
        <family val="2"/>
      </rPr>
      <t> </t>
    </r>
  </si>
  <si>
    <t>C-36</t>
  </si>
  <si>
    <t>C-37</t>
  </si>
  <si>
    <t>C-38</t>
  </si>
  <si>
    <t>C-39</t>
  </si>
  <si>
    <t>Supported / present </t>
  </si>
  <si>
    <t>C-44</t>
  </si>
  <si>
    <t>C-45</t>
  </si>
  <si>
    <t>C-46</t>
  </si>
  <si>
    <t>C-50</t>
  </si>
  <si>
    <t>C-50.1</t>
  </si>
  <si>
    <t>C-50.2</t>
  </si>
  <si>
    <t>SC-4</t>
  </si>
  <si>
    <t>No optional features. </t>
  </si>
  <si>
    <t>R-1</t>
  </si>
  <si>
    <t>R-2</t>
  </si>
  <si>
    <t>ISO-3</t>
  </si>
  <si>
    <t>ISO-4</t>
  </si>
  <si>
    <t>LA-2</t>
  </si>
  <si>
    <t>Additional question</t>
  </si>
  <si>
    <t>Additional questions for lab testing:</t>
  </si>
  <si>
    <t>AQ-1</t>
  </si>
  <si>
    <t>Can your CSMS be configured to first respond to a BootNotificationRequest with status Pending or Rejected?</t>
  </si>
  <si>
    <t>AQ-2</t>
  </si>
  <si>
    <t>Is a FullInventory requested during onboarding / booting test cases?</t>
  </si>
  <si>
    <t>AQ-6</t>
  </si>
  <si>
    <t>Does the CSMS reject unknown Charging Stations during websocket connection setup?</t>
  </si>
  <si>
    <t>Testcase</t>
  </si>
  <si>
    <t>Name</t>
  </si>
  <si>
    <t>CSMS Status</t>
  </si>
  <si>
    <t>Feature ID</t>
  </si>
  <si>
    <t>Feature Name</t>
  </si>
  <si>
    <t>Status</t>
  </si>
  <si>
    <t>Perform test for certification  (based on PICS)</t>
  </si>
  <si>
    <t xml:space="preserve">Perform test for certification </t>
  </si>
  <si>
    <t>Profile selected</t>
  </si>
  <si>
    <t>Optional feature</t>
  </si>
  <si>
    <t>Condition met</t>
  </si>
  <si>
    <t>Internal</t>
  </si>
  <si>
    <t>Mandatory test for a mandatory feature</t>
  </si>
  <si>
    <t>Mandatory for optional feature</t>
  </si>
  <si>
    <t>Possibly mandatory, depending on your system</t>
  </si>
  <si>
    <t>Performance measurement</t>
  </si>
  <si>
    <t>Name </t>
  </si>
  <si>
    <t>Unit </t>
  </si>
  <si>
    <t>Description </t>
  </si>
  <si>
    <t>OCPP response time </t>
  </si>
  <si>
    <t>seconds </t>
  </si>
  <si>
    <t>Response time Authorize </t>
  </si>
  <si>
    <t>The response time for the Authorize message. </t>
  </si>
  <si>
    <t>Helper</t>
  </si>
  <si>
    <t>TC_A_01_CSMS</t>
  </si>
  <si>
    <t>Basic Authentication - Valid username/password combination</t>
  </si>
  <si>
    <t>M</t>
  </si>
  <si>
    <t>TC_A_02_CSMS</t>
  </si>
  <si>
    <t>Basic Authentication - Username does not equal ChargingStationId</t>
  </si>
  <si>
    <t>TC_A_03_CSMS</t>
  </si>
  <si>
    <t>Basic Authentication - Invalid password</t>
  </si>
  <si>
    <t>TC_A_04_CSMS</t>
  </si>
  <si>
    <t>TLS - server-side certificate - Valid certificate</t>
  </si>
  <si>
    <t>TC_A_06_CSMS</t>
  </si>
  <si>
    <t>TLS - server-side certificate - TLS version too low</t>
  </si>
  <si>
    <t>TC_A_07_CSMS</t>
  </si>
  <si>
    <t>TC_A_08_CSMS</t>
  </si>
  <si>
    <t>TC_A_09_CSMS</t>
  </si>
  <si>
    <t>Update Charging Station Password for HTTP Basic Authentication - Accepted</t>
  </si>
  <si>
    <t>TC_A_10_CSMS</t>
  </si>
  <si>
    <t>Update Charging Station Password for HTTP Basic Authentication - Rejected</t>
  </si>
  <si>
    <t>TC_A_11_CSMS</t>
  </si>
  <si>
    <t>Update Charging Station Certificate by request of CSMS - Success - Charging Station Certificate</t>
  </si>
  <si>
    <t>TC_A_12_CSMS</t>
  </si>
  <si>
    <t>Update Charging Station Certificate by request of CSMS - Success - V2G Certificate</t>
  </si>
  <si>
    <t>TC_A_13_CSMS</t>
  </si>
  <si>
    <t>Update Charging Station Certificate by request of CSMS - Success - Combined Certificate</t>
  </si>
  <si>
    <t>C</t>
  </si>
  <si>
    <t>Combined Charging Station Certificate</t>
  </si>
  <si>
    <t>TC_A_14_CSMS</t>
  </si>
  <si>
    <t>Update Charging Station Certificate by request of CSMS - Invalid certificate</t>
  </si>
  <si>
    <t>TC_A_19_CSMS</t>
  </si>
  <si>
    <t>Upgrade Charging Station Security Profile - Accepted</t>
  </si>
  <si>
    <t>TC_B_01_CSMS</t>
  </si>
  <si>
    <t>TC_B_02_CSMS</t>
  </si>
  <si>
    <t>BootNotification Pending</t>
  </si>
  <si>
    <t>TC_B_06_CSMS</t>
  </si>
  <si>
    <t>TC_B_07_CSMS</t>
  </si>
  <si>
    <t>TC_B_09_CSMS</t>
  </si>
  <si>
    <t>TC_B_10_CSMS</t>
  </si>
  <si>
    <t>TC_B_12_CSMS</t>
  </si>
  <si>
    <t>ConfigurationInventory</t>
  </si>
  <si>
    <t>TC_B_13_CSMS</t>
  </si>
  <si>
    <t>GetBaseReport - FullInventory - Manual trigger</t>
  </si>
  <si>
    <t>TC_B_14_CSMS</t>
  </si>
  <si>
    <t>C-56</t>
  </si>
  <si>
    <t>TC_B_18_CSMS</t>
  </si>
  <si>
    <t>TC_B_20_CSMS</t>
  </si>
  <si>
    <t>TC_B_21_CSMS</t>
  </si>
  <si>
    <t>TC_B_22_CSMS</t>
  </si>
  <si>
    <t>TC_B_25_CSMS</t>
  </si>
  <si>
    <t>Reset per EVSE</t>
  </si>
  <si>
    <t>TC_B_26_CSMS</t>
  </si>
  <si>
    <t>TC_B_27_CSMS</t>
  </si>
  <si>
    <t>TC_B_30_CSMS</t>
  </si>
  <si>
    <t>C-44 or NOT AQ-6</t>
  </si>
  <si>
    <t>BootNotification Pending or + Does the CSMS reject unknown Charging Stations during websocket connection setup?</t>
  </si>
  <si>
    <t>TC_B_31_CSMS</t>
  </si>
  <si>
    <t>TC_B_42_CSMS</t>
  </si>
  <si>
    <t>Set new NetworkConnectionProfile - Accepted</t>
  </si>
  <si>
    <t>TC_B_44_CSMS</t>
  </si>
  <si>
    <t>Set new NetworkConnectionProfile - Failed</t>
  </si>
  <si>
    <t>TC_C_02_CSMS</t>
  </si>
  <si>
    <t>TC_C_06_CSMS</t>
  </si>
  <si>
    <t>NOT AQ-2 and (C-30 or C-31 or C-32)</t>
  </si>
  <si>
    <t>Local Authorization - using RFID ISO14443 / RFID ISO15693 / KeyCode</t>
  </si>
  <si>
    <t>TC_C_07_CSMS</t>
  </si>
  <si>
    <t>TC_C_08_CSMS</t>
  </si>
  <si>
    <t>Authorization through authorization cache - Accepted</t>
  </si>
  <si>
    <t>C-49 and (C-30 or C-31 or C-32)</t>
  </si>
  <si>
    <t>Authorization Cache</t>
  </si>
  <si>
    <t>TC_C_20_CSMS</t>
  </si>
  <si>
    <t>Authorization through authorization cache - Invalid</t>
  </si>
  <si>
    <t>TC_C_37_CSMS</t>
  </si>
  <si>
    <t>Clear Authorization Data in Authorization Cache - Accepted</t>
  </si>
  <si>
    <t>TC_C_38_CSMS</t>
  </si>
  <si>
    <t>Clear Authorization Data in Authorization Cache - Rejected</t>
  </si>
  <si>
    <t>TC_C_39_CSMS</t>
  </si>
  <si>
    <t>Authorization by GroupId - Success</t>
  </si>
  <si>
    <t>C-30 or C-31 or C-32</t>
  </si>
  <si>
    <t>TC_C_40_CSMS</t>
  </si>
  <si>
    <t>Authorization by GroupId - Success with Local Authorization List</t>
  </si>
  <si>
    <t>TC_C_43_CSMS</t>
  </si>
  <si>
    <t>Authorization by GroupId - Invalid status with Local Authorization List</t>
  </si>
  <si>
    <t>TC_C_47_CSMS</t>
  </si>
  <si>
    <t>Stop Transaction with a Master Pass - With UI - All transactions</t>
  </si>
  <si>
    <t>C-07 and (C-30 or C-31 or C-32)</t>
  </si>
  <si>
    <t>Master Pass - With UI</t>
  </si>
  <si>
    <t>TC_C_48_CSMS</t>
  </si>
  <si>
    <t>TC_C_49_CSMS</t>
  </si>
  <si>
    <t>Stop Transaction with a Master Pass - Without UI</t>
  </si>
  <si>
    <t>C-08 and (C-30 or C-31 or C-32)</t>
  </si>
  <si>
    <t>Master Pass - Without UI</t>
  </si>
  <si>
    <t>TC_C_50_CSMS</t>
  </si>
  <si>
    <t>Authorization using Contract Certificates 15118 - Online - Local contract certificate validation - Accepted</t>
  </si>
  <si>
    <t>TC_C_52_CSMS</t>
  </si>
  <si>
    <t>Authorization using Contract Certificates 15118 - Online - Central contract certificate validation - Accepted</t>
  </si>
  <si>
    <t>TC_D_01_CSMS</t>
  </si>
  <si>
    <t>Send Local Authorization List - Full</t>
  </si>
  <si>
    <t>TC_D_02_CSMS</t>
  </si>
  <si>
    <t>Send Local Authorization List - Differential Update</t>
  </si>
  <si>
    <t>TC_D_03_CSMS</t>
  </si>
  <si>
    <t>Send Local Authorization List - Differential Remove</t>
  </si>
  <si>
    <t>TC_D_04_CSMS</t>
  </si>
  <si>
    <t>Send Local Authorization List - Full with empy list</t>
  </si>
  <si>
    <t>TC_D_08_CSMS</t>
  </si>
  <si>
    <t>Get Local List Version - Success</t>
  </si>
  <si>
    <t>GetLocalListVersion</t>
  </si>
  <si>
    <t>TC_E_01_CSMS</t>
  </si>
  <si>
    <t>Start transaction options - PowerPathClosed</t>
  </si>
  <si>
    <t>C-09.4 and (C-51 or NOT (C-09.1 or C-09.2 or C-09.3 or C-09.6))</t>
  </si>
  <si>
    <t>Supported Transaction Start points</t>
  </si>
  <si>
    <t>TC_E_02_CSMS</t>
  </si>
  <si>
    <t>Start transaction options - EnergyTransfer</t>
  </si>
  <si>
    <t>C-09.5 and (C-51 or NOT (C-09.1 or C-09.2 or C-09.3 or C-09.4 or C-09.6))</t>
  </si>
  <si>
    <t>TC_E_03_CSMS</t>
  </si>
  <si>
    <t>Local start transaction - Cable plugin first - Success</t>
  </si>
  <si>
    <t>NOT AQ-2 and (C-30 - C-35 or ISO 15118 support)</t>
  </si>
  <si>
    <t>Authorization options for local start</t>
  </si>
  <si>
    <t>TC_E_04_CSMS</t>
  </si>
  <si>
    <t>Local start transaction - Authorization first - Success</t>
  </si>
  <si>
    <t>C-30 - C-35 or ISO 15118 support</t>
  </si>
  <si>
    <t>TC_E_07_CSMS</t>
  </si>
  <si>
    <t>Stop transaction options - PowerPathClosed - Local stop</t>
  </si>
  <si>
    <t>C-10.3 and (C-52 or NOT C-10.2) and (C-30 or C-31 or C-32 or C35)</t>
  </si>
  <si>
    <t>Supported Transaction Stop Points &amp; Local Authorization - using RFID ISO14443 / RFID ISO15693 / KeyCode / NoAuthorization</t>
  </si>
  <si>
    <t>TC_E_08_CSMS</t>
  </si>
  <si>
    <t>Stop transaction options - EnergyTransfer stopped - StopAuthorized</t>
  </si>
  <si>
    <t>C-10.4 and (C-52 or NOT (C-10.2 or C-10.3))</t>
  </si>
  <si>
    <t>Supported Transaction Stop points</t>
  </si>
  <si>
    <t>TC_E_09_CSMS</t>
  </si>
  <si>
    <t>Start transaction options - EVConnected</t>
  </si>
  <si>
    <t>C-09.1 and (C-51 or NOT C-09.6)</t>
  </si>
  <si>
    <t>TC_E_10_CSMS</t>
  </si>
  <si>
    <t>Start transaction options - Authorized - Local</t>
  </si>
  <si>
    <t>C-09.2 and (C-30 - C-35 or ISO 15118 support)</t>
  </si>
  <si>
    <t>Supported Transaction Start Points &amp; Authorization options for local start &amp; Authorization - eMAID</t>
  </si>
  <si>
    <t>TC_E_11_CSMS</t>
  </si>
  <si>
    <t>Start transaction options - DataSigned</t>
  </si>
  <si>
    <t>C-09.3 and (C-51 or NOT (C-09.1 or C-09.2 or C-09.6))</t>
  </si>
  <si>
    <t>TC_E_12_CSMS</t>
  </si>
  <si>
    <t>C-09.6</t>
  </si>
  <si>
    <t>TC_E_14_CSMS</t>
  </si>
  <si>
    <t>Stop transaction options - EVDisconnected - Charging Station side</t>
  </si>
  <si>
    <t>HFS-1 and C-10.1 and (C-52 or NOT (C-10.2 or C-10.3 or C-10.4))</t>
  </si>
  <si>
    <t>TC_E_15_CSMS</t>
  </si>
  <si>
    <t>Stop transaction options - StopAuthorized - Local</t>
  </si>
  <si>
    <t>C-10.2 and (C-30 or C-31 or C-32 or C35)</t>
  </si>
  <si>
    <t>TC_E_16_CSMS</t>
  </si>
  <si>
    <t>Stop transaction options - Deauthorized - Invalid idToken</t>
  </si>
  <si>
    <t>Supported Transaction Stop Points &amp; Local Authorization options for local start &amp; Authorization - eMAID</t>
  </si>
  <si>
    <t>TC_E_17_CSMS</t>
  </si>
  <si>
    <t>Stop transaction options - Deauthorized - EV side disconnect</t>
  </si>
  <si>
    <t>TC_E_19_CSMS</t>
  </si>
  <si>
    <t>Stop transaction options - ParkingBayUnoccupied</t>
  </si>
  <si>
    <t>C-10.5 and (C-52 or NOT (C-10.1 or C-10.2 or C-10.3 or C-10.4))</t>
  </si>
  <si>
    <t>TC_E_20_CSMS</t>
  </si>
  <si>
    <t>TC_E_21_CSMS</t>
  </si>
  <si>
    <t>Stop transaction options - StopAuthorized - Remote</t>
  </si>
  <si>
    <t>C-10.2</t>
  </si>
  <si>
    <t>TC_E_22_CSMS</t>
  </si>
  <si>
    <t>Stop transaction options - EnergyTransfer stopped - SuspendedEV</t>
  </si>
  <si>
    <t>C-10.4</t>
  </si>
  <si>
    <t>TC_E_26_CSMS</t>
  </si>
  <si>
    <t>Disconnect cable on EV-side - Suspend transaction</t>
  </si>
  <si>
    <t>TC_E_29_CSMS</t>
  </si>
  <si>
    <t>Check Transaction status - Transaction with id ongoing - with message in queue</t>
  </si>
  <si>
    <t>Check TransactionStatus</t>
  </si>
  <si>
    <t>TC_E_30_CSMS</t>
  </si>
  <si>
    <t>Check Transaction status - Transaction with id ongoing - without message in queue</t>
  </si>
  <si>
    <t>TC_E_31_CSMS</t>
  </si>
  <si>
    <t>Check Transaction status - Transaction with id ended - with message in queue</t>
  </si>
  <si>
    <t>TC_E_33_CSMS</t>
  </si>
  <si>
    <t>Check Transaction status - Without transactionId - with message in queue</t>
  </si>
  <si>
    <t>TC_E_34_CSMS</t>
  </si>
  <si>
    <t>Check Transaction status - Without transactionId - without message in queue</t>
  </si>
  <si>
    <t>TC_E_38_CSMS</t>
  </si>
  <si>
    <t>TC_E_39_CSMS</t>
  </si>
  <si>
    <t>Stop transaction options - Deauthorized - timeout</t>
  </si>
  <si>
    <t>TC_E_53_CSMS</t>
  </si>
  <si>
    <t>TC_F_01_CSMS</t>
  </si>
  <si>
    <t>Authorization options for remote start</t>
  </si>
  <si>
    <t>TC_F_02_CSMS</t>
  </si>
  <si>
    <t>C-48.1 and (C-36 -(or) C-39)</t>
  </si>
  <si>
    <t>TC_F_03_CSMS</t>
  </si>
  <si>
    <t>C-48.2 and (C-36 -(or) C-39)</t>
  </si>
  <si>
    <t>TC_F_04_CSMS</t>
  </si>
  <si>
    <t>TC_F_06_CSMS</t>
  </si>
  <si>
    <t>See column 3/4</t>
  </si>
  <si>
    <t>TC_F_11_CSMS</t>
  </si>
  <si>
    <t>Trigger message - MeterValues - Specific EVSE</t>
  </si>
  <si>
    <t>TriggerMessage</t>
  </si>
  <si>
    <t>TC_F_12_CSMS</t>
  </si>
  <si>
    <t>Trigger message - MeterValues - All EVSE</t>
  </si>
  <si>
    <t>TC_F_13_CSMS</t>
  </si>
  <si>
    <t>Trigger message - TransactionEvent - Specific EVSE</t>
  </si>
  <si>
    <t>TC_F_14_CSMS</t>
  </si>
  <si>
    <t>Trigger message - TransactionEvent - All EVSE</t>
  </si>
  <si>
    <t>TC_F_15_CSMS</t>
  </si>
  <si>
    <t>Trigger message - LogStatusNotification - Idle</t>
  </si>
  <si>
    <t>TC_F_18_CSMS</t>
  </si>
  <si>
    <t>Trigger message - FirmwareStatusNotification - Idle</t>
  </si>
  <si>
    <t>TC_F_20_CSMS</t>
  </si>
  <si>
    <t>Trigger message - Heartbeat</t>
  </si>
  <si>
    <t>TC_F_23_CSMS</t>
  </si>
  <si>
    <t>Trigger message - StatusNotification - Specific EVSE - Available</t>
  </si>
  <si>
    <t>TC_F_24_CSMS</t>
  </si>
  <si>
    <t>Trigger message - StatusNotification - Specific EVSE - Occupied</t>
  </si>
  <si>
    <t>TC_F_27_CSMS</t>
  </si>
  <si>
    <t>Trigger message - NotImplemented</t>
  </si>
  <si>
    <t>NOT ISO-3</t>
  </si>
  <si>
    <t>TC_G_03_CSMS</t>
  </si>
  <si>
    <t>TC_G_04_CSMS</t>
  </si>
  <si>
    <t>TC_G_05_CSMS</t>
  </si>
  <si>
    <t>TC_G_06_CSMS</t>
  </si>
  <si>
    <t>TC_G_07_CSMS</t>
  </si>
  <si>
    <t>TC_G_08_CSMS</t>
  </si>
  <si>
    <t>TC_G_11_CSMS</t>
  </si>
  <si>
    <t>TC_G_14_CSMS</t>
  </si>
  <si>
    <t>TC_G_17_CSMS</t>
  </si>
  <si>
    <t>TC_G_20_CSMS</t>
  </si>
  <si>
    <t>TC_H_01_CSMS</t>
  </si>
  <si>
    <t>TC_H_07_CSMS</t>
  </si>
  <si>
    <t>Reserve a specific EVSE - Reservation Ended / not used</t>
  </si>
  <si>
    <t>TC_H_08_CSMS</t>
  </si>
  <si>
    <t>Reserve an unspecified EVSE - Accepted</t>
  </si>
  <si>
    <t>Support reservations of unspecified EVSE</t>
  </si>
  <si>
    <t>TC_H_14_CSMS</t>
  </si>
  <si>
    <t>Reserve an unspecified EVSE - Amount of EVSEs available equals the amount of reservations</t>
  </si>
  <si>
    <t>TC_H_15_CSMS</t>
  </si>
  <si>
    <t>Reserve a connector with a specific type - Success</t>
  </si>
  <si>
    <t>TC_H_17_CSMS</t>
  </si>
  <si>
    <t>Cancel reservation of an EVSE - Success</t>
  </si>
  <si>
    <t>TC_H_19_CSMS</t>
  </si>
  <si>
    <t>TC_H_20_CSMS</t>
  </si>
  <si>
    <t>Cancel reservation of an EVSE - Charging Station cancels reservation when Faulted</t>
  </si>
  <si>
    <t>TC_H_22_CSMS</t>
  </si>
  <si>
    <t>Reserve a specific EVSE - Configured to Reject</t>
  </si>
  <si>
    <t>R-3</t>
  </si>
  <si>
    <t>TC_I_01_CSMS</t>
  </si>
  <si>
    <t>Show costs to EV Driver - Show EV Driver running total cost during charging</t>
  </si>
  <si>
    <t>TC_I_02_CSMS</t>
  </si>
  <si>
    <t>Show costs to EV Driver - Show EV Driver Final Total Cost After Charging</t>
  </si>
  <si>
    <t>TC_J_01_CSMS</t>
  </si>
  <si>
    <t>Clock-aligned Meter Values - No transaction ongoing</t>
  </si>
  <si>
    <t>C-40</t>
  </si>
  <si>
    <t>Supported MeterValue Measurands</t>
  </si>
  <si>
    <t>TC_J_02_CSMS</t>
  </si>
  <si>
    <t>Clock-aligned Meter Values - Transaction ongoing</t>
  </si>
  <si>
    <t>TC_J_03_CSMS</t>
  </si>
  <si>
    <t>Clock-aligned Meter Values - EventType Ended</t>
  </si>
  <si>
    <t>TC_J_04_CSMS</t>
  </si>
  <si>
    <t>Clock-aligned Meter Values - Signed</t>
  </si>
  <si>
    <t>C-40 and C-42</t>
  </si>
  <si>
    <t>Supported MeterValue Measurands &amp; Signed Metervalues</t>
  </si>
  <si>
    <t>TC_J_07_CSMS</t>
  </si>
  <si>
    <t>Sampled Meter Values - EventType Started - EVSE known</t>
  </si>
  <si>
    <t>TC_J_08_CSMS</t>
  </si>
  <si>
    <t>Supported MeterValue Measurands &amp; possibility to enforce EVSE being known.</t>
  </si>
  <si>
    <t>TC_J_09_CSMS</t>
  </si>
  <si>
    <t>Sampled Meter Values - EventType Updated</t>
  </si>
  <si>
    <t>TC_J_10_CSMS</t>
  </si>
  <si>
    <t>Sampled Meter Values - EventType Ended</t>
  </si>
  <si>
    <t>TC_J_11_CSMS</t>
  </si>
  <si>
    <t>Sampled Meter Values - Signed</t>
  </si>
  <si>
    <t>C-42</t>
  </si>
  <si>
    <t>TC_K_01_CSMS</t>
  </si>
  <si>
    <t>TC_K_03_CSMS</t>
  </si>
  <si>
    <t>TC_K_04_CSMS</t>
  </si>
  <si>
    <t>Replace charging profile - With chargingProfileId</t>
  </si>
  <si>
    <t>TC_K_05_CSMS</t>
  </si>
  <si>
    <t>Clear Charging Profile - With chargingProfileId</t>
  </si>
  <si>
    <t>TC_K_06_CSMS</t>
  </si>
  <si>
    <t>TC_K_08_CSMS</t>
  </si>
  <si>
    <t>Clear Charging Profile - Without previous charging profile</t>
  </si>
  <si>
    <t>TC_K_10_CSMS</t>
  </si>
  <si>
    <t>Support for TxDefaultProfile on EVSEID #0</t>
  </si>
  <si>
    <t>TC_K_15_CSMS</t>
  </si>
  <si>
    <t>TC_K_19_CSMS</t>
  </si>
  <si>
    <t>TC_K_29_CSMS</t>
  </si>
  <si>
    <t>Get Charging Profile - EvseId 0</t>
  </si>
  <si>
    <t>TC_K_30_CSMS</t>
  </si>
  <si>
    <t>Get Charging Profile - EvseId &gt; 0</t>
  </si>
  <si>
    <t>TC_K_31_CSMS</t>
  </si>
  <si>
    <t>Get Charging Profile - No EvseId</t>
  </si>
  <si>
    <t>TC_K_32_CSMS</t>
  </si>
  <si>
    <t>Get Charging Profile - chargingProfileId</t>
  </si>
  <si>
    <t>TC_K_33_CSMS</t>
  </si>
  <si>
    <t>Get Charging Profile - EvseId &gt; 0 + stackLevel</t>
  </si>
  <si>
    <t>TC_K_34_CSMS</t>
  </si>
  <si>
    <t>Get Charging Profile - EvseId &gt; 0 + chargingLimitSource</t>
  </si>
  <si>
    <t>TC_K_35_CSMS</t>
  </si>
  <si>
    <t>Get Charging Profile - EvseId &gt; 0 + chargingProfilePurpose</t>
  </si>
  <si>
    <t>TC_K_36_CSMS</t>
  </si>
  <si>
    <t>Get Charging Profile - EvseId &gt; 0 + chargingProfilePurpose + stackLevel</t>
  </si>
  <si>
    <t>TC_K_37_CSMS</t>
  </si>
  <si>
    <t>Remote start transaction with charging profile - Success</t>
  </si>
  <si>
    <t>TC_K_43_CSMS</t>
  </si>
  <si>
    <t>Get Composite Schedule - Specific EVSE</t>
  </si>
  <si>
    <t>TC_K_44_CSMS</t>
  </si>
  <si>
    <t>Get Composite Schedule - Charging Station</t>
  </si>
  <si>
    <t>TC_K_53_CSMS</t>
  </si>
  <si>
    <t>Charging with load leveling based on High Level Communication - Success</t>
  </si>
  <si>
    <t>TC_K_55_CSMS</t>
  </si>
  <si>
    <t>Charging with load leveling based on High Level Communication - EV charging profile exceeds limits</t>
  </si>
  <si>
    <t>TC_K_57_CSMS</t>
  </si>
  <si>
    <t>Renegotiating a Charging Schedule - Initiated by EV</t>
  </si>
  <si>
    <t>TC_K_58_CSMS</t>
  </si>
  <si>
    <t>Renegotiating a Charging Schedule - Initiated by CSMS</t>
  </si>
  <si>
    <t>TC_K_59_CSMS</t>
  </si>
  <si>
    <t>Renegotiating a Charging Schedule - Initiated by CSMS - Send NotifyEVChargingNeeds</t>
  </si>
  <si>
    <t>TC_K_60_CSMS</t>
  </si>
  <si>
    <t>TC_K_70_CSMS</t>
  </si>
  <si>
    <t>TC_L_01_CSMS</t>
  </si>
  <si>
    <t>Secure Firmware Update - Installation successful</t>
  </si>
  <si>
    <t>TC_L_02_CSMS</t>
  </si>
  <si>
    <t>Secure Firmware Update - InstallScheduled</t>
  </si>
  <si>
    <t>Scheduled firmware updates</t>
  </si>
  <si>
    <t>TC_L_03_CSMS</t>
  </si>
  <si>
    <t>Secure Firmware Update - DownloadScheduled</t>
  </si>
  <si>
    <t>TC_L_04_CSMS</t>
  </si>
  <si>
    <t>Secure Firmware Update - RevokedCertificate</t>
  </si>
  <si>
    <t>TC_L_05_CSMS</t>
  </si>
  <si>
    <t>Secure Firmware Update - InvalidCertificate</t>
  </si>
  <si>
    <t>TC_L_06_CSMS</t>
  </si>
  <si>
    <t>Secure Firmware Update - InvalidSignature</t>
  </si>
  <si>
    <t>TC_L_07_CSMS</t>
  </si>
  <si>
    <t>Secure Firmware Update - DownloadFailed</t>
  </si>
  <si>
    <t>TC_L_08_CSMS</t>
  </si>
  <si>
    <t>Secure Firmware Update - InstallVerificationFailed or InstallationFailed</t>
  </si>
  <si>
    <t>TC_L_10_CSMS</t>
  </si>
  <si>
    <t>Secure Firmware Update - AcceptedCanceled</t>
  </si>
  <si>
    <t>C-60</t>
  </si>
  <si>
    <t>TC_L_11_CSMS</t>
  </si>
  <si>
    <t>Secure Firmware Update - Unable to cancel</t>
  </si>
  <si>
    <t>NOT C-60</t>
  </si>
  <si>
    <t>TC_L_13_CSMS</t>
  </si>
  <si>
    <t>TC_M_01_CSMS</t>
  </si>
  <si>
    <t>Install CA certificate - CSMSRootCertificate</t>
  </si>
  <si>
    <t>TC_M_02_CSMS</t>
  </si>
  <si>
    <t>Install CA certificate - ManufacturerRootCertificate</t>
  </si>
  <si>
    <t>TC_M_03_CSMS</t>
  </si>
  <si>
    <t>Install CA certificate - V2GRootCertificate</t>
  </si>
  <si>
    <t>TC_M_04_CSMS</t>
  </si>
  <si>
    <t>Install CA certificate - MORootCertificate</t>
  </si>
  <si>
    <t>TC_M_05_CSMS</t>
  </si>
  <si>
    <t>Install CA certificate - Failed</t>
  </si>
  <si>
    <t>TC_M_13_CSMS</t>
  </si>
  <si>
    <t>Retrieve certificates from Charging Station - ManufacturerRootCertificate</t>
  </si>
  <si>
    <t>TC_M_14_CSMS</t>
  </si>
  <si>
    <t>Retrieve certificates from Charging Station - V2GRootCertificate</t>
  </si>
  <si>
    <t>TC_M_15_CSMS</t>
  </si>
  <si>
    <t>Retrieve certificates from Charging Station - V2GCertificateChain</t>
  </si>
  <si>
    <t>TC_M_16_CSMS</t>
  </si>
  <si>
    <t>Retrieve certificates from Charging Station - MORootCertificate</t>
  </si>
  <si>
    <t>TC_M_18_CSMS</t>
  </si>
  <si>
    <t>Retrieve certificates from Charging Station - All certificateTypes</t>
  </si>
  <si>
    <t>TC_M_19_CSMS</t>
  </si>
  <si>
    <t>Retrieve certificates from Charging Station - No matching certificate found</t>
  </si>
  <si>
    <t>TC_M_20_CSMS</t>
  </si>
  <si>
    <t>Delete a certificate from a Charging Station - Success</t>
  </si>
  <si>
    <t>TC_M_21_CSMS</t>
  </si>
  <si>
    <t>Delete a certificate from a Charging Station - Failed</t>
  </si>
  <si>
    <t>TC_M_24_CSMS</t>
  </si>
  <si>
    <t>Get Charging Station Certificate status - Success</t>
  </si>
  <si>
    <t>TC_M_26_CSMS</t>
  </si>
  <si>
    <t>TC_M_28_CSMS</t>
  </si>
  <si>
    <t>TC_N_01_CSMS</t>
  </si>
  <si>
    <t>TC_N_02_CSMS</t>
  </si>
  <si>
    <t>TC_N_03_CSMS</t>
  </si>
  <si>
    <t>TC_N_05_CSMS</t>
  </si>
  <si>
    <t>TC_N_08_CSMS</t>
  </si>
  <si>
    <t>Set Variable Monitoring - One SetMonitoringData element</t>
  </si>
  <si>
    <t>TC_N_16_CSMS</t>
  </si>
  <si>
    <t>Set Monitoring Level - Success</t>
  </si>
  <si>
    <t>TC_N_17_CSMS</t>
  </si>
  <si>
    <t>Set Monitoring Level - Out of range</t>
  </si>
  <si>
    <t>TC_N_18_CSMS</t>
  </si>
  <si>
    <t>TC_N_24_CSMS</t>
  </si>
  <si>
    <t>TC_N_25_CSMS</t>
  </si>
  <si>
    <t>Retrieve Log Information - Diagnostics Log - Success</t>
  </si>
  <si>
    <t>TC_N_27_CSMS</t>
  </si>
  <si>
    <t>Get Customer Information - Accepted + data</t>
  </si>
  <si>
    <t>(C-30 or C-31 or C-34) and (Local Authorization List Management or C-49)</t>
  </si>
  <si>
    <t>TC_N_28_CSMS</t>
  </si>
  <si>
    <t>Get Customer Information - Accepted + no data</t>
  </si>
  <si>
    <t>TC_N_29_CSMS</t>
  </si>
  <si>
    <t>TC_N_30_CSMS</t>
  </si>
  <si>
    <t>Clear Customer Information - Clear and report + data</t>
  </si>
  <si>
    <t>TC_N_31_CSMS</t>
  </si>
  <si>
    <t>Clear Customer Information - Clear and report + no data</t>
  </si>
  <si>
    <t>TC_N_32_CSMS</t>
  </si>
  <si>
    <t>Clear Customer Information - Clear and no report</t>
  </si>
  <si>
    <t>TC_N_34_CSMS</t>
  </si>
  <si>
    <t>Retrieve Log Information - Rejected</t>
  </si>
  <si>
    <t>TC_N_35_CSMS</t>
  </si>
  <si>
    <t>Retrieve Log Information - Security Log - Success</t>
  </si>
  <si>
    <t>TC_N_36_CSMS</t>
  </si>
  <si>
    <t>Retrieve Log Information - Second Request</t>
  </si>
  <si>
    <t>C-57</t>
  </si>
  <si>
    <t>TC_N_44_CSMS</t>
  </si>
  <si>
    <t>AQ-5</t>
  </si>
  <si>
    <t>TC_N_46_CSMS</t>
  </si>
  <si>
    <t>TC_N_47_CSMS</t>
  </si>
  <si>
    <t>TC_N_49_CSMS</t>
  </si>
  <si>
    <t>Alert Event - LowerThreshold/UpperThreshold cleared after reboot</t>
  </si>
  <si>
    <t>TC_N_50_CSMS</t>
  </si>
  <si>
    <t>TC_N_60_CSMS</t>
  </si>
  <si>
    <t>TC_N_62_CSMS</t>
  </si>
  <si>
    <t>Clear Customer Information - Clear and report - customerIdentifier</t>
  </si>
  <si>
    <t>TC_N_63_CSMS</t>
  </si>
  <si>
    <t>Clear Customer Information - Clear and report - customerCertificate</t>
  </si>
  <si>
    <t>TC_O_01_CSMS</t>
  </si>
  <si>
    <t>Set Display Message - Success</t>
  </si>
  <si>
    <t>UI-1 and UI-2</t>
  </si>
  <si>
    <t>Supported MessagePriorities &amp; Supported MessageFormats</t>
  </si>
  <si>
    <t>TC_O_02_CSMS</t>
  </si>
  <si>
    <t>Get all Display Messages - Success</t>
  </si>
  <si>
    <t>TC_O_03_CSMS</t>
  </si>
  <si>
    <t>Get all Display Messages - No DisplayMessages configured</t>
  </si>
  <si>
    <t>TC_O_04_CSMS</t>
  </si>
  <si>
    <t>TC_O_05_CSMS</t>
  </si>
  <si>
    <t>TC_O_06_CSMS</t>
  </si>
  <si>
    <t>Set Display Message - Specific transaction - Success</t>
  </si>
  <si>
    <t>TC_O_07_CSMS</t>
  </si>
  <si>
    <t>Get a Specific Display Message - Id</t>
  </si>
  <si>
    <t>TC_O_08_CSMS</t>
  </si>
  <si>
    <t>Get a Specific Display Message - Priority</t>
  </si>
  <si>
    <t>UI-1</t>
  </si>
  <si>
    <t>Supported MessagePriorities</t>
  </si>
  <si>
    <t>TC_O_09_CSMS</t>
  </si>
  <si>
    <t>Get a Specific Display Message - State</t>
  </si>
  <si>
    <t>TC_O_10_CSMS</t>
  </si>
  <si>
    <t>TC_O_12_CSMS</t>
  </si>
  <si>
    <t>TC_O_13_CSMS</t>
  </si>
  <si>
    <t>Set Display Message - Display message at StartTime</t>
  </si>
  <si>
    <t>TC_O_14_CSMS</t>
  </si>
  <si>
    <t>Set Display Message - Remove message after EndTime</t>
  </si>
  <si>
    <t>TC_O_17_CSMS</t>
  </si>
  <si>
    <t>Set Display Message - NotSupportedPriority</t>
  </si>
  <si>
    <t>NOT (UI-1.1 and UI-1.2 and UI-1.3)</t>
  </si>
  <si>
    <t>TC_O_18_CSMS</t>
  </si>
  <si>
    <t>Set Display Message - NotSupportedState</t>
  </si>
  <si>
    <t>TC_O_19_CSMS</t>
  </si>
  <si>
    <t>Set Display Message - NotSupportedMessageFormat</t>
  </si>
  <si>
    <t>NOT (UI-2.1 and UI-2.2 and UI-2.3 and UI-2.4)</t>
  </si>
  <si>
    <t>TC_O_26_CSMS</t>
  </si>
  <si>
    <t>Set Display Message - Rejected</t>
  </si>
  <si>
    <t>TC_O_27_CSMS</t>
  </si>
  <si>
    <t>Set Display Message - Specific transaction - Display message at StartTime</t>
  </si>
  <si>
    <t>TC_O_28_CSMS</t>
  </si>
  <si>
    <t>Set Display Message - Specific transaction - Remove message after EndTime</t>
  </si>
  <si>
    <t>TC_P_02_CSMS</t>
  </si>
  <si>
    <t>Data Transfer to the CSMS - Rejected / Unknown VendorId / Unknown MessageId</t>
  </si>
  <si>
    <t>TC_P_03_CSMS</t>
  </si>
  <si>
    <t>Feature</t>
  </si>
  <si>
    <t xml:space="preserve">Name </t>
  </si>
  <si>
    <t>Check</t>
  </si>
  <si>
    <t>Support for unlocking connector for charging station with detachable cable (UnlockConnector message).</t>
  </si>
  <si>
    <t>Optional</t>
  </si>
  <si>
    <t>Support for Reset per EVSE</t>
  </si>
  <si>
    <t>Support for retrieving / deleting CustomerInformation - CustomerIdentifier</t>
  </si>
  <si>
    <t>Support for scheduled firmware updates</t>
  </si>
  <si>
    <t>Support for checking the TransactionStatus</t>
  </si>
  <si>
    <t>Support for retrieving the ConfigurationInventory</t>
  </si>
  <si>
    <t>Trigger message - MeterValues</t>
  </si>
  <si>
    <t>Trigger message - TransactionEvent</t>
  </si>
  <si>
    <t>Trigger message - LogStatusNotification</t>
  </si>
  <si>
    <t>Trigger message - FirmwareStatusNotification</t>
  </si>
  <si>
    <t>Trigger message - StatusNotification</t>
  </si>
  <si>
    <t>Authorization - using RFID ISO14443</t>
  </si>
  <si>
    <t>Authorization - using RFID ISO15693</t>
  </si>
  <si>
    <t>Authorization - using KeyCode</t>
  </si>
  <si>
    <t>Authorization - using locally generated id</t>
  </si>
  <si>
    <t>Authorization - MacAddress</t>
  </si>
  <si>
    <t>Authorization - NoAuthorization</t>
  </si>
  <si>
    <t>Authorization options for remote start ([.underline]#mandatory# to support at least one)</t>
  </si>
  <si>
    <t>Authorization - using centrally, in the CSMS (or other server) generated id</t>
  </si>
  <si>
    <t>Support for sending a BootNotification Pending before Accepting</t>
  </si>
  <si>
    <t>Support for Multiple elements GetVariablesRequest</t>
  </si>
  <si>
    <t>Support for Multiple elements SetVariablesRequest</t>
  </si>
  <si>
    <t>GetBaseReport - FullInventory</t>
  </si>
  <si>
    <t>GetBaseReport - FullInventory - During onboarding</t>
  </si>
  <si>
    <t>Support for reservations of connectorType</t>
  </si>
  <si>
    <t>Support for reservations of unspecified EVSE</t>
  </si>
  <si>
    <t>ISO 15118 support</t>
  </si>
  <si>
    <t>Combined charging station certificate (for both OCPP and ISO 15118)</t>
  </si>
  <si>
    <t>Support for retrieving / deleting CustomerInformation - CustomerCertificate</t>
  </si>
  <si>
    <t>Support for GetLocalListVersion</t>
  </si>
  <si>
    <t>Key</t>
  </si>
  <si>
    <t>Value (based on formula)</t>
  </si>
  <si>
    <t>Optional feature related</t>
  </si>
  <si>
    <t>Used</t>
  </si>
  <si>
    <t>Required</t>
  </si>
  <si>
    <t>Remote start transaction - Cable plugin first</t>
  </si>
  <si>
    <t>NOT AQ-2 and (C-36 -(or) C-39)</t>
  </si>
  <si>
    <t>Remote start transaction - Remote start first - AuthorizeRemoteStart is true</t>
  </si>
  <si>
    <t>Remote start transaction - Remote start first - AuthorizeRemoteStart is false</t>
  </si>
  <si>
    <t>Cold Boot Charging Station - Pending</t>
  </si>
  <si>
    <t>Cold Boot Charging Station - Pending/Rejected - SecurityError</t>
  </si>
  <si>
    <t>Cold Boot Charging Station - Pending/Rejected - TriggerMessage</t>
  </si>
  <si>
    <t>Get Base Report - ConfigurationInventory</t>
  </si>
  <si>
    <t>Get Base Report - FullInventory</t>
  </si>
  <si>
    <t>Local start transaction - Authorization Blocked</t>
  </si>
  <si>
    <t>Local start transaction - Authorization Expired</t>
  </si>
  <si>
    <t>Local start transaction - Authorization Invalid/Unknown</t>
  </si>
  <si>
    <t>Stop Transaction with a Master Pass - With UI - With UI - Specific transactions</t>
  </si>
  <si>
    <t>Get Variables - multiple values</t>
  </si>
  <si>
    <t>multiple values elements GetVariablesRequest</t>
  </si>
  <si>
    <t>Set Variables - multiple values</t>
  </si>
  <si>
    <t>multiple values elements SetVariablesRequest</t>
  </si>
  <si>
    <t>Reset EVSE - Without ongoing transaction</t>
  </si>
  <si>
    <t>Reset EVSE - With Ongoing Transaction - OnIdle</t>
  </si>
  <si>
    <t>Reset EVSE - With Ongoing Transaction - Immediate</t>
  </si>
  <si>
    <t>Local start transaction - EV not ready</t>
  </si>
  <si>
    <t>NOT C-09.5 and NOT Product Subtype "Mode 1/2-only Charging Station"</t>
  </si>
  <si>
    <t>Sampled Meter Values - Context Transaction.Begin - EVSE not known</t>
  </si>
  <si>
    <t>C-40 and NOT AQ-8 AND (C-09.2 OR C-09.6)</t>
  </si>
  <si>
    <t>Start transaction options - ParkingBayOccupied</t>
  </si>
  <si>
    <t>Stop transaction options - EVDisconnected - EV side (able to charge IEC 61851-1 EV)</t>
  </si>
  <si>
    <t>(C-10.2 or C-10.3) and C-06.2 and AQ-9</t>
  </si>
  <si>
    <t>Cold Boot Charging Station - Accepted</t>
  </si>
  <si>
    <t>Get Variables - single value</t>
  </si>
  <si>
    <t>Set Variables - single value</t>
  </si>
  <si>
    <t>Reset Charging Station - Without ongoing transaction - OnIdle</t>
  </si>
  <si>
    <t>Reset Charging Station - With Ongoing Transaction - OnIdle</t>
  </si>
  <si>
    <t>Reset Charging Station - With Ongoing Transaction - Immediate</t>
  </si>
  <si>
    <t>(C-10.2 or C-10.5) and (C-52 or NOT (C-10.1 or C-10.3 or C-10.4)) and C-06.1 and C-12.2 and AQ-9 and NOT Product Subtype "Mode 1/2-only Charging Station"</t>
  </si>
  <si>
    <t>Reset Sequence Number - CSMS accepting _seqNo_ = 0 at start of transaction</t>
  </si>
  <si>
    <t>Remote start transaction - Remote start first - Cable plugin timeout</t>
  </si>
  <si>
    <t>Remote unlock Connector - Without ongoing transaction - Accepted</t>
  </si>
  <si>
    <t>Connector status Notification - Lock Failure</t>
  </si>
  <si>
    <t>Change Availability EVSE - Operative to inoperative</t>
  </si>
  <si>
    <t>Change Availability EVSE - Inoperative to operative</t>
  </si>
  <si>
    <t>Change Availability EVSE - With ongoing transaction</t>
  </si>
  <si>
    <t>Change Availability Charging Station - Operative to inoperative</t>
  </si>
  <si>
    <t>Change Availability Charging Station - Inoperative to operative</t>
  </si>
  <si>
    <t>Change Availability Charging Station - With ongoing transaction</t>
  </si>
  <si>
    <t>Change Availability Connector - Operative to inoperative</t>
  </si>
  <si>
    <t>Change Availability Connector - Inoperative to operative</t>
  </si>
  <si>
    <t>Change Availability Connector - With ongoing transaction</t>
  </si>
  <si>
    <t>TC_L_09_CSMS</t>
  </si>
  <si>
    <t>Secure Firmware Update - InstallationFailed</t>
  </si>
  <si>
    <t>Secure Firmware Update - Unable to download/install firmware with ongoing transaction - AllowNewSessionsPendingFirmwareUpdate is false</t>
  </si>
  <si>
    <t>NOT C-43 and NOT AQ-7</t>
  </si>
  <si>
    <t>Get Customer Information - Not Accepted</t>
  </si>
  <si>
    <t>CustomData - Receive custom data</t>
  </si>
  <si>
    <t>TLS - Client-side certificate - valid certificate</t>
  </si>
  <si>
    <t>TLS - Client-side certificate - Invalid certificate</t>
  </si>
  <si>
    <t>Vendor</t>
  </si>
  <si>
    <r>
      <rPr>
        <b/>
        <sz val="11"/>
        <color theme="1"/>
        <rFont val="Calibri"/>
        <family val="2"/>
        <scheme val="minor"/>
      </rPr>
      <t>Date</t>
    </r>
    <r>
      <rPr>
        <sz val="12"/>
        <color theme="1"/>
        <rFont val="Calibri"/>
        <family val="2"/>
        <scheme val="minor"/>
      </rPr>
      <t>:</t>
    </r>
  </si>
  <si>
    <t>Signature:</t>
  </si>
  <si>
    <t>Company</t>
  </si>
  <si>
    <t>&lt;vendor name&gt;</t>
  </si>
  <si>
    <t>Department</t>
  </si>
  <si>
    <t>Position</t>
  </si>
  <si>
    <t>Location</t>
  </si>
  <si>
    <t>Test laboratory</t>
  </si>
  <si>
    <t>Id</t>
  </si>
  <si>
    <t>Device Under Test </t>
  </si>
  <si>
    <t>&lt;type name and / or model number&gt; </t>
  </si>
  <si>
    <t>Id </t>
  </si>
  <si>
    <t>Certification Profile: Reservation</t>
  </si>
  <si>
    <t>Charging Station Management System</t>
  </si>
  <si>
    <t>…</t>
  </si>
  <si>
    <t>Test Report Reference</t>
  </si>
  <si>
    <t>Select all supported suboptions</t>
  </si>
  <si>
    <t>(At least one of the suboptions below is required)</t>
  </si>
  <si>
    <t>Vendor provided performance values</t>
  </si>
  <si>
    <t>Max Value</t>
  </si>
  <si>
    <t>Min Value</t>
  </si>
  <si>
    <t>The response time for when waiting for an OCPP response message after sending an OCPP request message. This entails all OCPP messages, excluding Authorize. Messages to the DUT can be handled within this timeout. </t>
  </si>
  <si>
    <t>Communication technology used during performance measurement: </t>
  </si>
  <si>
    <t>Please note: only 1 communication technology is measured for performance, so if multiple technologies available in a Charging Station, please select for which the measurements should be executed by the lab. </t>
  </si>
  <si>
    <t>Tested During Certification
(* required options)</t>
  </si>
  <si>
    <t>PICS Version:</t>
  </si>
  <si>
    <t>OCPP Spec Version</t>
  </si>
  <si>
    <t>OCPP Errata Version</t>
  </si>
  <si>
    <t>Configuration Setting</t>
  </si>
  <si>
    <t>Configured Value</t>
  </si>
  <si>
    <t>Test Performed On</t>
  </si>
  <si>
    <t>Product Designation</t>
  </si>
  <si>
    <t>&lt;type software version of the product&gt; </t>
  </si>
  <si>
    <t>OCPP Software Version </t>
  </si>
  <si>
    <t>&lt;date the test lab completed testing&gt;</t>
  </si>
  <si>
    <t>&lt;vendor department name&gt;</t>
  </si>
  <si>
    <t>&lt;vendor location&gt;</t>
  </si>
  <si>
    <t>&lt;signature date&gt;</t>
  </si>
  <si>
    <t>&lt;vendor representative name&gt;</t>
  </si>
  <si>
    <t>&lt;vendor representative position&gt;</t>
  </si>
  <si>
    <t>&lt;testlab representative name&gt;</t>
  </si>
  <si>
    <t>&lt;testlab organization name&gt;</t>
  </si>
  <si>
    <t>&lt;testlab department name&gt;</t>
  </si>
  <si>
    <t>&lt;testlab representative position&gt;</t>
  </si>
  <si>
    <t>&lt;testlab location&gt;</t>
  </si>
  <si>
    <t>&lt;internal testlab reference&gt;</t>
  </si>
  <si>
    <r>
      <t>&lt;WiFi / ethernet / mobile&gt;</t>
    </r>
    <r>
      <rPr>
        <b/>
        <sz val="11"/>
        <color rgb="FF7030A0"/>
        <rFont val="Arial"/>
        <family val="2"/>
      </rPr>
      <t> </t>
    </r>
  </si>
  <si>
    <t>&lt;vendor maximum&gt;</t>
  </si>
  <si>
    <t>Statement of Approval</t>
  </si>
  <si>
    <t>I hereby declare that the information provided in the document is correct and complete and that I approve this document to be submitted for OCPP 2.0.1 certification based on this information.</t>
  </si>
  <si>
    <t xml:space="preserve">… </t>
  </si>
  <si>
    <t xml:space="preserve">... </t>
  </si>
  <si>
    <t>Other OCPP &amp; Vendor specific settings</t>
  </si>
  <si>
    <t>The table below should contain all relevant OCPP and vendor-specific settings  that are relevant for the test laboratory and for the correct OCPP-compliant functioning : </t>
  </si>
  <si>
    <r>
      <t xml:space="preserve">This document must be used to define the system that you want to certify in the Open Charge Alliance OCPP Certification Program for OCPP 2.0.1. By defining a system / device using this document, a vendor or certification lab can determine the exact test cases that have to be performed during the certification run for OCPP 2.0.1 certification. 
This document is only intended to be updated using Microsoft Excel. It contains many calculations to ensure that the combination of values is sound and as a tool for the user it also calculates which testcases are required. We have locked the sheet to ensure only the fields that are intended for input can be modified and are fully aware that it is possible to remove this protection. We cannot accept any filled in PICS documents that have  the password protection removed or that have been modified using another program than Microsoft Excel. Doing so makes this PICS invalid and renders it unusable for starting your certification proces.
</t>
    </r>
    <r>
      <rPr>
        <i/>
        <sz val="12"/>
        <color theme="1"/>
        <rFont val="Calibri"/>
        <family val="2"/>
        <scheme val="minor"/>
      </rPr>
      <t>Please note: this document is still under contruction for the Certification Profiles for which the Certification Program is not opened yet.</t>
    </r>
    <r>
      <rPr>
        <sz val="12"/>
        <color theme="1"/>
        <rFont val="Calibri"/>
        <family val="2"/>
        <scheme val="minor"/>
      </rPr>
      <t xml:space="preserve"> When submitting ths PICS for certification testing by a testlab please ensure you fill in and submit the latest version (earlier versions cannot be used for certification).</t>
    </r>
  </si>
  <si>
    <t>Vendor Name </t>
  </si>
  <si>
    <r>
      <t>Supported / Present</t>
    </r>
    <r>
      <rPr>
        <sz val="11"/>
        <color rgb="FF7030A0"/>
        <rFont val="Arial"/>
        <family val="2"/>
      </rPr>
      <t> </t>
    </r>
  </si>
  <si>
    <t>Supported / Present </t>
  </si>
  <si>
    <t>Supported according to Vendor 
(* required options) </t>
  </si>
  <si>
    <t>Tested During Certification
(at least one is mandatory)</t>
  </si>
  <si>
    <t>Supported according to Vendor 
(at least one is mandatory)</t>
  </si>
  <si>
    <t xml:space="preserve">List of Optional Features is currently: </t>
  </si>
  <si>
    <t>Certification Profile: Smart Charging</t>
  </si>
  <si>
    <t>Certification Profile: Advanced Security</t>
  </si>
  <si>
    <t>Certification Profile: Advanced Device Management</t>
  </si>
  <si>
    <t>Certification Profile: ISO 15118 Support</t>
  </si>
  <si>
    <t>Certification Profile: Advanced User Interface</t>
  </si>
  <si>
    <t>Measured performance (filled in by testlab after completion of the tests)</t>
  </si>
  <si>
    <t xml:space="preserve">List of Additional Questions is currently: </t>
  </si>
  <si>
    <t>Specify which optional features you have implemented in your CSMS in columns D and E of the tab "Optional features". Fill in all black fields, purple fields will be populated during certification</t>
  </si>
  <si>
    <r>
      <t>Fill in all OCPP and vendor-specific settings that are relevant for certification in the tab "</t>
    </r>
    <r>
      <rPr>
        <i/>
        <sz val="12"/>
        <color rgb="FF000000"/>
        <rFont val="Calibri"/>
        <family val="2"/>
      </rPr>
      <t>Other&amp;Vendor Specific Settings</t>
    </r>
    <r>
      <rPr>
        <sz val="12"/>
        <color rgb="FF000000"/>
        <rFont val="Calibri"/>
        <family val="2"/>
      </rPr>
      <t>".</t>
    </r>
  </si>
  <si>
    <t>Before submitting this document to a testlab for a certification test:</t>
  </si>
  <si>
    <r>
      <t>Enter your performance commitment in the tab '</t>
    </r>
    <r>
      <rPr>
        <i/>
        <sz val="12"/>
        <color theme="1"/>
        <rFont val="Calibri"/>
        <family val="2"/>
        <scheme val="minor"/>
      </rPr>
      <t>Performance Measurement</t>
    </r>
    <r>
      <rPr>
        <sz val="12"/>
        <color theme="1"/>
        <rFont val="Calibri"/>
        <family val="2"/>
        <scheme val="minor"/>
      </rPr>
      <t xml:space="preserve">' in column C (black fields only, purple fields will be populated during certification) </t>
    </r>
  </si>
  <si>
    <t>Ensure that all tabs that have a check show a green VALID status on the top row</t>
  </si>
  <si>
    <r>
      <t>You can now see the test cases that need to be passed on the tab "</t>
    </r>
    <r>
      <rPr>
        <i/>
        <sz val="12"/>
        <color rgb="FF000000"/>
        <rFont val="Calibri"/>
        <family val="2"/>
      </rPr>
      <t>CSMS Testcases</t>
    </r>
    <r>
      <rPr>
        <sz val="12"/>
        <color rgb="FF000000"/>
        <rFont val="Calibri"/>
        <family val="2"/>
      </rPr>
      <t>" by filtering column H for the value "TRUE".</t>
    </r>
  </si>
  <si>
    <t xml:space="preserve">Performance Measurement is currently: </t>
  </si>
  <si>
    <t>Average Value</t>
  </si>
  <si>
    <t>Value</t>
  </si>
  <si>
    <r>
      <t xml:space="preserve">double-check the selected values entered in the steps above and be sure that the configuration specified will allow all required testcases to PASS. </t>
    </r>
    <r>
      <rPr>
        <b/>
        <sz val="12"/>
        <color theme="1"/>
        <rFont val="Calibri"/>
        <family val="2"/>
        <scheme val="minor"/>
      </rPr>
      <t>Please note that all values provided in the PICS will be shown on the Certificate.</t>
    </r>
  </si>
  <si>
    <t>Certification Profile: Local Authorization List Management</t>
  </si>
  <si>
    <t>Core Features</t>
  </si>
  <si>
    <t xml:space="preserve">Statement of Approval is currently: </t>
  </si>
  <si>
    <t>1.1.0</t>
  </si>
  <si>
    <t>Changelog:</t>
  </si>
  <si>
    <t>Updated reference to latest version of Errata and included (optional) test lab reviewer field.</t>
  </si>
  <si>
    <t>1.2.0</t>
  </si>
  <si>
    <t>Updated to latest version of Errata.</t>
  </si>
  <si>
    <t>(C-30 or C-31 or C-32) and NOT AQ-2</t>
  </si>
  <si>
    <t>Local Authorization - using RFID ISO14443 / RFID ISO15693 / KeyCode and + Does the Charging Station have a cable lock, which prevents the EV driver to connect the EV and EVSE before authorization?</t>
  </si>
  <si>
    <t>(C-10.1 AND (NOT (NOT C-52 AND (C-10.3 or C-10.4))) AND NOT (NOT C.06.1 AND NOT C-52 AND C-10.2)) AND (AQ-9 OR Product Subtype "Mode 1/2-only Charging Station")</t>
  </si>
  <si>
    <t>(C-10.2 or C-10.3) and (C-30 - C-32 or ISO 15118 support) and C-01</t>
  </si>
  <si>
    <t>ISO-5</t>
  </si>
  <si>
    <t>TC_D_09_CSMS</t>
  </si>
  <si>
    <t>Get Local List Version - No list available</t>
  </si>
  <si>
    <t>Reserve a specific EVSE - Use a reserved EVSE with GroupId</t>
  </si>
  <si>
    <t>1.3.0</t>
  </si>
  <si>
    <t>Updated to latest version of Errata / edition 3</t>
  </si>
  <si>
    <t>Test lab result</t>
  </si>
  <si>
    <t>Test lab remark</t>
  </si>
  <si>
    <t>TC_C_51_CSMS</t>
  </si>
  <si>
    <t>Authorization using Contract Certificates 15118 - Online - Local contract certificate validation - Rejected</t>
  </si>
  <si>
    <t>Support reservations of connectorType</t>
  </si>
  <si>
    <t>Clear Customer Information - Update Local Authorization List</t>
  </si>
  <si>
    <t>Set Charging Profile - TxDefaultProfile - Specific EVSE</t>
  </si>
  <si>
    <t>Set Charging Profile - TxDefaultProfile - All EVSE</t>
  </si>
  <si>
    <t>Set Charging Profile - TxProfile with ongoing transaction on the specified EVSE</t>
  </si>
  <si>
    <t>Set Charging Profile - ChargingStationMaxProfile</t>
  </si>
  <si>
    <t>Set Charging Profile - ChargingProfileKind is Recurring</t>
  </si>
  <si>
    <t>Set Charging Profile - Not Supported</t>
  </si>
  <si>
    <t>Set Charging Profile - Multiple Profiles</t>
  </si>
  <si>
    <t>Clear Charging Profile - With stackLevel/purpose combination for one profile</t>
  </si>
  <si>
    <t>Get Base Report - SummaryInventory</t>
  </si>
  <si>
    <t>Get Custom Report - with componentCriteria and component/variables</t>
  </si>
  <si>
    <t>Get Monitoring Report - with monitoringCriteria</t>
  </si>
  <si>
    <t>Get Monitoring Report - with component/variable</t>
  </si>
  <si>
    <t>Get Monitoring Report - with component criteria and component/variable</t>
  </si>
  <si>
    <t>Get Monitoring Report - Report all</t>
  </si>
  <si>
    <t>Get Monitoring Report - with component criteria and list of components/variables</t>
  </si>
  <si>
    <t>Set Monitoring Base - success</t>
  </si>
  <si>
    <t>Set Variable Monitoring - Periodic event</t>
  </si>
  <si>
    <t>Clear Monitoring - Success</t>
  </si>
  <si>
    <t>Clear Monitoring - Rejected</t>
  </si>
  <si>
    <t>TC_N_21_CSMS</t>
  </si>
  <si>
    <t>Alert Event - HardWiredMonitor</t>
  </si>
  <si>
    <t>Alert Event - Periodic Triggered</t>
  </si>
  <si>
    <t>Reserve a specific EVSE - Accepted - Valid idToken</t>
  </si>
  <si>
    <t>Set Display Message - Replace DisplayMessage</t>
  </si>
  <si>
    <t>Set Display Message - Specific transaction - UnknownTransaction</t>
  </si>
  <si>
    <t>Clear Display Message - Success</t>
  </si>
  <si>
    <t>Clear Display Message - Unknown Key</t>
  </si>
  <si>
    <t>Certificate Installation EV - Success</t>
  </si>
  <si>
    <t>Certificate Update EV - Success</t>
  </si>
  <si>
    <t>Name reviewer</t>
  </si>
  <si>
    <t>&lt;optional testlab reviewer name&gt;</t>
  </si>
  <si>
    <t>1.3.1</t>
  </si>
  <si>
    <t>AQ-3</t>
  </si>
  <si>
    <t>AQ-4</t>
  </si>
  <si>
    <t>AQ-3.1</t>
  </si>
  <si>
    <t>Does your CSMS support Absolute values for the following Charging Profiles:</t>
  </si>
  <si>
    <t>AQ-3.2</t>
  </si>
  <si>
    <t>ChargingStationMaxProfile</t>
  </si>
  <si>
    <t>AQ-4.1</t>
  </si>
  <si>
    <t>AQ-4.2</t>
  </si>
  <si>
    <t>TxDefaultProfile</t>
  </si>
  <si>
    <t>Does your CSMS support Recurring values for the following Charging Profiles:</t>
  </si>
  <si>
    <t>Updated to Errata 2024-06</t>
  </si>
  <si>
    <t>Edition 3 FINAL, 2024-05-06</t>
  </si>
  <si>
    <t>1.3.2</t>
  </si>
  <si>
    <t>Updated to Errata 2024-09</t>
  </si>
  <si>
    <t>1.3.3</t>
  </si>
  <si>
    <t>The complete PICS is currently</t>
  </si>
  <si>
    <t>Updated to Errata 2024-11</t>
  </si>
  <si>
    <t>Errata 2024-11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</si>
</sst>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31"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1"/>
      <color rgb="FF7030A0"/>
      <name val="Arial"/>
      <family val="2"/>
    </font>
    <font>
      <b/>
      <sz val="11"/>
      <name val="Arial"/>
      <family val="2"/>
    </font>
    <font>
      <sz val="11"/>
      <name val="Arial"/>
      <family val="2"/>
    </font>
    <font>
      <b/>
      <sz val="11"/>
      <color theme="1"/>
      <name val="Arial"/>
      <family val="2"/>
    </font>
    <font>
      <sz val="11"/>
      <color rgb="FF7030A0"/>
      <name val="Arial"/>
      <family val="2"/>
    </font>
    <font>
      <sz val="11"/>
      <color rgb="FF000000"/>
      <name val="Arial"/>
      <family val="2"/>
    </font>
    <font>
      <b/>
      <sz val="11"/>
      <color rgb="FF000000"/>
      <name val="Arial"/>
      <family val="2"/>
    </font>
    <font>
      <i/>
      <sz val="11"/>
      <color rgb="FF000000"/>
      <name val="Arial"/>
      <family val="2"/>
    </font>
    <font>
      <i/>
      <sz val="11"/>
      <color rgb="FF2E74B5"/>
      <name val="Arial"/>
      <family val="2"/>
    </font>
    <font>
      <sz val="12"/>
      <name val="Calibri"/>
      <family val="2"/>
      <scheme val="minor"/>
    </font>
    <font>
      <b/>
      <sz val="28"/>
      <color theme="1"/>
      <name val="Calibri"/>
      <family val="2"/>
      <scheme val="minor"/>
    </font>
    <font>
      <sz val="28"/>
      <color theme="1"/>
      <name val="Calibri"/>
      <family val="2"/>
      <scheme val="minor"/>
    </font>
    <font>
      <b/>
      <sz val="16"/>
      <color theme="1"/>
      <name val="Calibri"/>
      <family val="2"/>
      <scheme val="minor"/>
    </font>
    <font>
      <sz val="16"/>
      <color theme="1"/>
      <name val="Calibri"/>
      <family val="2"/>
      <scheme val="minor"/>
    </font>
    <font>
      <i/>
      <sz val="12"/>
      <color theme="1"/>
      <name val="Calibri"/>
      <family val="2"/>
      <scheme val="minor"/>
    </font>
    <font>
      <sz val="12"/>
      <color rgb="FF000000"/>
      <name val="Calibri"/>
      <family val="2"/>
    </font>
    <font>
      <i/>
      <sz val="12"/>
      <color rgb="FF000000"/>
      <name val="Calibri"/>
      <family val="2"/>
    </font>
    <font>
      <b/>
      <sz val="18"/>
      <color theme="1"/>
      <name val="Calibri"/>
      <family val="2"/>
      <scheme val="minor"/>
    </font>
    <font>
      <i/>
      <sz val="11"/>
      <name val="Arial"/>
      <family val="2"/>
    </font>
    <font>
      <b/>
      <sz val="18"/>
      <name val="Arial"/>
      <family val="2"/>
    </font>
    <font>
      <b/>
      <sz val="20"/>
      <color theme="1"/>
      <name val="Calibri"/>
      <family val="2"/>
      <scheme val="minor"/>
    </font>
    <font>
      <b/>
      <sz val="11"/>
      <color theme="1"/>
      <name val="Calibri"/>
      <family val="2"/>
      <scheme val="minor"/>
    </font>
    <font>
      <b/>
      <sz val="14"/>
      <color rgb="FF7030A0"/>
      <name val="Calibri"/>
      <family val="2"/>
      <scheme val="minor"/>
    </font>
    <font>
      <b/>
      <sz val="12"/>
      <name val="Arial"/>
      <family val="2"/>
    </font>
    <font>
      <b/>
      <sz val="12"/>
      <color rgb="FFFF0000"/>
      <name val="Calibri"/>
      <family val="2"/>
      <scheme val="minor"/>
    </font>
    <font>
      <b/>
      <sz val="14"/>
      <color rgb="FFFF0000"/>
      <name val="Calibri"/>
      <family val="2"/>
      <scheme val="minor"/>
    </font>
    <font>
      <b/>
      <sz val="11"/>
      <color theme="0" tint="-0.34998626667073579"/>
      <name val="Arial"/>
      <family val="2"/>
    </font>
  </fonts>
  <fills count="6">
    <fill>
      <patternFill patternType="none"/>
    </fill>
    <fill>
      <patternFill patternType="gray125"/>
    </fill>
    <fill>
      <patternFill patternType="solid">
        <fgColor rgb="FFFFF2CC"/>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bgColor indexed="64"/>
      </patternFill>
    </fill>
  </fills>
  <borders count="78">
    <border>
      <left/>
      <right/>
      <top/>
      <bottom/>
      <diagonal/>
    </border>
    <border>
      <left style="thin">
        <color rgb="FF000000"/>
      </left>
      <right/>
      <top style="thin">
        <color rgb="FF000000"/>
      </top>
      <bottom style="medium">
        <color rgb="FFFFD966"/>
      </bottom>
      <diagonal/>
    </border>
    <border>
      <left/>
      <right style="thin">
        <color rgb="FF000000"/>
      </right>
      <top style="thin">
        <color rgb="FF000000"/>
      </top>
      <bottom style="medium">
        <color rgb="FFFFD966"/>
      </bottom>
      <diagonal/>
    </border>
    <border>
      <left style="thin">
        <color rgb="FF000000"/>
      </left>
      <right/>
      <top style="medium">
        <color rgb="FFFFD966"/>
      </top>
      <bottom style="medium">
        <color rgb="FFFFD966"/>
      </bottom>
      <diagonal/>
    </border>
    <border>
      <left/>
      <right style="thin">
        <color rgb="FF000000"/>
      </right>
      <top style="medium">
        <color rgb="FFFFD966"/>
      </top>
      <bottom style="medium">
        <color rgb="FFFFD966"/>
      </bottom>
      <diagonal/>
    </border>
    <border>
      <left style="thin">
        <color rgb="FF000000"/>
      </left>
      <right/>
      <top style="medium">
        <color rgb="FFFFD966"/>
      </top>
      <bottom style="thin">
        <color rgb="FF000000"/>
      </bottom>
      <diagonal/>
    </border>
    <border>
      <left/>
      <right style="thin">
        <color rgb="FF000000"/>
      </right>
      <top style="medium">
        <color rgb="FFFFD966"/>
      </top>
      <bottom style="thin">
        <color rgb="FF000000"/>
      </bottom>
      <diagonal/>
    </border>
    <border>
      <left style="medium">
        <color rgb="FFFFC000"/>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rgb="FFFFD966"/>
      </left>
      <right style="medium">
        <color rgb="FFFFD966"/>
      </right>
      <top style="medium">
        <color rgb="FFFFC000"/>
      </top>
      <bottom/>
      <diagonal/>
    </border>
    <border>
      <left style="medium">
        <color rgb="FFFFD966"/>
      </left>
      <right style="medium">
        <color rgb="FFFFD966"/>
      </right>
      <top style="medium">
        <color rgb="FFFFD966"/>
      </top>
      <bottom/>
      <diagonal/>
    </border>
    <border>
      <left style="medium">
        <color rgb="FFFFD966"/>
      </left>
      <right style="medium">
        <color rgb="FFFFD966"/>
      </right>
      <top style="medium">
        <color rgb="FFFFD966"/>
      </top>
      <bottom style="medium">
        <color rgb="FFFFC000"/>
      </bottom>
      <diagonal/>
    </border>
    <border>
      <left style="thin">
        <color rgb="FF000000"/>
      </left>
      <right/>
      <top style="thin">
        <color rgb="FF000000"/>
      </top>
      <bottom style="medium">
        <color rgb="FFFFC000"/>
      </bottom>
      <diagonal/>
    </border>
    <border>
      <left/>
      <right/>
      <top style="thin">
        <color rgb="FF000000"/>
      </top>
      <bottom style="medium">
        <color rgb="FFFFC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FFD966"/>
      </left>
      <right style="medium">
        <color rgb="FFFFD966"/>
      </right>
      <top style="medium">
        <color rgb="FFFFD966"/>
      </top>
      <bottom style="medium">
        <color rgb="FFFFD966"/>
      </bottom>
      <diagonal/>
    </border>
    <border>
      <left style="thin">
        <color rgb="FF000000"/>
      </left>
      <right style="medium">
        <color rgb="FFFFD966"/>
      </right>
      <top style="medium">
        <color rgb="FFFFD966"/>
      </top>
      <bottom style="medium">
        <color rgb="FFFFD966"/>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indexed="64"/>
      </bottom>
      <diagonal/>
    </border>
    <border>
      <left style="thin">
        <color indexed="64"/>
      </left>
      <right/>
      <top style="thin">
        <color indexed="64"/>
      </top>
      <bottom style="medium">
        <color rgb="FFFFD966"/>
      </bottom>
      <diagonal/>
    </border>
    <border>
      <left style="thin">
        <color rgb="FF000000"/>
      </left>
      <right/>
      <top style="thin">
        <color indexed="64"/>
      </top>
      <bottom style="medium">
        <color rgb="FFFFD966"/>
      </bottom>
      <diagonal/>
    </border>
    <border>
      <left/>
      <right style="thin">
        <color indexed="64"/>
      </right>
      <top style="thin">
        <color indexed="64"/>
      </top>
      <bottom style="medium">
        <color rgb="FFFFD966"/>
      </bottom>
      <diagonal/>
    </border>
    <border>
      <left style="thin">
        <color indexed="64"/>
      </left>
      <right/>
      <top style="medium">
        <color rgb="FFFFD966"/>
      </top>
      <bottom style="medium">
        <color rgb="FFFFD966"/>
      </bottom>
      <diagonal/>
    </border>
    <border>
      <left/>
      <right style="thin">
        <color indexed="64"/>
      </right>
      <top style="medium">
        <color rgb="FFFFD966"/>
      </top>
      <bottom style="medium">
        <color rgb="FFFFD966"/>
      </bottom>
      <diagonal/>
    </border>
    <border>
      <left style="thin">
        <color rgb="FF000000"/>
      </left>
      <right/>
      <top/>
      <bottom style="medium">
        <color rgb="FFFFC000"/>
      </bottom>
      <diagonal/>
    </border>
    <border>
      <left/>
      <right/>
      <top/>
      <bottom style="medium">
        <color rgb="FFFFC000"/>
      </bottom>
      <diagonal/>
    </border>
    <border>
      <left style="thin">
        <color rgb="FF000000"/>
      </left>
      <right style="medium">
        <color rgb="FFFFD966"/>
      </right>
      <top style="medium">
        <color rgb="FFFFD966"/>
      </top>
      <bottom/>
      <diagonal/>
    </border>
    <border>
      <left style="medium">
        <color rgb="FFFFD966"/>
      </left>
      <right/>
      <top style="medium">
        <color rgb="FFFFC000"/>
      </top>
      <bottom style="medium">
        <color rgb="FFFFD966"/>
      </bottom>
      <diagonal/>
    </border>
    <border>
      <left/>
      <right/>
      <top style="medium">
        <color rgb="FFFFC000"/>
      </top>
      <bottom style="medium">
        <color rgb="FFFFD966"/>
      </bottom>
      <diagonal/>
    </border>
    <border>
      <left/>
      <right style="medium">
        <color rgb="FFFFD966"/>
      </right>
      <top style="medium">
        <color rgb="FFFFC000"/>
      </top>
      <bottom style="medium">
        <color rgb="FFFFD966"/>
      </bottom>
      <diagonal/>
    </border>
    <border>
      <left style="medium">
        <color rgb="FFFFD966"/>
      </left>
      <right/>
      <top style="medium">
        <color rgb="FFFFD966"/>
      </top>
      <bottom style="medium">
        <color rgb="FFFFD966"/>
      </bottom>
      <diagonal/>
    </border>
    <border>
      <left/>
      <right/>
      <top style="medium">
        <color rgb="FFFFD966"/>
      </top>
      <bottom style="medium">
        <color rgb="FFFFD966"/>
      </bottom>
      <diagonal/>
    </border>
    <border>
      <left/>
      <right style="medium">
        <color rgb="FFFFD966"/>
      </right>
      <top style="medium">
        <color rgb="FFFFD966"/>
      </top>
      <bottom style="medium">
        <color rgb="FFFFD966"/>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rgb="FFFFD966"/>
      </top>
      <bottom style="medium">
        <color rgb="FFFFC000"/>
      </bottom>
      <diagonal/>
    </border>
    <border>
      <left style="thin">
        <color rgb="FF000000"/>
      </left>
      <right/>
      <top style="medium">
        <color rgb="FFFFD966"/>
      </top>
      <bottom style="medium">
        <color rgb="FFFFC000"/>
      </bottom>
      <diagonal/>
    </border>
    <border>
      <left/>
      <right style="thin">
        <color indexed="64"/>
      </right>
      <top style="medium">
        <color rgb="FFFFD966"/>
      </top>
      <bottom style="medium">
        <color rgb="FFFFC000"/>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top style="thin">
        <color rgb="FF000000"/>
      </top>
      <bottom style="thin">
        <color indexed="64"/>
      </bottom>
      <diagonal/>
    </border>
    <border>
      <left style="medium">
        <color indexed="64"/>
      </left>
      <right style="thin">
        <color rgb="FF000000"/>
      </right>
      <top/>
      <bottom style="thin">
        <color rgb="FF000000"/>
      </bottom>
      <diagonal/>
    </border>
  </borders>
  <cellStyleXfs count="2">
    <xf numFmtId="0" fontId="0" fillId="0" borderId="0"/>
    <xf numFmtId="0" fontId="2" fillId="0" borderId="0"/>
  </cellStyleXfs>
  <cellXfs count="203">
    <xf numFmtId="0" fontId="0" fillId="0" borderId="0" xfId="0"/>
    <xf numFmtId="0" fontId="3" fillId="0" borderId="0" xfId="0" applyFont="1"/>
    <xf numFmtId="0" fontId="4" fillId="0" borderId="1" xfId="0" applyFont="1" applyBorder="1" applyAlignment="1">
      <alignment horizontal="left" vertical="center" wrapText="1"/>
    </xf>
    <xf numFmtId="0" fontId="4" fillId="3" borderId="7" xfId="0" applyFont="1" applyFill="1" applyBorder="1" applyAlignment="1">
      <alignment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7" fillId="2" borderId="9" xfId="0" applyFont="1" applyFill="1" applyBorder="1" applyAlignment="1">
      <alignment vertical="center" wrapText="1"/>
    </xf>
    <xf numFmtId="0" fontId="7" fillId="0" borderId="10" xfId="0" applyFont="1" applyBorder="1" applyAlignment="1">
      <alignment vertical="center" wrapText="1"/>
    </xf>
    <xf numFmtId="0" fontId="9" fillId="2" borderId="0" xfId="0" applyFont="1" applyFill="1" applyAlignment="1">
      <alignment horizontal="left" vertical="center" wrapText="1"/>
    </xf>
    <xf numFmtId="0" fontId="9" fillId="2" borderId="14" xfId="0" applyFont="1" applyFill="1" applyBorder="1" applyAlignment="1">
      <alignment horizontal="left" vertical="center" wrapText="1"/>
    </xf>
    <xf numFmtId="0" fontId="9" fillId="0" borderId="16" xfId="0" applyFont="1" applyBorder="1" applyAlignment="1">
      <alignment horizontal="left" vertical="center" wrapText="1"/>
    </xf>
    <xf numFmtId="0" fontId="6" fillId="0" borderId="0" xfId="0" applyFont="1" applyAlignment="1">
      <alignment horizontal="left" vertical="center" wrapText="1"/>
    </xf>
    <xf numFmtId="0" fontId="9" fillId="2" borderId="17"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2" fillId="0" borderId="0" xfId="0" applyFont="1" applyAlignment="1">
      <alignment horizontal="left" vertical="center" wrapText="1"/>
    </xf>
    <xf numFmtId="0" fontId="6" fillId="2" borderId="19"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0" borderId="24" xfId="0" applyFont="1" applyBorder="1" applyAlignment="1">
      <alignment horizontal="left" vertical="center" wrapText="1"/>
    </xf>
    <xf numFmtId="0" fontId="3" fillId="0" borderId="0" xfId="0" applyFont="1" applyAlignment="1">
      <alignment horizontal="center"/>
    </xf>
    <xf numFmtId="0" fontId="0" fillId="0" borderId="0" xfId="0" applyAlignment="1">
      <alignment wrapText="1"/>
    </xf>
    <xf numFmtId="0" fontId="13" fillId="0" borderId="0" xfId="0" applyFont="1"/>
    <xf numFmtId="49" fontId="9" fillId="0" borderId="24" xfId="0" applyNumberFormat="1" applyFont="1" applyBorder="1" applyAlignment="1">
      <alignment horizontal="left" vertical="center" wrapText="1"/>
    </xf>
    <xf numFmtId="49" fontId="11" fillId="2" borderId="24" xfId="0" applyNumberFormat="1" applyFont="1" applyFill="1" applyBorder="1" applyAlignment="1">
      <alignment horizontal="left" vertical="center" wrapText="1"/>
    </xf>
    <xf numFmtId="49" fontId="11" fillId="0" borderId="24" xfId="0" applyNumberFormat="1" applyFont="1" applyBorder="1" applyAlignment="1">
      <alignment horizontal="left" vertical="center" wrapText="1"/>
    </xf>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14" fontId="0" fillId="0" borderId="0" xfId="0" applyNumberFormat="1" applyAlignment="1">
      <alignment horizontal="left"/>
    </xf>
    <xf numFmtId="0" fontId="0" fillId="0" borderId="0" xfId="0" applyAlignment="1">
      <alignment vertical="top" wrapText="1"/>
    </xf>
    <xf numFmtId="0" fontId="0" fillId="0" borderId="0" xfId="0" applyAlignment="1">
      <alignment vertical="top"/>
    </xf>
    <xf numFmtId="0" fontId="19" fillId="0" borderId="0" xfId="0" applyFont="1" applyAlignment="1">
      <alignment wrapText="1"/>
    </xf>
    <xf numFmtId="0" fontId="7" fillId="0" borderId="10" xfId="0" applyFont="1" applyBorder="1" applyAlignment="1" applyProtection="1">
      <alignment horizontal="center" vertical="center" wrapText="1"/>
      <protection locked="0"/>
    </xf>
    <xf numFmtId="0" fontId="21" fillId="0" borderId="0" xfId="0" applyFont="1" applyAlignment="1">
      <alignment horizontal="center" vertical="center"/>
    </xf>
    <xf numFmtId="0" fontId="5" fillId="2" borderId="0" xfId="0" applyFont="1" applyFill="1" applyAlignment="1">
      <alignment horizontal="left" vertical="center" wrapText="1"/>
    </xf>
    <xf numFmtId="0" fontId="5" fillId="0" borderId="0" xfId="0" applyFont="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27" xfId="0" applyFont="1" applyBorder="1" applyAlignment="1">
      <alignment horizontal="left" vertical="center" wrapText="1"/>
    </xf>
    <xf numFmtId="0" fontId="22" fillId="0" borderId="24"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3" fillId="3" borderId="0" xfId="0" applyFont="1" applyFill="1" applyAlignment="1">
      <alignment horizont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3" fillId="3" borderId="0" xfId="0" applyFont="1" applyFill="1"/>
    <xf numFmtId="0" fontId="11" fillId="0" borderId="24" xfId="0" applyFont="1" applyBorder="1" applyAlignment="1">
      <alignment horizontal="left" vertical="center" wrapText="1"/>
    </xf>
    <xf numFmtId="0" fontId="11" fillId="2" borderId="25" xfId="0" applyFont="1" applyFill="1" applyBorder="1" applyAlignment="1">
      <alignment horizontal="left" vertical="center" wrapText="1"/>
    </xf>
    <xf numFmtId="0" fontId="9" fillId="0" borderId="0" xfId="0" applyFont="1" applyAlignment="1">
      <alignment horizontal="left" vertical="center" wrapText="1"/>
    </xf>
    <xf numFmtId="49" fontId="9" fillId="0" borderId="0" xfId="0" applyNumberFormat="1" applyFont="1" applyAlignment="1">
      <alignment horizontal="left" vertical="center" wrapText="1"/>
    </xf>
    <xf numFmtId="49" fontId="11" fillId="2" borderId="0" xfId="0" applyNumberFormat="1" applyFont="1" applyFill="1" applyAlignment="1">
      <alignment horizontal="left" vertical="center" wrapText="1"/>
    </xf>
    <xf numFmtId="49" fontId="11" fillId="0" borderId="0" xfId="0" applyNumberFormat="1" applyFont="1" applyAlignment="1">
      <alignment horizontal="left" vertical="center" wrapText="1"/>
    </xf>
    <xf numFmtId="0" fontId="9" fillId="2" borderId="22" xfId="0" applyFont="1" applyFill="1" applyBorder="1" applyAlignment="1">
      <alignment horizontal="left" vertical="center" wrapText="1"/>
    </xf>
    <xf numFmtId="49" fontId="11" fillId="2" borderId="23" xfId="0" applyNumberFormat="1" applyFont="1" applyFill="1" applyBorder="1" applyAlignment="1">
      <alignment horizontal="left" vertical="center" wrapText="1"/>
    </xf>
    <xf numFmtId="0" fontId="9" fillId="2" borderId="25" xfId="0" applyFont="1" applyFill="1" applyBorder="1" applyAlignment="1">
      <alignment horizontal="left" vertical="center" wrapText="1"/>
    </xf>
    <xf numFmtId="49" fontId="11" fillId="2" borderId="26" xfId="0" applyNumberFormat="1" applyFont="1" applyFill="1" applyBorder="1" applyAlignment="1">
      <alignment horizontal="left" vertical="center" wrapText="1"/>
    </xf>
    <xf numFmtId="49" fontId="9" fillId="2" borderId="0" xfId="0" applyNumberFormat="1" applyFont="1" applyFill="1" applyAlignment="1">
      <alignment horizontal="left" vertical="center" wrapText="1"/>
    </xf>
    <xf numFmtId="0" fontId="9" fillId="0" borderId="22" xfId="0" applyFont="1" applyBorder="1" applyAlignment="1">
      <alignment horizontal="left" vertical="center" wrapText="1"/>
    </xf>
    <xf numFmtId="49" fontId="9" fillId="0" borderId="23" xfId="0" applyNumberFormat="1" applyFont="1" applyBorder="1" applyAlignment="1">
      <alignment horizontal="left" vertical="center" wrapText="1"/>
    </xf>
    <xf numFmtId="49" fontId="9" fillId="2" borderId="26" xfId="0" applyNumberFormat="1" applyFont="1" applyFill="1" applyBorder="1" applyAlignment="1">
      <alignment horizontal="left" vertical="center" wrapText="1"/>
    </xf>
    <xf numFmtId="49" fontId="9" fillId="0" borderId="26" xfId="0" applyNumberFormat="1" applyFont="1" applyBorder="1" applyAlignment="1">
      <alignment horizontal="left" vertical="center" wrapText="1"/>
    </xf>
    <xf numFmtId="0" fontId="22" fillId="4" borderId="24" xfId="0" applyFont="1" applyFill="1" applyBorder="1" applyAlignment="1">
      <alignment horizontal="left" vertical="center" wrapText="1"/>
    </xf>
    <xf numFmtId="0" fontId="5" fillId="4" borderId="0" xfId="0" applyFont="1" applyFill="1" applyAlignment="1">
      <alignment vertical="center" wrapText="1"/>
    </xf>
    <xf numFmtId="0" fontId="9" fillId="4" borderId="21" xfId="0" applyFont="1" applyFill="1" applyBorder="1" applyAlignment="1" applyProtection="1">
      <alignment horizontal="center" vertical="center" wrapText="1"/>
      <protection locked="0"/>
    </xf>
    <xf numFmtId="0" fontId="7" fillId="2" borderId="9" xfId="0" applyFont="1" applyFill="1" applyBorder="1" applyAlignment="1">
      <alignment horizontal="center" vertical="center" wrapText="1"/>
    </xf>
    <xf numFmtId="0" fontId="9" fillId="0" borderId="21" xfId="0" applyFont="1" applyBorder="1" applyAlignment="1" applyProtection="1">
      <alignment horizontal="center" vertical="center" wrapText="1"/>
      <protection locked="0"/>
    </xf>
    <xf numFmtId="0" fontId="9" fillId="2" borderId="21" xfId="0" applyFont="1" applyFill="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0" fillId="0" borderId="0" xfId="0" applyProtection="1">
      <protection locked="0"/>
    </xf>
    <xf numFmtId="0" fontId="9" fillId="2" borderId="0" xfId="0" applyFont="1" applyFill="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2" borderId="23" xfId="0" applyFont="1" applyFill="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2" borderId="16" xfId="0" applyFont="1" applyFill="1" applyBorder="1" applyAlignment="1">
      <alignment horizontal="left" vertical="center" wrapText="1"/>
    </xf>
    <xf numFmtId="0" fontId="9" fillId="0" borderId="25" xfId="0" applyFont="1" applyBorder="1" applyAlignment="1">
      <alignment horizontal="left" vertical="center" wrapText="1"/>
    </xf>
    <xf numFmtId="49" fontId="11" fillId="0" borderId="26" xfId="0" applyNumberFormat="1" applyFont="1" applyBorder="1" applyAlignment="1">
      <alignment horizontal="left" vertical="center" wrapText="1"/>
    </xf>
    <xf numFmtId="0" fontId="9" fillId="0" borderId="26" xfId="0" applyFont="1" applyBorder="1" applyAlignment="1" applyProtection="1">
      <alignment horizontal="center" vertical="center" wrapText="1"/>
      <protection locked="0"/>
    </xf>
    <xf numFmtId="0" fontId="2" fillId="0" borderId="0" xfId="1"/>
    <xf numFmtId="0" fontId="2" fillId="0" borderId="34" xfId="1" applyBorder="1"/>
    <xf numFmtId="0" fontId="2" fillId="0" borderId="35" xfId="1" applyBorder="1" applyAlignment="1">
      <alignment vertical="center"/>
    </xf>
    <xf numFmtId="0" fontId="25" fillId="0" borderId="37" xfId="1" applyFont="1" applyBorder="1" applyAlignment="1">
      <alignment vertical="center"/>
    </xf>
    <xf numFmtId="0" fontId="2" fillId="0" borderId="39" xfId="1" applyBorder="1"/>
    <xf numFmtId="0" fontId="25" fillId="0" borderId="40" xfId="1" applyFont="1" applyBorder="1" applyAlignment="1">
      <alignment vertical="center"/>
    </xf>
    <xf numFmtId="0" fontId="25" fillId="0" borderId="46" xfId="1" applyFont="1" applyBorder="1" applyAlignment="1">
      <alignment vertical="center"/>
    </xf>
    <xf numFmtId="0" fontId="2" fillId="0" borderId="48" xfId="1" applyBorder="1"/>
    <xf numFmtId="0" fontId="4" fillId="0" borderId="28" xfId="0" applyFont="1" applyBorder="1" applyAlignment="1">
      <alignment horizontal="center" vertical="center" wrapText="1"/>
    </xf>
    <xf numFmtId="0" fontId="5" fillId="2" borderId="3" xfId="0" applyFont="1" applyFill="1" applyBorder="1" applyAlignment="1" applyProtection="1">
      <alignment horizontal="left" vertical="center" wrapText="1"/>
      <protection locked="0"/>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5" fillId="4" borderId="5"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164" fontId="18" fillId="0" borderId="0" xfId="0" quotePrefix="1" applyNumberFormat="1" applyFont="1" applyAlignment="1">
      <alignment horizontal="left"/>
    </xf>
    <xf numFmtId="0" fontId="5"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27" fillId="0" borderId="26" xfId="0" applyFont="1" applyBorder="1" applyAlignment="1">
      <alignment horizontal="left" vertical="center" wrapText="1"/>
    </xf>
    <xf numFmtId="0" fontId="0" fillId="0" borderId="26" xfId="0" applyBorder="1" applyProtection="1">
      <protection locked="0"/>
    </xf>
    <xf numFmtId="0" fontId="4" fillId="3" borderId="57" xfId="0" applyFont="1" applyFill="1" applyBorder="1" applyAlignment="1">
      <alignment horizontal="left" vertical="center" wrapText="1"/>
    </xf>
    <xf numFmtId="0" fontId="5" fillId="0" borderId="59" xfId="0" applyFont="1" applyBorder="1" applyAlignment="1">
      <alignment vertical="center" wrapText="1"/>
    </xf>
    <xf numFmtId="0" fontId="6" fillId="0" borderId="10" xfId="0" applyFont="1" applyBorder="1" applyAlignment="1">
      <alignment vertical="center" wrapText="1"/>
    </xf>
    <xf numFmtId="0" fontId="5" fillId="0" borderId="66" xfId="0" applyFont="1" applyBorder="1" applyAlignment="1">
      <alignment horizontal="left" vertical="center" wrapText="1"/>
    </xf>
    <xf numFmtId="0" fontId="4" fillId="0" borderId="30" xfId="0" applyFont="1" applyBorder="1" applyAlignment="1">
      <alignment horizontal="center" vertical="center" wrapText="1"/>
    </xf>
    <xf numFmtId="0" fontId="4" fillId="0" borderId="54" xfId="0" applyFont="1" applyBorder="1" applyAlignment="1">
      <alignment horizontal="left" vertical="center" wrapText="1"/>
    </xf>
    <xf numFmtId="0" fontId="2" fillId="0" borderId="42" xfId="1" applyBorder="1" applyAlignment="1">
      <alignment vertical="center"/>
    </xf>
    <xf numFmtId="0" fontId="2" fillId="0" borderId="43" xfId="1" applyBorder="1" applyAlignment="1">
      <alignment vertical="center"/>
    </xf>
    <xf numFmtId="0" fontId="25" fillId="0" borderId="71" xfId="1" applyFont="1" applyBorder="1" applyAlignment="1">
      <alignment horizontal="left" vertical="center"/>
    </xf>
    <xf numFmtId="165" fontId="18" fillId="0" borderId="0" xfId="0" applyNumberFormat="1" applyFont="1" applyAlignment="1">
      <alignment horizontal="left"/>
    </xf>
    <xf numFmtId="0" fontId="6" fillId="2" borderId="4" xfId="0" applyFont="1" applyFill="1" applyBorder="1" applyAlignment="1">
      <alignment horizontal="left" vertical="center" wrapText="1"/>
    </xf>
    <xf numFmtId="0" fontId="6" fillId="0" borderId="2" xfId="0" applyFont="1" applyBorder="1" applyAlignment="1" applyProtection="1">
      <alignment horizontal="left" vertical="center" wrapText="1"/>
      <protection locked="0"/>
    </xf>
    <xf numFmtId="0" fontId="9" fillId="0" borderId="21" xfId="0" applyFont="1" applyBorder="1" applyAlignment="1">
      <alignment horizontal="center" vertical="center" wrapText="1"/>
    </xf>
    <xf numFmtId="49" fontId="11" fillId="0" borderId="25" xfId="0" applyNumberFormat="1" applyFont="1" applyBorder="1" applyAlignment="1">
      <alignment horizontal="left" vertical="center" wrapText="1"/>
    </xf>
    <xf numFmtId="0" fontId="11" fillId="0" borderId="26" xfId="0" applyFont="1" applyBorder="1" applyAlignment="1">
      <alignment horizontal="left" vertical="center" wrapText="1"/>
    </xf>
    <xf numFmtId="0" fontId="9" fillId="0" borderId="27" xfId="0" applyFont="1" applyBorder="1" applyAlignment="1">
      <alignment horizontal="center"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9" fillId="2" borderId="31"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2" fillId="0" borderId="38" xfId="1" applyBorder="1" applyAlignment="1" applyProtection="1">
      <alignment vertical="center"/>
      <protection locked="0"/>
    </xf>
    <xf numFmtId="0" fontId="2" fillId="0" borderId="41" xfId="1" applyBorder="1" applyAlignment="1" applyProtection="1">
      <alignment vertical="center"/>
      <protection locked="0"/>
    </xf>
    <xf numFmtId="0" fontId="2" fillId="0" borderId="47" xfId="1" applyBorder="1" applyAlignment="1" applyProtection="1">
      <alignment vertical="center"/>
      <protection locked="0"/>
    </xf>
    <xf numFmtId="14" fontId="2" fillId="0" borderId="36" xfId="1" applyNumberFormat="1" applyBorder="1" applyAlignment="1" applyProtection="1">
      <alignment horizontal="left" vertical="center"/>
      <protection locked="0"/>
    </xf>
    <xf numFmtId="0" fontId="2" fillId="0" borderId="72" xfId="1" applyBorder="1" applyAlignment="1" applyProtection="1">
      <alignment horizontal="left" vertical="center"/>
      <protection locked="0"/>
    </xf>
    <xf numFmtId="0" fontId="2" fillId="0" borderId="73" xfId="1" applyBorder="1" applyAlignment="1" applyProtection="1">
      <alignment vertical="center"/>
      <protection locked="0"/>
    </xf>
    <xf numFmtId="0" fontId="2" fillId="0" borderId="74" xfId="1" applyBorder="1" applyAlignment="1" applyProtection="1">
      <alignment vertical="center"/>
      <protection locked="0"/>
    </xf>
    <xf numFmtId="0" fontId="2" fillId="0" borderId="75" xfId="1" applyBorder="1" applyAlignment="1" applyProtection="1">
      <alignment vertical="center"/>
      <protection locked="0"/>
    </xf>
    <xf numFmtId="14" fontId="2" fillId="0" borderId="36" xfId="1" applyNumberFormat="1" applyBorder="1" applyAlignment="1" applyProtection="1">
      <alignment vertical="center"/>
      <protection locked="0"/>
    </xf>
    <xf numFmtId="0" fontId="8" fillId="0" borderId="67"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14" fontId="2" fillId="0" borderId="43" xfId="1" applyNumberFormat="1" applyBorder="1" applyAlignment="1">
      <alignment vertical="center"/>
    </xf>
    <xf numFmtId="0" fontId="2" fillId="0" borderId="76" xfId="1" applyBorder="1"/>
    <xf numFmtId="0" fontId="29" fillId="0" borderId="0" xfId="0" applyFont="1" applyAlignment="1">
      <alignment vertical="center"/>
    </xf>
    <xf numFmtId="0" fontId="3" fillId="0" borderId="0" xfId="0" applyFont="1" applyAlignment="1">
      <alignment vertical="center"/>
    </xf>
    <xf numFmtId="0" fontId="28" fillId="0" borderId="0" xfId="0" applyFont="1" applyAlignment="1">
      <alignment vertical="center"/>
    </xf>
    <xf numFmtId="0" fontId="8" fillId="0" borderId="10" xfId="0" applyFont="1" applyBorder="1" applyAlignment="1">
      <alignment vertical="center" wrapText="1"/>
    </xf>
    <xf numFmtId="0" fontId="8" fillId="2" borderId="19"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10" fillId="0" borderId="29" xfId="0" applyFont="1" applyBorder="1" applyAlignment="1">
      <alignment horizontal="left" vertical="center" wrapText="1"/>
    </xf>
    <xf numFmtId="0" fontId="9" fillId="0" borderId="29" xfId="0" applyFont="1" applyBorder="1" applyAlignment="1">
      <alignment horizontal="left" vertical="center" wrapText="1"/>
    </xf>
    <xf numFmtId="0" fontId="9" fillId="0" borderId="29"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3" xfId="0" applyFont="1" applyBorder="1" applyAlignment="1">
      <alignment horizontal="center" vertical="center" wrapText="1"/>
    </xf>
    <xf numFmtId="0" fontId="9" fillId="2" borderId="0" xfId="0" applyFont="1" applyFill="1" applyAlignment="1">
      <alignment horizontal="center" vertical="center" wrapText="1"/>
    </xf>
    <xf numFmtId="0" fontId="9" fillId="0" borderId="0" xfId="0" applyFont="1" applyAlignment="1">
      <alignment horizontal="center" vertical="center" wrapText="1"/>
    </xf>
    <xf numFmtId="0" fontId="6" fillId="2" borderId="68" xfId="0" applyFont="1" applyFill="1" applyBorder="1" applyAlignment="1" applyProtection="1">
      <alignment vertical="center" wrapText="1"/>
      <protection locked="0"/>
    </xf>
    <xf numFmtId="0" fontId="6" fillId="4" borderId="69" xfId="0" applyFont="1" applyFill="1" applyBorder="1" applyAlignment="1" applyProtection="1">
      <alignment horizontal="left" vertical="center" wrapText="1"/>
      <protection locked="0"/>
    </xf>
    <xf numFmtId="0" fontId="6" fillId="2" borderId="70" xfId="0" applyFont="1" applyFill="1" applyBorder="1" applyAlignment="1" applyProtection="1">
      <alignment vertical="center" wrapText="1"/>
      <protection locked="0"/>
    </xf>
    <xf numFmtId="2" fontId="8" fillId="0" borderId="10" xfId="0" applyNumberFormat="1" applyFont="1" applyBorder="1" applyAlignment="1">
      <alignment horizontal="center" vertical="center" wrapText="1"/>
    </xf>
    <xf numFmtId="2" fontId="8" fillId="2" borderId="19"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0" fillId="0" borderId="0" xfId="0" applyAlignment="1">
      <alignment vertical="center"/>
    </xf>
    <xf numFmtId="0" fontId="6" fillId="0" borderId="19" xfId="0" applyFont="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25" fillId="0" borderId="77" xfId="1" applyFont="1" applyBorder="1" applyAlignment="1">
      <alignment vertical="center"/>
    </xf>
    <xf numFmtId="0" fontId="0" fillId="0" borderId="0" xfId="0" applyAlignment="1">
      <alignment horizontal="right" vertical="center"/>
    </xf>
    <xf numFmtId="0" fontId="30" fillId="2" borderId="10" xfId="0" applyFont="1" applyFill="1" applyBorder="1" applyAlignment="1">
      <alignment vertical="center" wrapText="1"/>
    </xf>
    <xf numFmtId="0" fontId="30" fillId="0" borderId="10" xfId="0" applyFont="1" applyBorder="1" applyAlignment="1">
      <alignment vertical="center" wrapText="1"/>
    </xf>
    <xf numFmtId="0" fontId="30" fillId="0" borderId="11" xfId="0" applyFont="1" applyBorder="1" applyAlignment="1">
      <alignment vertical="center" wrapText="1"/>
    </xf>
    <xf numFmtId="0" fontId="30" fillId="2" borderId="10" xfId="0" applyFont="1" applyFill="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1" fillId="0" borderId="73" xfId="1" applyFont="1" applyBorder="1" applyAlignment="1" applyProtection="1">
      <alignment vertical="center"/>
      <protection locked="0"/>
    </xf>
    <xf numFmtId="0" fontId="22" fillId="0" borderId="0" xfId="0" applyFont="1" applyAlignment="1">
      <alignment horizontal="left" vertical="center" wrapText="1" indent="1"/>
    </xf>
    <xf numFmtId="0" fontId="22" fillId="4" borderId="0" xfId="0" applyFont="1" applyFill="1" applyAlignment="1">
      <alignment horizontal="left" vertical="center" wrapText="1" indent="1"/>
    </xf>
    <xf numFmtId="0" fontId="28" fillId="0" borderId="0" xfId="0" applyFont="1"/>
    <xf numFmtId="0" fontId="9" fillId="4" borderId="21" xfId="0" applyFont="1" applyFill="1" applyBorder="1" applyAlignment="1">
      <alignment horizontal="center" vertical="center" wrapText="1"/>
    </xf>
    <xf numFmtId="0" fontId="21" fillId="0" borderId="17" xfId="0" applyFont="1" applyBorder="1" applyAlignment="1">
      <alignment horizontal="center" vertical="center"/>
    </xf>
    <xf numFmtId="0" fontId="21" fillId="0" borderId="0" xfId="0" applyFont="1" applyAlignment="1">
      <alignment horizontal="center"/>
    </xf>
    <xf numFmtId="0" fontId="24" fillId="0" borderId="0" xfId="0" applyFont="1" applyAlignment="1">
      <alignment horizontal="center" vertical="center"/>
    </xf>
    <xf numFmtId="0" fontId="23" fillId="0" borderId="0" xfId="0" applyFont="1" applyAlignment="1">
      <alignment horizontal="center" vertical="center"/>
    </xf>
    <xf numFmtId="0" fontId="6" fillId="0" borderId="0" xfId="0" applyFont="1" applyAlignment="1">
      <alignment vertical="center" wrapText="1"/>
    </xf>
    <xf numFmtId="0" fontId="23" fillId="0" borderId="0" xfId="0" applyFont="1" applyAlignment="1">
      <alignment horizontal="center" vertical="center" wrapText="1"/>
    </xf>
    <xf numFmtId="0" fontId="4" fillId="3" borderId="13" xfId="0" applyFont="1" applyFill="1" applyBorder="1" applyAlignment="1">
      <alignment vertical="center" wrapText="1"/>
    </xf>
    <xf numFmtId="0" fontId="6" fillId="0" borderId="60" xfId="0" applyFont="1" applyBorder="1" applyAlignment="1">
      <alignment vertical="center" wrapText="1"/>
    </xf>
    <xf numFmtId="0" fontId="6" fillId="0" borderId="61" xfId="0" applyFont="1" applyBorder="1" applyAlignment="1">
      <alignment vertical="center" wrapText="1"/>
    </xf>
    <xf numFmtId="0" fontId="6" fillId="0" borderId="62" xfId="0" applyFont="1" applyBorder="1" applyAlignment="1">
      <alignment vertical="center" wrapText="1"/>
    </xf>
    <xf numFmtId="0" fontId="6" fillId="2" borderId="63" xfId="0" applyFont="1" applyFill="1" applyBorder="1" applyAlignment="1">
      <alignment vertical="center" wrapText="1"/>
    </xf>
    <xf numFmtId="0" fontId="6" fillId="2" borderId="64" xfId="0" applyFont="1" applyFill="1" applyBorder="1" applyAlignment="1">
      <alignment vertical="center" wrapText="1"/>
    </xf>
    <xf numFmtId="0" fontId="6" fillId="2" borderId="65" xfId="0" applyFont="1" applyFill="1" applyBorder="1" applyAlignment="1">
      <alignment vertical="center" wrapText="1"/>
    </xf>
    <xf numFmtId="0" fontId="6" fillId="0" borderId="0" xfId="0" applyFont="1" applyAlignment="1">
      <alignment horizontal="left" vertical="center" wrapText="1"/>
    </xf>
    <xf numFmtId="0" fontId="27" fillId="0" borderId="17" xfId="0" applyFont="1" applyBorder="1" applyAlignment="1">
      <alignment vertical="center" wrapText="1"/>
    </xf>
    <xf numFmtId="0" fontId="2" fillId="0" borderId="44" xfId="1" applyBorder="1" applyAlignment="1" applyProtection="1">
      <alignment horizontal="center"/>
      <protection locked="0"/>
    </xf>
    <xf numFmtId="0" fontId="2" fillId="0" borderId="45" xfId="1" applyBorder="1" applyAlignment="1" applyProtection="1">
      <alignment horizontal="center"/>
      <protection locked="0"/>
    </xf>
    <xf numFmtId="0" fontId="2" fillId="0" borderId="49" xfId="1" applyBorder="1" applyAlignment="1" applyProtection="1">
      <alignment horizontal="center"/>
      <protection locked="0"/>
    </xf>
    <xf numFmtId="0" fontId="2" fillId="0" borderId="50" xfId="1" applyBorder="1" applyAlignment="1" applyProtection="1">
      <alignment horizontal="center"/>
      <protection locked="0"/>
    </xf>
    <xf numFmtId="0" fontId="26" fillId="5" borderId="32" xfId="1" applyFont="1" applyFill="1" applyBorder="1" applyAlignment="1">
      <alignment horizontal="left" vertical="center"/>
    </xf>
    <xf numFmtId="0" fontId="26" fillId="5" borderId="33" xfId="1" applyFont="1" applyFill="1" applyBorder="1" applyAlignment="1">
      <alignment horizontal="left" vertical="center"/>
    </xf>
  </cellXfs>
  <cellStyles count="2">
    <cellStyle name="Normal" xfId="0" builtinId="0"/>
    <cellStyle name="Normal 2" xfId="1" xr:uid="{6D2080AF-0422-4F9E-8394-4F8C4E0F7B6C}"/>
  </cellStyles>
  <dxfs count="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57150</xdr:rowOff>
    </xdr:from>
    <xdr:to>
      <xdr:col>1</xdr:col>
      <xdr:colOff>401955</xdr:colOff>
      <xdr:row>2</xdr:row>
      <xdr:rowOff>369570</xdr:rowOff>
    </xdr:to>
    <xdr:pic>
      <xdr:nvPicPr>
        <xdr:cNvPr id="2" name="Picture 1">
          <a:extLst>
            <a:ext uri="{FF2B5EF4-FFF2-40B4-BE49-F238E27FC236}">
              <a16:creationId xmlns:a16="http://schemas.microsoft.com/office/drawing/2014/main" id="{E1DE9479-7A37-4BD0-9D40-830D8BC27F09}"/>
            </a:ext>
          </a:extLst>
        </xdr:cNvPr>
        <xdr:cNvPicPr>
          <a:picLocks noChangeAspect="1"/>
        </xdr:cNvPicPr>
      </xdr:nvPicPr>
      <xdr:blipFill>
        <a:blip xmlns:r="http://schemas.openxmlformats.org/officeDocument/2006/relationships" r:embed="rId1"/>
        <a:stretch>
          <a:fillRect/>
        </a:stretch>
      </xdr:blipFill>
      <xdr:spPr>
        <a:xfrm>
          <a:off x="137160" y="60960"/>
          <a:ext cx="960120" cy="716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960120</xdr:colOff>
      <xdr:row>0</xdr:row>
      <xdr:rowOff>716280</xdr:rowOff>
    </xdr:to>
    <xdr:pic>
      <xdr:nvPicPr>
        <xdr:cNvPr id="2" name="Picture 1">
          <a:extLst>
            <a:ext uri="{FF2B5EF4-FFF2-40B4-BE49-F238E27FC236}">
              <a16:creationId xmlns:a16="http://schemas.microsoft.com/office/drawing/2014/main" id="{0E152C07-F9E0-479A-B37A-09066D2498D4}"/>
            </a:ext>
          </a:extLst>
        </xdr:cNvPr>
        <xdr:cNvPicPr>
          <a:picLocks noChangeAspect="1"/>
        </xdr:cNvPicPr>
      </xdr:nvPicPr>
      <xdr:blipFill>
        <a:blip xmlns:r="http://schemas.openxmlformats.org/officeDocument/2006/relationships" r:embed="rId1"/>
        <a:stretch>
          <a:fillRect/>
        </a:stretch>
      </xdr:blipFill>
      <xdr:spPr>
        <a:xfrm>
          <a:off x="0" y="0"/>
          <a:ext cx="960120" cy="7162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274320</xdr:colOff>
      <xdr:row>1</xdr:row>
      <xdr:rowOff>310515</xdr:rowOff>
    </xdr:to>
    <xdr:pic>
      <xdr:nvPicPr>
        <xdr:cNvPr id="2" name="Picture 1">
          <a:extLst>
            <a:ext uri="{FF2B5EF4-FFF2-40B4-BE49-F238E27FC236}">
              <a16:creationId xmlns:a16="http://schemas.microsoft.com/office/drawing/2014/main" id="{168E4E0B-CD3F-45D3-8C8F-AB4891F0E666}"/>
            </a:ext>
          </a:extLst>
        </xdr:cNvPr>
        <xdr:cNvPicPr>
          <a:picLocks noChangeAspect="1"/>
        </xdr:cNvPicPr>
      </xdr:nvPicPr>
      <xdr:blipFill>
        <a:blip xmlns:r="http://schemas.openxmlformats.org/officeDocument/2006/relationships" r:embed="rId1"/>
        <a:stretch>
          <a:fillRect/>
        </a:stretch>
      </xdr:blipFill>
      <xdr:spPr>
        <a:xfrm>
          <a:off x="0" y="0"/>
          <a:ext cx="960120" cy="7010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960120</xdr:colOff>
      <xdr:row>1</xdr:row>
      <xdr:rowOff>73511</xdr:rowOff>
    </xdr:to>
    <xdr:pic>
      <xdr:nvPicPr>
        <xdr:cNvPr id="2" name="Picture 1">
          <a:extLst>
            <a:ext uri="{FF2B5EF4-FFF2-40B4-BE49-F238E27FC236}">
              <a16:creationId xmlns:a16="http://schemas.microsoft.com/office/drawing/2014/main" id="{335DE335-41E2-4A26-BBD0-681F513A24FA}"/>
            </a:ext>
          </a:extLst>
        </xdr:cNvPr>
        <xdr:cNvPicPr>
          <a:picLocks noChangeAspect="1"/>
        </xdr:cNvPicPr>
      </xdr:nvPicPr>
      <xdr:blipFill>
        <a:blip xmlns:r="http://schemas.openxmlformats.org/officeDocument/2006/relationships" r:embed="rId1"/>
        <a:stretch>
          <a:fillRect/>
        </a:stretch>
      </xdr:blipFill>
      <xdr:spPr>
        <a:xfrm>
          <a:off x="0" y="0"/>
          <a:ext cx="960120" cy="7010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49695</xdr:rowOff>
    </xdr:from>
    <xdr:to>
      <xdr:col>0</xdr:col>
      <xdr:colOff>967740</xdr:colOff>
      <xdr:row>1</xdr:row>
      <xdr:rowOff>64521</xdr:rowOff>
    </xdr:to>
    <xdr:pic>
      <xdr:nvPicPr>
        <xdr:cNvPr id="2" name="Picture 1">
          <a:extLst>
            <a:ext uri="{FF2B5EF4-FFF2-40B4-BE49-F238E27FC236}">
              <a16:creationId xmlns:a16="http://schemas.microsoft.com/office/drawing/2014/main" id="{66E5E5E6-8717-4C9B-96D3-7FA26F8103BD}"/>
            </a:ext>
          </a:extLst>
        </xdr:cNvPr>
        <xdr:cNvPicPr>
          <a:picLocks noChangeAspect="1"/>
        </xdr:cNvPicPr>
      </xdr:nvPicPr>
      <xdr:blipFill>
        <a:blip xmlns:r="http://schemas.openxmlformats.org/officeDocument/2006/relationships" r:embed="rId1"/>
        <a:stretch>
          <a:fillRect/>
        </a:stretch>
      </xdr:blipFill>
      <xdr:spPr>
        <a:xfrm>
          <a:off x="0" y="49695"/>
          <a:ext cx="960120" cy="7162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960120</xdr:colOff>
      <xdr:row>1</xdr:row>
      <xdr:rowOff>516255</xdr:rowOff>
    </xdr:to>
    <xdr:pic>
      <xdr:nvPicPr>
        <xdr:cNvPr id="2" name="Picture 1">
          <a:extLst>
            <a:ext uri="{FF2B5EF4-FFF2-40B4-BE49-F238E27FC236}">
              <a16:creationId xmlns:a16="http://schemas.microsoft.com/office/drawing/2014/main" id="{46650B5D-EB9F-4FF7-95F0-4E8BBE26DEFE}"/>
            </a:ext>
          </a:extLst>
        </xdr:cNvPr>
        <xdr:cNvPicPr>
          <a:picLocks noChangeAspect="1"/>
        </xdr:cNvPicPr>
      </xdr:nvPicPr>
      <xdr:blipFill>
        <a:blip xmlns:r="http://schemas.openxmlformats.org/officeDocument/2006/relationships" r:embed="rId1"/>
        <a:stretch>
          <a:fillRect/>
        </a:stretch>
      </xdr:blipFill>
      <xdr:spPr>
        <a:xfrm>
          <a:off x="0" y="0"/>
          <a:ext cx="960120" cy="7162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67236</xdr:colOff>
      <xdr:row>0</xdr:row>
      <xdr:rowOff>100853</xdr:rowOff>
    </xdr:from>
    <xdr:to>
      <xdr:col>0</xdr:col>
      <xdr:colOff>1010211</xdr:colOff>
      <xdr:row>0</xdr:row>
      <xdr:rowOff>816573</xdr:rowOff>
    </xdr:to>
    <xdr:pic>
      <xdr:nvPicPr>
        <xdr:cNvPr id="3" name="Picture 1">
          <a:extLst>
            <a:ext uri="{FF2B5EF4-FFF2-40B4-BE49-F238E27FC236}">
              <a16:creationId xmlns:a16="http://schemas.microsoft.com/office/drawing/2014/main" id="{6B9207DE-1B3D-4B52-A5CB-F2CF17549762}"/>
            </a:ext>
          </a:extLst>
        </xdr:cNvPr>
        <xdr:cNvPicPr>
          <a:picLocks noChangeAspect="1"/>
        </xdr:cNvPicPr>
      </xdr:nvPicPr>
      <xdr:blipFill>
        <a:blip xmlns:r="http://schemas.openxmlformats.org/officeDocument/2006/relationships" r:embed="rId1"/>
        <a:stretch>
          <a:fillRect/>
        </a:stretch>
      </xdr:blipFill>
      <xdr:spPr>
        <a:xfrm>
          <a:off x="67236" y="100853"/>
          <a:ext cx="939165" cy="7200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0</xdr:row>
      <xdr:rowOff>0</xdr:rowOff>
    </xdr:from>
    <xdr:ext cx="960120" cy="719455"/>
    <xdr:pic>
      <xdr:nvPicPr>
        <xdr:cNvPr id="4" name="Picture 3">
          <a:extLst>
            <a:ext uri="{FF2B5EF4-FFF2-40B4-BE49-F238E27FC236}">
              <a16:creationId xmlns:a16="http://schemas.microsoft.com/office/drawing/2014/main" id="{BECADEEA-E7B1-2246-9ABC-8FACF45522C3}"/>
            </a:ext>
          </a:extLst>
        </xdr:cNvPr>
        <xdr:cNvPicPr>
          <a:picLocks noChangeAspect="1"/>
        </xdr:cNvPicPr>
      </xdr:nvPicPr>
      <xdr:blipFill>
        <a:blip xmlns:r="http://schemas.openxmlformats.org/officeDocument/2006/relationships" r:embed="rId1"/>
        <a:stretch>
          <a:fillRect/>
        </a:stretch>
      </xdr:blipFill>
      <xdr:spPr>
        <a:xfrm>
          <a:off x="0" y="0"/>
          <a:ext cx="960120" cy="719455"/>
        </a:xfrm>
        <a:prstGeom prst="rect">
          <a:avLst/>
        </a:prstGeom>
      </xdr:spPr>
    </xdr:pic>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testresults" connectionId="1" xr16:uid="{AB3ADE9D-E4E6-FD49-AC0D-781453E45937}" autoFormatId="16" applyNumberFormats="0" applyBorderFormats="0" applyFontFormats="1" applyPatternFormats="1" applyAlignmentFormats="0" applyWidthHeightFormats="0"/>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0861E-D593-4F0A-ABBD-BE79601CFDF5}">
  <dimension ref="C3:D36"/>
  <sheetViews>
    <sheetView showGridLines="0" tabSelected="1" workbookViewId="0"/>
  </sheetViews>
  <sheetFormatPr defaultColWidth="8.875" defaultRowHeight="15.75" x14ac:dyDescent="0.25"/>
  <cols>
    <col min="3" max="3" width="18.5" customWidth="1"/>
    <col min="4" max="4" width="94.625" customWidth="1"/>
  </cols>
  <sheetData>
    <row r="3" spans="3:4" ht="36" x14ac:dyDescent="0.55000000000000004">
      <c r="C3" s="27" t="s">
        <v>0</v>
      </c>
      <c r="D3" s="28"/>
    </row>
    <row r="5" spans="3:4" ht="21" x14ac:dyDescent="0.35">
      <c r="C5" s="29" t="s">
        <v>1</v>
      </c>
      <c r="D5" s="30"/>
    </row>
    <row r="6" spans="3:4" x14ac:dyDescent="0.25">
      <c r="C6" s="31" t="s">
        <v>676</v>
      </c>
      <c r="D6" s="101" t="s">
        <v>800</v>
      </c>
    </row>
    <row r="7" spans="3:4" x14ac:dyDescent="0.25">
      <c r="C7" s="31" t="s">
        <v>2</v>
      </c>
      <c r="D7" s="115">
        <v>45624</v>
      </c>
    </row>
    <row r="8" spans="3:4" x14ac:dyDescent="0.25">
      <c r="C8" s="31"/>
      <c r="D8" s="32"/>
    </row>
    <row r="9" spans="3:4" x14ac:dyDescent="0.25">
      <c r="C9" s="31" t="s">
        <v>677</v>
      </c>
      <c r="D9" s="32" t="s">
        <v>797</v>
      </c>
    </row>
    <row r="10" spans="3:4" x14ac:dyDescent="0.25">
      <c r="C10" s="31" t="s">
        <v>678</v>
      </c>
      <c r="D10" s="32" t="s">
        <v>803</v>
      </c>
    </row>
    <row r="12" spans="3:4" x14ac:dyDescent="0.25">
      <c r="D12" s="31" t="s">
        <v>3</v>
      </c>
    </row>
    <row r="13" spans="3:4" ht="236.25" x14ac:dyDescent="0.25">
      <c r="D13" s="33" t="s">
        <v>705</v>
      </c>
    </row>
    <row r="15" spans="3:4" x14ac:dyDescent="0.25">
      <c r="D15" s="1" t="s">
        <v>4</v>
      </c>
    </row>
    <row r="16" spans="3:4" x14ac:dyDescent="0.25">
      <c r="C16" s="34">
        <v>1</v>
      </c>
      <c r="D16" s="35" t="s">
        <v>5</v>
      </c>
    </row>
    <row r="17" spans="3:4" ht="31.5" x14ac:dyDescent="0.25">
      <c r="C17" s="34">
        <v>2</v>
      </c>
      <c r="D17" s="35" t="s">
        <v>6</v>
      </c>
    </row>
    <row r="18" spans="3:4" ht="31.5" x14ac:dyDescent="0.25">
      <c r="C18" s="34">
        <v>3</v>
      </c>
      <c r="D18" s="35" t="s">
        <v>720</v>
      </c>
    </row>
    <row r="19" spans="3:4" x14ac:dyDescent="0.25">
      <c r="C19" s="34">
        <v>4</v>
      </c>
      <c r="D19" s="22" t="s">
        <v>7</v>
      </c>
    </row>
    <row r="20" spans="3:4" ht="31.5" x14ac:dyDescent="0.25">
      <c r="C20" s="34">
        <v>5</v>
      </c>
      <c r="D20" s="35" t="s">
        <v>721</v>
      </c>
    </row>
    <row r="21" spans="3:4" ht="31.5" x14ac:dyDescent="0.25">
      <c r="C21" s="34">
        <v>6</v>
      </c>
      <c r="D21" s="35" t="s">
        <v>725</v>
      </c>
    </row>
    <row r="22" spans="3:4" x14ac:dyDescent="0.25">
      <c r="C22" s="34"/>
    </row>
    <row r="23" spans="3:4" x14ac:dyDescent="0.25">
      <c r="D23" s="1" t="s">
        <v>722</v>
      </c>
    </row>
    <row r="24" spans="3:4" ht="35.1" customHeight="1" x14ac:dyDescent="0.25">
      <c r="C24" s="34">
        <v>7</v>
      </c>
      <c r="D24" s="33" t="s">
        <v>729</v>
      </c>
    </row>
    <row r="25" spans="3:4" ht="31.5" x14ac:dyDescent="0.25">
      <c r="C25" s="34">
        <v>8</v>
      </c>
      <c r="D25" s="22" t="s">
        <v>723</v>
      </c>
    </row>
    <row r="26" spans="3:4" x14ac:dyDescent="0.25">
      <c r="C26" s="34">
        <v>9</v>
      </c>
      <c r="D26" t="s">
        <v>724</v>
      </c>
    </row>
    <row r="30" spans="3:4" x14ac:dyDescent="0.25">
      <c r="C30" s="31" t="s">
        <v>734</v>
      </c>
      <c r="D30" s="1"/>
    </row>
    <row r="31" spans="3:4" x14ac:dyDescent="0.25">
      <c r="C31" s="170" t="s">
        <v>800</v>
      </c>
      <c r="D31" t="s">
        <v>802</v>
      </c>
    </row>
    <row r="32" spans="3:4" x14ac:dyDescent="0.25">
      <c r="C32" s="170" t="s">
        <v>798</v>
      </c>
      <c r="D32" t="s">
        <v>799</v>
      </c>
    </row>
    <row r="33" spans="3:4" x14ac:dyDescent="0.25">
      <c r="C33" s="170" t="s">
        <v>785</v>
      </c>
      <c r="D33" t="s">
        <v>796</v>
      </c>
    </row>
    <row r="34" spans="3:4" x14ac:dyDescent="0.25">
      <c r="C34" s="170" t="s">
        <v>746</v>
      </c>
      <c r="D34" s="22" t="s">
        <v>747</v>
      </c>
    </row>
    <row r="35" spans="3:4" x14ac:dyDescent="0.25">
      <c r="C35" s="170" t="s">
        <v>736</v>
      </c>
      <c r="D35" s="22" t="s">
        <v>737</v>
      </c>
    </row>
    <row r="36" spans="3:4" x14ac:dyDescent="0.25">
      <c r="C36" s="170" t="s">
        <v>733</v>
      </c>
      <c r="D36" s="22" t="s">
        <v>735</v>
      </c>
    </row>
  </sheetData>
  <sheetProtection algorithmName="SHA-512" hashValue="TQXYtEksZXQMG4A6yNVUIrfKJ7ni7CYkDYYp9ot76bgedBLkZq0hhv8Q+G4UyfecfGP3UimWaJJpGQvTvpXdKQ==" saltValue="rpdsEuOlWwwvp4aSS96hYQ==" spinCount="100000" sheet="1" objects="1" scenarios="1"/>
  <pageMargins left="0.7" right="0.7" top="0.75" bottom="0.75" header="0.3" footer="0.3"/>
  <pageSetup paperSize="9" orientation="portrait" r:id="rId1"/>
  <headerFooter>
    <oddFooter>&amp;C_x000D_&amp;1#&amp;"Arial"&amp;9&amp;K000000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88F90-5D02-4E21-99AC-15A950466953}">
  <sheetPr>
    <tabColor theme="7"/>
    <pageSetUpPr fitToPage="1"/>
  </sheetPr>
  <dimension ref="B1:I21"/>
  <sheetViews>
    <sheetView showGridLines="0" workbookViewId="0">
      <selection activeCell="C5" sqref="C5"/>
    </sheetView>
  </sheetViews>
  <sheetFormatPr defaultColWidth="9" defaultRowHeight="15" x14ac:dyDescent="0.25"/>
  <cols>
    <col min="1" max="1" width="2.375" style="86" customWidth="1"/>
    <col min="2" max="2" width="21.375" style="86" customWidth="1"/>
    <col min="3" max="3" width="30.125" style="86" customWidth="1"/>
    <col min="4" max="4" width="2" style="86" customWidth="1"/>
    <col min="5" max="5" width="8.5" style="86" customWidth="1"/>
    <col min="6" max="6" width="15.375" style="86" customWidth="1"/>
    <col min="7" max="7" width="9" style="86"/>
    <col min="8" max="8" width="30" style="86" bestFit="1" customWidth="1"/>
    <col min="9" max="16384" width="9" style="86"/>
  </cols>
  <sheetData>
    <row r="1" spans="2:9" customFormat="1" ht="61.5" customHeight="1" x14ac:dyDescent="0.25">
      <c r="B1" s="86"/>
      <c r="C1" s="185" t="s">
        <v>699</v>
      </c>
      <c r="D1" s="185"/>
      <c r="E1" s="185"/>
      <c r="F1" s="185"/>
      <c r="H1" s="166" t="s">
        <v>732</v>
      </c>
      <c r="I1" s="145" t="str">
        <f>IF(AND(ISERROR(FIND("&lt;",_xlfn.CONCAT(C5:C21))),_xlfn.CONCAT(G4:G21)=""),"VALID","INVALID")</f>
        <v>INVALID</v>
      </c>
    </row>
    <row r="2" spans="2:9" customFormat="1" ht="37.5" customHeight="1" x14ac:dyDescent="0.25">
      <c r="B2" s="86"/>
      <c r="C2" s="195" t="s">
        <v>700</v>
      </c>
      <c r="D2" s="195"/>
      <c r="E2" s="195"/>
      <c r="F2" s="195"/>
      <c r="H2" s="166" t="s">
        <v>801</v>
      </c>
      <c r="I2" s="145" t="str">
        <f>IF(AND(I1="VALID",'Optional features'!F1="VALID",'Additional questions'!F1="VALID",'Performance Measurement'!I1="VALID"),"VALID","INVALID")</f>
        <v>INVALID</v>
      </c>
    </row>
    <row r="3" spans="2:9" ht="15.75" thickBot="1" x14ac:dyDescent="0.3"/>
    <row r="4" spans="2:9" ht="21.75" customHeight="1" thickBot="1" x14ac:dyDescent="0.3">
      <c r="B4" s="201" t="s">
        <v>650</v>
      </c>
      <c r="C4" s="202"/>
      <c r="D4" s="87"/>
      <c r="E4" s="88" t="s">
        <v>651</v>
      </c>
      <c r="F4" s="137" t="s">
        <v>688</v>
      </c>
      <c r="G4" s="146" t="str">
        <f>IF(ISBLANK(F4),"&lt;---- This field cannot be left empty!",IF(NOT(ISERROR(FIND("&lt;",F4))),"&lt;---- Please enter a valid date",""))</f>
        <v>&lt;---- Please enter a valid date</v>
      </c>
    </row>
    <row r="5" spans="2:9" ht="21.75" customHeight="1" x14ac:dyDescent="0.25">
      <c r="B5" s="89" t="s">
        <v>82</v>
      </c>
      <c r="C5" s="129" t="s">
        <v>689</v>
      </c>
      <c r="D5" s="90"/>
      <c r="E5" s="112" t="s">
        <v>652</v>
      </c>
      <c r="F5" s="142"/>
      <c r="G5" s="146" t="str">
        <f t="shared" ref="G5:G9" si="0">IF(ISBLANK(C5),"&lt;---- This field cannot be left empty!",IF(NOT(ISERROR(FIND("&lt;",C5))),"&lt;---- Please enter a valid value",""))</f>
        <v>&lt;---- Please enter a valid value</v>
      </c>
    </row>
    <row r="6" spans="2:9" ht="21.75" customHeight="1" x14ac:dyDescent="0.25">
      <c r="B6" s="91" t="s">
        <v>653</v>
      </c>
      <c r="C6" s="130" t="s">
        <v>654</v>
      </c>
      <c r="D6" s="90"/>
      <c r="E6" s="197"/>
      <c r="F6" s="198"/>
      <c r="G6" s="146" t="str">
        <f t="shared" si="0"/>
        <v>&lt;---- Please enter a valid value</v>
      </c>
    </row>
    <row r="7" spans="2:9" ht="21.75" customHeight="1" x14ac:dyDescent="0.25">
      <c r="B7" s="91" t="s">
        <v>655</v>
      </c>
      <c r="C7" s="130" t="s">
        <v>686</v>
      </c>
      <c r="D7" s="90"/>
      <c r="E7" s="197"/>
      <c r="F7" s="198"/>
      <c r="G7" s="146" t="str">
        <f t="shared" si="0"/>
        <v>&lt;---- Please enter a valid value</v>
      </c>
    </row>
    <row r="8" spans="2:9" ht="21.75" customHeight="1" x14ac:dyDescent="0.25">
      <c r="B8" s="91" t="s">
        <v>656</v>
      </c>
      <c r="C8" s="130" t="s">
        <v>690</v>
      </c>
      <c r="D8" s="90"/>
      <c r="E8" s="197"/>
      <c r="F8" s="198"/>
      <c r="G8" s="146" t="str">
        <f t="shared" si="0"/>
        <v>&lt;---- Please enter a valid value</v>
      </c>
    </row>
    <row r="9" spans="2:9" ht="21.75" customHeight="1" thickBot="1" x14ac:dyDescent="0.3">
      <c r="B9" s="92" t="s">
        <v>657</v>
      </c>
      <c r="C9" s="131" t="s">
        <v>687</v>
      </c>
      <c r="D9" s="93"/>
      <c r="E9" s="199"/>
      <c r="F9" s="200"/>
      <c r="G9" s="146" t="str">
        <f t="shared" si="0"/>
        <v>&lt;---- Please enter a valid value</v>
      </c>
    </row>
    <row r="11" spans="2:9" ht="15.75" thickBot="1" x14ac:dyDescent="0.3"/>
    <row r="12" spans="2:9" ht="23.25" customHeight="1" thickBot="1" x14ac:dyDescent="0.3">
      <c r="B12" s="201" t="s">
        <v>658</v>
      </c>
      <c r="C12" s="202"/>
      <c r="D12" s="87"/>
      <c r="E12" s="88" t="s">
        <v>651</v>
      </c>
      <c r="F12" s="137" t="s">
        <v>688</v>
      </c>
      <c r="G12" s="146" t="str">
        <f>IF(ISBLANK(F12),"&lt;---- This field cannot be left empty!",IF(NOT(ISERROR(FIND("&lt;",F12))),"&lt;---- Please enter a valid date",""))</f>
        <v>&lt;---- Please enter a valid date</v>
      </c>
    </row>
    <row r="13" spans="2:9" ht="23.25" customHeight="1" x14ac:dyDescent="0.25">
      <c r="B13" s="114" t="s">
        <v>681</v>
      </c>
      <c r="C13" s="132" t="s">
        <v>685</v>
      </c>
      <c r="D13" s="90"/>
      <c r="E13" s="112" t="s">
        <v>652</v>
      </c>
      <c r="F13" s="113"/>
      <c r="G13" s="146" t="str">
        <f>IF(ISBLANK(C13),"&lt;---- This field cannot be left empty!",IF(NOT(ISERROR(FIND("&lt;",C13))),"&lt;---- Please enter a valid date",""))</f>
        <v>&lt;---- Please enter a valid date</v>
      </c>
    </row>
    <row r="14" spans="2:9" ht="23.25" customHeight="1" x14ac:dyDescent="0.25">
      <c r="B14" s="114" t="s">
        <v>666</v>
      </c>
      <c r="C14" s="133" t="s">
        <v>696</v>
      </c>
      <c r="D14" s="143"/>
      <c r="E14" s="197"/>
      <c r="F14" s="198"/>
      <c r="G14" s="146" t="str">
        <f>IF(ISBLANK(C14),"&lt;---- This field cannot be left empty!",IF(NOT(ISERROR(FIND("&lt;",C14))),"&lt;---- Please enter a valid value",""))</f>
        <v>&lt;---- Please enter a valid value</v>
      </c>
    </row>
    <row r="15" spans="2:9" ht="23.25" customHeight="1" x14ac:dyDescent="0.25">
      <c r="B15" s="89" t="s">
        <v>82</v>
      </c>
      <c r="C15" s="134" t="s">
        <v>691</v>
      </c>
      <c r="E15" s="197"/>
      <c r="F15" s="198"/>
      <c r="G15" s="146" t="str">
        <f t="shared" ref="G15:G20" si="1">IF(ISBLANK(C15),"&lt;---- This field cannot be left empty!",IF(NOT(ISERROR(FIND("&lt;",C15))),"&lt;---- Please enter a valid value",""))</f>
        <v>&lt;---- Please enter a valid value</v>
      </c>
    </row>
    <row r="16" spans="2:9" ht="23.25" customHeight="1" x14ac:dyDescent="0.25">
      <c r="B16" s="169" t="s">
        <v>783</v>
      </c>
      <c r="C16" s="177" t="s">
        <v>784</v>
      </c>
      <c r="E16" s="197"/>
      <c r="F16" s="198"/>
      <c r="G16" s="146" t="str">
        <f>IF(NOT(ISERROR(FIND("&lt;",C16))),"&lt;---- Please enter a valid value or leave empty when not applicable",IF(C15=C16,"&lt;---- Reviewer cannot be the same as the lab representative, please leave empty if not applicable.",""))</f>
        <v>&lt;---- Please enter a valid value or leave empty when not applicable</v>
      </c>
    </row>
    <row r="17" spans="2:7" ht="23.25" customHeight="1" x14ac:dyDescent="0.25">
      <c r="B17" s="91" t="s">
        <v>653</v>
      </c>
      <c r="C17" s="135" t="s">
        <v>692</v>
      </c>
      <c r="D17" s="90"/>
      <c r="E17" s="197"/>
      <c r="F17" s="198"/>
      <c r="G17" s="146" t="str">
        <f t="shared" si="1"/>
        <v>&lt;---- Please enter a valid value</v>
      </c>
    </row>
    <row r="18" spans="2:7" ht="23.25" customHeight="1" x14ac:dyDescent="0.25">
      <c r="B18" s="91" t="s">
        <v>655</v>
      </c>
      <c r="C18" s="135" t="s">
        <v>693</v>
      </c>
      <c r="D18" s="90"/>
      <c r="E18" s="197"/>
      <c r="F18" s="198"/>
      <c r="G18" s="146" t="str">
        <f t="shared" si="1"/>
        <v>&lt;---- Please enter a valid value</v>
      </c>
    </row>
    <row r="19" spans="2:7" ht="23.25" customHeight="1" x14ac:dyDescent="0.25">
      <c r="B19" s="91" t="s">
        <v>656</v>
      </c>
      <c r="C19" s="135" t="s">
        <v>694</v>
      </c>
      <c r="D19" s="90"/>
      <c r="E19" s="197"/>
      <c r="F19" s="198"/>
      <c r="G19" s="146" t="str">
        <f t="shared" si="1"/>
        <v>&lt;---- Please enter a valid value</v>
      </c>
    </row>
    <row r="20" spans="2:7" ht="23.25" customHeight="1" thickBot="1" x14ac:dyDescent="0.3">
      <c r="B20" s="92" t="s">
        <v>657</v>
      </c>
      <c r="C20" s="136" t="s">
        <v>695</v>
      </c>
      <c r="D20" s="93"/>
      <c r="E20" s="199"/>
      <c r="F20" s="200"/>
      <c r="G20" s="146" t="str">
        <f t="shared" si="1"/>
        <v>&lt;---- Please enter a valid value</v>
      </c>
    </row>
    <row r="21" spans="2:7" ht="15.75" x14ac:dyDescent="0.25">
      <c r="G21" s="146"/>
    </row>
  </sheetData>
  <sheetProtection algorithmName="SHA-512" hashValue="mEnOGjpvckMkyGSASUjMAyqih9pe1+VysUjJgx6q/2O6r9/URrsEpV+4c71uJ5JZnY/SpfQcC79cQwKIl96hJA==" saltValue="MZbATy+M65FnRcRzpbp8bA==" spinCount="100000" sheet="1" formatCells="0" formatColumns="0" formatRows="0"/>
  <mergeCells count="6">
    <mergeCell ref="E14:F20"/>
    <mergeCell ref="C2:F2"/>
    <mergeCell ref="C1:F1"/>
    <mergeCell ref="B4:C4"/>
    <mergeCell ref="E6:F9"/>
    <mergeCell ref="B12:C12"/>
  </mergeCells>
  <conditionalFormatting sqref="I1:I2">
    <cfRule type="cellIs" dxfId="1" priority="1" operator="equal">
      <formula>"INVALID"</formula>
    </cfRule>
    <cfRule type="cellIs" dxfId="0" priority="2" operator="equal">
      <formula>"VALID"</formula>
    </cfRule>
  </conditionalFormatting>
  <pageMargins left="0.7" right="0.7" top="0.75" bottom="0.75" header="0.3" footer="0.3"/>
  <pageSetup scale="77" orientation="portrait" r:id="rId1"/>
  <headerFooter>
    <oddFooter>&amp;C_x000D_&amp;1#&amp;"Arial"&amp;9&amp;K000000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9F3CB-3253-448D-AAC3-8326F8CB0FD0}">
  <dimension ref="A1:E35"/>
  <sheetViews>
    <sheetView workbookViewId="0">
      <selection activeCell="B9" sqref="B9"/>
    </sheetView>
  </sheetViews>
  <sheetFormatPr defaultColWidth="8.875" defaultRowHeight="15.75" x14ac:dyDescent="0.25"/>
  <cols>
    <col min="1" max="1" width="7" bestFit="1" customWidth="1"/>
    <col min="2" max="2" width="73.875" bestFit="1" customWidth="1"/>
    <col min="3" max="3" width="87.375" bestFit="1" customWidth="1"/>
    <col min="4" max="4" width="47.375" bestFit="1" customWidth="1"/>
  </cols>
  <sheetData>
    <row r="1" spans="1:5" x14ac:dyDescent="0.25">
      <c r="A1" t="s">
        <v>556</v>
      </c>
      <c r="B1" t="s">
        <v>11</v>
      </c>
      <c r="C1" t="s">
        <v>557</v>
      </c>
      <c r="D1" t="s">
        <v>83</v>
      </c>
      <c r="E1" t="s">
        <v>558</v>
      </c>
    </row>
    <row r="2" spans="1:5" x14ac:dyDescent="0.25">
      <c r="A2" t="s">
        <v>33</v>
      </c>
      <c r="B2" t="s">
        <v>14</v>
      </c>
      <c r="C2" t="s">
        <v>559</v>
      </c>
      <c r="D2" t="s">
        <v>560</v>
      </c>
      <c r="E2" t="str">
        <f>VLOOKUP(A2,'Optional features'!B:B,1,FALSE)</f>
        <v>C-11</v>
      </c>
    </row>
    <row r="3" spans="1:5" x14ac:dyDescent="0.25">
      <c r="A3" t="s">
        <v>34</v>
      </c>
      <c r="B3" t="s">
        <v>14</v>
      </c>
      <c r="C3" t="s">
        <v>561</v>
      </c>
      <c r="D3" t="s">
        <v>560</v>
      </c>
      <c r="E3" t="str">
        <f>VLOOKUP(A3,'Optional features'!B:B,1,FALSE)</f>
        <v>C-13</v>
      </c>
    </row>
    <row r="4" spans="1:5" x14ac:dyDescent="0.25">
      <c r="A4" t="s">
        <v>35</v>
      </c>
      <c r="B4" t="s">
        <v>14</v>
      </c>
      <c r="C4" t="s">
        <v>562</v>
      </c>
      <c r="D4" t="s">
        <v>560</v>
      </c>
      <c r="E4" t="str">
        <f>VLOOKUP(A4,'Optional features'!B:B,1,FALSE)</f>
        <v>C-14</v>
      </c>
    </row>
    <row r="5" spans="1:5" x14ac:dyDescent="0.25">
      <c r="A5" t="s">
        <v>36</v>
      </c>
      <c r="B5" t="s">
        <v>14</v>
      </c>
      <c r="C5" t="s">
        <v>563</v>
      </c>
      <c r="D5" t="s">
        <v>560</v>
      </c>
      <c r="E5" t="str">
        <f>VLOOKUP(A5,'Optional features'!B:B,1,FALSE)</f>
        <v>C-15</v>
      </c>
    </row>
    <row r="6" spans="1:5" x14ac:dyDescent="0.25">
      <c r="A6" t="s">
        <v>37</v>
      </c>
      <c r="B6" t="s">
        <v>14</v>
      </c>
      <c r="C6" t="s">
        <v>564</v>
      </c>
      <c r="D6" t="s">
        <v>560</v>
      </c>
      <c r="E6" t="str">
        <f>VLOOKUP(A6,'Optional features'!B:B,1,FALSE)</f>
        <v>C-16</v>
      </c>
    </row>
    <row r="7" spans="1:5" x14ac:dyDescent="0.25">
      <c r="A7" t="s">
        <v>38</v>
      </c>
      <c r="B7" t="s">
        <v>14</v>
      </c>
      <c r="C7" t="s">
        <v>565</v>
      </c>
      <c r="D7" t="s">
        <v>560</v>
      </c>
      <c r="E7" t="str">
        <f>VLOOKUP(A7,'Optional features'!B:B,1,FALSE)</f>
        <v>C-17</v>
      </c>
    </row>
    <row r="8" spans="1:5" x14ac:dyDescent="0.25">
      <c r="A8" t="s">
        <v>39</v>
      </c>
      <c r="B8" t="s">
        <v>14</v>
      </c>
      <c r="C8" t="s">
        <v>292</v>
      </c>
      <c r="D8" t="s">
        <v>667</v>
      </c>
      <c r="E8" t="str">
        <f>VLOOKUP(A8,'Optional features'!B:B,1,FALSE)</f>
        <v>C-29</v>
      </c>
    </row>
    <row r="9" spans="1:5" x14ac:dyDescent="0.25">
      <c r="A9" t="s">
        <v>40</v>
      </c>
      <c r="B9" t="s">
        <v>14</v>
      </c>
      <c r="C9" t="s">
        <v>566</v>
      </c>
      <c r="D9" t="s">
        <v>560</v>
      </c>
      <c r="E9" t="str">
        <f>VLOOKUP(A9,'Optional features'!B:B,1,FALSE)</f>
        <v>C-29.1</v>
      </c>
    </row>
    <row r="10" spans="1:5" x14ac:dyDescent="0.25">
      <c r="A10" t="s">
        <v>41</v>
      </c>
      <c r="B10" t="s">
        <v>14</v>
      </c>
      <c r="C10" t="s">
        <v>567</v>
      </c>
      <c r="D10" t="s">
        <v>560</v>
      </c>
      <c r="E10" t="str">
        <f>VLOOKUP(A10,'Optional features'!B:B,1,FALSE)</f>
        <v>C-29.2</v>
      </c>
    </row>
    <row r="11" spans="1:5" x14ac:dyDescent="0.25">
      <c r="A11" t="s">
        <v>42</v>
      </c>
      <c r="B11" t="s">
        <v>14</v>
      </c>
      <c r="C11" t="s">
        <v>568</v>
      </c>
      <c r="D11" t="s">
        <v>560</v>
      </c>
      <c r="E11" t="str">
        <f>VLOOKUP(A11,'Optional features'!B:B,1,FALSE)</f>
        <v>C-29.3</v>
      </c>
    </row>
    <row r="12" spans="1:5" x14ac:dyDescent="0.25">
      <c r="A12" t="s">
        <v>43</v>
      </c>
      <c r="B12" t="s">
        <v>14</v>
      </c>
      <c r="C12" t="s">
        <v>569</v>
      </c>
      <c r="D12" t="s">
        <v>560</v>
      </c>
      <c r="E12" t="str">
        <f>VLOOKUP(A12,'Optional features'!B:B,1,FALSE)</f>
        <v>C-29.4</v>
      </c>
    </row>
    <row r="13" spans="1:5" x14ac:dyDescent="0.25">
      <c r="A13" t="s">
        <v>44</v>
      </c>
      <c r="B13" t="s">
        <v>14</v>
      </c>
      <c r="C13" t="s">
        <v>570</v>
      </c>
      <c r="D13" t="s">
        <v>560</v>
      </c>
      <c r="E13" t="str">
        <f>VLOOKUP(A13,'Optional features'!B:B,1,FALSE)</f>
        <v>C-29.5</v>
      </c>
    </row>
    <row r="14" spans="1:5" x14ac:dyDescent="0.25">
      <c r="A14" t="s">
        <v>46</v>
      </c>
      <c r="B14" t="s">
        <v>219</v>
      </c>
      <c r="C14" t="s">
        <v>571</v>
      </c>
      <c r="D14" t="s">
        <v>594</v>
      </c>
      <c r="E14" t="str">
        <f>VLOOKUP(A14,'Optional features'!B:B,1,FALSE)</f>
        <v>C-30</v>
      </c>
    </row>
    <row r="15" spans="1:5" x14ac:dyDescent="0.25">
      <c r="A15" t="s">
        <v>48</v>
      </c>
      <c r="B15" t="s">
        <v>219</v>
      </c>
      <c r="C15" t="s">
        <v>572</v>
      </c>
      <c r="D15" t="s">
        <v>594</v>
      </c>
      <c r="E15" t="str">
        <f>VLOOKUP(A15,'Optional features'!B:B,1,FALSE)</f>
        <v>C-31</v>
      </c>
    </row>
    <row r="16" spans="1:5" x14ac:dyDescent="0.25">
      <c r="A16" t="s">
        <v>49</v>
      </c>
      <c r="B16" t="s">
        <v>219</v>
      </c>
      <c r="C16" t="s">
        <v>573</v>
      </c>
      <c r="D16" t="s">
        <v>560</v>
      </c>
      <c r="E16" t="str">
        <f>VLOOKUP(A16,'Optional features'!B:B,1,FALSE)</f>
        <v>C-32</v>
      </c>
    </row>
    <row r="17" spans="1:5" x14ac:dyDescent="0.25">
      <c r="A17" t="s">
        <v>50</v>
      </c>
      <c r="B17" t="s">
        <v>219</v>
      </c>
      <c r="C17" t="s">
        <v>574</v>
      </c>
      <c r="D17" t="s">
        <v>560</v>
      </c>
      <c r="E17" t="str">
        <f>VLOOKUP(A17,'Optional features'!B:B,1,FALSE)</f>
        <v>C-33</v>
      </c>
    </row>
    <row r="18" spans="1:5" x14ac:dyDescent="0.25">
      <c r="A18" t="s">
        <v>51</v>
      </c>
      <c r="B18" t="s">
        <v>219</v>
      </c>
      <c r="C18" t="s">
        <v>575</v>
      </c>
      <c r="D18" t="s">
        <v>560</v>
      </c>
      <c r="E18" t="str">
        <f>VLOOKUP(A18,'Optional features'!B:B,1,FALSE)</f>
        <v>C-34</v>
      </c>
    </row>
    <row r="19" spans="1:5" x14ac:dyDescent="0.25">
      <c r="A19" t="s">
        <v>52</v>
      </c>
      <c r="B19" t="s">
        <v>219</v>
      </c>
      <c r="C19" t="s">
        <v>576</v>
      </c>
      <c r="D19" t="s">
        <v>594</v>
      </c>
      <c r="E19" t="str">
        <f>VLOOKUP(A19,'Optional features'!B:B,1,FALSE)</f>
        <v>C-35</v>
      </c>
    </row>
    <row r="20" spans="1:5" x14ac:dyDescent="0.25">
      <c r="A20" t="s">
        <v>55</v>
      </c>
      <c r="B20" t="s">
        <v>577</v>
      </c>
      <c r="C20" t="s">
        <v>571</v>
      </c>
      <c r="D20" t="s">
        <v>594</v>
      </c>
      <c r="E20" t="str">
        <f>VLOOKUP(A20,'Optional features'!B:B,1,FALSE)</f>
        <v>C-36</v>
      </c>
    </row>
    <row r="21" spans="1:5" x14ac:dyDescent="0.25">
      <c r="A21" t="s">
        <v>56</v>
      </c>
      <c r="B21" t="s">
        <v>577</v>
      </c>
      <c r="C21" t="s">
        <v>572</v>
      </c>
      <c r="D21" t="s">
        <v>594</v>
      </c>
      <c r="E21" t="str">
        <f>VLOOKUP(A21,'Optional features'!B:B,1,FALSE)</f>
        <v>C-37</v>
      </c>
    </row>
    <row r="22" spans="1:5" x14ac:dyDescent="0.25">
      <c r="A22" t="s">
        <v>57</v>
      </c>
      <c r="B22" t="s">
        <v>577</v>
      </c>
      <c r="C22" t="s">
        <v>578</v>
      </c>
      <c r="D22" t="s">
        <v>560</v>
      </c>
      <c r="E22" t="str">
        <f>VLOOKUP(A22,'Optional features'!B:B,1,FALSE)</f>
        <v>C-38</v>
      </c>
    </row>
    <row r="23" spans="1:5" x14ac:dyDescent="0.25">
      <c r="A23" t="s">
        <v>58</v>
      </c>
      <c r="B23" t="s">
        <v>577</v>
      </c>
      <c r="C23" t="s">
        <v>576</v>
      </c>
      <c r="D23" t="s">
        <v>560</v>
      </c>
      <c r="E23" t="str">
        <f>VLOOKUP(A23,'Optional features'!B:B,1,FALSE)</f>
        <v>C-39</v>
      </c>
    </row>
    <row r="24" spans="1:5" x14ac:dyDescent="0.25">
      <c r="A24" t="s">
        <v>60</v>
      </c>
      <c r="B24" t="s">
        <v>577</v>
      </c>
      <c r="C24" t="s">
        <v>579</v>
      </c>
      <c r="D24" t="s">
        <v>560</v>
      </c>
      <c r="E24" t="str">
        <f>VLOOKUP(A24,'Optional features'!B:B,1,FALSE)</f>
        <v>C-44</v>
      </c>
    </row>
    <row r="25" spans="1:5" x14ac:dyDescent="0.25">
      <c r="A25" t="s">
        <v>61</v>
      </c>
      <c r="B25" t="s">
        <v>577</v>
      </c>
      <c r="C25" t="s">
        <v>580</v>
      </c>
      <c r="D25" t="s">
        <v>560</v>
      </c>
      <c r="E25" t="str">
        <f>VLOOKUP(A25,'Optional features'!B:B,1,FALSE)</f>
        <v>C-45</v>
      </c>
    </row>
    <row r="26" spans="1:5" x14ac:dyDescent="0.25">
      <c r="A26" t="s">
        <v>62</v>
      </c>
      <c r="B26" t="s">
        <v>577</v>
      </c>
      <c r="C26" t="s">
        <v>581</v>
      </c>
      <c r="D26" t="s">
        <v>560</v>
      </c>
      <c r="E26" t="str">
        <f>VLOOKUP(A26,'Optional features'!B:B,1,FALSE)</f>
        <v>C-46</v>
      </c>
    </row>
    <row r="27" spans="1:5" x14ac:dyDescent="0.25">
      <c r="A27" t="s">
        <v>63</v>
      </c>
      <c r="B27" t="s">
        <v>577</v>
      </c>
      <c r="C27" t="s">
        <v>582</v>
      </c>
      <c r="D27" t="s">
        <v>668</v>
      </c>
      <c r="E27" t="str">
        <f>VLOOKUP(A27,'Optional features'!B:B,1,FALSE)</f>
        <v>C-50</v>
      </c>
    </row>
    <row r="28" spans="1:5" x14ac:dyDescent="0.25">
      <c r="A28" t="s">
        <v>64</v>
      </c>
      <c r="B28" t="s">
        <v>577</v>
      </c>
      <c r="C28" t="s">
        <v>583</v>
      </c>
      <c r="D28" t="s">
        <v>560</v>
      </c>
      <c r="E28" t="str">
        <f>VLOOKUP(A28,'Optional features'!B:B,1,FALSE)</f>
        <v>C-50.1</v>
      </c>
    </row>
    <row r="29" spans="1:5" x14ac:dyDescent="0.25">
      <c r="A29" t="s">
        <v>65</v>
      </c>
      <c r="B29" t="s">
        <v>577</v>
      </c>
      <c r="C29" t="s">
        <v>144</v>
      </c>
      <c r="D29" t="s">
        <v>560</v>
      </c>
      <c r="E29" t="str">
        <f>VLOOKUP(A29,'Optional features'!B:B,1,FALSE)</f>
        <v>C-50.2</v>
      </c>
    </row>
    <row r="30" spans="1:5" x14ac:dyDescent="0.25">
      <c r="A30" t="s">
        <v>66</v>
      </c>
      <c r="B30" t="s">
        <v>22</v>
      </c>
      <c r="C30" t="s">
        <v>377</v>
      </c>
      <c r="D30" t="s">
        <v>560</v>
      </c>
      <c r="E30" t="str">
        <f>VLOOKUP(A30,'Optional features'!B:B,1,FALSE)</f>
        <v>SC-4</v>
      </c>
    </row>
    <row r="31" spans="1:5" x14ac:dyDescent="0.25">
      <c r="A31" t="s">
        <v>68</v>
      </c>
      <c r="B31" t="s">
        <v>26</v>
      </c>
      <c r="C31" t="s">
        <v>584</v>
      </c>
      <c r="D31" t="s">
        <v>560</v>
      </c>
      <c r="E31" t="str">
        <f>VLOOKUP(A31,'Optional features'!B:B,1,FALSE)</f>
        <v>R-1</v>
      </c>
    </row>
    <row r="32" spans="1:5" x14ac:dyDescent="0.25">
      <c r="A32" t="s">
        <v>69</v>
      </c>
      <c r="B32" t="s">
        <v>26</v>
      </c>
      <c r="C32" t="s">
        <v>585</v>
      </c>
      <c r="D32" t="s">
        <v>560</v>
      </c>
      <c r="E32" t="str">
        <f>VLOOKUP(A32,'Optional features'!B:B,1,FALSE)</f>
        <v>R-2</v>
      </c>
    </row>
    <row r="33" spans="1:5" x14ac:dyDescent="0.25">
      <c r="A33" t="s">
        <v>70</v>
      </c>
      <c r="B33" t="s">
        <v>586</v>
      </c>
      <c r="C33" t="s">
        <v>587</v>
      </c>
      <c r="D33" t="s">
        <v>560</v>
      </c>
      <c r="E33" t="str">
        <f>VLOOKUP(A33,'Optional features'!B:B,1,FALSE)</f>
        <v>ISO-3</v>
      </c>
    </row>
    <row r="34" spans="1:5" x14ac:dyDescent="0.25">
      <c r="A34" t="s">
        <v>71</v>
      </c>
      <c r="B34" t="s">
        <v>586</v>
      </c>
      <c r="C34" t="s">
        <v>588</v>
      </c>
      <c r="D34" t="s">
        <v>560</v>
      </c>
      <c r="E34" t="str">
        <f>VLOOKUP(A34,'Optional features'!B:B,1,FALSE)</f>
        <v>ISO-4</v>
      </c>
    </row>
    <row r="35" spans="1:5" x14ac:dyDescent="0.25">
      <c r="A35" t="s">
        <v>72</v>
      </c>
      <c r="B35" t="s">
        <v>19</v>
      </c>
      <c r="C35" t="s">
        <v>589</v>
      </c>
      <c r="D35" t="s">
        <v>560</v>
      </c>
      <c r="E35" t="str">
        <f>VLOOKUP(A35,'Optional features'!B:B,1,FALSE)</f>
        <v>LA-2</v>
      </c>
    </row>
  </sheetData>
  <pageMargins left="0.7" right="0.7" top="0.75" bottom="0.75" header="0.3" footer="0.3"/>
  <headerFooter>
    <oddFooter>&amp;C_x000D_&amp;1#&amp;"Arial"&amp;9&amp;K000000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B0C1A-347A-4CF2-8EA4-BCDC897ADA20}">
  <dimension ref="A1:G253"/>
  <sheetViews>
    <sheetView topLeftCell="A41" zoomScale="85" zoomScaleNormal="85" workbookViewId="0">
      <selection activeCell="G63" sqref="G63"/>
    </sheetView>
  </sheetViews>
  <sheetFormatPr defaultColWidth="8.875" defaultRowHeight="15.75" x14ac:dyDescent="0.25"/>
  <cols>
    <col min="1" max="1" width="28.5" customWidth="1"/>
    <col min="2" max="2" width="14.5" bestFit="1" customWidth="1"/>
    <col min="3" max="3" width="26.625" bestFit="1" customWidth="1"/>
    <col min="4" max="4" width="84.625" customWidth="1"/>
    <col min="5" max="5" width="44.5" customWidth="1"/>
    <col min="6" max="6" width="9.625" customWidth="1"/>
    <col min="7" max="7" width="41.875" customWidth="1"/>
  </cols>
  <sheetData>
    <row r="1" spans="1:7" x14ac:dyDescent="0.25">
      <c r="A1" s="1" t="s">
        <v>104</v>
      </c>
      <c r="B1" s="1" t="s">
        <v>81</v>
      </c>
      <c r="C1" s="1" t="s">
        <v>11</v>
      </c>
      <c r="D1" s="1" t="s">
        <v>82</v>
      </c>
      <c r="E1" s="1" t="s">
        <v>83</v>
      </c>
      <c r="F1" s="1" t="s">
        <v>84</v>
      </c>
      <c r="G1" s="1" t="s">
        <v>85</v>
      </c>
    </row>
    <row r="2" spans="1:7" x14ac:dyDescent="0.25">
      <c r="A2" t="str">
        <f>B2&amp;" "&amp;C2</f>
        <v>TC_A_01_CSMS Core</v>
      </c>
      <c r="B2" t="s">
        <v>105</v>
      </c>
      <c r="C2" t="s">
        <v>14</v>
      </c>
      <c r="D2" t="s">
        <v>106</v>
      </c>
      <c r="E2" t="s">
        <v>107</v>
      </c>
    </row>
    <row r="3" spans="1:7" x14ac:dyDescent="0.25">
      <c r="A3" t="str">
        <f t="shared" ref="A3:A66" si="0">B3&amp;" "&amp;C3</f>
        <v>TC_A_02_CSMS Core</v>
      </c>
      <c r="B3" t="s">
        <v>108</v>
      </c>
      <c r="C3" t="s">
        <v>14</v>
      </c>
      <c r="D3" t="s">
        <v>109</v>
      </c>
      <c r="E3" t="s">
        <v>107</v>
      </c>
    </row>
    <row r="4" spans="1:7" x14ac:dyDescent="0.25">
      <c r="A4" t="str">
        <f t="shared" si="0"/>
        <v>TC_A_03_CSMS Core</v>
      </c>
      <c r="B4" t="s">
        <v>110</v>
      </c>
      <c r="C4" t="s">
        <v>14</v>
      </c>
      <c r="D4" t="s">
        <v>111</v>
      </c>
      <c r="E4" t="s">
        <v>107</v>
      </c>
    </row>
    <row r="5" spans="1:7" x14ac:dyDescent="0.25">
      <c r="A5" t="str">
        <f t="shared" si="0"/>
        <v>TC_A_09_CSMS Core</v>
      </c>
      <c r="B5" t="s">
        <v>118</v>
      </c>
      <c r="C5" t="s">
        <v>14</v>
      </c>
      <c r="D5" t="s">
        <v>119</v>
      </c>
      <c r="E5" t="s">
        <v>107</v>
      </c>
    </row>
    <row r="6" spans="1:7" x14ac:dyDescent="0.25">
      <c r="A6" t="str">
        <f t="shared" si="0"/>
        <v>TC_A_10_CSMS Core</v>
      </c>
      <c r="B6" t="s">
        <v>120</v>
      </c>
      <c r="C6" t="s">
        <v>14</v>
      </c>
      <c r="D6" t="s">
        <v>121</v>
      </c>
      <c r="E6" t="s">
        <v>107</v>
      </c>
    </row>
    <row r="7" spans="1:7" x14ac:dyDescent="0.25">
      <c r="A7" t="str">
        <f t="shared" si="0"/>
        <v>TC_A_04_CSMS Core</v>
      </c>
      <c r="B7" t="s">
        <v>112</v>
      </c>
      <c r="C7" t="s">
        <v>14</v>
      </c>
      <c r="D7" t="s">
        <v>113</v>
      </c>
      <c r="E7" t="s">
        <v>107</v>
      </c>
    </row>
    <row r="8" spans="1:7" x14ac:dyDescent="0.25">
      <c r="A8" t="str">
        <f t="shared" si="0"/>
        <v>TC_A_06_CSMS Core</v>
      </c>
      <c r="B8" t="s">
        <v>114</v>
      </c>
      <c r="C8" t="s">
        <v>14</v>
      </c>
      <c r="D8" t="s">
        <v>115</v>
      </c>
      <c r="E8" t="s">
        <v>107</v>
      </c>
    </row>
    <row r="9" spans="1:7" x14ac:dyDescent="0.25">
      <c r="A9" t="str">
        <f t="shared" si="0"/>
        <v>TC_A_19_CSMS Core</v>
      </c>
      <c r="B9" t="s">
        <v>132</v>
      </c>
      <c r="C9" t="s">
        <v>14</v>
      </c>
      <c r="D9" t="s">
        <v>133</v>
      </c>
      <c r="E9" t="s">
        <v>107</v>
      </c>
    </row>
    <row r="10" spans="1:7" x14ac:dyDescent="0.25">
      <c r="A10" t="str">
        <f t="shared" si="0"/>
        <v>TC_B_01_CSMS Core</v>
      </c>
      <c r="B10" t="s">
        <v>134</v>
      </c>
      <c r="C10" t="s">
        <v>14</v>
      </c>
      <c r="D10" t="s">
        <v>622</v>
      </c>
      <c r="E10" t="s">
        <v>107</v>
      </c>
    </row>
    <row r="11" spans="1:7" x14ac:dyDescent="0.25">
      <c r="A11" t="str">
        <f t="shared" si="0"/>
        <v>TC_B_02_CSMS Core</v>
      </c>
      <c r="B11" t="s">
        <v>135</v>
      </c>
      <c r="C11" t="s">
        <v>14</v>
      </c>
      <c r="D11" t="s">
        <v>599</v>
      </c>
      <c r="E11" t="s">
        <v>128</v>
      </c>
      <c r="F11" t="s">
        <v>60</v>
      </c>
      <c r="G11" t="s">
        <v>136</v>
      </c>
    </row>
    <row r="12" spans="1:7" x14ac:dyDescent="0.25">
      <c r="A12" t="str">
        <f t="shared" si="0"/>
        <v>TC_B_30_CSMS Core</v>
      </c>
      <c r="B12" t="s">
        <v>155</v>
      </c>
      <c r="C12" t="s">
        <v>14</v>
      </c>
      <c r="D12" t="s">
        <v>600</v>
      </c>
      <c r="E12" t="s">
        <v>128</v>
      </c>
      <c r="F12" t="s">
        <v>156</v>
      </c>
      <c r="G12" t="s">
        <v>157</v>
      </c>
    </row>
    <row r="13" spans="1:7" x14ac:dyDescent="0.25">
      <c r="A13" t="str">
        <f t="shared" si="0"/>
        <v>TC_B_31_CSMS Core</v>
      </c>
      <c r="B13" t="s">
        <v>158</v>
      </c>
      <c r="C13" t="s">
        <v>14</v>
      </c>
      <c r="D13" t="s">
        <v>601</v>
      </c>
      <c r="E13" t="s">
        <v>128</v>
      </c>
      <c r="F13" t="s">
        <v>156</v>
      </c>
      <c r="G13" t="s">
        <v>157</v>
      </c>
    </row>
    <row r="14" spans="1:7" x14ac:dyDescent="0.25">
      <c r="A14" t="str">
        <f t="shared" si="0"/>
        <v>TC_B_06_CSMS Core</v>
      </c>
      <c r="B14" t="s">
        <v>137</v>
      </c>
      <c r="C14" t="s">
        <v>14</v>
      </c>
      <c r="D14" t="s">
        <v>623</v>
      </c>
      <c r="E14" t="s">
        <v>107</v>
      </c>
    </row>
    <row r="15" spans="1:7" x14ac:dyDescent="0.25">
      <c r="A15" t="str">
        <f t="shared" si="0"/>
        <v>TC_B_07_CSMS Core</v>
      </c>
      <c r="B15" t="s">
        <v>138</v>
      </c>
      <c r="C15" t="s">
        <v>14</v>
      </c>
      <c r="D15" t="s">
        <v>608</v>
      </c>
      <c r="E15" t="s">
        <v>128</v>
      </c>
      <c r="F15" t="s">
        <v>61</v>
      </c>
      <c r="G15" t="s">
        <v>609</v>
      </c>
    </row>
    <row r="16" spans="1:7" x14ac:dyDescent="0.25">
      <c r="A16" t="str">
        <f t="shared" si="0"/>
        <v>TC_B_09_CSMS Core</v>
      </c>
      <c r="B16" t="s">
        <v>139</v>
      </c>
      <c r="C16" t="s">
        <v>14</v>
      </c>
      <c r="D16" t="s">
        <v>624</v>
      </c>
      <c r="E16" t="s">
        <v>107</v>
      </c>
    </row>
    <row r="17" spans="1:7" x14ac:dyDescent="0.25">
      <c r="A17" t="str">
        <f t="shared" si="0"/>
        <v>TC_B_10_CSMS Core</v>
      </c>
      <c r="B17" t="s">
        <v>140</v>
      </c>
      <c r="C17" t="s">
        <v>14</v>
      </c>
      <c r="D17" t="s">
        <v>610</v>
      </c>
      <c r="E17" t="s">
        <v>128</v>
      </c>
      <c r="F17" t="s">
        <v>62</v>
      </c>
      <c r="G17" t="s">
        <v>611</v>
      </c>
    </row>
    <row r="18" spans="1:7" x14ac:dyDescent="0.25">
      <c r="A18" t="str">
        <f t="shared" si="0"/>
        <v>TC_B_12_CSMS Core</v>
      </c>
      <c r="B18" t="s">
        <v>141</v>
      </c>
      <c r="C18" t="s">
        <v>14</v>
      </c>
      <c r="D18" t="s">
        <v>602</v>
      </c>
      <c r="E18" t="s">
        <v>128</v>
      </c>
      <c r="F18" t="s">
        <v>38</v>
      </c>
      <c r="G18" t="s">
        <v>142</v>
      </c>
    </row>
    <row r="19" spans="1:7" x14ac:dyDescent="0.25">
      <c r="A19" t="str">
        <f t="shared" si="0"/>
        <v>TC_B_13_CSMS Core</v>
      </c>
      <c r="B19" t="s">
        <v>143</v>
      </c>
      <c r="C19" t="s">
        <v>14</v>
      </c>
      <c r="D19" t="s">
        <v>603</v>
      </c>
      <c r="E19" t="s">
        <v>128</v>
      </c>
      <c r="F19" t="s">
        <v>65</v>
      </c>
      <c r="G19" t="s">
        <v>144</v>
      </c>
    </row>
    <row r="20" spans="1:7" x14ac:dyDescent="0.25">
      <c r="A20" t="str">
        <f t="shared" si="0"/>
        <v>TC_B_20_CSMS Core</v>
      </c>
      <c r="B20" t="s">
        <v>148</v>
      </c>
      <c r="C20" t="s">
        <v>14</v>
      </c>
      <c r="D20" t="s">
        <v>625</v>
      </c>
      <c r="E20" t="s">
        <v>107</v>
      </c>
    </row>
    <row r="21" spans="1:7" x14ac:dyDescent="0.25">
      <c r="A21" t="str">
        <f t="shared" si="0"/>
        <v>TC_B_21_CSMS Core</v>
      </c>
      <c r="B21" t="s">
        <v>149</v>
      </c>
      <c r="C21" t="s">
        <v>14</v>
      </c>
      <c r="D21" t="s">
        <v>626</v>
      </c>
      <c r="E21" t="s">
        <v>107</v>
      </c>
    </row>
    <row r="22" spans="1:7" x14ac:dyDescent="0.25">
      <c r="A22" t="str">
        <f t="shared" si="0"/>
        <v>TC_B_22_CSMS Core</v>
      </c>
      <c r="B22" t="s">
        <v>150</v>
      </c>
      <c r="C22" t="s">
        <v>14</v>
      </c>
      <c r="D22" t="s">
        <v>627</v>
      </c>
      <c r="E22" t="s">
        <v>107</v>
      </c>
    </row>
    <row r="23" spans="1:7" x14ac:dyDescent="0.25">
      <c r="A23" t="str">
        <f t="shared" si="0"/>
        <v>TC_B_25_CSMS Core</v>
      </c>
      <c r="B23" t="s">
        <v>151</v>
      </c>
      <c r="C23" t="s">
        <v>14</v>
      </c>
      <c r="D23" t="s">
        <v>612</v>
      </c>
      <c r="E23" t="s">
        <v>128</v>
      </c>
      <c r="F23" t="s">
        <v>34</v>
      </c>
      <c r="G23" t="s">
        <v>152</v>
      </c>
    </row>
    <row r="24" spans="1:7" x14ac:dyDescent="0.25">
      <c r="A24" t="str">
        <f t="shared" si="0"/>
        <v>TC_B_26_CSMS Core</v>
      </c>
      <c r="B24" t="s">
        <v>153</v>
      </c>
      <c r="C24" t="s">
        <v>14</v>
      </c>
      <c r="D24" t="s">
        <v>613</v>
      </c>
      <c r="E24" t="s">
        <v>128</v>
      </c>
      <c r="F24" t="s">
        <v>34</v>
      </c>
      <c r="G24" t="s">
        <v>152</v>
      </c>
    </row>
    <row r="25" spans="1:7" x14ac:dyDescent="0.25">
      <c r="A25" t="str">
        <f t="shared" si="0"/>
        <v>TC_B_27_CSMS Core</v>
      </c>
      <c r="B25" t="s">
        <v>154</v>
      </c>
      <c r="C25" t="s">
        <v>14</v>
      </c>
      <c r="D25" t="s">
        <v>614</v>
      </c>
      <c r="E25" t="s">
        <v>128</v>
      </c>
      <c r="F25" t="s">
        <v>34</v>
      </c>
      <c r="G25" t="s">
        <v>152</v>
      </c>
    </row>
    <row r="26" spans="1:7" x14ac:dyDescent="0.25">
      <c r="A26" t="str">
        <f t="shared" si="0"/>
        <v>TC_B_42_CSMS Core</v>
      </c>
      <c r="B26" t="s">
        <v>159</v>
      </c>
      <c r="C26" t="s">
        <v>14</v>
      </c>
      <c r="D26" t="s">
        <v>160</v>
      </c>
      <c r="E26" t="s">
        <v>107</v>
      </c>
    </row>
    <row r="27" spans="1:7" x14ac:dyDescent="0.25">
      <c r="A27" t="str">
        <f t="shared" si="0"/>
        <v>TC_B_44_CSMS Core</v>
      </c>
      <c r="B27" t="s">
        <v>161</v>
      </c>
      <c r="C27" t="s">
        <v>14</v>
      </c>
      <c r="D27" t="s">
        <v>162</v>
      </c>
      <c r="E27" t="s">
        <v>107</v>
      </c>
    </row>
    <row r="28" spans="1:7" x14ac:dyDescent="0.25">
      <c r="A28" t="str">
        <f t="shared" si="0"/>
        <v>TC_C_02_CSMS Core</v>
      </c>
      <c r="B28" t="s">
        <v>163</v>
      </c>
      <c r="C28" t="s">
        <v>14</v>
      </c>
      <c r="D28" t="s">
        <v>606</v>
      </c>
      <c r="E28" t="s">
        <v>107</v>
      </c>
      <c r="F28" t="s">
        <v>738</v>
      </c>
      <c r="G28" t="s">
        <v>739</v>
      </c>
    </row>
    <row r="29" spans="1:7" x14ac:dyDescent="0.25">
      <c r="A29" t="str">
        <f t="shared" si="0"/>
        <v>TC_C_06_CSMS Core</v>
      </c>
      <c r="B29" t="s">
        <v>164</v>
      </c>
      <c r="C29" t="s">
        <v>14</v>
      </c>
      <c r="D29" t="s">
        <v>604</v>
      </c>
      <c r="E29" t="s">
        <v>107</v>
      </c>
      <c r="F29" t="s">
        <v>165</v>
      </c>
      <c r="G29" t="s">
        <v>166</v>
      </c>
    </row>
    <row r="30" spans="1:7" x14ac:dyDescent="0.25">
      <c r="A30" t="str">
        <f t="shared" si="0"/>
        <v>TC_C_07_CSMS Core</v>
      </c>
      <c r="B30" t="s">
        <v>167</v>
      </c>
      <c r="C30" t="s">
        <v>14</v>
      </c>
      <c r="D30" t="s">
        <v>605</v>
      </c>
      <c r="E30" t="s">
        <v>107</v>
      </c>
      <c r="F30" t="s">
        <v>165</v>
      </c>
      <c r="G30" t="s">
        <v>166</v>
      </c>
    </row>
    <row r="31" spans="1:7" x14ac:dyDescent="0.25">
      <c r="A31" t="str">
        <f t="shared" si="0"/>
        <v>TC_E_38_CSMS Core</v>
      </c>
      <c r="B31" t="s">
        <v>277</v>
      </c>
      <c r="C31" t="s">
        <v>14</v>
      </c>
      <c r="D31" t="s">
        <v>615</v>
      </c>
      <c r="E31" t="s">
        <v>107</v>
      </c>
      <c r="F31" t="s">
        <v>616</v>
      </c>
      <c r="G31" t="s">
        <v>214</v>
      </c>
    </row>
    <row r="32" spans="1:7" x14ac:dyDescent="0.25">
      <c r="A32" t="str">
        <f t="shared" si="0"/>
        <v>TC_C_39_CSMS Core</v>
      </c>
      <c r="B32" t="s">
        <v>178</v>
      </c>
      <c r="C32" t="s">
        <v>14</v>
      </c>
      <c r="D32" t="s">
        <v>179</v>
      </c>
      <c r="E32" t="s">
        <v>107</v>
      </c>
      <c r="F32" t="s">
        <v>180</v>
      </c>
      <c r="G32" t="s">
        <v>166</v>
      </c>
    </row>
    <row r="33" spans="1:7" x14ac:dyDescent="0.25">
      <c r="A33" t="str">
        <f t="shared" si="0"/>
        <v>TC_C_47_CSMS Core</v>
      </c>
      <c r="B33" t="s">
        <v>185</v>
      </c>
      <c r="C33" t="s">
        <v>14</v>
      </c>
      <c r="D33" t="s">
        <v>186</v>
      </c>
      <c r="E33" t="s">
        <v>107</v>
      </c>
      <c r="F33" t="s">
        <v>187</v>
      </c>
      <c r="G33" t="s">
        <v>188</v>
      </c>
    </row>
    <row r="34" spans="1:7" x14ac:dyDescent="0.25">
      <c r="A34" t="str">
        <f t="shared" si="0"/>
        <v>TC_C_48_CSMS Core</v>
      </c>
      <c r="B34" t="s">
        <v>189</v>
      </c>
      <c r="C34" t="s">
        <v>14</v>
      </c>
      <c r="D34" t="s">
        <v>607</v>
      </c>
      <c r="E34" t="s">
        <v>107</v>
      </c>
      <c r="F34" t="s">
        <v>187</v>
      </c>
      <c r="G34" t="s">
        <v>188</v>
      </c>
    </row>
    <row r="35" spans="1:7" x14ac:dyDescent="0.25">
      <c r="A35" t="str">
        <f t="shared" si="0"/>
        <v>TC_C_49_CSMS Core</v>
      </c>
      <c r="B35" t="s">
        <v>190</v>
      </c>
      <c r="C35" t="s">
        <v>14</v>
      </c>
      <c r="D35" t="s">
        <v>191</v>
      </c>
      <c r="E35" t="s">
        <v>107</v>
      </c>
      <c r="F35" t="s">
        <v>192</v>
      </c>
      <c r="G35" t="s">
        <v>193</v>
      </c>
    </row>
    <row r="36" spans="1:7" x14ac:dyDescent="0.25">
      <c r="A36" t="str">
        <f t="shared" si="0"/>
        <v>TC_C_37_CSMS Core</v>
      </c>
      <c r="B36" t="s">
        <v>174</v>
      </c>
      <c r="C36" t="s">
        <v>14</v>
      </c>
      <c r="D36" t="s">
        <v>175</v>
      </c>
      <c r="E36" t="s">
        <v>107</v>
      </c>
      <c r="F36" t="s">
        <v>170</v>
      </c>
      <c r="G36" t="s">
        <v>171</v>
      </c>
    </row>
    <row r="37" spans="1:7" x14ac:dyDescent="0.25">
      <c r="A37" t="str">
        <f t="shared" si="0"/>
        <v>TC_C_38_CSMS Core</v>
      </c>
      <c r="B37" t="s">
        <v>176</v>
      </c>
      <c r="C37" t="s">
        <v>14</v>
      </c>
      <c r="D37" t="s">
        <v>177</v>
      </c>
      <c r="E37" t="s">
        <v>107</v>
      </c>
      <c r="F37" t="s">
        <v>170</v>
      </c>
      <c r="G37" t="s">
        <v>171</v>
      </c>
    </row>
    <row r="38" spans="1:7" x14ac:dyDescent="0.25">
      <c r="A38" t="str">
        <f t="shared" si="0"/>
        <v>TC_C_08_CSMS Core</v>
      </c>
      <c r="B38" t="s">
        <v>168</v>
      </c>
      <c r="C38" t="s">
        <v>14</v>
      </c>
      <c r="D38" t="s">
        <v>169</v>
      </c>
      <c r="E38" t="s">
        <v>107</v>
      </c>
      <c r="F38" t="s">
        <v>170</v>
      </c>
      <c r="G38" t="s">
        <v>171</v>
      </c>
    </row>
    <row r="39" spans="1:7" x14ac:dyDescent="0.25">
      <c r="A39" t="str">
        <f t="shared" si="0"/>
        <v>TC_C_20_CSMS Core</v>
      </c>
      <c r="B39" t="s">
        <v>172</v>
      </c>
      <c r="C39" t="s">
        <v>14</v>
      </c>
      <c r="D39" t="s">
        <v>173</v>
      </c>
      <c r="E39" t="s">
        <v>107</v>
      </c>
    </row>
    <row r="40" spans="1:7" x14ac:dyDescent="0.25">
      <c r="A40" t="str">
        <f t="shared" si="0"/>
        <v>TC_E_03_CSMS Core</v>
      </c>
      <c r="B40" t="s">
        <v>216</v>
      </c>
      <c r="C40" t="s">
        <v>14</v>
      </c>
      <c r="D40" t="s">
        <v>217</v>
      </c>
      <c r="E40" t="s">
        <v>107</v>
      </c>
      <c r="F40" t="s">
        <v>218</v>
      </c>
      <c r="G40" t="s">
        <v>219</v>
      </c>
    </row>
    <row r="41" spans="1:7" x14ac:dyDescent="0.25">
      <c r="A41" t="str">
        <f t="shared" si="0"/>
        <v>TC_E_04_CSMS Core</v>
      </c>
      <c r="B41" t="s">
        <v>220</v>
      </c>
      <c r="C41" t="s">
        <v>14</v>
      </c>
      <c r="D41" t="s">
        <v>221</v>
      </c>
      <c r="E41" t="s">
        <v>107</v>
      </c>
      <c r="F41" t="s">
        <v>222</v>
      </c>
      <c r="G41" t="s">
        <v>219</v>
      </c>
    </row>
    <row r="42" spans="1:7" x14ac:dyDescent="0.25">
      <c r="A42" t="str">
        <f t="shared" si="0"/>
        <v>TC_E_09_CSMS Core</v>
      </c>
      <c r="B42" t="s">
        <v>231</v>
      </c>
      <c r="C42" t="s">
        <v>14</v>
      </c>
      <c r="D42" t="s">
        <v>232</v>
      </c>
      <c r="E42" t="s">
        <v>107</v>
      </c>
      <c r="F42" t="s">
        <v>233</v>
      </c>
    </row>
    <row r="43" spans="1:7" x14ac:dyDescent="0.25">
      <c r="A43" t="str">
        <f t="shared" si="0"/>
        <v>TC_E_10_CSMS Core</v>
      </c>
      <c r="B43" t="s">
        <v>234</v>
      </c>
      <c r="C43" t="s">
        <v>14</v>
      </c>
      <c r="D43" t="s">
        <v>235</v>
      </c>
      <c r="E43" t="s">
        <v>107</v>
      </c>
      <c r="F43" t="s">
        <v>236</v>
      </c>
      <c r="G43" t="s">
        <v>237</v>
      </c>
    </row>
    <row r="44" spans="1:7" x14ac:dyDescent="0.25">
      <c r="A44" t="str">
        <f t="shared" si="0"/>
        <v>TC_E_11_CSMS Core</v>
      </c>
      <c r="B44" t="s">
        <v>238</v>
      </c>
      <c r="C44" t="s">
        <v>14</v>
      </c>
      <c r="D44" t="s">
        <v>239</v>
      </c>
      <c r="E44" t="s">
        <v>107</v>
      </c>
      <c r="F44" t="s">
        <v>240</v>
      </c>
      <c r="G44" t="s">
        <v>212</v>
      </c>
    </row>
    <row r="45" spans="1:7" x14ac:dyDescent="0.25">
      <c r="A45" t="str">
        <f t="shared" si="0"/>
        <v>TC_E_01_CSMS Core</v>
      </c>
      <c r="B45" t="s">
        <v>209</v>
      </c>
      <c r="C45" t="s">
        <v>14</v>
      </c>
      <c r="D45" t="s">
        <v>210</v>
      </c>
      <c r="E45" t="s">
        <v>107</v>
      </c>
      <c r="F45" t="s">
        <v>211</v>
      </c>
      <c r="G45" t="s">
        <v>212</v>
      </c>
    </row>
    <row r="46" spans="1:7" x14ac:dyDescent="0.25">
      <c r="A46" t="str">
        <f t="shared" si="0"/>
        <v>TC_E_02_CSMS Core</v>
      </c>
      <c r="B46" t="s">
        <v>213</v>
      </c>
      <c r="C46" t="s">
        <v>14</v>
      </c>
      <c r="D46" t="s">
        <v>214</v>
      </c>
      <c r="E46" t="s">
        <v>107</v>
      </c>
      <c r="F46" t="s">
        <v>215</v>
      </c>
      <c r="G46" t="s">
        <v>212</v>
      </c>
    </row>
    <row r="47" spans="1:7" x14ac:dyDescent="0.25">
      <c r="A47" t="str">
        <f t="shared" si="0"/>
        <v>TC_E_12_CSMS Core</v>
      </c>
      <c r="B47" t="s">
        <v>241</v>
      </c>
      <c r="C47" t="s">
        <v>14</v>
      </c>
      <c r="D47" t="s">
        <v>619</v>
      </c>
      <c r="E47" t="s">
        <v>107</v>
      </c>
      <c r="F47" t="s">
        <v>242</v>
      </c>
      <c r="G47" t="s">
        <v>212</v>
      </c>
    </row>
    <row r="48" spans="1:7" x14ac:dyDescent="0.25">
      <c r="A48" t="str">
        <f t="shared" si="0"/>
        <v>TC_E_14_CSMS Core</v>
      </c>
      <c r="B48" t="s">
        <v>243</v>
      </c>
      <c r="C48" t="s">
        <v>14</v>
      </c>
      <c r="D48" t="s">
        <v>244</v>
      </c>
      <c r="E48" t="s">
        <v>107</v>
      </c>
      <c r="F48" t="s">
        <v>245</v>
      </c>
      <c r="G48" t="s">
        <v>230</v>
      </c>
    </row>
    <row r="49" spans="1:7" x14ac:dyDescent="0.25">
      <c r="A49" t="str">
        <f t="shared" si="0"/>
        <v>TC_E_20_CSMS Core</v>
      </c>
      <c r="B49" t="s">
        <v>257</v>
      </c>
      <c r="C49" t="s">
        <v>14</v>
      </c>
      <c r="D49" t="s">
        <v>620</v>
      </c>
      <c r="E49" t="s">
        <v>107</v>
      </c>
      <c r="F49" t="s">
        <v>740</v>
      </c>
      <c r="G49" t="s">
        <v>230</v>
      </c>
    </row>
    <row r="50" spans="1:7" x14ac:dyDescent="0.25">
      <c r="A50" t="str">
        <f t="shared" si="0"/>
        <v>TC_E_15_CSMS Core</v>
      </c>
      <c r="B50" t="s">
        <v>246</v>
      </c>
      <c r="C50" t="s">
        <v>14</v>
      </c>
      <c r="D50" t="s">
        <v>247</v>
      </c>
      <c r="E50" t="s">
        <v>107</v>
      </c>
      <c r="F50" t="s">
        <v>248</v>
      </c>
      <c r="G50" t="s">
        <v>226</v>
      </c>
    </row>
    <row r="51" spans="1:7" x14ac:dyDescent="0.25">
      <c r="A51" t="str">
        <f t="shared" si="0"/>
        <v>TC_E_21_CSMS Core</v>
      </c>
      <c r="B51" t="s">
        <v>258</v>
      </c>
      <c r="C51" t="s">
        <v>14</v>
      </c>
      <c r="D51" t="s">
        <v>259</v>
      </c>
      <c r="E51" t="s">
        <v>107</v>
      </c>
      <c r="F51" t="s">
        <v>260</v>
      </c>
      <c r="G51" t="s">
        <v>230</v>
      </c>
    </row>
    <row r="52" spans="1:7" x14ac:dyDescent="0.25">
      <c r="A52" t="str">
        <f t="shared" si="0"/>
        <v>TC_E_16_CSMS Core</v>
      </c>
      <c r="B52" t="s">
        <v>249</v>
      </c>
      <c r="C52" t="s">
        <v>14</v>
      </c>
      <c r="D52" t="s">
        <v>250</v>
      </c>
      <c r="E52" t="s">
        <v>107</v>
      </c>
      <c r="F52" t="s">
        <v>741</v>
      </c>
      <c r="G52" t="s">
        <v>251</v>
      </c>
    </row>
    <row r="53" spans="1:7" x14ac:dyDescent="0.25">
      <c r="A53" t="str">
        <f t="shared" si="0"/>
        <v>TC_E_17_CSMS Core</v>
      </c>
      <c r="B53" t="s">
        <v>252</v>
      </c>
      <c r="C53" t="s">
        <v>14</v>
      </c>
      <c r="D53" t="s">
        <v>253</v>
      </c>
      <c r="E53" t="s">
        <v>107</v>
      </c>
      <c r="F53" t="s">
        <v>621</v>
      </c>
      <c r="G53" t="s">
        <v>230</v>
      </c>
    </row>
    <row r="54" spans="1:7" x14ac:dyDescent="0.25">
      <c r="A54" t="str">
        <f t="shared" si="0"/>
        <v>TC_E_39_CSMS Core</v>
      </c>
      <c r="B54" t="s">
        <v>278</v>
      </c>
      <c r="C54" t="s">
        <v>14</v>
      </c>
      <c r="D54" t="s">
        <v>279</v>
      </c>
      <c r="E54" t="s">
        <v>107</v>
      </c>
    </row>
    <row r="55" spans="1:7" x14ac:dyDescent="0.25">
      <c r="A55" t="str">
        <f t="shared" si="0"/>
        <v>TC_E_07_CSMS Core</v>
      </c>
      <c r="B55" t="s">
        <v>223</v>
      </c>
      <c r="C55" t="s">
        <v>14</v>
      </c>
      <c r="D55" t="s">
        <v>224</v>
      </c>
      <c r="E55" t="s">
        <v>107</v>
      </c>
      <c r="F55" t="s">
        <v>225</v>
      </c>
      <c r="G55" t="s">
        <v>226</v>
      </c>
    </row>
    <row r="56" spans="1:7" x14ac:dyDescent="0.25">
      <c r="A56" t="str">
        <f t="shared" si="0"/>
        <v>TC_E_08_CSMS Core</v>
      </c>
      <c r="B56" t="s">
        <v>227</v>
      </c>
      <c r="C56" t="s">
        <v>14</v>
      </c>
      <c r="D56" t="s">
        <v>228</v>
      </c>
      <c r="E56" t="s">
        <v>107</v>
      </c>
      <c r="F56" t="s">
        <v>229</v>
      </c>
      <c r="G56" t="s">
        <v>230</v>
      </c>
    </row>
    <row r="57" spans="1:7" x14ac:dyDescent="0.25">
      <c r="A57" t="str">
        <f t="shared" si="0"/>
        <v>TC_E_22_CSMS Core</v>
      </c>
      <c r="B57" t="s">
        <v>261</v>
      </c>
      <c r="C57" t="s">
        <v>14</v>
      </c>
      <c r="D57" t="s">
        <v>262</v>
      </c>
      <c r="E57" t="s">
        <v>107</v>
      </c>
      <c r="F57" t="s">
        <v>263</v>
      </c>
      <c r="G57" t="s">
        <v>230</v>
      </c>
    </row>
    <row r="58" spans="1:7" x14ac:dyDescent="0.25">
      <c r="A58" t="str">
        <f t="shared" si="0"/>
        <v>TC_E_19_CSMS Core</v>
      </c>
      <c r="B58" t="s">
        <v>254</v>
      </c>
      <c r="C58" t="s">
        <v>14</v>
      </c>
      <c r="D58" t="s">
        <v>255</v>
      </c>
      <c r="E58" t="s">
        <v>107</v>
      </c>
      <c r="F58" t="s">
        <v>256</v>
      </c>
      <c r="G58" t="s">
        <v>230</v>
      </c>
    </row>
    <row r="59" spans="1:7" x14ac:dyDescent="0.25">
      <c r="A59" t="str">
        <f t="shared" si="0"/>
        <v>TC_E_26_CSMS Core</v>
      </c>
      <c r="B59" t="s">
        <v>264</v>
      </c>
      <c r="C59" t="s">
        <v>14</v>
      </c>
      <c r="D59" t="s">
        <v>265</v>
      </c>
      <c r="E59" t="s">
        <v>107</v>
      </c>
      <c r="F59" t="s">
        <v>628</v>
      </c>
    </row>
    <row r="60" spans="1:7" x14ac:dyDescent="0.25">
      <c r="A60" t="str">
        <f t="shared" si="0"/>
        <v>TC_E_29_CSMS Core</v>
      </c>
      <c r="B60" t="s">
        <v>266</v>
      </c>
      <c r="C60" t="s">
        <v>14</v>
      </c>
      <c r="D60" t="s">
        <v>267</v>
      </c>
      <c r="E60" t="s">
        <v>128</v>
      </c>
      <c r="F60" t="s">
        <v>37</v>
      </c>
      <c r="G60" t="s">
        <v>268</v>
      </c>
    </row>
    <row r="61" spans="1:7" x14ac:dyDescent="0.25">
      <c r="A61" t="str">
        <f t="shared" si="0"/>
        <v>TC_E_30_CSMS Core</v>
      </c>
      <c r="B61" t="s">
        <v>269</v>
      </c>
      <c r="C61" t="s">
        <v>14</v>
      </c>
      <c r="D61" t="s">
        <v>270</v>
      </c>
      <c r="E61" t="s">
        <v>128</v>
      </c>
      <c r="F61" t="s">
        <v>37</v>
      </c>
      <c r="G61" t="s">
        <v>268</v>
      </c>
    </row>
    <row r="62" spans="1:7" x14ac:dyDescent="0.25">
      <c r="A62" t="str">
        <f t="shared" si="0"/>
        <v>TC_E_31_CSMS Core</v>
      </c>
      <c r="B62" t="s">
        <v>271</v>
      </c>
      <c r="C62" t="s">
        <v>14</v>
      </c>
      <c r="D62" t="s">
        <v>272</v>
      </c>
      <c r="E62" t="s">
        <v>128</v>
      </c>
      <c r="F62" t="s">
        <v>37</v>
      </c>
      <c r="G62" t="s">
        <v>268</v>
      </c>
    </row>
    <row r="63" spans="1:7" x14ac:dyDescent="0.25">
      <c r="A63" t="str">
        <f t="shared" si="0"/>
        <v>TC_E_33_CSMS Core</v>
      </c>
      <c r="B63" t="s">
        <v>273</v>
      </c>
      <c r="C63" t="s">
        <v>14</v>
      </c>
      <c r="D63" t="s">
        <v>274</v>
      </c>
      <c r="E63" t="s">
        <v>128</v>
      </c>
      <c r="F63" t="s">
        <v>37</v>
      </c>
      <c r="G63" t="s">
        <v>268</v>
      </c>
    </row>
    <row r="64" spans="1:7" x14ac:dyDescent="0.25">
      <c r="A64" t="str">
        <f t="shared" si="0"/>
        <v>TC_E_34_CSMS Core</v>
      </c>
      <c r="B64" t="s">
        <v>275</v>
      </c>
      <c r="C64" t="s">
        <v>14</v>
      </c>
      <c r="D64" t="s">
        <v>276</v>
      </c>
      <c r="E64" t="s">
        <v>128</v>
      </c>
      <c r="F64" t="s">
        <v>37</v>
      </c>
      <c r="G64" t="s">
        <v>268</v>
      </c>
    </row>
    <row r="65" spans="1:7" x14ac:dyDescent="0.25">
      <c r="A65" t="str">
        <f t="shared" si="0"/>
        <v>TC_E_53_CSMS Core</v>
      </c>
      <c r="B65" t="s">
        <v>280</v>
      </c>
      <c r="C65" t="s">
        <v>14</v>
      </c>
      <c r="D65" t="s">
        <v>629</v>
      </c>
      <c r="E65" t="s">
        <v>107</v>
      </c>
    </row>
    <row r="66" spans="1:7" x14ac:dyDescent="0.25">
      <c r="A66" t="str">
        <f t="shared" si="0"/>
        <v>TC_F_01_CSMS Core</v>
      </c>
      <c r="B66" t="s">
        <v>281</v>
      </c>
      <c r="C66" t="s">
        <v>14</v>
      </c>
      <c r="D66" t="s">
        <v>595</v>
      </c>
      <c r="E66" t="s">
        <v>107</v>
      </c>
      <c r="F66" t="s">
        <v>596</v>
      </c>
      <c r="G66" t="s">
        <v>282</v>
      </c>
    </row>
    <row r="67" spans="1:7" x14ac:dyDescent="0.25">
      <c r="A67" t="str">
        <f t="shared" ref="A67:A130" si="1">B67&amp;" "&amp;C67</f>
        <v>TC_F_02_CSMS Core</v>
      </c>
      <c r="B67" t="s">
        <v>283</v>
      </c>
      <c r="C67" t="s">
        <v>14</v>
      </c>
      <c r="D67" t="s">
        <v>597</v>
      </c>
      <c r="E67" t="s">
        <v>107</v>
      </c>
      <c r="F67" t="s">
        <v>284</v>
      </c>
      <c r="G67" t="s">
        <v>282</v>
      </c>
    </row>
    <row r="68" spans="1:7" x14ac:dyDescent="0.25">
      <c r="A68" t="str">
        <f t="shared" si="1"/>
        <v>TC_F_03_CSMS Core</v>
      </c>
      <c r="B68" t="s">
        <v>285</v>
      </c>
      <c r="C68" t="s">
        <v>14</v>
      </c>
      <c r="D68" t="s">
        <v>598</v>
      </c>
      <c r="E68" t="s">
        <v>107</v>
      </c>
      <c r="F68" t="s">
        <v>286</v>
      </c>
      <c r="G68" t="s">
        <v>282</v>
      </c>
    </row>
    <row r="69" spans="1:7" x14ac:dyDescent="0.25">
      <c r="A69" t="str">
        <f t="shared" si="1"/>
        <v>TC_F_04_CSMS Core</v>
      </c>
      <c r="B69" t="s">
        <v>287</v>
      </c>
      <c r="C69" t="s">
        <v>14</v>
      </c>
      <c r="D69" t="s">
        <v>630</v>
      </c>
      <c r="E69" t="s">
        <v>107</v>
      </c>
    </row>
    <row r="70" spans="1:7" x14ac:dyDescent="0.25">
      <c r="A70" t="str">
        <f t="shared" si="1"/>
        <v>TC_F_06_CSMS Core</v>
      </c>
      <c r="B70" t="s">
        <v>288</v>
      </c>
      <c r="C70" t="s">
        <v>14</v>
      </c>
      <c r="D70" t="s">
        <v>631</v>
      </c>
      <c r="E70" t="s">
        <v>33</v>
      </c>
      <c r="F70" t="s">
        <v>289</v>
      </c>
    </row>
    <row r="71" spans="1:7" x14ac:dyDescent="0.25">
      <c r="A71" t="str">
        <f t="shared" si="1"/>
        <v>TC_F_11_CSMS Core</v>
      </c>
      <c r="B71" t="s">
        <v>290</v>
      </c>
      <c r="C71" t="s">
        <v>14</v>
      </c>
      <c r="D71" t="s">
        <v>291</v>
      </c>
      <c r="E71" t="s">
        <v>128</v>
      </c>
      <c r="F71" t="s">
        <v>40</v>
      </c>
      <c r="G71" t="s">
        <v>292</v>
      </c>
    </row>
    <row r="72" spans="1:7" x14ac:dyDescent="0.25">
      <c r="A72" t="str">
        <f t="shared" si="1"/>
        <v>TC_F_12_CSMS Core</v>
      </c>
      <c r="B72" t="s">
        <v>293</v>
      </c>
      <c r="C72" t="s">
        <v>14</v>
      </c>
      <c r="D72" t="s">
        <v>294</v>
      </c>
      <c r="E72" t="s">
        <v>128</v>
      </c>
      <c r="F72" t="s">
        <v>40</v>
      </c>
      <c r="G72" t="s">
        <v>292</v>
      </c>
    </row>
    <row r="73" spans="1:7" x14ac:dyDescent="0.25">
      <c r="A73" t="str">
        <f t="shared" si="1"/>
        <v>TC_F_13_CSMS Core</v>
      </c>
      <c r="B73" t="s">
        <v>295</v>
      </c>
      <c r="C73" t="s">
        <v>14</v>
      </c>
      <c r="D73" t="s">
        <v>296</v>
      </c>
      <c r="E73" t="s">
        <v>128</v>
      </c>
      <c r="F73" t="s">
        <v>41</v>
      </c>
      <c r="G73" t="s">
        <v>292</v>
      </c>
    </row>
    <row r="74" spans="1:7" x14ac:dyDescent="0.25">
      <c r="A74" t="str">
        <f t="shared" si="1"/>
        <v>TC_F_14_CSMS Core</v>
      </c>
      <c r="B74" t="s">
        <v>297</v>
      </c>
      <c r="C74" t="s">
        <v>14</v>
      </c>
      <c r="D74" t="s">
        <v>298</v>
      </c>
      <c r="E74" t="s">
        <v>128</v>
      </c>
      <c r="F74" t="s">
        <v>41</v>
      </c>
      <c r="G74" t="s">
        <v>292</v>
      </c>
    </row>
    <row r="75" spans="1:7" x14ac:dyDescent="0.25">
      <c r="A75" t="str">
        <f t="shared" si="1"/>
        <v>TC_F_15_CSMS Core</v>
      </c>
      <c r="B75" t="s">
        <v>299</v>
      </c>
      <c r="C75" t="s">
        <v>14</v>
      </c>
      <c r="D75" t="s">
        <v>300</v>
      </c>
      <c r="E75" t="s">
        <v>128</v>
      </c>
      <c r="F75" t="s">
        <v>42</v>
      </c>
      <c r="G75" t="s">
        <v>292</v>
      </c>
    </row>
    <row r="76" spans="1:7" x14ac:dyDescent="0.25">
      <c r="A76" t="str">
        <f t="shared" si="1"/>
        <v>TC_F_18_CSMS Core</v>
      </c>
      <c r="B76" t="s">
        <v>301</v>
      </c>
      <c r="C76" t="s">
        <v>14</v>
      </c>
      <c r="D76" t="s">
        <v>302</v>
      </c>
      <c r="E76" t="s">
        <v>128</v>
      </c>
      <c r="F76" t="s">
        <v>43</v>
      </c>
      <c r="G76" t="s">
        <v>292</v>
      </c>
    </row>
    <row r="77" spans="1:7" x14ac:dyDescent="0.25">
      <c r="A77" t="str">
        <f t="shared" si="1"/>
        <v>TC_F_20_CSMS Core</v>
      </c>
      <c r="B77" t="s">
        <v>303</v>
      </c>
      <c r="C77" t="s">
        <v>14</v>
      </c>
      <c r="D77" t="s">
        <v>304</v>
      </c>
      <c r="E77" t="s">
        <v>107</v>
      </c>
    </row>
    <row r="78" spans="1:7" x14ac:dyDescent="0.25">
      <c r="A78" t="str">
        <f t="shared" si="1"/>
        <v>TC_F_23_CSMS Core</v>
      </c>
      <c r="B78" t="s">
        <v>305</v>
      </c>
      <c r="C78" t="s">
        <v>14</v>
      </c>
      <c r="D78" t="s">
        <v>306</v>
      </c>
      <c r="E78" t="s">
        <v>128</v>
      </c>
      <c r="F78" t="s">
        <v>44</v>
      </c>
      <c r="G78" t="s">
        <v>292</v>
      </c>
    </row>
    <row r="79" spans="1:7" x14ac:dyDescent="0.25">
      <c r="A79" t="str">
        <f t="shared" si="1"/>
        <v>TC_F_24_CSMS Core</v>
      </c>
      <c r="B79" t="s">
        <v>307</v>
      </c>
      <c r="C79" t="s">
        <v>14</v>
      </c>
      <c r="D79" t="s">
        <v>308</v>
      </c>
      <c r="E79" t="s">
        <v>128</v>
      </c>
      <c r="F79" t="s">
        <v>44</v>
      </c>
      <c r="G79" t="s">
        <v>292</v>
      </c>
    </row>
    <row r="80" spans="1:7" x14ac:dyDescent="0.25">
      <c r="A80" t="str">
        <f t="shared" si="1"/>
        <v>TC_F_27_CSMS Core</v>
      </c>
      <c r="B80" t="s">
        <v>309</v>
      </c>
      <c r="C80" t="s">
        <v>14</v>
      </c>
      <c r="D80" t="s">
        <v>310</v>
      </c>
      <c r="E80" t="s">
        <v>107</v>
      </c>
      <c r="F80" t="s">
        <v>311</v>
      </c>
    </row>
    <row r="81" spans="1:7" x14ac:dyDescent="0.25">
      <c r="A81" t="str">
        <f t="shared" si="1"/>
        <v>TC_G_20_CSMS Core</v>
      </c>
      <c r="B81" t="s">
        <v>321</v>
      </c>
      <c r="C81" t="s">
        <v>14</v>
      </c>
      <c r="D81" t="s">
        <v>632</v>
      </c>
      <c r="E81" t="s">
        <v>107</v>
      </c>
    </row>
    <row r="82" spans="1:7" x14ac:dyDescent="0.25">
      <c r="A82" t="str">
        <f t="shared" si="1"/>
        <v>TC_G_03_CSMS Core</v>
      </c>
      <c r="B82" t="s">
        <v>312</v>
      </c>
      <c r="C82" t="s">
        <v>14</v>
      </c>
      <c r="D82" t="s">
        <v>633</v>
      </c>
      <c r="E82" t="s">
        <v>107</v>
      </c>
    </row>
    <row r="83" spans="1:7" x14ac:dyDescent="0.25">
      <c r="A83" t="str">
        <f t="shared" si="1"/>
        <v>TC_G_04_CSMS Core</v>
      </c>
      <c r="B83" t="s">
        <v>313</v>
      </c>
      <c r="C83" t="s">
        <v>14</v>
      </c>
      <c r="D83" t="s">
        <v>634</v>
      </c>
      <c r="E83" t="s">
        <v>107</v>
      </c>
    </row>
    <row r="84" spans="1:7" x14ac:dyDescent="0.25">
      <c r="A84" t="str">
        <f t="shared" si="1"/>
        <v>TC_G_11_CSMS Core</v>
      </c>
      <c r="B84" t="s">
        <v>318</v>
      </c>
      <c r="C84" t="s">
        <v>14</v>
      </c>
      <c r="D84" t="s">
        <v>635</v>
      </c>
      <c r="E84" t="s">
        <v>107</v>
      </c>
    </row>
    <row r="85" spans="1:7" x14ac:dyDescent="0.25">
      <c r="A85" t="str">
        <f t="shared" si="1"/>
        <v>TC_G_05_CSMS Core</v>
      </c>
      <c r="B85" t="s">
        <v>314</v>
      </c>
      <c r="C85" t="s">
        <v>14</v>
      </c>
      <c r="D85" t="s">
        <v>636</v>
      </c>
      <c r="E85" t="s">
        <v>107</v>
      </c>
    </row>
    <row r="86" spans="1:7" x14ac:dyDescent="0.25">
      <c r="A86" t="str">
        <f t="shared" si="1"/>
        <v>TC_G_06_CSMS Core</v>
      </c>
      <c r="B86" t="s">
        <v>315</v>
      </c>
      <c r="C86" t="s">
        <v>14</v>
      </c>
      <c r="D86" t="s">
        <v>637</v>
      </c>
      <c r="E86" t="s">
        <v>107</v>
      </c>
    </row>
    <row r="87" spans="1:7" x14ac:dyDescent="0.25">
      <c r="A87" t="str">
        <f t="shared" si="1"/>
        <v>TC_G_14_CSMS Core</v>
      </c>
      <c r="B87" t="s">
        <v>319</v>
      </c>
      <c r="C87" t="s">
        <v>14</v>
      </c>
      <c r="D87" t="s">
        <v>638</v>
      </c>
      <c r="E87" t="s">
        <v>107</v>
      </c>
    </row>
    <row r="88" spans="1:7" x14ac:dyDescent="0.25">
      <c r="A88" t="str">
        <f t="shared" si="1"/>
        <v>TC_G_07_CSMS Core</v>
      </c>
      <c r="B88" t="s">
        <v>316</v>
      </c>
      <c r="C88" t="s">
        <v>14</v>
      </c>
      <c r="D88" t="s">
        <v>639</v>
      </c>
      <c r="E88" t="s">
        <v>107</v>
      </c>
    </row>
    <row r="89" spans="1:7" x14ac:dyDescent="0.25">
      <c r="A89" t="str">
        <f t="shared" si="1"/>
        <v>TC_G_08_CSMS Core</v>
      </c>
      <c r="B89" t="s">
        <v>317</v>
      </c>
      <c r="C89" t="s">
        <v>14</v>
      </c>
      <c r="D89" t="s">
        <v>640</v>
      </c>
      <c r="E89" t="s">
        <v>107</v>
      </c>
    </row>
    <row r="90" spans="1:7" x14ac:dyDescent="0.25">
      <c r="A90" t="str">
        <f t="shared" si="1"/>
        <v>TC_G_17_CSMS Core</v>
      </c>
      <c r="B90" t="s">
        <v>320</v>
      </c>
      <c r="C90" t="s">
        <v>14</v>
      </c>
      <c r="D90" t="s">
        <v>641</v>
      </c>
      <c r="E90" t="s">
        <v>107</v>
      </c>
    </row>
    <row r="91" spans="1:7" x14ac:dyDescent="0.25">
      <c r="A91" t="str">
        <f t="shared" si="1"/>
        <v>TC_J_01_CSMS Core</v>
      </c>
      <c r="B91" t="s">
        <v>344</v>
      </c>
      <c r="C91" t="s">
        <v>14</v>
      </c>
      <c r="D91" t="s">
        <v>345</v>
      </c>
      <c r="E91" t="s">
        <v>107</v>
      </c>
      <c r="F91" t="s">
        <v>346</v>
      </c>
      <c r="G91" t="s">
        <v>347</v>
      </c>
    </row>
    <row r="92" spans="1:7" x14ac:dyDescent="0.25">
      <c r="A92" t="str">
        <f t="shared" si="1"/>
        <v>TC_J_02_CSMS Core</v>
      </c>
      <c r="B92" t="s">
        <v>348</v>
      </c>
      <c r="C92" t="s">
        <v>14</v>
      </c>
      <c r="D92" t="s">
        <v>349</v>
      </c>
      <c r="E92" t="s">
        <v>107</v>
      </c>
      <c r="F92" t="s">
        <v>346</v>
      </c>
      <c r="G92" t="s">
        <v>347</v>
      </c>
    </row>
    <row r="93" spans="1:7" x14ac:dyDescent="0.25">
      <c r="A93" t="str">
        <f t="shared" si="1"/>
        <v>TC_J_03_CSMS Core</v>
      </c>
      <c r="B93" t="s">
        <v>350</v>
      </c>
      <c r="C93" t="s">
        <v>14</v>
      </c>
      <c r="D93" t="s">
        <v>351</v>
      </c>
      <c r="E93" t="s">
        <v>107</v>
      </c>
      <c r="F93" t="s">
        <v>346</v>
      </c>
      <c r="G93" t="s">
        <v>347</v>
      </c>
    </row>
    <row r="94" spans="1:7" x14ac:dyDescent="0.25">
      <c r="A94" t="str">
        <f t="shared" si="1"/>
        <v>TC_J_04_CSMS Core</v>
      </c>
      <c r="B94" t="s">
        <v>352</v>
      </c>
      <c r="C94" t="s">
        <v>14</v>
      </c>
      <c r="D94" t="s">
        <v>353</v>
      </c>
      <c r="E94" t="s">
        <v>107</v>
      </c>
      <c r="F94" t="s">
        <v>354</v>
      </c>
      <c r="G94" t="s">
        <v>355</v>
      </c>
    </row>
    <row r="95" spans="1:7" x14ac:dyDescent="0.25">
      <c r="A95" t="str">
        <f t="shared" si="1"/>
        <v>TC_J_07_CSMS Core</v>
      </c>
      <c r="B95" t="s">
        <v>356</v>
      </c>
      <c r="C95" t="s">
        <v>14</v>
      </c>
      <c r="D95" t="s">
        <v>357</v>
      </c>
      <c r="E95" t="s">
        <v>107</v>
      </c>
      <c r="F95" t="s">
        <v>346</v>
      </c>
      <c r="G95" t="s">
        <v>347</v>
      </c>
    </row>
    <row r="96" spans="1:7" x14ac:dyDescent="0.25">
      <c r="A96" t="str">
        <f t="shared" si="1"/>
        <v>TC_J_08_CSMS Core</v>
      </c>
      <c r="B96" t="s">
        <v>358</v>
      </c>
      <c r="C96" t="s">
        <v>14</v>
      </c>
      <c r="D96" t="s">
        <v>617</v>
      </c>
      <c r="E96" t="s">
        <v>107</v>
      </c>
      <c r="F96" t="s">
        <v>618</v>
      </c>
      <c r="G96" t="s">
        <v>359</v>
      </c>
    </row>
    <row r="97" spans="1:7" x14ac:dyDescent="0.25">
      <c r="A97" t="str">
        <f t="shared" si="1"/>
        <v>TC_J_09_CSMS Core</v>
      </c>
      <c r="B97" t="s">
        <v>360</v>
      </c>
      <c r="C97" t="s">
        <v>14</v>
      </c>
      <c r="D97" t="s">
        <v>361</v>
      </c>
      <c r="E97" t="s">
        <v>107</v>
      </c>
      <c r="F97" t="s">
        <v>346</v>
      </c>
      <c r="G97" t="s">
        <v>347</v>
      </c>
    </row>
    <row r="98" spans="1:7" x14ac:dyDescent="0.25">
      <c r="A98" t="str">
        <f t="shared" si="1"/>
        <v>TC_J_10_CSMS Core</v>
      </c>
      <c r="B98" t="s">
        <v>362</v>
      </c>
      <c r="C98" t="s">
        <v>14</v>
      </c>
      <c r="D98" t="s">
        <v>363</v>
      </c>
      <c r="E98" t="s">
        <v>107</v>
      </c>
      <c r="F98" t="s">
        <v>346</v>
      </c>
      <c r="G98" t="s">
        <v>347</v>
      </c>
    </row>
    <row r="99" spans="1:7" x14ac:dyDescent="0.25">
      <c r="A99" t="str">
        <f t="shared" si="1"/>
        <v>TC_J_11_CSMS Core</v>
      </c>
      <c r="B99" t="s">
        <v>364</v>
      </c>
      <c r="C99" t="s">
        <v>14</v>
      </c>
      <c r="D99" t="s">
        <v>365</v>
      </c>
      <c r="E99" t="s">
        <v>107</v>
      </c>
      <c r="F99" t="s">
        <v>366</v>
      </c>
      <c r="G99" t="s">
        <v>355</v>
      </c>
    </row>
    <row r="100" spans="1:7" x14ac:dyDescent="0.25">
      <c r="A100" t="str">
        <f t="shared" si="1"/>
        <v>TC_L_01_CSMS Core</v>
      </c>
      <c r="B100" t="s">
        <v>414</v>
      </c>
      <c r="C100" t="s">
        <v>14</v>
      </c>
      <c r="D100" t="s">
        <v>415</v>
      </c>
      <c r="E100" t="s">
        <v>107</v>
      </c>
    </row>
    <row r="101" spans="1:7" x14ac:dyDescent="0.25">
      <c r="A101" t="str">
        <f t="shared" si="1"/>
        <v>TC_L_02_CSMS Core</v>
      </c>
      <c r="B101" t="s">
        <v>416</v>
      </c>
      <c r="C101" t="s">
        <v>14</v>
      </c>
      <c r="D101" t="s">
        <v>417</v>
      </c>
      <c r="E101" t="s">
        <v>128</v>
      </c>
      <c r="F101" t="s">
        <v>36</v>
      </c>
      <c r="G101" t="s">
        <v>418</v>
      </c>
    </row>
    <row r="102" spans="1:7" x14ac:dyDescent="0.25">
      <c r="A102" t="str">
        <f t="shared" si="1"/>
        <v>TC_L_03_CSMS Core</v>
      </c>
      <c r="B102" t="s">
        <v>419</v>
      </c>
      <c r="C102" t="s">
        <v>14</v>
      </c>
      <c r="D102" t="s">
        <v>420</v>
      </c>
      <c r="E102" t="s">
        <v>128</v>
      </c>
      <c r="F102" t="s">
        <v>36</v>
      </c>
      <c r="G102" t="s">
        <v>418</v>
      </c>
    </row>
    <row r="103" spans="1:7" x14ac:dyDescent="0.25">
      <c r="A103" t="str">
        <f t="shared" si="1"/>
        <v>TC_L_04_CSMS Core</v>
      </c>
      <c r="B103" t="s">
        <v>421</v>
      </c>
      <c r="C103" t="s">
        <v>14</v>
      </c>
      <c r="D103" t="s">
        <v>422</v>
      </c>
      <c r="E103" t="s">
        <v>107</v>
      </c>
    </row>
    <row r="104" spans="1:7" x14ac:dyDescent="0.25">
      <c r="A104" t="str">
        <f t="shared" si="1"/>
        <v>TC_L_05_CSMS Core</v>
      </c>
      <c r="B104" t="s">
        <v>423</v>
      </c>
      <c r="C104" t="s">
        <v>14</v>
      </c>
      <c r="D104" t="s">
        <v>424</v>
      </c>
      <c r="E104" t="s">
        <v>107</v>
      </c>
    </row>
    <row r="105" spans="1:7" x14ac:dyDescent="0.25">
      <c r="A105" t="str">
        <f t="shared" si="1"/>
        <v>TC_L_06_CSMS Core</v>
      </c>
      <c r="B105" t="s">
        <v>425</v>
      </c>
      <c r="C105" t="s">
        <v>14</v>
      </c>
      <c r="D105" t="s">
        <v>426</v>
      </c>
      <c r="E105" t="s">
        <v>107</v>
      </c>
    </row>
    <row r="106" spans="1:7" x14ac:dyDescent="0.25">
      <c r="A106" t="str">
        <f t="shared" si="1"/>
        <v>TC_L_07_CSMS Core</v>
      </c>
      <c r="B106" t="s">
        <v>427</v>
      </c>
      <c r="C106" t="s">
        <v>14</v>
      </c>
      <c r="D106" t="s">
        <v>428</v>
      </c>
      <c r="E106" t="s">
        <v>107</v>
      </c>
    </row>
    <row r="107" spans="1:7" x14ac:dyDescent="0.25">
      <c r="A107" t="str">
        <f t="shared" si="1"/>
        <v>TC_L_08_CSMS Core</v>
      </c>
      <c r="B107" t="s">
        <v>429</v>
      </c>
      <c r="C107" t="s">
        <v>14</v>
      </c>
      <c r="D107" t="s">
        <v>430</v>
      </c>
      <c r="E107" t="s">
        <v>107</v>
      </c>
    </row>
    <row r="108" spans="1:7" x14ac:dyDescent="0.25">
      <c r="A108" t="str">
        <f t="shared" si="1"/>
        <v>TC_L_09_CSMS Core</v>
      </c>
      <c r="B108" t="s">
        <v>642</v>
      </c>
      <c r="C108" t="s">
        <v>14</v>
      </c>
      <c r="D108" t="s">
        <v>643</v>
      </c>
      <c r="E108" t="s">
        <v>107</v>
      </c>
    </row>
    <row r="109" spans="1:7" x14ac:dyDescent="0.25">
      <c r="A109" t="str">
        <f t="shared" si="1"/>
        <v>TC_L_10_CSMS Core</v>
      </c>
      <c r="B109" t="s">
        <v>431</v>
      </c>
      <c r="C109" t="s">
        <v>14</v>
      </c>
      <c r="D109" t="s">
        <v>432</v>
      </c>
      <c r="E109" t="s">
        <v>107</v>
      </c>
      <c r="F109" t="s">
        <v>433</v>
      </c>
    </row>
    <row r="110" spans="1:7" x14ac:dyDescent="0.25">
      <c r="A110" t="str">
        <f t="shared" si="1"/>
        <v>TC_L_11_CSMS Core</v>
      </c>
      <c r="B110" t="s">
        <v>434</v>
      </c>
      <c r="C110" t="s">
        <v>14</v>
      </c>
      <c r="D110" t="s">
        <v>435</v>
      </c>
      <c r="E110" t="s">
        <v>107</v>
      </c>
      <c r="F110" t="s">
        <v>436</v>
      </c>
    </row>
    <row r="111" spans="1:7" x14ac:dyDescent="0.25">
      <c r="A111" t="str">
        <f t="shared" si="1"/>
        <v>TC_L_13_CSMS Core</v>
      </c>
      <c r="B111" t="s">
        <v>437</v>
      </c>
      <c r="C111" t="s">
        <v>14</v>
      </c>
      <c r="D111" t="s">
        <v>644</v>
      </c>
      <c r="E111" t="s">
        <v>107</v>
      </c>
      <c r="F111" t="s">
        <v>645</v>
      </c>
    </row>
    <row r="112" spans="1:7" x14ac:dyDescent="0.25">
      <c r="A112" t="str">
        <f t="shared" si="1"/>
        <v>TC_M_13_CSMS Core</v>
      </c>
      <c r="B112" t="s">
        <v>448</v>
      </c>
      <c r="C112" t="s">
        <v>14</v>
      </c>
      <c r="D112" t="s">
        <v>449</v>
      </c>
      <c r="E112" t="s">
        <v>107</v>
      </c>
    </row>
    <row r="113" spans="1:6" x14ac:dyDescent="0.25">
      <c r="A113" t="str">
        <f t="shared" si="1"/>
        <v>TC_M_18_CSMS Core</v>
      </c>
      <c r="B113" t="s">
        <v>456</v>
      </c>
      <c r="C113" t="s">
        <v>14</v>
      </c>
      <c r="D113" t="s">
        <v>457</v>
      </c>
      <c r="E113" t="s">
        <v>107</v>
      </c>
    </row>
    <row r="114" spans="1:6" x14ac:dyDescent="0.25">
      <c r="A114" t="str">
        <f t="shared" si="1"/>
        <v>TC_M_19_CSMS Core</v>
      </c>
      <c r="B114" t="s">
        <v>458</v>
      </c>
      <c r="C114" t="s">
        <v>14</v>
      </c>
      <c r="D114" t="s">
        <v>459</v>
      </c>
      <c r="E114" t="s">
        <v>107</v>
      </c>
    </row>
    <row r="115" spans="1:6" x14ac:dyDescent="0.25">
      <c r="A115" t="str">
        <f t="shared" si="1"/>
        <v>TC_M_20_CSMS Core</v>
      </c>
      <c r="B115" t="s">
        <v>460</v>
      </c>
      <c r="C115" t="s">
        <v>14</v>
      </c>
      <c r="D115" t="s">
        <v>461</v>
      </c>
      <c r="E115" t="s">
        <v>107</v>
      </c>
    </row>
    <row r="116" spans="1:6" x14ac:dyDescent="0.25">
      <c r="A116" t="str">
        <f t="shared" si="1"/>
        <v>TC_M_21_CSMS Core</v>
      </c>
      <c r="B116" t="s">
        <v>462</v>
      </c>
      <c r="C116" t="s">
        <v>14</v>
      </c>
      <c r="D116" t="s">
        <v>463</v>
      </c>
      <c r="E116" t="s">
        <v>107</v>
      </c>
    </row>
    <row r="117" spans="1:6" x14ac:dyDescent="0.25">
      <c r="A117" t="str">
        <f t="shared" si="1"/>
        <v>TC_M_01_CSMS Core</v>
      </c>
      <c r="B117" t="s">
        <v>438</v>
      </c>
      <c r="C117" t="s">
        <v>14</v>
      </c>
      <c r="D117" t="s">
        <v>439</v>
      </c>
      <c r="E117" t="s">
        <v>107</v>
      </c>
    </row>
    <row r="118" spans="1:6" x14ac:dyDescent="0.25">
      <c r="A118" t="str">
        <f t="shared" si="1"/>
        <v>TC_M_02_CSMS Core</v>
      </c>
      <c r="B118" t="s">
        <v>440</v>
      </c>
      <c r="C118" t="s">
        <v>14</v>
      </c>
      <c r="D118" t="s">
        <v>441</v>
      </c>
      <c r="E118" t="s">
        <v>107</v>
      </c>
    </row>
    <row r="119" spans="1:6" x14ac:dyDescent="0.25">
      <c r="A119" t="str">
        <f t="shared" si="1"/>
        <v>TC_M_05_CSMS Core</v>
      </c>
      <c r="B119" t="s">
        <v>446</v>
      </c>
      <c r="C119" t="s">
        <v>14</v>
      </c>
      <c r="D119" t="s">
        <v>447</v>
      </c>
      <c r="E119" t="s">
        <v>107</v>
      </c>
    </row>
    <row r="120" spans="1:6" x14ac:dyDescent="0.25">
      <c r="A120" t="str">
        <f t="shared" si="1"/>
        <v>TC_N_25_CSMS Core</v>
      </c>
      <c r="B120" t="s">
        <v>480</v>
      </c>
      <c r="C120" t="s">
        <v>14</v>
      </c>
      <c r="D120" t="s">
        <v>481</v>
      </c>
      <c r="E120" t="s">
        <v>107</v>
      </c>
    </row>
    <row r="121" spans="1:6" x14ac:dyDescent="0.25">
      <c r="A121" t="str">
        <f t="shared" si="1"/>
        <v>TC_N_34_CSMS Core</v>
      </c>
      <c r="B121" t="s">
        <v>494</v>
      </c>
      <c r="C121" t="s">
        <v>14</v>
      </c>
      <c r="D121" t="s">
        <v>495</v>
      </c>
      <c r="E121" t="s">
        <v>107</v>
      </c>
    </row>
    <row r="122" spans="1:6" x14ac:dyDescent="0.25">
      <c r="A122" t="str">
        <f t="shared" si="1"/>
        <v>TC_N_35_CSMS Core</v>
      </c>
      <c r="B122" t="s">
        <v>496</v>
      </c>
      <c r="C122" t="s">
        <v>14</v>
      </c>
      <c r="D122" t="s">
        <v>497</v>
      </c>
      <c r="E122" t="s">
        <v>107</v>
      </c>
    </row>
    <row r="123" spans="1:6" x14ac:dyDescent="0.25">
      <c r="A123" t="str">
        <f t="shared" si="1"/>
        <v>TC_N_36_CSMS Core</v>
      </c>
      <c r="B123" t="s">
        <v>498</v>
      </c>
      <c r="C123" t="s">
        <v>14</v>
      </c>
      <c r="D123" t="s">
        <v>499</v>
      </c>
      <c r="E123" t="s">
        <v>107</v>
      </c>
      <c r="F123" t="s">
        <v>500</v>
      </c>
    </row>
    <row r="124" spans="1:6" x14ac:dyDescent="0.25">
      <c r="A124" t="str">
        <f t="shared" si="1"/>
        <v>TC_N_27_CSMS Core</v>
      </c>
      <c r="B124" t="s">
        <v>482</v>
      </c>
      <c r="C124" t="s">
        <v>14</v>
      </c>
      <c r="D124" t="s">
        <v>483</v>
      </c>
      <c r="E124" t="s">
        <v>107</v>
      </c>
      <c r="F124" t="s">
        <v>484</v>
      </c>
    </row>
    <row r="125" spans="1:6" x14ac:dyDescent="0.25">
      <c r="A125" t="str">
        <f t="shared" si="1"/>
        <v>TC_N_28_CSMS Core</v>
      </c>
      <c r="B125" t="s">
        <v>485</v>
      </c>
      <c r="C125" t="s">
        <v>14</v>
      </c>
      <c r="D125" t="s">
        <v>486</v>
      </c>
      <c r="E125" t="s">
        <v>107</v>
      </c>
      <c r="F125" t="s">
        <v>484</v>
      </c>
    </row>
    <row r="126" spans="1:6" x14ac:dyDescent="0.25">
      <c r="A126" t="str">
        <f t="shared" si="1"/>
        <v>TC_N_29_CSMS Core</v>
      </c>
      <c r="B126" t="s">
        <v>487</v>
      </c>
      <c r="C126" t="s">
        <v>14</v>
      </c>
      <c r="D126" t="s">
        <v>646</v>
      </c>
      <c r="E126" t="s">
        <v>107</v>
      </c>
    </row>
    <row r="127" spans="1:6" x14ac:dyDescent="0.25">
      <c r="A127" t="str">
        <f t="shared" si="1"/>
        <v>TC_N_30_CSMS Core</v>
      </c>
      <c r="B127" t="s">
        <v>488</v>
      </c>
      <c r="C127" t="s">
        <v>14</v>
      </c>
      <c r="D127" t="s">
        <v>489</v>
      </c>
      <c r="E127" t="s">
        <v>107</v>
      </c>
      <c r="F127" t="s">
        <v>484</v>
      </c>
    </row>
    <row r="128" spans="1:6" x14ac:dyDescent="0.25">
      <c r="A128" t="str">
        <f t="shared" si="1"/>
        <v>TC_N_31_CSMS Core</v>
      </c>
      <c r="B128" t="s">
        <v>490</v>
      </c>
      <c r="C128" t="s">
        <v>14</v>
      </c>
      <c r="D128" t="s">
        <v>491</v>
      </c>
      <c r="E128" t="s">
        <v>107</v>
      </c>
      <c r="F128" t="s">
        <v>484</v>
      </c>
    </row>
    <row r="129" spans="1:7" x14ac:dyDescent="0.25">
      <c r="A129" t="str">
        <f t="shared" si="1"/>
        <v>TC_N_32_CSMS Core</v>
      </c>
      <c r="B129" t="s">
        <v>492</v>
      </c>
      <c r="C129" t="s">
        <v>14</v>
      </c>
      <c r="D129" t="s">
        <v>493</v>
      </c>
      <c r="E129" t="s">
        <v>107</v>
      </c>
    </row>
    <row r="130" spans="1:7" x14ac:dyDescent="0.25">
      <c r="A130" t="str">
        <f t="shared" si="1"/>
        <v>TC_N_62_CSMS Core</v>
      </c>
      <c r="B130" t="s">
        <v>509</v>
      </c>
      <c r="C130" t="s">
        <v>14</v>
      </c>
      <c r="D130" t="s">
        <v>510</v>
      </c>
      <c r="E130" t="s">
        <v>128</v>
      </c>
      <c r="F130" t="s">
        <v>35</v>
      </c>
    </row>
    <row r="131" spans="1:7" x14ac:dyDescent="0.25">
      <c r="A131" t="str">
        <f t="shared" ref="A131:A194" si="2">B131&amp;" "&amp;C131</f>
        <v>TC_P_02_CSMS Core</v>
      </c>
      <c r="B131" t="s">
        <v>553</v>
      </c>
      <c r="C131" t="s">
        <v>14</v>
      </c>
      <c r="D131" t="s">
        <v>554</v>
      </c>
      <c r="E131" t="s">
        <v>107</v>
      </c>
    </row>
    <row r="132" spans="1:7" x14ac:dyDescent="0.25">
      <c r="A132" t="str">
        <f t="shared" si="2"/>
        <v>TC_P_03_CSMS Core</v>
      </c>
      <c r="B132" t="s">
        <v>555</v>
      </c>
      <c r="C132" t="s">
        <v>14</v>
      </c>
      <c r="D132" t="s">
        <v>647</v>
      </c>
      <c r="E132" t="s">
        <v>107</v>
      </c>
    </row>
    <row r="133" spans="1:7" x14ac:dyDescent="0.25">
      <c r="A133" t="str">
        <f t="shared" si="2"/>
        <v>TC_A_07_CSMS Advanced Security</v>
      </c>
      <c r="B133" t="s">
        <v>116</v>
      </c>
      <c r="C133" t="s">
        <v>17</v>
      </c>
      <c r="D133" t="s">
        <v>648</v>
      </c>
      <c r="E133" t="s">
        <v>107</v>
      </c>
    </row>
    <row r="134" spans="1:7" x14ac:dyDescent="0.25">
      <c r="A134" t="str">
        <f t="shared" si="2"/>
        <v>TC_A_08_CSMS Advanced Security</v>
      </c>
      <c r="B134" t="s">
        <v>117</v>
      </c>
      <c r="C134" t="s">
        <v>17</v>
      </c>
      <c r="D134" t="s">
        <v>649</v>
      </c>
      <c r="E134" t="s">
        <v>107</v>
      </c>
    </row>
    <row r="135" spans="1:7" x14ac:dyDescent="0.25">
      <c r="A135" t="str">
        <f t="shared" si="2"/>
        <v>TC_A_11_CSMS Advanced Security</v>
      </c>
      <c r="B135" t="s">
        <v>122</v>
      </c>
      <c r="C135" t="s">
        <v>17</v>
      </c>
      <c r="D135" t="s">
        <v>123</v>
      </c>
      <c r="E135" t="s">
        <v>107</v>
      </c>
    </row>
    <row r="136" spans="1:7" x14ac:dyDescent="0.25">
      <c r="A136" t="str">
        <f t="shared" si="2"/>
        <v>TC_A_14_CSMS Advanced Security</v>
      </c>
      <c r="B136" t="s">
        <v>130</v>
      </c>
      <c r="C136" t="s">
        <v>17</v>
      </c>
      <c r="D136" t="s">
        <v>131</v>
      </c>
      <c r="E136" t="s">
        <v>107</v>
      </c>
    </row>
    <row r="137" spans="1:7" x14ac:dyDescent="0.25">
      <c r="A137" t="str">
        <f t="shared" si="2"/>
        <v>TC_C_40_CSMS Local Authorization List Management</v>
      </c>
      <c r="B137" t="s">
        <v>181</v>
      </c>
      <c r="C137" t="s">
        <v>19</v>
      </c>
      <c r="D137" t="s">
        <v>182</v>
      </c>
      <c r="E137" t="s">
        <v>107</v>
      </c>
      <c r="F137" t="s">
        <v>180</v>
      </c>
    </row>
    <row r="138" spans="1:7" x14ac:dyDescent="0.25">
      <c r="A138" t="str">
        <f t="shared" si="2"/>
        <v>TC_C_43_CSMS Local Authorization List Management</v>
      </c>
      <c r="B138" t="s">
        <v>183</v>
      </c>
      <c r="C138" t="s">
        <v>19</v>
      </c>
      <c r="D138" t="s">
        <v>184</v>
      </c>
      <c r="E138" t="s">
        <v>107</v>
      </c>
      <c r="F138" t="s">
        <v>180</v>
      </c>
    </row>
    <row r="139" spans="1:7" x14ac:dyDescent="0.25">
      <c r="A139" t="str">
        <f t="shared" si="2"/>
        <v>TC_D_01_CSMS Local Authorization List Management</v>
      </c>
      <c r="B139" t="s">
        <v>198</v>
      </c>
      <c r="C139" t="s">
        <v>19</v>
      </c>
      <c r="D139" t="s">
        <v>199</v>
      </c>
      <c r="E139" t="s">
        <v>107</v>
      </c>
    </row>
    <row r="140" spans="1:7" x14ac:dyDescent="0.25">
      <c r="A140" t="str">
        <f t="shared" si="2"/>
        <v>TC_D_02_CSMS Local Authorization List Management</v>
      </c>
      <c r="B140" t="s">
        <v>200</v>
      </c>
      <c r="C140" t="s">
        <v>19</v>
      </c>
      <c r="D140" t="s">
        <v>201</v>
      </c>
      <c r="E140" t="s">
        <v>107</v>
      </c>
    </row>
    <row r="141" spans="1:7" x14ac:dyDescent="0.25">
      <c r="A141" t="str">
        <f t="shared" si="2"/>
        <v>TC_D_03_CSMS Local Authorization List Management</v>
      </c>
      <c r="B141" t="s">
        <v>202</v>
      </c>
      <c r="C141" t="s">
        <v>19</v>
      </c>
      <c r="D141" t="s">
        <v>203</v>
      </c>
      <c r="E141" t="s">
        <v>107</v>
      </c>
    </row>
    <row r="142" spans="1:7" x14ac:dyDescent="0.25">
      <c r="A142" t="str">
        <f t="shared" si="2"/>
        <v>TC_D_04_CSMS Local Authorization List Management</v>
      </c>
      <c r="B142" t="s">
        <v>204</v>
      </c>
      <c r="C142" t="s">
        <v>19</v>
      </c>
      <c r="D142" t="s">
        <v>205</v>
      </c>
      <c r="E142" t="s">
        <v>107</v>
      </c>
    </row>
    <row r="143" spans="1:7" x14ac:dyDescent="0.25">
      <c r="A143" t="str">
        <f t="shared" si="2"/>
        <v>TC_D_08_CSMS Local Authorization List Management</v>
      </c>
      <c r="B143" t="s">
        <v>206</v>
      </c>
      <c r="C143" t="s">
        <v>19</v>
      </c>
      <c r="D143" t="s">
        <v>207</v>
      </c>
      <c r="E143" t="s">
        <v>128</v>
      </c>
      <c r="F143" t="s">
        <v>72</v>
      </c>
      <c r="G143" t="s">
        <v>208</v>
      </c>
    </row>
    <row r="144" spans="1:7" x14ac:dyDescent="0.25">
      <c r="A144" t="str">
        <f t="shared" si="2"/>
        <v>TC_D_09_CSMS Local Authorization List Management</v>
      </c>
      <c r="B144" t="s">
        <v>743</v>
      </c>
      <c r="C144" t="s">
        <v>19</v>
      </c>
      <c r="D144" t="s">
        <v>744</v>
      </c>
      <c r="E144" t="s">
        <v>107</v>
      </c>
    </row>
    <row r="145" spans="1:7" x14ac:dyDescent="0.25">
      <c r="A145" t="str">
        <f t="shared" si="2"/>
        <v>TC_N_46_CSMS Local Authorization List Management</v>
      </c>
      <c r="B145" t="s">
        <v>503</v>
      </c>
      <c r="C145" t="s">
        <v>19</v>
      </c>
      <c r="D145" t="s">
        <v>753</v>
      </c>
      <c r="E145" t="s">
        <v>107</v>
      </c>
    </row>
    <row r="146" spans="1:7" x14ac:dyDescent="0.25">
      <c r="A146" t="str">
        <f t="shared" si="2"/>
        <v>TC_K_01_CSMS Smart Charging</v>
      </c>
      <c r="B146" t="s">
        <v>367</v>
      </c>
      <c r="C146" t="s">
        <v>22</v>
      </c>
      <c r="D146" t="s">
        <v>754</v>
      </c>
      <c r="E146" t="s">
        <v>107</v>
      </c>
    </row>
    <row r="147" spans="1:7" x14ac:dyDescent="0.25">
      <c r="A147" t="str">
        <f t="shared" si="2"/>
        <v>TC_K_10_CSMS Smart Charging</v>
      </c>
      <c r="B147" t="s">
        <v>376</v>
      </c>
      <c r="C147" t="s">
        <v>22</v>
      </c>
      <c r="D147" t="s">
        <v>755</v>
      </c>
      <c r="E147" t="s">
        <v>128</v>
      </c>
      <c r="F147" t="s">
        <v>66</v>
      </c>
      <c r="G147" t="s">
        <v>377</v>
      </c>
    </row>
    <row r="148" spans="1:7" x14ac:dyDescent="0.25">
      <c r="A148" t="str">
        <f t="shared" si="2"/>
        <v>TC_K_60_CSMS Smart Charging</v>
      </c>
      <c r="B148" t="s">
        <v>412</v>
      </c>
      <c r="C148" t="s">
        <v>22</v>
      </c>
      <c r="D148" t="s">
        <v>756</v>
      </c>
      <c r="E148" t="s">
        <v>107</v>
      </c>
    </row>
    <row r="149" spans="1:7" x14ac:dyDescent="0.25">
      <c r="A149" t="str">
        <f t="shared" si="2"/>
        <v>TC_K_03_CSMS Smart Charging</v>
      </c>
      <c r="B149" t="s">
        <v>368</v>
      </c>
      <c r="C149" t="s">
        <v>22</v>
      </c>
      <c r="D149" t="s">
        <v>757</v>
      </c>
      <c r="E149" t="s">
        <v>107</v>
      </c>
    </row>
    <row r="150" spans="1:7" x14ac:dyDescent="0.25">
      <c r="A150" t="str">
        <f t="shared" si="2"/>
        <v>TC_K_19_CSMS Smart Charging</v>
      </c>
      <c r="B150" t="s">
        <v>379</v>
      </c>
      <c r="C150" t="s">
        <v>22</v>
      </c>
      <c r="D150" t="s">
        <v>758</v>
      </c>
      <c r="E150" t="s">
        <v>107</v>
      </c>
    </row>
    <row r="151" spans="1:7" x14ac:dyDescent="0.25">
      <c r="A151" t="str">
        <f t="shared" si="2"/>
        <v>TC_K_15_CSMS Smart Charging</v>
      </c>
      <c r="B151" t="s">
        <v>378</v>
      </c>
      <c r="C151" t="s">
        <v>22</v>
      </c>
      <c r="D151" t="s">
        <v>759</v>
      </c>
      <c r="E151" t="s">
        <v>107</v>
      </c>
    </row>
    <row r="152" spans="1:7" x14ac:dyDescent="0.25">
      <c r="A152" t="str">
        <f t="shared" si="2"/>
        <v>TC_K_70_CSMS Smart Charging</v>
      </c>
      <c r="B152" t="s">
        <v>413</v>
      </c>
      <c r="C152" t="s">
        <v>22</v>
      </c>
      <c r="D152" t="s">
        <v>760</v>
      </c>
      <c r="E152" t="s">
        <v>107</v>
      </c>
    </row>
    <row r="153" spans="1:7" x14ac:dyDescent="0.25">
      <c r="A153" t="str">
        <f t="shared" si="2"/>
        <v>TC_K_04_CSMS Smart Charging</v>
      </c>
      <c r="B153" t="s">
        <v>369</v>
      </c>
      <c r="C153" t="s">
        <v>22</v>
      </c>
      <c r="D153" t="s">
        <v>370</v>
      </c>
      <c r="E153" t="s">
        <v>107</v>
      </c>
    </row>
    <row r="154" spans="1:7" x14ac:dyDescent="0.25">
      <c r="A154" t="str">
        <f t="shared" si="2"/>
        <v>TC_K_37_CSMS Smart Charging</v>
      </c>
      <c r="B154" t="s">
        <v>396</v>
      </c>
      <c r="C154" t="s">
        <v>22</v>
      </c>
      <c r="D154" t="s">
        <v>397</v>
      </c>
      <c r="E154" t="s">
        <v>107</v>
      </c>
    </row>
    <row r="155" spans="1:7" x14ac:dyDescent="0.25">
      <c r="A155" t="str">
        <f t="shared" si="2"/>
        <v>TC_K_43_CSMS Smart Charging</v>
      </c>
      <c r="B155" t="s">
        <v>398</v>
      </c>
      <c r="C155" t="s">
        <v>22</v>
      </c>
      <c r="D155" t="s">
        <v>399</v>
      </c>
      <c r="E155" t="s">
        <v>107</v>
      </c>
    </row>
    <row r="156" spans="1:7" x14ac:dyDescent="0.25">
      <c r="A156" t="str">
        <f t="shared" si="2"/>
        <v>TC_K_44_CSMS Smart Charging</v>
      </c>
      <c r="B156" t="s">
        <v>400</v>
      </c>
      <c r="C156" t="s">
        <v>22</v>
      </c>
      <c r="D156" t="s">
        <v>401</v>
      </c>
      <c r="E156" t="s">
        <v>107</v>
      </c>
    </row>
    <row r="157" spans="1:7" x14ac:dyDescent="0.25">
      <c r="A157" t="str">
        <f t="shared" si="2"/>
        <v>TC_K_29_CSMS Smart Charging</v>
      </c>
      <c r="B157" t="s">
        <v>380</v>
      </c>
      <c r="C157" t="s">
        <v>22</v>
      </c>
      <c r="D157" t="s">
        <v>381</v>
      </c>
      <c r="E157" t="s">
        <v>107</v>
      </c>
    </row>
    <row r="158" spans="1:7" x14ac:dyDescent="0.25">
      <c r="A158" t="str">
        <f t="shared" si="2"/>
        <v>TC_K_30_CSMS Smart Charging</v>
      </c>
      <c r="B158" t="s">
        <v>382</v>
      </c>
      <c r="C158" t="s">
        <v>22</v>
      </c>
      <c r="D158" t="s">
        <v>383</v>
      </c>
      <c r="E158" t="s">
        <v>107</v>
      </c>
    </row>
    <row r="159" spans="1:7" x14ac:dyDescent="0.25">
      <c r="A159" t="str">
        <f t="shared" si="2"/>
        <v>TC_K_31_CSMS Smart Charging</v>
      </c>
      <c r="B159" t="s">
        <v>384</v>
      </c>
      <c r="C159" t="s">
        <v>22</v>
      </c>
      <c r="D159" t="s">
        <v>385</v>
      </c>
      <c r="E159" t="s">
        <v>107</v>
      </c>
    </row>
    <row r="160" spans="1:7" x14ac:dyDescent="0.25">
      <c r="A160" t="str">
        <f t="shared" si="2"/>
        <v>TC_K_32_CSMS Smart Charging</v>
      </c>
      <c r="B160" t="s">
        <v>386</v>
      </c>
      <c r="C160" t="s">
        <v>22</v>
      </c>
      <c r="D160" t="s">
        <v>387</v>
      </c>
      <c r="E160" t="s">
        <v>107</v>
      </c>
    </row>
    <row r="161" spans="1:6" x14ac:dyDescent="0.25">
      <c r="A161" t="str">
        <f t="shared" si="2"/>
        <v>TC_K_33_CSMS Smart Charging</v>
      </c>
      <c r="B161" t="s">
        <v>388</v>
      </c>
      <c r="C161" t="s">
        <v>22</v>
      </c>
      <c r="D161" t="s">
        <v>389</v>
      </c>
      <c r="E161" t="s">
        <v>107</v>
      </c>
    </row>
    <row r="162" spans="1:6" x14ac:dyDescent="0.25">
      <c r="A162" t="str">
        <f t="shared" si="2"/>
        <v>TC_K_34_CSMS Smart Charging</v>
      </c>
      <c r="B162" t="s">
        <v>390</v>
      </c>
      <c r="C162" t="s">
        <v>22</v>
      </c>
      <c r="D162" t="s">
        <v>391</v>
      </c>
      <c r="E162" t="s">
        <v>107</v>
      </c>
    </row>
    <row r="163" spans="1:6" x14ac:dyDescent="0.25">
      <c r="A163" t="str">
        <f t="shared" si="2"/>
        <v>TC_K_35_CSMS Smart Charging</v>
      </c>
      <c r="B163" t="s">
        <v>392</v>
      </c>
      <c r="C163" t="s">
        <v>22</v>
      </c>
      <c r="D163" t="s">
        <v>393</v>
      </c>
      <c r="E163" t="s">
        <v>107</v>
      </c>
    </row>
    <row r="164" spans="1:6" x14ac:dyDescent="0.25">
      <c r="A164" t="str">
        <f t="shared" si="2"/>
        <v>TC_K_36_CSMS Smart Charging</v>
      </c>
      <c r="B164" t="s">
        <v>394</v>
      </c>
      <c r="C164" t="s">
        <v>22</v>
      </c>
      <c r="D164" t="s">
        <v>395</v>
      </c>
      <c r="E164" t="s">
        <v>107</v>
      </c>
    </row>
    <row r="165" spans="1:6" x14ac:dyDescent="0.25">
      <c r="A165" t="str">
        <f t="shared" si="2"/>
        <v>TC_K_05_CSMS Smart Charging</v>
      </c>
      <c r="B165" t="s">
        <v>371</v>
      </c>
      <c r="C165" t="s">
        <v>22</v>
      </c>
      <c r="D165" t="s">
        <v>372</v>
      </c>
      <c r="E165" t="s">
        <v>107</v>
      </c>
    </row>
    <row r="166" spans="1:6" x14ac:dyDescent="0.25">
      <c r="A166" t="str">
        <f t="shared" si="2"/>
        <v>TC_K_06_CSMS Smart Charging</v>
      </c>
      <c r="B166" t="s">
        <v>373</v>
      </c>
      <c r="C166" t="s">
        <v>22</v>
      </c>
      <c r="D166" t="s">
        <v>761</v>
      </c>
      <c r="E166" t="s">
        <v>107</v>
      </c>
    </row>
    <row r="167" spans="1:6" x14ac:dyDescent="0.25">
      <c r="A167" t="str">
        <f t="shared" si="2"/>
        <v>TC_K_08_CSMS Smart Charging</v>
      </c>
      <c r="B167" t="s">
        <v>374</v>
      </c>
      <c r="C167" t="s">
        <v>22</v>
      </c>
      <c r="D167" t="s">
        <v>375</v>
      </c>
      <c r="E167" t="s">
        <v>107</v>
      </c>
    </row>
    <row r="168" spans="1:6" x14ac:dyDescent="0.25">
      <c r="A168" t="str">
        <f t="shared" si="2"/>
        <v>TC_B_12_CSMS Advanced Device Management</v>
      </c>
      <c r="B168" t="s">
        <v>141</v>
      </c>
      <c r="C168" t="s">
        <v>24</v>
      </c>
      <c r="D168" t="s">
        <v>602</v>
      </c>
      <c r="E168" t="s">
        <v>107</v>
      </c>
      <c r="F168" t="s">
        <v>38</v>
      </c>
    </row>
    <row r="169" spans="1:6" x14ac:dyDescent="0.25">
      <c r="A169" t="str">
        <f t="shared" si="2"/>
        <v>TC_B_14_CSMS Advanced Device Management</v>
      </c>
      <c r="B169" t="s">
        <v>145</v>
      </c>
      <c r="C169" t="s">
        <v>24</v>
      </c>
      <c r="D169" t="s">
        <v>762</v>
      </c>
      <c r="E169" t="s">
        <v>107</v>
      </c>
      <c r="F169" t="s">
        <v>146</v>
      </c>
    </row>
    <row r="170" spans="1:6" x14ac:dyDescent="0.25">
      <c r="A170" t="str">
        <f t="shared" si="2"/>
        <v>TC_B_18_CSMS Advanced Device Management</v>
      </c>
      <c r="B170" t="s">
        <v>147</v>
      </c>
      <c r="C170" t="s">
        <v>24</v>
      </c>
      <c r="D170" t="s">
        <v>763</v>
      </c>
      <c r="E170" t="s">
        <v>107</v>
      </c>
    </row>
    <row r="171" spans="1:6" x14ac:dyDescent="0.25">
      <c r="A171" t="str">
        <f t="shared" si="2"/>
        <v>TC_N_01_CSMS Advanced Device Management</v>
      </c>
      <c r="B171" t="s">
        <v>468</v>
      </c>
      <c r="C171" t="s">
        <v>24</v>
      </c>
      <c r="D171" t="s">
        <v>764</v>
      </c>
      <c r="E171" t="s">
        <v>107</v>
      </c>
    </row>
    <row r="172" spans="1:6" x14ac:dyDescent="0.25">
      <c r="A172" t="str">
        <f t="shared" si="2"/>
        <v>TC_N_02_CSMS Advanced Device Management</v>
      </c>
      <c r="B172" t="s">
        <v>469</v>
      </c>
      <c r="C172" t="s">
        <v>24</v>
      </c>
      <c r="D172" t="s">
        <v>765</v>
      </c>
      <c r="E172" t="s">
        <v>107</v>
      </c>
    </row>
    <row r="173" spans="1:6" x14ac:dyDescent="0.25">
      <c r="A173" t="str">
        <f t="shared" si="2"/>
        <v>TC_N_03_CSMS Advanced Device Management</v>
      </c>
      <c r="B173" t="s">
        <v>470</v>
      </c>
      <c r="C173" t="s">
        <v>24</v>
      </c>
      <c r="D173" t="s">
        <v>766</v>
      </c>
      <c r="E173" t="s">
        <v>107</v>
      </c>
    </row>
    <row r="174" spans="1:6" x14ac:dyDescent="0.25">
      <c r="A174" t="str">
        <f t="shared" si="2"/>
        <v>TC_N_47_CSMS Advanced Device Management</v>
      </c>
      <c r="B174" t="s">
        <v>504</v>
      </c>
      <c r="C174" t="s">
        <v>24</v>
      </c>
      <c r="D174" t="s">
        <v>767</v>
      </c>
      <c r="E174" t="s">
        <v>107</v>
      </c>
    </row>
    <row r="175" spans="1:6" x14ac:dyDescent="0.25">
      <c r="A175" t="str">
        <f t="shared" si="2"/>
        <v>TC_N_60_CSMS Advanced Device Management</v>
      </c>
      <c r="B175" t="s">
        <v>508</v>
      </c>
      <c r="C175" t="s">
        <v>24</v>
      </c>
      <c r="D175" t="s">
        <v>768</v>
      </c>
      <c r="E175" t="s">
        <v>107</v>
      </c>
    </row>
    <row r="176" spans="1:6" x14ac:dyDescent="0.25">
      <c r="A176" t="str">
        <f t="shared" si="2"/>
        <v>TC_N_05_CSMS Advanced Device Management</v>
      </c>
      <c r="B176" t="s">
        <v>471</v>
      </c>
      <c r="C176" t="s">
        <v>24</v>
      </c>
      <c r="D176" t="s">
        <v>769</v>
      </c>
      <c r="E176" t="s">
        <v>107</v>
      </c>
    </row>
    <row r="177" spans="1:7" x14ac:dyDescent="0.25">
      <c r="A177" t="str">
        <f t="shared" si="2"/>
        <v>TC_N_08_CSMS Advanced Device Management</v>
      </c>
      <c r="B177" t="s">
        <v>472</v>
      </c>
      <c r="C177" t="s">
        <v>24</v>
      </c>
      <c r="D177" t="s">
        <v>473</v>
      </c>
      <c r="E177" t="s">
        <v>107</v>
      </c>
    </row>
    <row r="178" spans="1:7" x14ac:dyDescent="0.25">
      <c r="A178" t="str">
        <f t="shared" si="2"/>
        <v>TC_N_24_CSMS Advanced Device Management</v>
      </c>
      <c r="B178" t="s">
        <v>479</v>
      </c>
      <c r="C178" t="s">
        <v>24</v>
      </c>
      <c r="D178" t="s">
        <v>770</v>
      </c>
      <c r="E178" t="s">
        <v>107</v>
      </c>
    </row>
    <row r="179" spans="1:7" x14ac:dyDescent="0.25">
      <c r="A179" t="str">
        <f t="shared" si="2"/>
        <v>TC_N_16_CSMS Advanced Device Management</v>
      </c>
      <c r="B179" t="s">
        <v>474</v>
      </c>
      <c r="C179" t="s">
        <v>24</v>
      </c>
      <c r="D179" t="s">
        <v>475</v>
      </c>
      <c r="E179" t="s">
        <v>107</v>
      </c>
    </row>
    <row r="180" spans="1:7" x14ac:dyDescent="0.25">
      <c r="A180" t="str">
        <f t="shared" si="2"/>
        <v>TC_N_17_CSMS Advanced Device Management</v>
      </c>
      <c r="B180" t="s">
        <v>476</v>
      </c>
      <c r="C180" t="s">
        <v>24</v>
      </c>
      <c r="D180" t="s">
        <v>477</v>
      </c>
      <c r="E180" t="s">
        <v>107</v>
      </c>
    </row>
    <row r="181" spans="1:7" x14ac:dyDescent="0.25">
      <c r="A181" t="str">
        <f t="shared" si="2"/>
        <v>TC_N_18_CSMS Advanced Device Management</v>
      </c>
      <c r="B181" t="s">
        <v>478</v>
      </c>
      <c r="C181" t="s">
        <v>24</v>
      </c>
      <c r="D181" t="s">
        <v>771</v>
      </c>
      <c r="E181" t="s">
        <v>107</v>
      </c>
    </row>
    <row r="182" spans="1:7" x14ac:dyDescent="0.25">
      <c r="A182" t="str">
        <f t="shared" si="2"/>
        <v>TC_N_44_CSMS Advanced Device Management</v>
      </c>
      <c r="B182" t="s">
        <v>501</v>
      </c>
      <c r="C182" t="s">
        <v>24</v>
      </c>
      <c r="D182" t="s">
        <v>772</v>
      </c>
      <c r="E182" t="s">
        <v>107</v>
      </c>
      <c r="F182" t="s">
        <v>502</v>
      </c>
    </row>
    <row r="183" spans="1:7" x14ac:dyDescent="0.25">
      <c r="A183" t="str">
        <f t="shared" si="2"/>
        <v>TC_N_21_CSMS Advanced Device Management</v>
      </c>
      <c r="B183" t="s">
        <v>773</v>
      </c>
      <c r="C183" t="s">
        <v>24</v>
      </c>
      <c r="D183" t="s">
        <v>774</v>
      </c>
      <c r="E183" t="s">
        <v>107</v>
      </c>
      <c r="F183" t="s">
        <v>502</v>
      </c>
    </row>
    <row r="184" spans="1:7" x14ac:dyDescent="0.25">
      <c r="A184" t="str">
        <f t="shared" si="2"/>
        <v>TC_N_49_CSMS Advanced Device Management</v>
      </c>
      <c r="B184" t="s">
        <v>505</v>
      </c>
      <c r="C184" t="s">
        <v>24</v>
      </c>
      <c r="D184" t="s">
        <v>506</v>
      </c>
      <c r="E184" t="s">
        <v>107</v>
      </c>
    </row>
    <row r="185" spans="1:7" x14ac:dyDescent="0.25">
      <c r="A185" t="str">
        <f t="shared" si="2"/>
        <v>TC_N_50_CSMS Advanced Device Management</v>
      </c>
      <c r="B185" t="s">
        <v>507</v>
      </c>
      <c r="C185" t="s">
        <v>24</v>
      </c>
      <c r="D185" t="s">
        <v>775</v>
      </c>
      <c r="E185" t="s">
        <v>107</v>
      </c>
    </row>
    <row r="186" spans="1:7" x14ac:dyDescent="0.25">
      <c r="A186" t="str">
        <f t="shared" si="2"/>
        <v>TC_H_01_CSMS Reservation</v>
      </c>
      <c r="B186" t="s">
        <v>322</v>
      </c>
      <c r="C186" t="s">
        <v>26</v>
      </c>
      <c r="D186" t="s">
        <v>776</v>
      </c>
      <c r="E186" t="s">
        <v>107</v>
      </c>
    </row>
    <row r="187" spans="1:7" x14ac:dyDescent="0.25">
      <c r="A187" t="str">
        <f t="shared" si="2"/>
        <v>TC_H_07_CSMS Reservation</v>
      </c>
      <c r="B187" t="s">
        <v>323</v>
      </c>
      <c r="C187" t="s">
        <v>26</v>
      </c>
      <c r="D187" t="s">
        <v>324</v>
      </c>
      <c r="E187" t="s">
        <v>107</v>
      </c>
    </row>
    <row r="188" spans="1:7" x14ac:dyDescent="0.25">
      <c r="A188" t="str">
        <f t="shared" si="2"/>
        <v>TC_H_22_CSMS Reservation</v>
      </c>
      <c r="B188" t="s">
        <v>337</v>
      </c>
      <c r="C188" t="s">
        <v>26</v>
      </c>
      <c r="D188" t="s">
        <v>338</v>
      </c>
      <c r="E188" t="s">
        <v>107</v>
      </c>
      <c r="F188" t="s">
        <v>339</v>
      </c>
    </row>
    <row r="189" spans="1:7" x14ac:dyDescent="0.25">
      <c r="A189" t="str">
        <f t="shared" si="2"/>
        <v>TC_H_19_CSMS Reservation</v>
      </c>
      <c r="B189" t="s">
        <v>334</v>
      </c>
      <c r="C189" t="s">
        <v>26</v>
      </c>
      <c r="D189" t="s">
        <v>745</v>
      </c>
      <c r="E189" t="s">
        <v>107</v>
      </c>
    </row>
    <row r="190" spans="1:7" x14ac:dyDescent="0.25">
      <c r="A190" t="str">
        <f t="shared" si="2"/>
        <v>TC_H_08_CSMS Reservation</v>
      </c>
      <c r="B190" t="s">
        <v>325</v>
      </c>
      <c r="C190" t="s">
        <v>26</v>
      </c>
      <c r="D190" t="s">
        <v>326</v>
      </c>
      <c r="E190" t="s">
        <v>128</v>
      </c>
      <c r="F190" t="s">
        <v>69</v>
      </c>
      <c r="G190" t="s">
        <v>327</v>
      </c>
    </row>
    <row r="191" spans="1:7" x14ac:dyDescent="0.25">
      <c r="A191" t="str">
        <f t="shared" si="2"/>
        <v>TC_H_14_CSMS Reservation</v>
      </c>
      <c r="B191" t="s">
        <v>328</v>
      </c>
      <c r="C191" t="s">
        <v>26</v>
      </c>
      <c r="D191" t="s">
        <v>329</v>
      </c>
      <c r="E191" t="s">
        <v>128</v>
      </c>
      <c r="F191" t="s">
        <v>69</v>
      </c>
      <c r="G191" t="s">
        <v>327</v>
      </c>
    </row>
    <row r="192" spans="1:7" x14ac:dyDescent="0.25">
      <c r="A192" t="str">
        <f t="shared" si="2"/>
        <v>TC_H_15_CSMS Reservation</v>
      </c>
      <c r="B192" t="s">
        <v>330</v>
      </c>
      <c r="C192" t="s">
        <v>26</v>
      </c>
      <c r="D192" t="s">
        <v>331</v>
      </c>
      <c r="E192" t="s">
        <v>128</v>
      </c>
      <c r="F192" t="s">
        <v>68</v>
      </c>
      <c r="G192" t="s">
        <v>752</v>
      </c>
    </row>
    <row r="193" spans="1:7" x14ac:dyDescent="0.25">
      <c r="A193" t="str">
        <f t="shared" si="2"/>
        <v>TC_H_17_CSMS Reservation</v>
      </c>
      <c r="B193" t="s">
        <v>332</v>
      </c>
      <c r="C193" t="s">
        <v>26</v>
      </c>
      <c r="D193" t="s">
        <v>333</v>
      </c>
      <c r="E193" t="s">
        <v>107</v>
      </c>
    </row>
    <row r="194" spans="1:7" x14ac:dyDescent="0.25">
      <c r="A194" t="str">
        <f t="shared" si="2"/>
        <v>TC_H_20_CSMS Reservation</v>
      </c>
      <c r="B194" t="s">
        <v>335</v>
      </c>
      <c r="C194" t="s">
        <v>26</v>
      </c>
      <c r="D194" t="s">
        <v>336</v>
      </c>
      <c r="E194" t="s">
        <v>107</v>
      </c>
    </row>
    <row r="195" spans="1:7" x14ac:dyDescent="0.25">
      <c r="A195" t="str">
        <f t="shared" ref="A195:A253" si="3">B195&amp;" "&amp;C195</f>
        <v>TC_I_01_CSMS Advanced User Interface</v>
      </c>
      <c r="B195" t="s">
        <v>340</v>
      </c>
      <c r="C195" t="s">
        <v>28</v>
      </c>
      <c r="D195" t="s">
        <v>341</v>
      </c>
      <c r="E195" t="s">
        <v>107</v>
      </c>
    </row>
    <row r="196" spans="1:7" x14ac:dyDescent="0.25">
      <c r="A196" t="str">
        <f t="shared" si="3"/>
        <v>TC_I_02_CSMS Advanced User Interface</v>
      </c>
      <c r="B196" t="s">
        <v>342</v>
      </c>
      <c r="C196" t="s">
        <v>28</v>
      </c>
      <c r="D196" t="s">
        <v>343</v>
      </c>
      <c r="E196" t="s">
        <v>107</v>
      </c>
    </row>
    <row r="197" spans="1:7" x14ac:dyDescent="0.25">
      <c r="A197" t="str">
        <f t="shared" si="3"/>
        <v>TC_O_01_CSMS Advanced User Interface</v>
      </c>
      <c r="B197" t="s">
        <v>513</v>
      </c>
      <c r="C197" t="s">
        <v>28</v>
      </c>
      <c r="D197" t="s">
        <v>514</v>
      </c>
      <c r="E197" t="s">
        <v>107</v>
      </c>
      <c r="F197" t="s">
        <v>515</v>
      </c>
      <c r="G197" t="s">
        <v>516</v>
      </c>
    </row>
    <row r="198" spans="1:7" x14ac:dyDescent="0.25">
      <c r="A198" t="str">
        <f t="shared" si="3"/>
        <v>TC_O_26_CSMS Advanced User Interface</v>
      </c>
      <c r="B198" t="s">
        <v>547</v>
      </c>
      <c r="C198" t="s">
        <v>28</v>
      </c>
      <c r="D198" t="s">
        <v>548</v>
      </c>
      <c r="E198" t="s">
        <v>107</v>
      </c>
    </row>
    <row r="199" spans="1:7" x14ac:dyDescent="0.25">
      <c r="A199" t="str">
        <f t="shared" si="3"/>
        <v>TC_O_13_CSMS Advanced User Interface</v>
      </c>
      <c r="B199" t="s">
        <v>535</v>
      </c>
      <c r="C199" t="s">
        <v>28</v>
      </c>
      <c r="D199" t="s">
        <v>536</v>
      </c>
      <c r="E199" t="s">
        <v>107</v>
      </c>
    </row>
    <row r="200" spans="1:7" x14ac:dyDescent="0.25">
      <c r="A200" t="str">
        <f t="shared" si="3"/>
        <v>TC_O_14_CSMS Advanced User Interface</v>
      </c>
      <c r="B200" t="s">
        <v>537</v>
      </c>
      <c r="C200" t="s">
        <v>28</v>
      </c>
      <c r="D200" t="s">
        <v>538</v>
      </c>
      <c r="E200" t="s">
        <v>107</v>
      </c>
    </row>
    <row r="201" spans="1:7" x14ac:dyDescent="0.25">
      <c r="A201" t="str">
        <f t="shared" si="3"/>
        <v>TC_O_17_CSMS Advanced User Interface</v>
      </c>
      <c r="B201" t="s">
        <v>539</v>
      </c>
      <c r="C201" t="s">
        <v>28</v>
      </c>
      <c r="D201" t="s">
        <v>540</v>
      </c>
      <c r="E201" t="s">
        <v>107</v>
      </c>
      <c r="F201" t="s">
        <v>541</v>
      </c>
    </row>
    <row r="202" spans="1:7" x14ac:dyDescent="0.25">
      <c r="A202" t="str">
        <f t="shared" si="3"/>
        <v>TC_O_18_CSMS Advanced User Interface</v>
      </c>
      <c r="B202" t="s">
        <v>542</v>
      </c>
      <c r="C202" t="s">
        <v>28</v>
      </c>
      <c r="D202" t="s">
        <v>543</v>
      </c>
      <c r="E202" t="s">
        <v>107</v>
      </c>
    </row>
    <row r="203" spans="1:7" x14ac:dyDescent="0.25">
      <c r="A203" t="str">
        <f t="shared" si="3"/>
        <v>TC_O_19_CSMS Advanced User Interface</v>
      </c>
      <c r="B203" t="s">
        <v>544</v>
      </c>
      <c r="C203" t="s">
        <v>28</v>
      </c>
      <c r="D203" t="s">
        <v>545</v>
      </c>
      <c r="E203" t="s">
        <v>107</v>
      </c>
      <c r="F203" t="s">
        <v>546</v>
      </c>
    </row>
    <row r="204" spans="1:7" x14ac:dyDescent="0.25">
      <c r="A204" t="str">
        <f t="shared" si="3"/>
        <v>TC_O_12_CSMS Advanced User Interface</v>
      </c>
      <c r="B204" t="s">
        <v>534</v>
      </c>
      <c r="C204" t="s">
        <v>28</v>
      </c>
      <c r="D204" t="s">
        <v>777</v>
      </c>
      <c r="E204" t="s">
        <v>107</v>
      </c>
    </row>
    <row r="205" spans="1:7" x14ac:dyDescent="0.25">
      <c r="A205" t="str">
        <f t="shared" si="3"/>
        <v>TC_O_06_CSMS Advanced User Interface</v>
      </c>
      <c r="B205" t="s">
        <v>523</v>
      </c>
      <c r="C205" t="s">
        <v>28</v>
      </c>
      <c r="D205" t="s">
        <v>524</v>
      </c>
      <c r="E205" t="s">
        <v>107</v>
      </c>
    </row>
    <row r="206" spans="1:7" x14ac:dyDescent="0.25">
      <c r="A206" t="str">
        <f t="shared" si="3"/>
        <v>TC_O_10_CSMS Advanced User Interface</v>
      </c>
      <c r="B206" t="s">
        <v>533</v>
      </c>
      <c r="C206" t="s">
        <v>28</v>
      </c>
      <c r="D206" t="s">
        <v>778</v>
      </c>
      <c r="E206" t="s">
        <v>107</v>
      </c>
    </row>
    <row r="207" spans="1:7" x14ac:dyDescent="0.25">
      <c r="A207" t="str">
        <f t="shared" si="3"/>
        <v>TC_O_27_CSMS Advanced User Interface</v>
      </c>
      <c r="B207" t="s">
        <v>549</v>
      </c>
      <c r="C207" t="s">
        <v>28</v>
      </c>
      <c r="D207" t="s">
        <v>550</v>
      </c>
      <c r="E207" t="s">
        <v>107</v>
      </c>
    </row>
    <row r="208" spans="1:7" x14ac:dyDescent="0.25">
      <c r="A208" t="str">
        <f t="shared" si="3"/>
        <v>TC_O_28_CSMS Advanced User Interface</v>
      </c>
      <c r="B208" t="s">
        <v>551</v>
      </c>
      <c r="C208" t="s">
        <v>28</v>
      </c>
      <c r="D208" t="s">
        <v>552</v>
      </c>
      <c r="E208" t="s">
        <v>107</v>
      </c>
    </row>
    <row r="209" spans="1:7" x14ac:dyDescent="0.25">
      <c r="A209" t="str">
        <f t="shared" si="3"/>
        <v>TC_O_02_CSMS Advanced User Interface</v>
      </c>
      <c r="B209" t="s">
        <v>517</v>
      </c>
      <c r="C209" t="s">
        <v>28</v>
      </c>
      <c r="D209" t="s">
        <v>518</v>
      </c>
      <c r="E209" t="s">
        <v>107</v>
      </c>
    </row>
    <row r="210" spans="1:7" x14ac:dyDescent="0.25">
      <c r="A210" t="str">
        <f t="shared" si="3"/>
        <v>TC_O_03_CSMS Advanced User Interface</v>
      </c>
      <c r="B210" t="s">
        <v>519</v>
      </c>
      <c r="C210" t="s">
        <v>28</v>
      </c>
      <c r="D210" t="s">
        <v>520</v>
      </c>
      <c r="E210" t="s">
        <v>107</v>
      </c>
    </row>
    <row r="211" spans="1:7" x14ac:dyDescent="0.25">
      <c r="A211" t="str">
        <f t="shared" si="3"/>
        <v>TC_O_07_CSMS Advanced User Interface</v>
      </c>
      <c r="B211" t="s">
        <v>525</v>
      </c>
      <c r="C211" t="s">
        <v>28</v>
      </c>
      <c r="D211" t="s">
        <v>526</v>
      </c>
      <c r="E211" t="s">
        <v>107</v>
      </c>
    </row>
    <row r="212" spans="1:7" x14ac:dyDescent="0.25">
      <c r="A212" t="str">
        <f t="shared" si="3"/>
        <v>TC_O_08_CSMS Advanced User Interface</v>
      </c>
      <c r="B212" t="s">
        <v>527</v>
      </c>
      <c r="C212" t="s">
        <v>28</v>
      </c>
      <c r="D212" t="s">
        <v>528</v>
      </c>
      <c r="E212" t="s">
        <v>107</v>
      </c>
      <c r="F212" t="s">
        <v>529</v>
      </c>
      <c r="G212" t="s">
        <v>530</v>
      </c>
    </row>
    <row r="213" spans="1:7" x14ac:dyDescent="0.25">
      <c r="A213" t="str">
        <f t="shared" si="3"/>
        <v>TC_O_09_CSMS Advanced User Interface</v>
      </c>
      <c r="B213" t="s">
        <v>531</v>
      </c>
      <c r="C213" t="s">
        <v>28</v>
      </c>
      <c r="D213" t="s">
        <v>532</v>
      </c>
      <c r="E213" t="s">
        <v>107</v>
      </c>
    </row>
    <row r="214" spans="1:7" x14ac:dyDescent="0.25">
      <c r="A214" t="str">
        <f t="shared" si="3"/>
        <v>TC_O_04_CSMS Advanced User Interface</v>
      </c>
      <c r="B214" t="s">
        <v>521</v>
      </c>
      <c r="C214" t="s">
        <v>28</v>
      </c>
      <c r="D214" t="s">
        <v>779</v>
      </c>
      <c r="E214" t="s">
        <v>107</v>
      </c>
    </row>
    <row r="215" spans="1:7" x14ac:dyDescent="0.25">
      <c r="A215" t="str">
        <f t="shared" si="3"/>
        <v>TC_O_05_CSMS Advanced User Interface</v>
      </c>
      <c r="B215" t="s">
        <v>522</v>
      </c>
      <c r="C215" t="s">
        <v>28</v>
      </c>
      <c r="D215" t="s">
        <v>780</v>
      </c>
      <c r="E215" t="s">
        <v>107</v>
      </c>
    </row>
    <row r="216" spans="1:7" x14ac:dyDescent="0.25">
      <c r="A216" t="str">
        <f t="shared" si="3"/>
        <v>TC_A_12_CSMS ISO 15118 Support</v>
      </c>
      <c r="B216" t="s">
        <v>124</v>
      </c>
      <c r="C216" t="s">
        <v>30</v>
      </c>
      <c r="D216" t="s">
        <v>125</v>
      </c>
      <c r="E216" t="s">
        <v>107</v>
      </c>
    </row>
    <row r="217" spans="1:7" x14ac:dyDescent="0.25">
      <c r="A217" t="str">
        <f t="shared" si="3"/>
        <v>TC_A_13_CSMS ISO 15118 Support</v>
      </c>
      <c r="B217" t="s">
        <v>126</v>
      </c>
      <c r="C217" t="s">
        <v>30</v>
      </c>
      <c r="D217" t="s">
        <v>127</v>
      </c>
      <c r="E217" t="s">
        <v>128</v>
      </c>
      <c r="F217" t="s">
        <v>70</v>
      </c>
      <c r="G217" t="s">
        <v>129</v>
      </c>
    </row>
    <row r="218" spans="1:7" x14ac:dyDescent="0.25">
      <c r="A218" t="str">
        <f t="shared" si="3"/>
        <v>TC_C_50_CSMS ISO 15118 Support</v>
      </c>
      <c r="B218" t="s">
        <v>194</v>
      </c>
      <c r="C218" t="s">
        <v>30</v>
      </c>
      <c r="D218" t="s">
        <v>195</v>
      </c>
      <c r="E218" t="s">
        <v>107</v>
      </c>
    </row>
    <row r="219" spans="1:7" x14ac:dyDescent="0.25">
      <c r="A219" t="str">
        <f t="shared" si="3"/>
        <v>TC_C_51_CSMS ISO 15118 Support</v>
      </c>
      <c r="B219" t="s">
        <v>750</v>
      </c>
      <c r="C219" t="s">
        <v>30</v>
      </c>
      <c r="D219" t="s">
        <v>751</v>
      </c>
      <c r="E219" t="s">
        <v>107</v>
      </c>
    </row>
    <row r="220" spans="1:7" x14ac:dyDescent="0.25">
      <c r="A220" t="str">
        <f t="shared" si="3"/>
        <v>TC_C_52_CSMS ISO 15118 Support</v>
      </c>
      <c r="B220" t="s">
        <v>196</v>
      </c>
      <c r="C220" t="s">
        <v>30</v>
      </c>
      <c r="D220" t="s">
        <v>197</v>
      </c>
      <c r="E220" t="s">
        <v>107</v>
      </c>
      <c r="F220" t="s">
        <v>742</v>
      </c>
    </row>
    <row r="221" spans="1:7" x14ac:dyDescent="0.25">
      <c r="A221" t="str">
        <f t="shared" si="3"/>
        <v>TC_K_01_CSMS ISO 15118 Support</v>
      </c>
      <c r="B221" t="s">
        <v>367</v>
      </c>
      <c r="C221" t="s">
        <v>30</v>
      </c>
      <c r="D221" t="s">
        <v>754</v>
      </c>
      <c r="E221" t="s">
        <v>107</v>
      </c>
    </row>
    <row r="222" spans="1:7" x14ac:dyDescent="0.25">
      <c r="A222" t="str">
        <f t="shared" si="3"/>
        <v>TC_K_10_CSMS ISO 15118 Support</v>
      </c>
      <c r="B222" t="s">
        <v>376</v>
      </c>
      <c r="C222" t="s">
        <v>30</v>
      </c>
      <c r="D222" t="s">
        <v>755</v>
      </c>
      <c r="E222" t="s">
        <v>107</v>
      </c>
    </row>
    <row r="223" spans="1:7" x14ac:dyDescent="0.25">
      <c r="A223" t="str">
        <f t="shared" si="3"/>
        <v>TC_K_60_CSMS ISO 15118 Support</v>
      </c>
      <c r="B223" t="s">
        <v>412</v>
      </c>
      <c r="C223" t="s">
        <v>30</v>
      </c>
      <c r="D223" t="s">
        <v>756</v>
      </c>
      <c r="E223" t="s">
        <v>107</v>
      </c>
    </row>
    <row r="224" spans="1:7" x14ac:dyDescent="0.25">
      <c r="A224" t="str">
        <f t="shared" si="3"/>
        <v>TC_K_03_CSMS ISO 15118 Support</v>
      </c>
      <c r="B224" t="s">
        <v>368</v>
      </c>
      <c r="C224" t="s">
        <v>30</v>
      </c>
      <c r="D224" t="s">
        <v>757</v>
      </c>
      <c r="E224" t="s">
        <v>107</v>
      </c>
    </row>
    <row r="225" spans="1:5" x14ac:dyDescent="0.25">
      <c r="A225" t="str">
        <f t="shared" si="3"/>
        <v>TC_K_19_CSMS ISO 15118 Support</v>
      </c>
      <c r="B225" t="s">
        <v>379</v>
      </c>
      <c r="C225" t="s">
        <v>30</v>
      </c>
      <c r="D225" t="s">
        <v>758</v>
      </c>
      <c r="E225" t="s">
        <v>107</v>
      </c>
    </row>
    <row r="226" spans="1:5" x14ac:dyDescent="0.25">
      <c r="A226" t="str">
        <f t="shared" si="3"/>
        <v>TC_K_04_CSMS ISO 15118 Support</v>
      </c>
      <c r="B226" t="s">
        <v>369</v>
      </c>
      <c r="C226" t="s">
        <v>30</v>
      </c>
      <c r="D226" t="s">
        <v>370</v>
      </c>
      <c r="E226" t="s">
        <v>107</v>
      </c>
    </row>
    <row r="227" spans="1:5" x14ac:dyDescent="0.25">
      <c r="A227" t="str">
        <f t="shared" si="3"/>
        <v>TC_K_43_CSMS ISO 15118 Support</v>
      </c>
      <c r="B227" t="s">
        <v>398</v>
      </c>
      <c r="C227" t="s">
        <v>30</v>
      </c>
      <c r="D227" t="s">
        <v>399</v>
      </c>
      <c r="E227" t="s">
        <v>107</v>
      </c>
    </row>
    <row r="228" spans="1:5" x14ac:dyDescent="0.25">
      <c r="A228" t="str">
        <f t="shared" si="3"/>
        <v>TC_K_44_CSMS ISO 15118 Support</v>
      </c>
      <c r="B228" t="s">
        <v>400</v>
      </c>
      <c r="C228" t="s">
        <v>30</v>
      </c>
      <c r="D228" t="s">
        <v>401</v>
      </c>
      <c r="E228" t="s">
        <v>107</v>
      </c>
    </row>
    <row r="229" spans="1:5" x14ac:dyDescent="0.25">
      <c r="A229" t="str">
        <f t="shared" si="3"/>
        <v>TC_K_29_CSMS ISO 15118 Support</v>
      </c>
      <c r="B229" t="s">
        <v>380</v>
      </c>
      <c r="C229" t="s">
        <v>30</v>
      </c>
      <c r="D229" t="s">
        <v>381</v>
      </c>
      <c r="E229" t="s">
        <v>107</v>
      </c>
    </row>
    <row r="230" spans="1:5" x14ac:dyDescent="0.25">
      <c r="A230" t="str">
        <f t="shared" si="3"/>
        <v>TC_K_30_CSMS ISO 15118 Support</v>
      </c>
      <c r="B230" t="s">
        <v>382</v>
      </c>
      <c r="C230" t="s">
        <v>30</v>
      </c>
      <c r="D230" t="s">
        <v>383</v>
      </c>
      <c r="E230" t="s">
        <v>107</v>
      </c>
    </row>
    <row r="231" spans="1:5" x14ac:dyDescent="0.25">
      <c r="A231" t="str">
        <f t="shared" si="3"/>
        <v>TC_K_31_CSMS ISO 15118 Support</v>
      </c>
      <c r="B231" t="s">
        <v>384</v>
      </c>
      <c r="C231" t="s">
        <v>30</v>
      </c>
      <c r="D231" t="s">
        <v>385</v>
      </c>
      <c r="E231" t="s">
        <v>107</v>
      </c>
    </row>
    <row r="232" spans="1:5" x14ac:dyDescent="0.25">
      <c r="A232" t="str">
        <f t="shared" si="3"/>
        <v>TC_K_32_CSMS ISO 15118 Support</v>
      </c>
      <c r="B232" t="s">
        <v>386</v>
      </c>
      <c r="C232" t="s">
        <v>30</v>
      </c>
      <c r="D232" t="s">
        <v>387</v>
      </c>
      <c r="E232" t="s">
        <v>107</v>
      </c>
    </row>
    <row r="233" spans="1:5" x14ac:dyDescent="0.25">
      <c r="A233" t="str">
        <f t="shared" si="3"/>
        <v>TC_K_33_CSMS ISO 15118 Support</v>
      </c>
      <c r="B233" t="s">
        <v>388</v>
      </c>
      <c r="C233" t="s">
        <v>30</v>
      </c>
      <c r="D233" t="s">
        <v>389</v>
      </c>
      <c r="E233" t="s">
        <v>107</v>
      </c>
    </row>
    <row r="234" spans="1:5" x14ac:dyDescent="0.25">
      <c r="A234" t="str">
        <f t="shared" si="3"/>
        <v>TC_K_34_CSMS ISO 15118 Support</v>
      </c>
      <c r="B234" t="s">
        <v>390</v>
      </c>
      <c r="C234" t="s">
        <v>30</v>
      </c>
      <c r="D234" t="s">
        <v>391</v>
      </c>
      <c r="E234" t="s">
        <v>107</v>
      </c>
    </row>
    <row r="235" spans="1:5" x14ac:dyDescent="0.25">
      <c r="A235" t="str">
        <f t="shared" si="3"/>
        <v>TC_K_35_CSMS ISO 15118 Support</v>
      </c>
      <c r="B235" t="s">
        <v>392</v>
      </c>
      <c r="C235" t="s">
        <v>30</v>
      </c>
      <c r="D235" t="s">
        <v>393</v>
      </c>
      <c r="E235" t="s">
        <v>107</v>
      </c>
    </row>
    <row r="236" spans="1:5" x14ac:dyDescent="0.25">
      <c r="A236" t="str">
        <f t="shared" si="3"/>
        <v>TC_K_36_CSMS ISO 15118 Support</v>
      </c>
      <c r="B236" t="s">
        <v>394</v>
      </c>
      <c r="C236" t="s">
        <v>30</v>
      </c>
      <c r="D236" t="s">
        <v>395</v>
      </c>
      <c r="E236" t="s">
        <v>107</v>
      </c>
    </row>
    <row r="237" spans="1:5" x14ac:dyDescent="0.25">
      <c r="A237" t="str">
        <f t="shared" si="3"/>
        <v>TC_K_05_CSMS ISO 15118 Support</v>
      </c>
      <c r="B237" t="s">
        <v>371</v>
      </c>
      <c r="C237" t="s">
        <v>30</v>
      </c>
      <c r="D237" t="s">
        <v>372</v>
      </c>
      <c r="E237" t="s">
        <v>107</v>
      </c>
    </row>
    <row r="238" spans="1:5" x14ac:dyDescent="0.25">
      <c r="A238" t="str">
        <f t="shared" si="3"/>
        <v>TC_K_06_CSMS ISO 15118 Support</v>
      </c>
      <c r="B238" t="s">
        <v>373</v>
      </c>
      <c r="C238" t="s">
        <v>30</v>
      </c>
      <c r="D238" t="s">
        <v>761</v>
      </c>
      <c r="E238" t="s">
        <v>107</v>
      </c>
    </row>
    <row r="239" spans="1:5" x14ac:dyDescent="0.25">
      <c r="A239" t="str">
        <f t="shared" si="3"/>
        <v>TC_K_08_CSMS ISO 15118 Support</v>
      </c>
      <c r="B239" t="s">
        <v>374</v>
      </c>
      <c r="C239" t="s">
        <v>30</v>
      </c>
      <c r="D239" t="s">
        <v>375</v>
      </c>
      <c r="E239" t="s">
        <v>107</v>
      </c>
    </row>
    <row r="240" spans="1:5" x14ac:dyDescent="0.25">
      <c r="A240" t="str">
        <f t="shared" si="3"/>
        <v>TC_K_53_CSMS ISO 15118 Support</v>
      </c>
      <c r="B240" t="s">
        <v>402</v>
      </c>
      <c r="C240" t="s">
        <v>30</v>
      </c>
      <c r="D240" t="s">
        <v>403</v>
      </c>
      <c r="E240" t="s">
        <v>107</v>
      </c>
    </row>
    <row r="241" spans="1:6" x14ac:dyDescent="0.25">
      <c r="A241" t="str">
        <f t="shared" si="3"/>
        <v>TC_K_55_CSMS ISO 15118 Support</v>
      </c>
      <c r="B241" t="s">
        <v>404</v>
      </c>
      <c r="C241" t="s">
        <v>30</v>
      </c>
      <c r="D241" t="s">
        <v>405</v>
      </c>
      <c r="E241" t="s">
        <v>107</v>
      </c>
    </row>
    <row r="242" spans="1:6" x14ac:dyDescent="0.25">
      <c r="A242" t="str">
        <f t="shared" si="3"/>
        <v>TC_K_57_CSMS ISO 15118 Support</v>
      </c>
      <c r="B242" t="s">
        <v>406</v>
      </c>
      <c r="C242" t="s">
        <v>30</v>
      </c>
      <c r="D242" t="s">
        <v>407</v>
      </c>
      <c r="E242" t="s">
        <v>107</v>
      </c>
    </row>
    <row r="243" spans="1:6" x14ac:dyDescent="0.25">
      <c r="A243" t="str">
        <f t="shared" si="3"/>
        <v>TC_K_58_CSMS ISO 15118 Support</v>
      </c>
      <c r="B243" t="s">
        <v>408</v>
      </c>
      <c r="C243" t="s">
        <v>30</v>
      </c>
      <c r="D243" t="s">
        <v>409</v>
      </c>
      <c r="E243" t="s">
        <v>107</v>
      </c>
    </row>
    <row r="244" spans="1:6" x14ac:dyDescent="0.25">
      <c r="A244" t="str">
        <f t="shared" si="3"/>
        <v>TC_K_59_CSMS ISO 15118 Support</v>
      </c>
      <c r="B244" t="s">
        <v>410</v>
      </c>
      <c r="C244" t="s">
        <v>30</v>
      </c>
      <c r="D244" t="s">
        <v>411</v>
      </c>
      <c r="E244" t="s">
        <v>107</v>
      </c>
    </row>
    <row r="245" spans="1:6" x14ac:dyDescent="0.25">
      <c r="A245" t="str">
        <f t="shared" si="3"/>
        <v>TC_M_26_CSMS ISO 15118 Support</v>
      </c>
      <c r="B245" t="s">
        <v>466</v>
      </c>
      <c r="C245" t="s">
        <v>30</v>
      </c>
      <c r="D245" t="s">
        <v>781</v>
      </c>
      <c r="E245" t="s">
        <v>107</v>
      </c>
    </row>
    <row r="246" spans="1:6" x14ac:dyDescent="0.25">
      <c r="A246" t="str">
        <f t="shared" si="3"/>
        <v>TC_M_28_CSMS ISO 15118 Support</v>
      </c>
      <c r="B246" t="s">
        <v>467</v>
      </c>
      <c r="C246" t="s">
        <v>30</v>
      </c>
      <c r="D246" t="s">
        <v>782</v>
      </c>
      <c r="E246" t="s">
        <v>107</v>
      </c>
    </row>
    <row r="247" spans="1:6" x14ac:dyDescent="0.25">
      <c r="A247" t="str">
        <f t="shared" si="3"/>
        <v>TC_M_14_CSMS ISO 15118 Support</v>
      </c>
      <c r="B247" t="s">
        <v>450</v>
      </c>
      <c r="C247" t="s">
        <v>30</v>
      </c>
      <c r="D247" t="s">
        <v>451</v>
      </c>
      <c r="E247" t="s">
        <v>107</v>
      </c>
    </row>
    <row r="248" spans="1:6" x14ac:dyDescent="0.25">
      <c r="A248" t="str">
        <f t="shared" si="3"/>
        <v>TC_M_15_CSMS ISO 15118 Support</v>
      </c>
      <c r="B248" t="s">
        <v>452</v>
      </c>
      <c r="C248" t="s">
        <v>30</v>
      </c>
      <c r="D248" t="s">
        <v>453</v>
      </c>
      <c r="E248" t="s">
        <v>107</v>
      </c>
    </row>
    <row r="249" spans="1:6" x14ac:dyDescent="0.25">
      <c r="A249" t="str">
        <f t="shared" si="3"/>
        <v>TC_M_16_CSMS ISO 15118 Support</v>
      </c>
      <c r="B249" t="s">
        <v>454</v>
      </c>
      <c r="C249" t="s">
        <v>30</v>
      </c>
      <c r="D249" t="s">
        <v>455</v>
      </c>
      <c r="E249" t="s">
        <v>107</v>
      </c>
    </row>
    <row r="250" spans="1:6" x14ac:dyDescent="0.25">
      <c r="A250" t="str">
        <f t="shared" si="3"/>
        <v>TC_M_03_CSMS ISO 15118 Support</v>
      </c>
      <c r="B250" t="s">
        <v>442</v>
      </c>
      <c r="C250" t="s">
        <v>30</v>
      </c>
      <c r="D250" t="s">
        <v>443</v>
      </c>
      <c r="E250" t="s">
        <v>107</v>
      </c>
    </row>
    <row r="251" spans="1:6" x14ac:dyDescent="0.25">
      <c r="A251" t="str">
        <f t="shared" si="3"/>
        <v>TC_M_04_CSMS ISO 15118 Support</v>
      </c>
      <c r="B251" t="s">
        <v>444</v>
      </c>
      <c r="C251" t="s">
        <v>30</v>
      </c>
      <c r="D251" t="s">
        <v>445</v>
      </c>
      <c r="E251" t="s">
        <v>107</v>
      </c>
    </row>
    <row r="252" spans="1:6" x14ac:dyDescent="0.25">
      <c r="A252" t="str">
        <f t="shared" si="3"/>
        <v>TC_M_24_CSMS ISO 15118 Support</v>
      </c>
      <c r="B252" t="s">
        <v>464</v>
      </c>
      <c r="C252" t="s">
        <v>30</v>
      </c>
      <c r="D252" t="s">
        <v>465</v>
      </c>
      <c r="E252" t="s">
        <v>107</v>
      </c>
    </row>
    <row r="253" spans="1:6" x14ac:dyDescent="0.25">
      <c r="A253" t="str">
        <f t="shared" si="3"/>
        <v>TC_N_63_CSMS ISO 15118 Support</v>
      </c>
      <c r="B253" t="s">
        <v>511</v>
      </c>
      <c r="C253" t="s">
        <v>30</v>
      </c>
      <c r="D253" t="s">
        <v>512</v>
      </c>
      <c r="E253" t="s">
        <v>128</v>
      </c>
      <c r="F253" t="s">
        <v>71</v>
      </c>
    </row>
  </sheetData>
  <sortState xmlns:xlrd2="http://schemas.microsoft.com/office/spreadsheetml/2017/richdata2" ref="A2:G254">
    <sortCondition ref="A1"/>
  </sortState>
  <pageMargins left="0.7" right="0.7" top="0.75" bottom="0.75" header="0.3" footer="0.3"/>
  <headerFooter>
    <oddFooter>&amp;C_x000D_&amp;1#&amp;"Arial"&amp;9&amp;K000000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822C4-74F5-4755-89B7-6DA151B01520}">
  <dimension ref="A1:D3"/>
  <sheetViews>
    <sheetView workbookViewId="0">
      <selection activeCell="B3" sqref="B3"/>
    </sheetView>
  </sheetViews>
  <sheetFormatPr defaultColWidth="8.875" defaultRowHeight="15.75" x14ac:dyDescent="0.25"/>
  <cols>
    <col min="1" max="1" width="38.375" bestFit="1" customWidth="1"/>
    <col min="2" max="2" width="22.625" style="48" bestFit="1" customWidth="1"/>
    <col min="3" max="3" width="22.125" bestFit="1" customWidth="1"/>
  </cols>
  <sheetData>
    <row r="1" spans="1:4" x14ac:dyDescent="0.25">
      <c r="A1" s="1" t="s">
        <v>590</v>
      </c>
      <c r="B1" s="47" t="s">
        <v>591</v>
      </c>
      <c r="C1" s="1" t="s">
        <v>592</v>
      </c>
      <c r="D1" s="1" t="s">
        <v>593</v>
      </c>
    </row>
    <row r="2" spans="1:4" x14ac:dyDescent="0.25">
      <c r="A2" t="s">
        <v>156</v>
      </c>
      <c r="B2" s="48" t="b">
        <f>OR(VLOOKUP("C-44",'Optional features'!B:D,3,FALSE)="Yes",VLOOKUP("AQ-6",'Additional questions'!B:D,3,FALSE)="No")</f>
        <v>1</v>
      </c>
      <c r="C2" t="b">
        <v>0</v>
      </c>
      <c r="D2" t="b">
        <f>NOT(ISERROR(VLOOKUP(A2,'CSMS Testcases'!E:E,1,FALSE)=A2))</f>
        <v>1</v>
      </c>
    </row>
    <row r="3" spans="1:4" x14ac:dyDescent="0.25">
      <c r="A3" t="s">
        <v>289</v>
      </c>
      <c r="B3" s="48" t="b">
        <f>VLOOKUP("C-11",'Optional features'!B:D,3,FALSE)="Yes"</f>
        <v>0</v>
      </c>
      <c r="C3" t="b">
        <v>1</v>
      </c>
      <c r="D3" t="b">
        <f>NOT(ISERROR(VLOOKUP(A3,'CSMS Testcases'!E:E,1,FALSE)=A3))</f>
        <v>1</v>
      </c>
    </row>
  </sheetData>
  <pageMargins left="0.7" right="0.7" top="0.75" bottom="0.75" header="0.3" footer="0.3"/>
  <headerFooter>
    <oddFooter>&amp;C_x000D_&amp;1#&amp;"Arial"&amp;9&amp;K000000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B075D-55B8-416F-88F0-B0EA5EA85CCD}">
  <dimension ref="A1:A3"/>
  <sheetViews>
    <sheetView workbookViewId="0">
      <selection activeCell="A2" sqref="A2"/>
    </sheetView>
  </sheetViews>
  <sheetFormatPr defaultColWidth="8.875" defaultRowHeight="15.75" x14ac:dyDescent="0.25"/>
  <sheetData>
    <row r="1" spans="1:1" x14ac:dyDescent="0.25">
      <c r="A1" t="s">
        <v>93</v>
      </c>
    </row>
    <row r="2" spans="1:1" x14ac:dyDescent="0.25">
      <c r="A2" t="s">
        <v>95</v>
      </c>
    </row>
    <row r="3" spans="1:1" x14ac:dyDescent="0.25">
      <c r="A3" t="s">
        <v>94</v>
      </c>
    </row>
  </sheetData>
  <pageMargins left="0.7" right="0.7" top="0.75" bottom="0.75" header="0.3" footer="0.3"/>
  <headerFooter>
    <oddFooter>&amp;C_x000D_&amp;1#&amp;"Arial"&amp;9&amp;K000000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03401-0A36-4C2C-8DED-8B9D6FFEC5B8}">
  <dimension ref="B1:D5"/>
  <sheetViews>
    <sheetView showGridLines="0" zoomScaleNormal="100" workbookViewId="0">
      <selection activeCell="C2" sqref="C2"/>
    </sheetView>
  </sheetViews>
  <sheetFormatPr defaultColWidth="8.875" defaultRowHeight="15.75" x14ac:dyDescent="0.25"/>
  <cols>
    <col min="1" max="1" width="15.375" customWidth="1"/>
    <col min="2" max="2" width="26.125" customWidth="1"/>
    <col min="3" max="3" width="57.375" customWidth="1"/>
  </cols>
  <sheetData>
    <row r="1" spans="2:4" ht="68.25" customHeight="1" x14ac:dyDescent="0.25">
      <c r="B1" s="182" t="s">
        <v>8</v>
      </c>
      <c r="C1" s="182"/>
    </row>
    <row r="2" spans="2:4" ht="16.5" thickBot="1" x14ac:dyDescent="0.3">
      <c r="B2" s="2" t="s">
        <v>706</v>
      </c>
      <c r="C2" s="117" t="s">
        <v>9</v>
      </c>
      <c r="D2" s="146" t="str">
        <f>IF(ISBLANK(C2),"&lt;---- This field cannot be left empty!","")</f>
        <v/>
      </c>
    </row>
    <row r="3" spans="2:4" ht="16.5" thickBot="1" x14ac:dyDescent="0.3">
      <c r="B3" s="95" t="s">
        <v>660</v>
      </c>
      <c r="C3" s="116" t="s">
        <v>664</v>
      </c>
      <c r="D3" s="146" t="str">
        <f>IF(ISBLANK(C3),"&lt;---- This field cannot be left empty!","")</f>
        <v/>
      </c>
    </row>
    <row r="4" spans="2:4" ht="16.5" thickBot="1" x14ac:dyDescent="0.3">
      <c r="B4" s="102" t="s">
        <v>682</v>
      </c>
      <c r="C4" s="103" t="s">
        <v>661</v>
      </c>
      <c r="D4" s="146" t="str">
        <f>IF(ISBLANK(C4),"&lt;---- This field cannot be left empty!","")</f>
        <v/>
      </c>
    </row>
    <row r="5" spans="2:4" x14ac:dyDescent="0.25">
      <c r="B5" s="99" t="s">
        <v>684</v>
      </c>
      <c r="C5" s="100" t="s">
        <v>683</v>
      </c>
      <c r="D5" s="146" t="str">
        <f>IF(ISBLANK(C5),"&lt;---- This field cannot be left empty!","")</f>
        <v/>
      </c>
    </row>
  </sheetData>
  <sheetProtection algorithmName="SHA-512" hashValue="pmusgjQ/nEeVlVX/bqAcPwWQzZZYUw4lrkBIZ7o35+c0iWj7FJkngyqyXBKVOeJ/k2fSELfCxwqnNJGfTy2KNw==" saltValue="b4U4ZLnVJBuALQuMUfq7PQ==" spinCount="100000" sheet="1" objects="1" scenarios="1"/>
  <mergeCells count="1">
    <mergeCell ref="B1:C1"/>
  </mergeCells>
  <pageMargins left="0.7" right="0.7" top="0.75" bottom="0.75" header="0.3" footer="0.3"/>
  <pageSetup paperSize="9" orientation="portrait" r:id="rId1"/>
  <headerFooter>
    <oddFooter>&amp;C_x000D_&amp;1#&amp;"Arial"&amp;9&amp;K000000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BEB45-01A7-4270-B404-29A3A2618C3F}">
  <dimension ref="B1:E11"/>
  <sheetViews>
    <sheetView showGridLines="0" workbookViewId="0">
      <selection activeCell="C5" sqref="C5"/>
    </sheetView>
  </sheetViews>
  <sheetFormatPr defaultColWidth="8.875" defaultRowHeight="15.75" x14ac:dyDescent="0.25"/>
  <cols>
    <col min="2" max="2" width="33.125" customWidth="1"/>
    <col min="3" max="3" width="17.625" customWidth="1"/>
    <col min="4" max="4" width="69.125" customWidth="1"/>
  </cols>
  <sheetData>
    <row r="1" spans="2:5" ht="30.75" customHeight="1" x14ac:dyDescent="0.35">
      <c r="B1" s="183" t="s">
        <v>10</v>
      </c>
      <c r="C1" s="183"/>
      <c r="D1" s="183"/>
    </row>
    <row r="2" spans="2:5" ht="38.25" customHeight="1" thickBot="1" x14ac:dyDescent="0.3"/>
    <row r="3" spans="2:5" ht="16.5" thickBot="1" x14ac:dyDescent="0.3">
      <c r="B3" s="3" t="s">
        <v>11</v>
      </c>
      <c r="C3" s="4" t="s">
        <v>12</v>
      </c>
      <c r="D3" s="5" t="s">
        <v>13</v>
      </c>
    </row>
    <row r="4" spans="2:5" ht="41.25" customHeight="1" thickBot="1" x14ac:dyDescent="0.3">
      <c r="B4" s="6" t="s">
        <v>14</v>
      </c>
      <c r="C4" s="69" t="s">
        <v>15</v>
      </c>
      <c r="D4" s="6" t="s">
        <v>16</v>
      </c>
      <c r="E4" s="146" t="str">
        <f t="shared" ref="E4:E11" si="0">IF(ISBLANK(C4),"&lt;---- This field cannot be left empty!","")</f>
        <v/>
      </c>
    </row>
    <row r="5" spans="2:5" ht="41.25" customHeight="1" thickBot="1" x14ac:dyDescent="0.3">
      <c r="B5" s="7" t="s">
        <v>17</v>
      </c>
      <c r="C5" s="36" t="s">
        <v>15</v>
      </c>
      <c r="D5" s="7" t="s">
        <v>18</v>
      </c>
      <c r="E5" s="146" t="str">
        <f t="shared" si="0"/>
        <v/>
      </c>
    </row>
    <row r="6" spans="2:5" ht="41.25" customHeight="1" thickBot="1" x14ac:dyDescent="0.3">
      <c r="B6" s="171" t="s">
        <v>19</v>
      </c>
      <c r="C6" s="174" t="s">
        <v>20</v>
      </c>
      <c r="D6" s="171" t="s">
        <v>21</v>
      </c>
      <c r="E6" s="146" t="str">
        <f t="shared" si="0"/>
        <v/>
      </c>
    </row>
    <row r="7" spans="2:5" ht="41.25" customHeight="1" x14ac:dyDescent="0.25">
      <c r="B7" s="172" t="s">
        <v>22</v>
      </c>
      <c r="C7" s="175" t="s">
        <v>20</v>
      </c>
      <c r="D7" s="172" t="s">
        <v>23</v>
      </c>
      <c r="E7" s="146" t="str">
        <f t="shared" si="0"/>
        <v/>
      </c>
    </row>
    <row r="8" spans="2:5" ht="41.25" customHeight="1" thickBot="1" x14ac:dyDescent="0.3">
      <c r="B8" s="171" t="s">
        <v>24</v>
      </c>
      <c r="C8" s="174" t="s">
        <v>20</v>
      </c>
      <c r="D8" s="171" t="s">
        <v>25</v>
      </c>
      <c r="E8" s="146" t="str">
        <f t="shared" si="0"/>
        <v/>
      </c>
    </row>
    <row r="9" spans="2:5" ht="41.25" customHeight="1" thickBot="1" x14ac:dyDescent="0.3">
      <c r="B9" s="172" t="s">
        <v>26</v>
      </c>
      <c r="C9" s="175" t="s">
        <v>20</v>
      </c>
      <c r="D9" s="172" t="s">
        <v>27</v>
      </c>
      <c r="E9" s="146" t="str">
        <f t="shared" si="0"/>
        <v/>
      </c>
    </row>
    <row r="10" spans="2:5" ht="41.25" customHeight="1" thickBot="1" x14ac:dyDescent="0.3">
      <c r="B10" s="171" t="s">
        <v>28</v>
      </c>
      <c r="C10" s="174" t="s">
        <v>20</v>
      </c>
      <c r="D10" s="171" t="s">
        <v>29</v>
      </c>
      <c r="E10" s="146" t="str">
        <f t="shared" si="0"/>
        <v/>
      </c>
    </row>
    <row r="11" spans="2:5" ht="41.25" customHeight="1" thickBot="1" x14ac:dyDescent="0.3">
      <c r="B11" s="173" t="s">
        <v>30</v>
      </c>
      <c r="C11" s="176" t="s">
        <v>20</v>
      </c>
      <c r="D11" s="173" t="s">
        <v>31</v>
      </c>
      <c r="E11" s="146" t="str">
        <f t="shared" si="0"/>
        <v/>
      </c>
    </row>
  </sheetData>
  <sheetProtection algorithmName="SHA-512" hashValue="Mmr/L8UhlAQtEl3kdy7jqQTtICi11txbm57/eohPArYzzMTeSIfLigZ8MM3YaQUHtS9Ovj/ZuyXfA7xp0HpFeg==" saltValue="RgC2vVJZMI0t8oWsaYvkuA==" spinCount="100000" sheet="1" objects="1" scenarios="1"/>
  <mergeCells count="1">
    <mergeCell ref="B1:D1"/>
  </mergeCells>
  <dataValidations count="1">
    <dataValidation type="list" allowBlank="1" showInputMessage="1" showErrorMessage="1" sqref="C5:C11" xr:uid="{B8EDAEF6-CBAD-4D32-9769-9B8D0A03ECCA}">
      <formula1>"Yes,No"</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10E9-0AA2-41E0-ADF9-898F6CF87B92}">
  <dimension ref="B1:F61"/>
  <sheetViews>
    <sheetView showGridLines="0" zoomScaleNormal="100" workbookViewId="0">
      <selection activeCell="D3" sqref="D3"/>
    </sheetView>
  </sheetViews>
  <sheetFormatPr defaultColWidth="18.125" defaultRowHeight="15.75" x14ac:dyDescent="0.25"/>
  <cols>
    <col min="1" max="1" width="16.125" customWidth="1"/>
    <col min="2" max="2" width="16.875" bestFit="1" customWidth="1"/>
    <col min="3" max="3" width="87.375" bestFit="1" customWidth="1"/>
    <col min="4" max="4" width="28.375" customWidth="1"/>
    <col min="5" max="5" width="32.625" bestFit="1" customWidth="1"/>
  </cols>
  <sheetData>
    <row r="1" spans="2:6" ht="49.5" customHeight="1" x14ac:dyDescent="0.25">
      <c r="B1" s="184" t="s">
        <v>32</v>
      </c>
      <c r="C1" s="184"/>
      <c r="D1" s="184"/>
      <c r="E1" s="145" t="s">
        <v>712</v>
      </c>
      <c r="F1" s="145" t="str">
        <f>IF(_xlfn.CONCAT(E3:E15,F18:F29,E31:E60)="","VALID","INVALID")</f>
        <v>VALID</v>
      </c>
    </row>
    <row r="2" spans="2:6" x14ac:dyDescent="0.25">
      <c r="B2" s="149" t="s">
        <v>662</v>
      </c>
      <c r="C2" s="150" t="s">
        <v>731</v>
      </c>
      <c r="D2" s="151" t="s">
        <v>707</v>
      </c>
    </row>
    <row r="3" spans="2:6" ht="15.95" customHeight="1" x14ac:dyDescent="0.25">
      <c r="B3" s="20" t="s">
        <v>33</v>
      </c>
      <c r="C3" s="53" t="str">
        <f>VLOOKUP(B3,'HIDDEN features'!A:D,3,FALSE)</f>
        <v>Support for unlocking connector for charging station with detachable cable (UnlockConnector message).</v>
      </c>
      <c r="D3" s="70" t="s">
        <v>20</v>
      </c>
      <c r="E3" s="146" t="str">
        <f t="shared" ref="E3:E15" si="0">IF(AND(NOT(ISBLANK(B3)),ISBLANK(D3)),"&lt;---- This field cannot be left empty!","")</f>
        <v/>
      </c>
    </row>
    <row r="4" spans="2:6" x14ac:dyDescent="0.25">
      <c r="B4" s="19" t="s">
        <v>34</v>
      </c>
      <c r="C4" s="8" t="str">
        <f>VLOOKUP(B4,'HIDDEN features'!A:D,3,FALSE)</f>
        <v>Support for Reset per EVSE</v>
      </c>
      <c r="D4" s="71" t="s">
        <v>20</v>
      </c>
      <c r="E4" s="146" t="str">
        <f t="shared" si="0"/>
        <v/>
      </c>
    </row>
    <row r="5" spans="2:6" x14ac:dyDescent="0.25">
      <c r="B5" s="20" t="s">
        <v>35</v>
      </c>
      <c r="C5" s="53" t="str">
        <f>VLOOKUP(B5,'HIDDEN features'!A:D,3,FALSE)</f>
        <v>Support for retrieving / deleting CustomerInformation - CustomerIdentifier</v>
      </c>
      <c r="D5" s="70" t="s">
        <v>20</v>
      </c>
      <c r="E5" s="146" t="str">
        <f t="shared" si="0"/>
        <v/>
      </c>
    </row>
    <row r="6" spans="2:6" x14ac:dyDescent="0.25">
      <c r="B6" s="19" t="s">
        <v>36</v>
      </c>
      <c r="C6" s="8" t="str">
        <f>VLOOKUP(B6,'HIDDEN features'!A:D,3,FALSE)</f>
        <v>Support for scheduled firmware updates</v>
      </c>
      <c r="D6" s="71" t="s">
        <v>20</v>
      </c>
      <c r="E6" s="146" t="str">
        <f t="shared" si="0"/>
        <v/>
      </c>
    </row>
    <row r="7" spans="2:6" x14ac:dyDescent="0.25">
      <c r="B7" s="20" t="s">
        <v>37</v>
      </c>
      <c r="C7" s="53" t="str">
        <f>VLOOKUP(B7,'HIDDEN features'!A:D,3,FALSE)</f>
        <v>Support for checking the TransactionStatus</v>
      </c>
      <c r="D7" s="70" t="s">
        <v>20</v>
      </c>
      <c r="E7" s="146" t="str">
        <f t="shared" si="0"/>
        <v/>
      </c>
    </row>
    <row r="8" spans="2:6" x14ac:dyDescent="0.25">
      <c r="B8" s="19" t="s">
        <v>38</v>
      </c>
      <c r="C8" s="8" t="str">
        <f>VLOOKUP(B8,'HIDDEN features'!A:D,3,FALSE)</f>
        <v>Support for retrieving the ConfigurationInventory</v>
      </c>
      <c r="D8" s="71" t="s">
        <v>20</v>
      </c>
      <c r="E8" s="146" t="str">
        <f t="shared" si="0"/>
        <v/>
      </c>
    </row>
    <row r="9" spans="2:6" x14ac:dyDescent="0.25">
      <c r="B9" s="24" t="s">
        <v>39</v>
      </c>
      <c r="C9" s="54" t="str">
        <f>VLOOKUP(B9,'HIDDEN features'!A:D,3,FALSE)</f>
        <v>TriggerMessage</v>
      </c>
      <c r="D9" s="118" t="str">
        <f>VLOOKUP(B9,'HIDDEN features'!A:D,4,FALSE)</f>
        <v>Select all supported suboptions</v>
      </c>
      <c r="E9" s="146" t="str">
        <f t="shared" si="0"/>
        <v/>
      </c>
    </row>
    <row r="10" spans="2:6" x14ac:dyDescent="0.25">
      <c r="B10" s="25" t="s">
        <v>40</v>
      </c>
      <c r="C10" s="55" t="str">
        <f>VLOOKUP(B10,'HIDDEN features'!A:D,3,FALSE)</f>
        <v>Trigger message - MeterValues</v>
      </c>
      <c r="D10" s="71" t="s">
        <v>20</v>
      </c>
      <c r="E10" s="146" t="str">
        <f t="shared" si="0"/>
        <v/>
      </c>
    </row>
    <row r="11" spans="2:6" x14ac:dyDescent="0.25">
      <c r="B11" s="26" t="s">
        <v>41</v>
      </c>
      <c r="C11" s="56" t="str">
        <f>VLOOKUP(B11,'HIDDEN features'!A:D,3,FALSE)</f>
        <v>Trigger message - TransactionEvent</v>
      </c>
      <c r="D11" s="70" t="s">
        <v>20</v>
      </c>
      <c r="E11" s="146" t="str">
        <f t="shared" si="0"/>
        <v/>
      </c>
    </row>
    <row r="12" spans="2:6" x14ac:dyDescent="0.25">
      <c r="B12" s="25" t="s">
        <v>42</v>
      </c>
      <c r="C12" s="55" t="str">
        <f>VLOOKUP(B12,'HIDDEN features'!A:D,3,FALSE)</f>
        <v>Trigger message - LogStatusNotification</v>
      </c>
      <c r="D12" s="71" t="s">
        <v>20</v>
      </c>
      <c r="E12" s="146" t="str">
        <f t="shared" si="0"/>
        <v/>
      </c>
    </row>
    <row r="13" spans="2:6" x14ac:dyDescent="0.25">
      <c r="B13" s="26" t="s">
        <v>43</v>
      </c>
      <c r="C13" s="56" t="str">
        <f>VLOOKUP(B13,'HIDDEN features'!A:D,3,FALSE)</f>
        <v>Trigger message - FirmwareStatusNotification</v>
      </c>
      <c r="D13" s="70" t="s">
        <v>20</v>
      </c>
      <c r="E13" s="146" t="str">
        <f t="shared" si="0"/>
        <v/>
      </c>
    </row>
    <row r="14" spans="2:6" x14ac:dyDescent="0.25">
      <c r="B14" s="25" t="s">
        <v>44</v>
      </c>
      <c r="C14" s="55" t="str">
        <f>VLOOKUP(B14,'HIDDEN features'!A:D,3,FALSE)</f>
        <v>Trigger message - StatusNotification</v>
      </c>
      <c r="D14" s="71" t="s">
        <v>20</v>
      </c>
      <c r="E14" s="146" t="str">
        <f t="shared" si="0"/>
        <v/>
      </c>
    </row>
    <row r="15" spans="2:6" x14ac:dyDescent="0.25">
      <c r="B15" s="119"/>
      <c r="C15" s="120"/>
      <c r="D15" s="121"/>
      <c r="E15" s="146" t="str">
        <f t="shared" si="0"/>
        <v/>
      </c>
    </row>
    <row r="16" spans="2:6" x14ac:dyDescent="0.25">
      <c r="B16" s="11"/>
    </row>
    <row r="17" spans="2:6" ht="30" x14ac:dyDescent="0.25">
      <c r="B17" s="122" t="s">
        <v>53</v>
      </c>
      <c r="C17" s="123" t="s">
        <v>45</v>
      </c>
      <c r="D17" s="155" t="s">
        <v>675</v>
      </c>
      <c r="E17" s="110" t="s">
        <v>709</v>
      </c>
    </row>
    <row r="18" spans="2:6" x14ac:dyDescent="0.25">
      <c r="B18" s="19" t="s">
        <v>46</v>
      </c>
      <c r="C18" s="61" t="str">
        <f>VLOOKUP(B18,'HIDDEN features'!A:D,3,FALSE)</f>
        <v>Authorization - using RFID ISO14443</v>
      </c>
      <c r="D18" s="157" t="s">
        <v>47</v>
      </c>
      <c r="E18" s="127" t="s">
        <v>47</v>
      </c>
      <c r="F18" s="146" t="str">
        <f t="shared" ref="F18:F23" si="1">IF(AND(NOT(ISBLANK(B18)),ISBLANK(D18)),"&lt;---- This field cannot be left empty!","")</f>
        <v/>
      </c>
    </row>
    <row r="19" spans="2:6" x14ac:dyDescent="0.25">
      <c r="B19" s="20" t="s">
        <v>48</v>
      </c>
      <c r="C19" s="54" t="str">
        <f>VLOOKUP(B19,'HIDDEN features'!A:D,3,FALSE)</f>
        <v>Authorization - using RFID ISO15693</v>
      </c>
      <c r="D19" s="158" t="s">
        <v>47</v>
      </c>
      <c r="E19" s="118" t="s">
        <v>47</v>
      </c>
      <c r="F19" s="146" t="str">
        <f t="shared" si="1"/>
        <v/>
      </c>
    </row>
    <row r="20" spans="2:6" x14ac:dyDescent="0.25">
      <c r="B20" s="19" t="s">
        <v>49</v>
      </c>
      <c r="C20" s="61" t="str">
        <f>VLOOKUP(B20,'HIDDEN features'!A:D,3,FALSE)</f>
        <v>Authorization - using KeyCode</v>
      </c>
      <c r="D20" s="74" t="s">
        <v>20</v>
      </c>
      <c r="E20" s="71" t="s">
        <v>15</v>
      </c>
      <c r="F20" s="146" t="str">
        <f t="shared" si="1"/>
        <v/>
      </c>
    </row>
    <row r="21" spans="2:6" x14ac:dyDescent="0.25">
      <c r="B21" s="20" t="s">
        <v>50</v>
      </c>
      <c r="C21" s="54" t="str">
        <f>VLOOKUP(B21,'HIDDEN features'!A:D,3,FALSE)</f>
        <v>Authorization - using locally generated id</v>
      </c>
      <c r="D21" s="75" t="s">
        <v>15</v>
      </c>
      <c r="E21" s="70" t="s">
        <v>15</v>
      </c>
      <c r="F21" s="146" t="str">
        <f t="shared" si="1"/>
        <v/>
      </c>
    </row>
    <row r="22" spans="2:6" x14ac:dyDescent="0.25">
      <c r="B22" s="19" t="s">
        <v>51</v>
      </c>
      <c r="C22" s="61" t="str">
        <f>VLOOKUP(B22,'HIDDEN features'!A:D,3,FALSE)</f>
        <v>Authorization - MacAddress</v>
      </c>
      <c r="D22" s="74" t="s">
        <v>20</v>
      </c>
      <c r="E22" s="71" t="s">
        <v>15</v>
      </c>
      <c r="F22" s="146" t="str">
        <f t="shared" si="1"/>
        <v/>
      </c>
    </row>
    <row r="23" spans="2:6" x14ac:dyDescent="0.25">
      <c r="B23" s="20" t="s">
        <v>52</v>
      </c>
      <c r="C23" s="54" t="str">
        <f>VLOOKUP(B23,'HIDDEN features'!A:D,3,FALSE)</f>
        <v>Authorization - NoAuthorization</v>
      </c>
      <c r="D23" s="158" t="s">
        <v>47</v>
      </c>
      <c r="E23" s="118" t="s">
        <v>47</v>
      </c>
      <c r="F23" s="146" t="str">
        <f t="shared" si="1"/>
        <v/>
      </c>
    </row>
    <row r="24" spans="2:6" x14ac:dyDescent="0.25">
      <c r="B24" s="152"/>
      <c r="C24" s="153"/>
      <c r="D24" s="154"/>
      <c r="E24" s="153"/>
    </row>
    <row r="25" spans="2:6" ht="30" x14ac:dyDescent="0.25">
      <c r="B25" s="124" t="s">
        <v>53</v>
      </c>
      <c r="C25" s="125" t="s">
        <v>54</v>
      </c>
      <c r="D25" s="156" t="s">
        <v>710</v>
      </c>
      <c r="E25" s="110" t="s">
        <v>711</v>
      </c>
      <c r="F25" s="144" t="str">
        <f>IF(ISERROR(VLOOKUP("Yes",D26:D29,1,FALSE)),"&lt;---- At least one of the options below must be supported","")</f>
        <v/>
      </c>
    </row>
    <row r="26" spans="2:6" x14ac:dyDescent="0.25">
      <c r="B26" s="57" t="s">
        <v>55</v>
      </c>
      <c r="C26" s="58" t="str">
        <f>VLOOKUP(B26,'HIDDEN features'!A:D,3,FALSE)</f>
        <v>Authorization - using RFID ISO14443</v>
      </c>
      <c r="D26" s="76" t="s">
        <v>15</v>
      </c>
      <c r="E26" s="126" t="s">
        <v>15</v>
      </c>
      <c r="F26" s="146" t="str">
        <f>IF(AND(NOT(ISBLANK(B26)),ISBLANK(D26)),"&lt;---- This field cannot be left empty!","")</f>
        <v/>
      </c>
    </row>
    <row r="27" spans="2:6" x14ac:dyDescent="0.25">
      <c r="B27" s="20" t="s">
        <v>56</v>
      </c>
      <c r="C27" s="56" t="str">
        <f>VLOOKUP(B27,'HIDDEN features'!A:D,3,FALSE)</f>
        <v>Authorization - using RFID ISO15693</v>
      </c>
      <c r="D27" s="75" t="s">
        <v>15</v>
      </c>
      <c r="E27" s="70" t="s">
        <v>15</v>
      </c>
      <c r="F27" s="146" t="str">
        <f>IF(AND(NOT(ISBLANK(B27)),ISBLANK(D27)),"&lt;---- This field cannot be left empty!","")</f>
        <v/>
      </c>
    </row>
    <row r="28" spans="2:6" x14ac:dyDescent="0.25">
      <c r="B28" s="19" t="s">
        <v>57</v>
      </c>
      <c r="C28" s="55" t="str">
        <f>VLOOKUP(B28,'HIDDEN features'!A:D,3,FALSE)</f>
        <v>Authorization - using centrally, in the CSMS (or other server) generated id</v>
      </c>
      <c r="D28" s="74" t="s">
        <v>15</v>
      </c>
      <c r="E28" s="71" t="s">
        <v>15</v>
      </c>
      <c r="F28" s="146" t="str">
        <f>IF(AND(NOT(ISBLANK(B28)),ISBLANK(D28)),"&lt;---- This field cannot be left empty!","")</f>
        <v/>
      </c>
    </row>
    <row r="29" spans="2:6" x14ac:dyDescent="0.25">
      <c r="B29" s="83" t="s">
        <v>58</v>
      </c>
      <c r="C29" s="84" t="str">
        <f>VLOOKUP(B29,'HIDDEN features'!A:D,3,FALSE)</f>
        <v>Authorization - NoAuthorization</v>
      </c>
      <c r="D29" s="85" t="s">
        <v>15</v>
      </c>
      <c r="E29" s="72" t="s">
        <v>15</v>
      </c>
      <c r="F29" s="146" t="str">
        <f>IF(AND(NOT(ISBLANK(B29)),ISBLANK(D29)),"&lt;---- This field cannot be left empty!","")</f>
        <v/>
      </c>
    </row>
    <row r="30" spans="2:6" x14ac:dyDescent="0.25">
      <c r="B30" s="11"/>
    </row>
    <row r="31" spans="2:6" x14ac:dyDescent="0.25">
      <c r="B31" s="44" t="s">
        <v>662</v>
      </c>
      <c r="C31" s="45" t="s">
        <v>731</v>
      </c>
      <c r="D31" s="110" t="s">
        <v>708</v>
      </c>
    </row>
    <row r="32" spans="2:6" x14ac:dyDescent="0.25">
      <c r="B32" s="62" t="s">
        <v>60</v>
      </c>
      <c r="C32" s="63" t="str">
        <f>VLOOKUP(B32,'HIDDEN features'!A:D,3,FALSE)</f>
        <v>Support for sending a BootNotification Pending before Accepting</v>
      </c>
      <c r="D32" s="77" t="s">
        <v>20</v>
      </c>
      <c r="E32" s="146" t="str">
        <f>IF(AND(NOT(ISBLANK(B32)),ISBLANK(D32)),"&lt;---- This field cannot be left empty!","")</f>
        <v/>
      </c>
    </row>
    <row r="33" spans="2:5" x14ac:dyDescent="0.25">
      <c r="B33" s="19" t="s">
        <v>61</v>
      </c>
      <c r="C33" s="61" t="str">
        <f>VLOOKUP(B33,'HIDDEN features'!A:D,3,FALSE)</f>
        <v>Support for Multiple elements GetVariablesRequest</v>
      </c>
      <c r="D33" s="71" t="s">
        <v>20</v>
      </c>
      <c r="E33" s="146" t="str">
        <f>IF(AND(NOT(ISBLANK(B33)),ISBLANK(D33)),"&lt;---- This field cannot be left empty!","")</f>
        <v/>
      </c>
    </row>
    <row r="34" spans="2:5" x14ac:dyDescent="0.25">
      <c r="B34" s="20" t="s">
        <v>62</v>
      </c>
      <c r="C34" s="54" t="str">
        <f>VLOOKUP(B34,'HIDDEN features'!A:D,3,FALSE)</f>
        <v>Support for Multiple elements SetVariablesRequest</v>
      </c>
      <c r="D34" s="70" t="s">
        <v>20</v>
      </c>
      <c r="E34" s="146" t="str">
        <f>IF(AND(NOT(ISBLANK(B34)),ISBLANK(D34)),"&lt;---- This field cannot be left empty!","")</f>
        <v/>
      </c>
    </row>
    <row r="35" spans="2:5" ht="28.5" x14ac:dyDescent="0.25">
      <c r="B35" s="19" t="s">
        <v>63</v>
      </c>
      <c r="C35" s="61" t="str">
        <f>VLOOKUP(B35,'HIDDEN features'!A:D,3,FALSE)</f>
        <v>GetBaseReport - FullInventory</v>
      </c>
      <c r="D35" s="127" t="str">
        <f>VLOOKUP(B35,'HIDDEN features'!A:D,4,FALSE)</f>
        <v>(At least one of the suboptions below is required)</v>
      </c>
      <c r="E35" s="144" t="str">
        <f>IF(ISERROR(VLOOKUP("Yes",D36:D37,1,FALSE)),"&lt;---- At least one of the options below must be supported","")</f>
        <v/>
      </c>
    </row>
    <row r="36" spans="2:5" x14ac:dyDescent="0.25">
      <c r="B36" s="51" t="s">
        <v>64</v>
      </c>
      <c r="C36" s="56" t="str">
        <f>VLOOKUP(B36,'HIDDEN features'!A:D,3,FALSE)</f>
        <v>GetBaseReport - FullInventory - During onboarding</v>
      </c>
      <c r="D36" s="70" t="s">
        <v>15</v>
      </c>
      <c r="E36" s="146" t="str">
        <f>IF(AND(NOT(ISBLANK(B36)),ISBLANK(D36)),"&lt;---- This field cannot be left empty!","")</f>
        <v/>
      </c>
    </row>
    <row r="37" spans="2:5" x14ac:dyDescent="0.25">
      <c r="B37" s="52" t="s">
        <v>65</v>
      </c>
      <c r="C37" s="60" t="str">
        <f>VLOOKUP(B37,'HIDDEN features'!A:D,3,FALSE)</f>
        <v>GetBaseReport - FullInventory - Manual trigger</v>
      </c>
      <c r="D37" s="78" t="s">
        <v>20</v>
      </c>
      <c r="E37" s="146" t="str">
        <f>IF(AND(NOT(ISBLANK(B37)),ISBLANK(D37)),"&lt;---- This field cannot be left empty!","")</f>
        <v/>
      </c>
    </row>
    <row r="38" spans="2:5" x14ac:dyDescent="0.25">
      <c r="B38" s="11"/>
    </row>
    <row r="39" spans="2:5" x14ac:dyDescent="0.25">
      <c r="B39" s="96" t="s">
        <v>659</v>
      </c>
      <c r="C39" s="45" t="s">
        <v>713</v>
      </c>
      <c r="D39" s="110" t="s">
        <v>708</v>
      </c>
    </row>
    <row r="40" spans="2:5" x14ac:dyDescent="0.25">
      <c r="B40" s="82" t="s">
        <v>66</v>
      </c>
      <c r="C40" s="12" t="str">
        <f>VLOOKUP(B40,'HIDDEN features'!A:D,3,FALSE)</f>
        <v>Support for TxDefaultProfile on EVSEID #0</v>
      </c>
      <c r="D40" s="79" t="s">
        <v>20</v>
      </c>
      <c r="E40" s="146" t="str">
        <f>IF(AND(D40="Yes",VLOOKUP(RIGHT(C39,LEN(C39)-FIND(":",C39)-1),Profile_Selection,2,FALSE)&lt;&gt;"Yes"),_xlfn.CONCAT("&lt;---- Value must be 'No' as ",C39," is not selected"),IF(AND(NOT(ISBLANK(B40)),ISBLANK(D40)),"&lt;---- This field cannot be left empty!",""))</f>
        <v/>
      </c>
    </row>
    <row r="41" spans="2:5" x14ac:dyDescent="0.25">
      <c r="B41" s="11"/>
    </row>
    <row r="42" spans="2:5" x14ac:dyDescent="0.25">
      <c r="B42" s="96" t="s">
        <v>659</v>
      </c>
      <c r="C42" s="45" t="s">
        <v>714</v>
      </c>
      <c r="D42" s="110" t="s">
        <v>708</v>
      </c>
    </row>
    <row r="43" spans="2:5" x14ac:dyDescent="0.25">
      <c r="B43" s="13"/>
      <c r="C43" s="12" t="s">
        <v>67</v>
      </c>
      <c r="D43" s="128"/>
      <c r="E43" s="146" t="str">
        <f>IF(AND(D43="Yes",VLOOKUP(RIGHT(C42,LEN(C42)-FIND(":",C42)-1),Profile_Selection,2,FALSE)&lt;&gt;"Yes"),_xlfn.CONCAT("&lt;---- Value must be 'No' as ",C42," is not selected"),IF(AND(NOT(ISBLANK(B43)),ISBLANK(D43)),"&lt;---- This field cannot be left empty!",""))</f>
        <v/>
      </c>
    </row>
    <row r="44" spans="2:5" x14ac:dyDescent="0.25">
      <c r="B44" s="11"/>
    </row>
    <row r="45" spans="2:5" x14ac:dyDescent="0.25">
      <c r="B45" s="96" t="s">
        <v>659</v>
      </c>
      <c r="C45" s="45" t="s">
        <v>663</v>
      </c>
      <c r="D45" s="110" t="s">
        <v>708</v>
      </c>
    </row>
    <row r="46" spans="2:5" x14ac:dyDescent="0.25">
      <c r="B46" s="9" t="s">
        <v>68</v>
      </c>
      <c r="C46" s="61" t="str">
        <f>VLOOKUP(B46,'HIDDEN features'!A:D,3,FALSE)</f>
        <v>Support for reservations of connectorType</v>
      </c>
      <c r="D46" s="80" t="s">
        <v>20</v>
      </c>
      <c r="E46" s="146" t="str">
        <f>IF(AND(D46="Yes",VLOOKUP(RIGHT(C45,LEN(C45)-FIND(":",C45)-1),Profile_Selection,2,FALSE)&lt;&gt;"Yes"),_xlfn.CONCAT("&lt;---- Value must be 'No' as ",C45," is not selected"),IF(AND(NOT(ISBLANK(B46)),ISBLANK(D46)),"&lt;---- This field cannot be left empty!",""))</f>
        <v/>
      </c>
    </row>
    <row r="47" spans="2:5" x14ac:dyDescent="0.25">
      <c r="B47" s="10" t="s">
        <v>69</v>
      </c>
      <c r="C47" s="65" t="str">
        <f>VLOOKUP(B47,'HIDDEN features'!A:D,3,FALSE)</f>
        <v>Support for reservations of unspecified EVSE</v>
      </c>
      <c r="D47" s="81" t="s">
        <v>20</v>
      </c>
      <c r="E47" s="146" t="str">
        <f>IF(AND(D47="Yes",VLOOKUP(RIGHT(C45,LEN(C45)-FIND(":",C45)-1),Profile_Selection,2,FALSE)&lt;&gt;"Yes"),_xlfn.CONCAT("&lt;---- Value must be 'No' as ",C45," is not selected"),IF(AND(NOT(ISBLANK(B47)),ISBLANK(D47)),"&lt;---- This field cannot be left empty!",""))</f>
        <v/>
      </c>
    </row>
    <row r="48" spans="2:5" x14ac:dyDescent="0.25">
      <c r="B48" s="11"/>
    </row>
    <row r="49" spans="2:5" x14ac:dyDescent="0.25">
      <c r="B49" s="96" t="s">
        <v>659</v>
      </c>
      <c r="C49" s="45" t="s">
        <v>715</v>
      </c>
      <c r="D49" s="110" t="s">
        <v>708</v>
      </c>
    </row>
    <row r="50" spans="2:5" x14ac:dyDescent="0.25">
      <c r="B50" s="13"/>
      <c r="C50" s="12" t="s">
        <v>67</v>
      </c>
      <c r="D50" s="128"/>
      <c r="E50" s="146" t="str">
        <f>IF(AND(D50="Yes",VLOOKUP(RIGHT(C49,LEN(C49)-FIND(":",C49)-1),Profile_Selection,2,FALSE)&lt;&gt;"Yes"),_xlfn.CONCAT("&lt;---- Value must be 'No' as ",C49," is not selected"),IF(AND(NOT(ISBLANK(B50)),ISBLANK(D50)),"&lt;---- This field cannot be left empty!",""))</f>
        <v/>
      </c>
    </row>
    <row r="51" spans="2:5" x14ac:dyDescent="0.25">
      <c r="B51" s="11"/>
    </row>
    <row r="52" spans="2:5" x14ac:dyDescent="0.25">
      <c r="B52" s="96" t="s">
        <v>659</v>
      </c>
      <c r="C52" s="45" t="s">
        <v>716</v>
      </c>
      <c r="D52" s="110" t="s">
        <v>708</v>
      </c>
    </row>
    <row r="53" spans="2:5" x14ac:dyDescent="0.25">
      <c r="B53" s="9" t="s">
        <v>70</v>
      </c>
      <c r="C53" s="61" t="str">
        <f>VLOOKUP(B53,'HIDDEN features'!A:D,3,FALSE)</f>
        <v>Combined charging station certificate (for both OCPP and ISO 15118)</v>
      </c>
      <c r="D53" s="80" t="s">
        <v>20</v>
      </c>
      <c r="E53" s="146" t="str">
        <f>IF(AND(D53="Yes",VLOOKUP(RIGHT(C52,LEN(C52)-FIND(":",C52)-1),Profile_Selection,2,FALSE)&lt;&gt;"Yes"),_xlfn.CONCAT("&lt;---- Value must be 'No' as ",C52," is not selected"),IF(AND(NOT(ISBLANK(B53)),ISBLANK(D53)),"&lt;---- This field cannot be left empty!",""))</f>
        <v/>
      </c>
    </row>
    <row r="54" spans="2:5" x14ac:dyDescent="0.25">
      <c r="B54" s="10" t="s">
        <v>71</v>
      </c>
      <c r="C54" s="65" t="str">
        <f>VLOOKUP(B54,'HIDDEN features'!A:D,3,FALSE)</f>
        <v>Support for retrieving / deleting CustomerInformation - CustomerCertificate</v>
      </c>
      <c r="D54" s="81" t="s">
        <v>20</v>
      </c>
      <c r="E54" s="146" t="str">
        <f>IF(AND(D54="Yes",VLOOKUP(RIGHT(C52,LEN(C52)-FIND(":",C52)-1),Profile_Selection,2,FALSE)&lt;&gt;"Yes"),_xlfn.CONCAT("&lt;---- Value must be 'No' as ",C52," is not selected"),IF(AND(NOT(ISBLANK(B54)),ISBLANK(D54)),"&lt;---- This field cannot be left empty!",""))</f>
        <v/>
      </c>
    </row>
    <row r="55" spans="2:5" x14ac:dyDescent="0.25">
      <c r="B55" s="11"/>
    </row>
    <row r="56" spans="2:5" x14ac:dyDescent="0.25">
      <c r="B56" s="96" t="s">
        <v>659</v>
      </c>
      <c r="C56" s="45" t="s">
        <v>730</v>
      </c>
      <c r="D56" s="110" t="s">
        <v>708</v>
      </c>
    </row>
    <row r="57" spans="2:5" x14ac:dyDescent="0.25">
      <c r="B57" s="59" t="s">
        <v>72</v>
      </c>
      <c r="C57" s="64" t="str">
        <f>VLOOKUP(B57,'HIDDEN features'!A:D,3,FALSE)</f>
        <v>Support for GetLocalListVersion</v>
      </c>
      <c r="D57" s="78" t="s">
        <v>20</v>
      </c>
      <c r="E57" s="146" t="str">
        <f>IF(AND(D57="Yes",VLOOKUP(RIGHT(C56,LEN(C56)-FIND(":",C56)-1),Profile_Selection,2,FALSE)&lt;&gt;"Yes"),_xlfn.CONCAT("&lt;---- Value must be 'No' as ",C56," is not selected"),IF(AND(NOT(ISBLANK(B57)),ISBLANK(D57)),"&lt;---- This field cannot be left empty!",""))</f>
        <v/>
      </c>
    </row>
    <row r="58" spans="2:5" x14ac:dyDescent="0.25">
      <c r="B58" s="11"/>
    </row>
    <row r="59" spans="2:5" x14ac:dyDescent="0.25">
      <c r="B59" s="96" t="s">
        <v>659</v>
      </c>
      <c r="C59" s="45" t="s">
        <v>717</v>
      </c>
      <c r="D59" s="110" t="s">
        <v>708</v>
      </c>
    </row>
    <row r="60" spans="2:5" x14ac:dyDescent="0.25">
      <c r="B60" s="13"/>
      <c r="C60" s="12" t="s">
        <v>67</v>
      </c>
      <c r="D60" s="128"/>
      <c r="E60" s="146" t="str">
        <f>IF(AND(D60="Yes",VLOOKUP(RIGHT(C59,LEN(C59)-FIND(":",C59)-1),Profile_Selection,2,FALSE)&lt;&gt;"Yes"),_xlfn.CONCAT("&lt;---- Value must be 'No' as ",C59," is not selected"),IF(AND(NOT(ISBLANK(B60)),ISBLANK(D60)),"&lt;---- This field cannot be left empty!",""))</f>
        <v/>
      </c>
    </row>
    <row r="61" spans="2:5" x14ac:dyDescent="0.25">
      <c r="B61" s="14"/>
    </row>
  </sheetData>
  <sheetProtection algorithmName="SHA-512" hashValue="G5lb/2IndR79ZU9Y43r+HtKiDC8H2qggQ3a+hrjbFmuwEgxA2q0jhvEe+DcwUsTXNVnweVZDpn2h8DppsmZWMg==" saltValue="q0wBxovps8XIeo8YjLQa8w==" spinCount="100000" sheet="1" objects="1" scenarios="1"/>
  <mergeCells count="1">
    <mergeCell ref="B1:D1"/>
  </mergeCells>
  <conditionalFormatting sqref="F1">
    <cfRule type="cellIs" dxfId="7" priority="1" operator="equal">
      <formula>"INVALID"</formula>
    </cfRule>
    <cfRule type="cellIs" dxfId="6" priority="2" operator="equal">
      <formula>"VALID"</formula>
    </cfRule>
  </conditionalFormatting>
  <dataValidations count="2">
    <dataValidation type="list" allowBlank="1" showInputMessage="1" showErrorMessage="1" sqref="D15" xr:uid="{3E9FD7DB-9DCD-495A-9E83-BD0DF3DE10E1}">
      <formula1>"Yes,No"</formula1>
    </dataValidation>
    <dataValidation type="list" showInputMessage="1" showErrorMessage="1" sqref="D3:D8 D10:D14 D20:E22 D26:E29 D32:D34 D36:D37 D40 D46:D47 D53:D54 D57" xr:uid="{D3E5A515-1ED8-C74F-906E-3D03E9E4095D}">
      <formula1>"Yes,No"</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7EDA-7788-4664-A7BC-D61C3E60D9EA}">
  <dimension ref="B1:F14"/>
  <sheetViews>
    <sheetView showGridLines="0" zoomScaleNormal="100" workbookViewId="0">
      <selection activeCell="D4" sqref="D4"/>
    </sheetView>
  </sheetViews>
  <sheetFormatPr defaultColWidth="28.375" defaultRowHeight="15.75" x14ac:dyDescent="0.25"/>
  <cols>
    <col min="1" max="1" width="14.125" customWidth="1"/>
    <col min="2" max="2" width="10" customWidth="1"/>
    <col min="3" max="3" width="72.875" customWidth="1"/>
    <col min="4" max="4" width="25.125" customWidth="1"/>
    <col min="5" max="5" width="35" bestFit="1" customWidth="1"/>
  </cols>
  <sheetData>
    <row r="1" spans="2:6" ht="54.75" customHeight="1" x14ac:dyDescent="0.25">
      <c r="C1" s="37" t="s">
        <v>73</v>
      </c>
      <c r="E1" s="145" t="s">
        <v>719</v>
      </c>
      <c r="F1" s="145" t="str">
        <f>IF(_xlfn.CONCAT(E3:E13)="","VALID","INVALID")</f>
        <v>VALID</v>
      </c>
    </row>
    <row r="2" spans="2:6" ht="27.75" customHeight="1" x14ac:dyDescent="0.25">
      <c r="C2" s="37"/>
    </row>
    <row r="3" spans="2:6" x14ac:dyDescent="0.25">
      <c r="B3" s="94" t="s">
        <v>659</v>
      </c>
      <c r="C3" s="45" t="s">
        <v>74</v>
      </c>
      <c r="D3" s="110" t="s">
        <v>59</v>
      </c>
    </row>
    <row r="4" spans="2:6" ht="30" x14ac:dyDescent="0.25">
      <c r="B4" s="66" t="s">
        <v>75</v>
      </c>
      <c r="C4" s="38" t="s">
        <v>76</v>
      </c>
      <c r="D4" s="71" t="s">
        <v>20</v>
      </c>
      <c r="E4" s="146" t="str">
        <f>IF(AND(NOT(ISBLANK(B4)),ISBLANK(D4)),"&lt;---- This field cannot be left empty!","")</f>
        <v/>
      </c>
    </row>
    <row r="5" spans="2:6" x14ac:dyDescent="0.25">
      <c r="B5" s="43" t="s">
        <v>77</v>
      </c>
      <c r="C5" s="39" t="s">
        <v>78</v>
      </c>
      <c r="D5" s="70" t="s">
        <v>20</v>
      </c>
    </row>
    <row r="6" spans="2:6" ht="20.25" customHeight="1" x14ac:dyDescent="0.25">
      <c r="B6" s="66" t="s">
        <v>786</v>
      </c>
      <c r="C6" s="67" t="s">
        <v>789</v>
      </c>
      <c r="D6" s="181"/>
      <c r="E6" s="180" t="str">
        <f>IF(AND(ISERROR(VLOOKUP("Yes",D7:D8,1,FALSE)), VLOOKUP("Smart Charging",'Profile selection'!B4:D11,2,FALSE)="Yes"),"&lt;---- At least one of the options below must be supported","")</f>
        <v/>
      </c>
    </row>
    <row r="7" spans="2:6" x14ac:dyDescent="0.25">
      <c r="B7" s="43" t="s">
        <v>788</v>
      </c>
      <c r="C7" s="178" t="s">
        <v>794</v>
      </c>
      <c r="D7" s="70" t="s">
        <v>20</v>
      </c>
      <c r="E7" s="180" t="str">
        <f>IF(AND(D7&lt;&gt;"Yes",D10&lt;&gt;"Yes",VLOOKUP("Smart Charging",'Profile selection'!B4:D11,2,FALSE)="Yes"),"&lt;---- TxDefaultProfile must be supported for either Absolute or Recurring","")</f>
        <v/>
      </c>
    </row>
    <row r="8" spans="2:6" x14ac:dyDescent="0.25">
      <c r="B8" s="66" t="s">
        <v>790</v>
      </c>
      <c r="C8" s="179" t="s">
        <v>791</v>
      </c>
      <c r="D8" s="68" t="s">
        <v>20</v>
      </c>
      <c r="E8" s="180" t="str">
        <f>IF(AND(D8&lt;&gt;"Yes",D11&lt;&gt;"Yes",VLOOKUP("Smart Charging",'Profile selection'!B4:D11,2,FALSE)="Yes"),"&lt;---- ChargingStationMaxProfile must be supported for either Absolute or Recurring","")</f>
        <v/>
      </c>
    </row>
    <row r="9" spans="2:6" ht="16.5" customHeight="1" x14ac:dyDescent="0.25">
      <c r="B9" s="43" t="s">
        <v>787</v>
      </c>
      <c r="C9" s="39" t="s">
        <v>795</v>
      </c>
      <c r="D9" s="118"/>
      <c r="E9" s="180" t="str">
        <f>IF(AND(ISERROR(VLOOKUP("Yes",D10:D11,1,FALSE)),VLOOKUP("Smart Charging",'Profile selection'!B4:D11,2,FALSE)="Yes"),"&lt;---- At least one of the options below must be supported","")</f>
        <v/>
      </c>
    </row>
    <row r="10" spans="2:6" x14ac:dyDescent="0.25">
      <c r="B10" s="66" t="s">
        <v>792</v>
      </c>
      <c r="C10" s="179" t="s">
        <v>794</v>
      </c>
      <c r="D10" s="68" t="s">
        <v>20</v>
      </c>
    </row>
    <row r="11" spans="2:6" x14ac:dyDescent="0.25">
      <c r="B11" s="43" t="s">
        <v>793</v>
      </c>
      <c r="C11" s="178" t="s">
        <v>791</v>
      </c>
      <c r="D11" s="70" t="s">
        <v>20</v>
      </c>
    </row>
    <row r="12" spans="2:6" ht="30" x14ac:dyDescent="0.25">
      <c r="B12" s="66" t="s">
        <v>79</v>
      </c>
      <c r="C12" s="67" t="s">
        <v>80</v>
      </c>
      <c r="D12" s="68" t="s">
        <v>20</v>
      </c>
    </row>
    <row r="13" spans="2:6" x14ac:dyDescent="0.25">
      <c r="B13" s="40"/>
      <c r="C13" s="41"/>
      <c r="D13" s="42"/>
    </row>
    <row r="14" spans="2:6" x14ac:dyDescent="0.25">
      <c r="C14" s="11"/>
    </row>
  </sheetData>
  <sheetProtection algorithmName="SHA-512" hashValue="qQlAN0dsKH6sBTEy1AMPJRQW0f09y2ZvbPI39+H9kQDmkpbegOaMWumY+X1DOcqKBlxdXwf8aXH0aN9ay9soVA==" saltValue="hBlyG/Ehpw3KV677WKnECQ==" spinCount="100000" sheet="1" objects="1" scenarios="1"/>
  <conditionalFormatting sqref="F1">
    <cfRule type="cellIs" dxfId="5" priority="1" operator="equal">
      <formula>"INVALID"</formula>
    </cfRule>
    <cfRule type="cellIs" dxfId="4" priority="2" operator="equal">
      <formula>"VALID"</formula>
    </cfRule>
  </conditionalFormatting>
  <dataValidations count="1">
    <dataValidation type="list" allowBlank="1" showInputMessage="1" showErrorMessage="1" sqref="D4:D12" xr:uid="{4349DFB3-71A1-4666-9A39-82EE747DEB36}">
      <formula1>"Yes,No"</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971ED-E97D-484C-BE71-C31C6629B295}">
  <dimension ref="B2:D28"/>
  <sheetViews>
    <sheetView showGridLines="0" workbookViewId="0">
      <selection activeCell="B6" sqref="B6"/>
    </sheetView>
  </sheetViews>
  <sheetFormatPr defaultColWidth="18.125" defaultRowHeight="15.75" x14ac:dyDescent="0.25"/>
  <cols>
    <col min="1" max="1" width="14.875" customWidth="1"/>
    <col min="2" max="2" width="24.625" customWidth="1"/>
    <col min="3" max="3" width="69.125" customWidth="1"/>
    <col min="4" max="4" width="56.625" customWidth="1"/>
  </cols>
  <sheetData>
    <row r="2" spans="2:4" ht="61.5" customHeight="1" x14ac:dyDescent="0.25">
      <c r="B2" s="185" t="s">
        <v>703</v>
      </c>
      <c r="C2" s="185"/>
    </row>
    <row r="3" spans="2:4" ht="37.5" customHeight="1" x14ac:dyDescent="0.25">
      <c r="B3" s="186" t="s">
        <v>704</v>
      </c>
      <c r="C3" s="186"/>
      <c r="D3" s="186"/>
    </row>
    <row r="4" spans="2:4" x14ac:dyDescent="0.25">
      <c r="B4" s="11"/>
    </row>
    <row r="5" spans="2:4" ht="16.5" thickBot="1" x14ac:dyDescent="0.3">
      <c r="B5" s="97" t="s">
        <v>679</v>
      </c>
      <c r="C5" s="98" t="s">
        <v>680</v>
      </c>
      <c r="D5" s="111" t="s">
        <v>13</v>
      </c>
    </row>
    <row r="6" spans="2:4" ht="16.5" thickBot="1" x14ac:dyDescent="0.3">
      <c r="B6" s="159" t="s">
        <v>665</v>
      </c>
      <c r="C6" s="160" t="s">
        <v>665</v>
      </c>
      <c r="D6" s="161" t="s">
        <v>665</v>
      </c>
    </row>
    <row r="7" spans="2:4" ht="16.5" thickBot="1" x14ac:dyDescent="0.3">
      <c r="B7" s="139" t="s">
        <v>701</v>
      </c>
      <c r="C7" s="140" t="s">
        <v>702</v>
      </c>
      <c r="D7" s="141" t="s">
        <v>701</v>
      </c>
    </row>
    <row r="8" spans="2:4" ht="16.5" thickBot="1" x14ac:dyDescent="0.3">
      <c r="B8" s="159" t="s">
        <v>665</v>
      </c>
      <c r="C8" s="160" t="s">
        <v>665</v>
      </c>
      <c r="D8" s="161" t="s">
        <v>665</v>
      </c>
    </row>
    <row r="9" spans="2:4" ht="16.5" thickBot="1" x14ac:dyDescent="0.3">
      <c r="B9" s="139" t="s">
        <v>701</v>
      </c>
      <c r="C9" s="140" t="s">
        <v>702</v>
      </c>
      <c r="D9" s="141" t="s">
        <v>701</v>
      </c>
    </row>
    <row r="10" spans="2:4" ht="16.5" thickBot="1" x14ac:dyDescent="0.3">
      <c r="B10" s="159" t="s">
        <v>665</v>
      </c>
      <c r="C10" s="160" t="s">
        <v>665</v>
      </c>
      <c r="D10" s="161" t="s">
        <v>665</v>
      </c>
    </row>
    <row r="11" spans="2:4" ht="16.5" thickBot="1" x14ac:dyDescent="0.3">
      <c r="B11" s="139" t="s">
        <v>701</v>
      </c>
      <c r="C11" s="140" t="s">
        <v>702</v>
      </c>
      <c r="D11" s="141" t="s">
        <v>701</v>
      </c>
    </row>
    <row r="12" spans="2:4" ht="16.5" thickBot="1" x14ac:dyDescent="0.3">
      <c r="B12" s="159" t="s">
        <v>665</v>
      </c>
      <c r="C12" s="160" t="s">
        <v>665</v>
      </c>
      <c r="D12" s="161" t="s">
        <v>665</v>
      </c>
    </row>
    <row r="13" spans="2:4" ht="16.5" thickBot="1" x14ac:dyDescent="0.3">
      <c r="B13" s="139" t="s">
        <v>701</v>
      </c>
      <c r="C13" s="140" t="s">
        <v>702</v>
      </c>
      <c r="D13" s="141" t="s">
        <v>701</v>
      </c>
    </row>
    <row r="14" spans="2:4" ht="16.5" thickBot="1" x14ac:dyDescent="0.3">
      <c r="B14" s="159" t="s">
        <v>665</v>
      </c>
      <c r="C14" s="160" t="s">
        <v>665</v>
      </c>
      <c r="D14" s="161" t="s">
        <v>665</v>
      </c>
    </row>
    <row r="15" spans="2:4" ht="16.5" thickBot="1" x14ac:dyDescent="0.3">
      <c r="B15" s="139" t="s">
        <v>701</v>
      </c>
      <c r="C15" s="140" t="s">
        <v>702</v>
      </c>
      <c r="D15" s="141" t="s">
        <v>701</v>
      </c>
    </row>
    <row r="16" spans="2:4" ht="16.5" thickBot="1" x14ac:dyDescent="0.3">
      <c r="B16" s="159" t="s">
        <v>665</v>
      </c>
      <c r="C16" s="160" t="s">
        <v>665</v>
      </c>
      <c r="D16" s="161" t="s">
        <v>665</v>
      </c>
    </row>
    <row r="17" spans="2:4" ht="16.5" thickBot="1" x14ac:dyDescent="0.3">
      <c r="B17" s="139" t="s">
        <v>701</v>
      </c>
      <c r="C17" s="140" t="s">
        <v>702</v>
      </c>
      <c r="D17" s="141" t="s">
        <v>701</v>
      </c>
    </row>
    <row r="18" spans="2:4" ht="16.5" thickBot="1" x14ac:dyDescent="0.3">
      <c r="B18" s="159" t="s">
        <v>665</v>
      </c>
      <c r="C18" s="160" t="s">
        <v>665</v>
      </c>
      <c r="D18" s="161" t="s">
        <v>665</v>
      </c>
    </row>
    <row r="19" spans="2:4" ht="16.5" thickBot="1" x14ac:dyDescent="0.3">
      <c r="B19" s="139" t="s">
        <v>701</v>
      </c>
      <c r="C19" s="140" t="s">
        <v>702</v>
      </c>
      <c r="D19" s="141" t="s">
        <v>701</v>
      </c>
    </row>
    <row r="20" spans="2:4" ht="16.5" thickBot="1" x14ac:dyDescent="0.3">
      <c r="B20" s="159" t="s">
        <v>665</v>
      </c>
      <c r="C20" s="160" t="s">
        <v>665</v>
      </c>
      <c r="D20" s="161" t="s">
        <v>665</v>
      </c>
    </row>
    <row r="21" spans="2:4" ht="16.5" thickBot="1" x14ac:dyDescent="0.3">
      <c r="B21" s="139" t="s">
        <v>701</v>
      </c>
      <c r="C21" s="140" t="s">
        <v>702</v>
      </c>
      <c r="D21" s="141" t="s">
        <v>701</v>
      </c>
    </row>
    <row r="22" spans="2:4" ht="16.5" thickBot="1" x14ac:dyDescent="0.3">
      <c r="B22" s="159" t="s">
        <v>665</v>
      </c>
      <c r="C22" s="160" t="s">
        <v>665</v>
      </c>
      <c r="D22" s="161" t="s">
        <v>665</v>
      </c>
    </row>
    <row r="23" spans="2:4" ht="16.5" thickBot="1" x14ac:dyDescent="0.3">
      <c r="B23" s="139" t="s">
        <v>701</v>
      </c>
      <c r="C23" s="140" t="s">
        <v>702</v>
      </c>
      <c r="D23" s="141" t="s">
        <v>701</v>
      </c>
    </row>
    <row r="24" spans="2:4" ht="16.5" thickBot="1" x14ac:dyDescent="0.3">
      <c r="B24" s="159" t="s">
        <v>665</v>
      </c>
      <c r="C24" s="160" t="s">
        <v>665</v>
      </c>
      <c r="D24" s="161" t="s">
        <v>665</v>
      </c>
    </row>
    <row r="25" spans="2:4" ht="16.5" thickBot="1" x14ac:dyDescent="0.3">
      <c r="B25" s="139" t="s">
        <v>701</v>
      </c>
      <c r="C25" s="140" t="s">
        <v>702</v>
      </c>
      <c r="D25" s="141" t="s">
        <v>701</v>
      </c>
    </row>
    <row r="26" spans="2:4" ht="16.5" thickBot="1" x14ac:dyDescent="0.3">
      <c r="B26" s="159" t="s">
        <v>665</v>
      </c>
      <c r="C26" s="160" t="s">
        <v>665</v>
      </c>
      <c r="D26" s="161" t="s">
        <v>665</v>
      </c>
    </row>
    <row r="27" spans="2:4" ht="16.5" thickBot="1" x14ac:dyDescent="0.3">
      <c r="B27" s="139" t="s">
        <v>701</v>
      </c>
      <c r="C27" s="140" t="s">
        <v>702</v>
      </c>
      <c r="D27" s="141" t="s">
        <v>701</v>
      </c>
    </row>
    <row r="28" spans="2:4" ht="16.5" thickBot="1" x14ac:dyDescent="0.3">
      <c r="B28" s="159" t="s">
        <v>665</v>
      </c>
      <c r="C28" s="160" t="s">
        <v>665</v>
      </c>
      <c r="D28" s="161" t="s">
        <v>665</v>
      </c>
    </row>
  </sheetData>
  <sheetProtection algorithmName="SHA-512" hashValue="f4LSE0t4v2wjPFM3iN+/qm09hkbDMGf7gmTHDjVYsYg9mDznNCTRhZltoV6ycJgvmdbntQWa0uYLjpt8QTto/w==" saltValue="5KC9F+T1SQGAkpJpETxPMA==" spinCount="100000" sheet="1" formatCells="0" formatColumns="0" formatRows="0"/>
  <mergeCells count="2">
    <mergeCell ref="B2:C2"/>
    <mergeCell ref="B3:D3"/>
  </mergeCells>
  <pageMargins left="0.7" right="0.7" top="0.75" bottom="0.75" header="0.3" footer="0.3"/>
  <pageSetup paperSize="9" orientation="portrait" r:id="rId1"/>
  <headerFooter>
    <oddFooter>&amp;C_x000D_&amp;1#&amp;"Arial"&amp;9&amp;K000000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A1AE5-C9B9-B54B-99BD-493B455C2C30}">
  <dimension ref="A1:B1"/>
  <sheetViews>
    <sheetView workbookViewId="0"/>
  </sheetViews>
  <sheetFormatPr defaultColWidth="11" defaultRowHeight="15.75" x14ac:dyDescent="0.25"/>
  <cols>
    <col min="1" max="1" width="2.625" bestFit="1" customWidth="1"/>
    <col min="2" max="2" width="5.875" bestFit="1" customWidth="1"/>
  </cols>
  <sheetData>
    <row r="1" spans="1:2" x14ac:dyDescent="0.25">
      <c r="A1" t="s">
        <v>659</v>
      </c>
      <c r="B1" t="s">
        <v>728</v>
      </c>
    </row>
  </sheetData>
  <pageMargins left="0.7" right="0.7" top="0.75" bottom="0.75" header="0.3" footer="0.3"/>
  <headerFooter>
    <oddFooter>&amp;C_x000D_&amp;1#&amp;"Arial"&amp;9&amp;K000000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4E6A8-2E7A-4621-BC74-D2184E3DF70F}">
  <dimension ref="B1:I14"/>
  <sheetViews>
    <sheetView showGridLines="0" zoomScaleNormal="100" workbookViewId="0">
      <selection activeCell="C4" sqref="C4"/>
    </sheetView>
  </sheetViews>
  <sheetFormatPr defaultColWidth="18.125" defaultRowHeight="15.75" x14ac:dyDescent="0.25"/>
  <cols>
    <col min="1" max="1" width="15.375" customWidth="1"/>
    <col min="2" max="2" width="38.375" customWidth="1"/>
    <col min="3" max="4" width="19.125" customWidth="1"/>
    <col min="5" max="5" width="18.875" customWidth="1"/>
    <col min="6" max="6" width="22.5" customWidth="1"/>
    <col min="8" max="8" width="35" bestFit="1" customWidth="1"/>
  </cols>
  <sheetData>
    <row r="1" spans="2:9" ht="66" customHeight="1" x14ac:dyDescent="0.25">
      <c r="B1" s="187" t="s">
        <v>96</v>
      </c>
      <c r="C1" s="187"/>
      <c r="D1" s="187"/>
      <c r="H1" s="145" t="s">
        <v>726</v>
      </c>
      <c r="I1" s="145" t="str">
        <f>IF(AND(ISERROR(FIND("&lt;",_xlfn.CONCAT(C4:C5))),_xlfn.CONCAT(H3:H7)=""),"VALID","INVALID")</f>
        <v>INVALID</v>
      </c>
    </row>
    <row r="2" spans="2:9" x14ac:dyDescent="0.25">
      <c r="B2" s="104" t="s">
        <v>669</v>
      </c>
      <c r="C2" s="105"/>
    </row>
    <row r="3" spans="2:9" ht="16.5" thickBot="1" x14ac:dyDescent="0.3">
      <c r="B3" s="106" t="s">
        <v>97</v>
      </c>
      <c r="C3" s="165" t="s">
        <v>670</v>
      </c>
      <c r="D3" s="17" t="s">
        <v>98</v>
      </c>
      <c r="E3" s="188" t="s">
        <v>99</v>
      </c>
      <c r="F3" s="188"/>
      <c r="G3" s="188"/>
    </row>
    <row r="4" spans="2:9" ht="60.95" customHeight="1" thickBot="1" x14ac:dyDescent="0.3">
      <c r="B4" s="107" t="s">
        <v>100</v>
      </c>
      <c r="C4" s="167" t="s">
        <v>698</v>
      </c>
      <c r="D4" s="108" t="s">
        <v>101</v>
      </c>
      <c r="E4" s="189" t="s">
        <v>672</v>
      </c>
      <c r="F4" s="190"/>
      <c r="G4" s="191"/>
      <c r="H4" s="146" t="str">
        <f>IF(ISBLANK(C4),"&lt;---- This field cannot be left empty!","")</f>
        <v/>
      </c>
    </row>
    <row r="5" spans="2:9" ht="30.75" customHeight="1" thickBot="1" x14ac:dyDescent="0.3">
      <c r="B5" s="18" t="s">
        <v>102</v>
      </c>
      <c r="C5" s="168" t="s">
        <v>698</v>
      </c>
      <c r="D5" s="15" t="s">
        <v>101</v>
      </c>
      <c r="E5" s="192" t="s">
        <v>103</v>
      </c>
      <c r="F5" s="193"/>
      <c r="G5" s="194"/>
      <c r="H5" s="146" t="str">
        <f>IF(ISBLANK(C5),"&lt;---- This field cannot be left empty!","")</f>
        <v/>
      </c>
    </row>
    <row r="6" spans="2:9" x14ac:dyDescent="0.25">
      <c r="B6" s="11"/>
      <c r="C6" s="73"/>
    </row>
    <row r="7" spans="2:9" ht="21.75" customHeight="1" x14ac:dyDescent="0.25">
      <c r="B7" s="196" t="s">
        <v>718</v>
      </c>
      <c r="C7" s="196"/>
      <c r="D7" s="196"/>
      <c r="E7" s="196"/>
      <c r="F7" s="196"/>
    </row>
    <row r="8" spans="2:9" ht="16.5" thickBot="1" x14ac:dyDescent="0.3">
      <c r="B8" s="16" t="s">
        <v>97</v>
      </c>
      <c r="C8" s="164" t="s">
        <v>671</v>
      </c>
      <c r="D8" s="164" t="s">
        <v>670</v>
      </c>
      <c r="E8" s="164" t="s">
        <v>727</v>
      </c>
      <c r="F8" s="17" t="s">
        <v>98</v>
      </c>
    </row>
    <row r="9" spans="2:9" ht="34.5" customHeight="1" thickBot="1" x14ac:dyDescent="0.3">
      <c r="B9" s="107" t="s">
        <v>100</v>
      </c>
      <c r="C9" s="162" t="str">
        <f>IFERROR(VLOOKUP("perf_Overall_min",'HIDDEN Testrun Results'!$A:$B,2,FALSE),"&lt;min.  measurement&gt;")</f>
        <v>&lt;min.  measurement&gt;</v>
      </c>
      <c r="D9" s="162" t="str">
        <f>IFERROR(VLOOKUP("perf_Overall_max",'HIDDEN Testrun Results'!$A:$B,2,FALSE),"&lt;max.  measurement&gt;")</f>
        <v>&lt;max.  measurement&gt;</v>
      </c>
      <c r="E9" s="162" t="str">
        <f>IFERROR(VLOOKUP("perf_Overall_avg",'HIDDEN Testrun Results'!$A:$B,2,FALSE),"&lt;avg.  measurement&gt;")</f>
        <v>&lt;avg.  measurement&gt;</v>
      </c>
      <c r="F9" s="147" t="s">
        <v>101</v>
      </c>
    </row>
    <row r="10" spans="2:9" ht="33" customHeight="1" thickBot="1" x14ac:dyDescent="0.3">
      <c r="B10" s="18" t="s">
        <v>102</v>
      </c>
      <c r="C10" s="163" t="str">
        <f>IFERROR(VLOOKUP("perf_Authorize_min",'HIDDEN Testrun Results'!$A:$B,2,FALSE),"&lt;min.  measurement&gt;")</f>
        <v>&lt;min.  measurement&gt;</v>
      </c>
      <c r="D10" s="163" t="str">
        <f>IFERROR(VLOOKUP("perf_Authorize_max",'HIDDEN Testrun Results'!$A:$B,2,FALSE),"&lt;max.  measurement&gt;")</f>
        <v>&lt;max.  measurement&gt;</v>
      </c>
      <c r="E10" s="163" t="str">
        <f>IFERROR(VLOOKUP("perf_Authorize_avg",'HIDDEN Testrun Results'!$A:$B,2,FALSE),"&lt;avg.  measurement&gt;")</f>
        <v>&lt;avg.  measurement&gt;</v>
      </c>
      <c r="F10" s="148" t="s">
        <v>101</v>
      </c>
    </row>
    <row r="11" spans="2:9" x14ac:dyDescent="0.25">
      <c r="B11" s="11"/>
      <c r="C11" s="73"/>
    </row>
    <row r="12" spans="2:9" ht="30" x14ac:dyDescent="0.25">
      <c r="B12" s="109" t="s">
        <v>673</v>
      </c>
      <c r="C12" s="138" t="s">
        <v>697</v>
      </c>
    </row>
    <row r="13" spans="2:9" x14ac:dyDescent="0.25">
      <c r="B13" s="11"/>
      <c r="C13" s="73"/>
    </row>
    <row r="14" spans="2:9" ht="90" customHeight="1" x14ac:dyDescent="0.25">
      <c r="B14" s="195" t="s">
        <v>674</v>
      </c>
      <c r="C14" s="195"/>
    </row>
  </sheetData>
  <sheetProtection algorithmName="SHA-512" hashValue="ylTTZTixasau7lj7ZXj8zAvM0+egqJZZwkjXgstHd/KRHqfDXPa088NrCyKZgQpvztkZGFS+4vCDnd4j/bqWVg==" saltValue="18caRKqEu3k1FEigIkyi8w==" spinCount="100000" sheet="1" objects="1" scenarios="1"/>
  <mergeCells count="6">
    <mergeCell ref="B1:D1"/>
    <mergeCell ref="E3:G3"/>
    <mergeCell ref="E4:G4"/>
    <mergeCell ref="E5:G5"/>
    <mergeCell ref="B14:C14"/>
    <mergeCell ref="B7:F7"/>
  </mergeCells>
  <conditionalFormatting sqref="I1">
    <cfRule type="cellIs" dxfId="3" priority="1" operator="equal">
      <formula>"INVALID"</formula>
    </cfRule>
    <cfRule type="cellIs" dxfId="2" priority="2" operator="equal">
      <formula>"VALID"</formula>
    </cfRule>
  </conditionalFormatting>
  <dataValidations count="2">
    <dataValidation type="list" allowBlank="1" showInputMessage="1" showErrorMessage="1" sqref="C12" xr:uid="{7CE196C6-BC2A-2941-B416-0644DA08E005}">
      <formula1>"WiFi,Ethernet,Mobile Network"</formula1>
    </dataValidation>
    <dataValidation type="decimal" operator="greaterThan" showInputMessage="1" showErrorMessage="1" sqref="C4:C5" xr:uid="{CB80E3C8-4A56-4943-9353-4C48B1A9626E}">
      <formula1>0</formula1>
    </dataValidation>
  </dataValidations>
  <pageMargins left="0.7" right="0.7" top="0.75" bottom="0.75" header="0.3" footer="0.3"/>
  <pageSetup orientation="portrait" r:id="rId1"/>
  <headerFooter>
    <oddFooter>&amp;C_x000D_&amp;1#&amp;"Arial"&amp;9&amp;K000000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ABD5A-22C3-6847-B8C8-F11F5C65CC1A}">
  <sheetPr>
    <outlinePr summaryBelow="0" summaryRight="0"/>
  </sheetPr>
  <dimension ref="A1:Q254"/>
  <sheetViews>
    <sheetView zoomScale="85" zoomScaleNormal="85" workbookViewId="0"/>
  </sheetViews>
  <sheetFormatPr defaultColWidth="11.125" defaultRowHeight="15.75" outlineLevelCol="1" x14ac:dyDescent="0.25"/>
  <cols>
    <col min="1" max="1" width="14.5" bestFit="1" customWidth="1"/>
    <col min="2" max="2" width="26.625" bestFit="1" customWidth="1"/>
    <col min="3" max="3" width="84.625" customWidth="1"/>
    <col min="4" max="4" width="44.5" customWidth="1"/>
    <col min="5" max="5" width="73.625" bestFit="1" customWidth="1"/>
    <col min="6" max="6" width="51.125" customWidth="1"/>
    <col min="7" max="7" width="10.125" style="49" customWidth="1"/>
    <col min="8" max="8" width="45.375" style="49" bestFit="1" customWidth="1" collapsed="1"/>
    <col min="9" max="10" width="45.375" style="49" hidden="1" customWidth="1" outlineLevel="1"/>
    <col min="11" max="11" width="46.125" hidden="1" customWidth="1" outlineLevel="1"/>
    <col min="12" max="12" width="25.125" hidden="1" customWidth="1" outlineLevel="1"/>
    <col min="13" max="13" width="22.625" hidden="1" customWidth="1" outlineLevel="1"/>
    <col min="14" max="14" width="21.625" hidden="1" customWidth="1" outlineLevel="1"/>
    <col min="15" max="15" width="0.5" hidden="1" customWidth="1" outlineLevel="1"/>
    <col min="16" max="16" width="16.875" customWidth="1"/>
    <col min="17" max="17" width="37.375" customWidth="1"/>
  </cols>
  <sheetData>
    <row r="1" spans="1:17" x14ac:dyDescent="0.25">
      <c r="A1" s="50" t="s">
        <v>81</v>
      </c>
      <c r="B1" s="50" t="s">
        <v>11</v>
      </c>
      <c r="C1" s="50" t="s">
        <v>82</v>
      </c>
      <c r="D1" s="50" t="s">
        <v>83</v>
      </c>
      <c r="E1" s="50" t="s">
        <v>84</v>
      </c>
      <c r="F1" s="50" t="s">
        <v>85</v>
      </c>
      <c r="G1" s="46" t="s">
        <v>86</v>
      </c>
      <c r="H1" s="46" t="s">
        <v>87</v>
      </c>
      <c r="I1" s="46" t="s">
        <v>88</v>
      </c>
      <c r="J1" s="46" t="s">
        <v>89</v>
      </c>
      <c r="K1" s="1" t="s">
        <v>87</v>
      </c>
      <c r="L1" s="1" t="s">
        <v>90</v>
      </c>
      <c r="M1" s="1" t="s">
        <v>89</v>
      </c>
      <c r="N1" s="21" t="s">
        <v>91</v>
      </c>
      <c r="O1" s="1" t="s">
        <v>92</v>
      </c>
      <c r="P1" s="46" t="s">
        <v>748</v>
      </c>
      <c r="Q1" s="46" t="s">
        <v>749</v>
      </c>
    </row>
    <row r="2" spans="1:17" x14ac:dyDescent="0.25">
      <c r="A2" t="str">
        <f>'HIDDEN import'!B2</f>
        <v>TC_A_01_CSMS</v>
      </c>
      <c r="B2" t="str">
        <f>'HIDDEN import'!C2</f>
        <v>Core</v>
      </c>
      <c r="C2" t="str">
        <f>'HIDDEN import'!D2</f>
        <v>Basic Authentication - Valid username/password combination</v>
      </c>
      <c r="D2" t="str">
        <f>IF(VLOOKUP(A2&amp;" "&amp;B2,'HIDDEN import'!A:G,5,FALSE)="M",MD!$A$1,(IF(AND(VLOOKUP(A2,'HIDDEN import'!B:E,4,FALSE)="C",OR(NOT(ISERROR(VLOOKUP(E2,'Optional features'!B:E,1,FALSE)=E2)),NOT(ISERROR(VLOOKUP(E2,'HIDDEN calc sheet'!A:C,1,FALSE)=E2)))),MD!$A$3,MD!$A$2)))</f>
        <v>Mandatory test for a mandatory feature</v>
      </c>
      <c r="E2" t="str">
        <f>IF('HIDDEN import'!F2=0,"",'HIDDEN import'!F2)</f>
        <v/>
      </c>
      <c r="F2" t="str">
        <f>IF('HIDDEN import'!G2=0,"",'HIDDEN import'!G2)</f>
        <v/>
      </c>
      <c r="G2" s="49" t="str">
        <f>IFERROR(VLOOKUP($A2,'HIDDEN Testrun Results'!$A:$B,2,FALSE),"")</f>
        <v/>
      </c>
      <c r="H2" s="49" t="b">
        <f>IF(NOT(ISLOGICAL(I2)),I2,AND(I2,J2))</f>
        <v>1</v>
      </c>
      <c r="I2" s="49" t="b">
        <f>IF(VLOOKUP(A2&amp;" "&amp;B2,'HIDDEN import'!A:G,5,FALSE)="M",TRUE,IFERROR(VLOOKUP(E2,'Optional features'!B:E,3,FALSE)="Yes",IFERROR(VLOOKUP(E2,'HIDDEN calc sheet'!A:B,2,FALSE),VLOOKUP(E2,'Additional questions'!B:D,3,FALSE)="Yes")))</f>
        <v>1</v>
      </c>
      <c r="J2" t="b">
        <f>IF(VLOOKUP(B2,'Profile selection'!B:C,2,FALSE)="Yes",TRUE,FALSE)</f>
        <v>1</v>
      </c>
      <c r="K2" s="22" t="b">
        <f>IF(AND(D2=MD!$A$1,M2),TRUE,(IF(AND(D2=MD!$A$3,M2),(IF(L2=TRUE,TRUE,FALSE)),(IF(AND(D2=MD!$A$2,M2),(IF(N2=TRUE,TRUE,FALSE)),FALSE)))))</f>
        <v>1</v>
      </c>
      <c r="L2" s="23"/>
      <c r="M2" t="b">
        <f>IF(VLOOKUP(B2,'Profile selection'!B:C,2,FALSE)="Yes",TRUE,FALSE)</f>
        <v>1</v>
      </c>
      <c r="P2" s="73"/>
      <c r="Q2" s="73"/>
    </row>
    <row r="3" spans="1:17" x14ac:dyDescent="0.25">
      <c r="A3" t="str">
        <f>'HIDDEN import'!B3</f>
        <v>TC_A_02_CSMS</v>
      </c>
      <c r="B3" t="str">
        <f>'HIDDEN import'!C3</f>
        <v>Core</v>
      </c>
      <c r="C3" t="str">
        <f>'HIDDEN import'!D3</f>
        <v>Basic Authentication - Username does not equal ChargingStationId</v>
      </c>
      <c r="D3" t="str">
        <f>IF(VLOOKUP(A3&amp;" "&amp;B3,'HIDDEN import'!A:G,5,FALSE)="M",MD!$A$1,(IF(AND(VLOOKUP(A3,'HIDDEN import'!B:E,4,FALSE)="C",OR(NOT(ISERROR(VLOOKUP(E3,'Optional features'!B:E,1,FALSE)=E3)),NOT(ISERROR(VLOOKUP(E3,'HIDDEN calc sheet'!A:C,1,FALSE)=E3)))),MD!$A$3,MD!$A$2)))</f>
        <v>Mandatory test for a mandatory feature</v>
      </c>
      <c r="E3" t="str">
        <f>IF('HIDDEN import'!F3=0,"",'HIDDEN import'!F3)</f>
        <v/>
      </c>
      <c r="F3" t="str">
        <f>IF('HIDDEN import'!G3=0,"",'HIDDEN import'!G3)</f>
        <v/>
      </c>
      <c r="G3" s="49" t="str">
        <f>IFERROR(VLOOKUP($A3,'HIDDEN Testrun Results'!$A:$B,2,FALSE),"")</f>
        <v/>
      </c>
      <c r="H3" s="49" t="b">
        <f t="shared" ref="H3:H66" si="0">IF(NOT(ISLOGICAL(I3)),I3,AND(I3,J3))</f>
        <v>1</v>
      </c>
      <c r="I3" s="49" t="b">
        <f>IF(VLOOKUP(A3&amp;" "&amp;B3,'HIDDEN import'!A:G,5,FALSE)="M",TRUE,IFERROR(VLOOKUP(E3,'Optional features'!B:E,3,FALSE)="Yes",IFERROR(VLOOKUP(E3,'HIDDEN calc sheet'!A:B,2,FALSE),VLOOKUP(E3,'Additional questions'!B:D,3,FALSE)="Yes")))</f>
        <v>1</v>
      </c>
      <c r="J3" t="b">
        <f>IF(VLOOKUP(B3,'Profile selection'!B:C,2,FALSE)="Yes",TRUE,FALSE)</f>
        <v>1</v>
      </c>
      <c r="K3" s="22" t="b">
        <f>IF(AND(D3=MD!$A$1,M3),TRUE,(IF(AND(D3=MD!$A$3,M3),(IF(L3=TRUE,TRUE,FALSE)),(IF(AND(D3=MD!$A$2,M3),(IF(N3=TRUE,TRUE,FALSE)),FALSE)))))</f>
        <v>1</v>
      </c>
      <c r="M3" t="b">
        <f>IF(VLOOKUP(B3,'Profile selection'!B:C,2,FALSE)="Yes",TRUE,FALSE)</f>
        <v>1</v>
      </c>
      <c r="P3" s="73"/>
      <c r="Q3" s="73"/>
    </row>
    <row r="4" spans="1:17" x14ac:dyDescent="0.25">
      <c r="A4" t="str">
        <f>'HIDDEN import'!B4</f>
        <v>TC_A_03_CSMS</v>
      </c>
      <c r="B4" t="str">
        <f>'HIDDEN import'!C4</f>
        <v>Core</v>
      </c>
      <c r="C4" t="str">
        <f>'HIDDEN import'!D4</f>
        <v>Basic Authentication - Invalid password</v>
      </c>
      <c r="D4" t="str">
        <f>IF(VLOOKUP(A4&amp;" "&amp;B4,'HIDDEN import'!A:G,5,FALSE)="M",MD!$A$1,(IF(AND(VLOOKUP(A4,'HIDDEN import'!B:E,4,FALSE)="C",OR(NOT(ISERROR(VLOOKUP(E4,'Optional features'!B:E,1,FALSE)=E4)),NOT(ISERROR(VLOOKUP(E4,'HIDDEN calc sheet'!A:C,1,FALSE)=E4)))),MD!$A$3,MD!$A$2)))</f>
        <v>Mandatory test for a mandatory feature</v>
      </c>
      <c r="E4" t="str">
        <f>IF('HIDDEN import'!F4=0,"",'HIDDEN import'!F4)</f>
        <v/>
      </c>
      <c r="F4" t="str">
        <f>IF('HIDDEN import'!G4=0,"",'HIDDEN import'!G4)</f>
        <v/>
      </c>
      <c r="G4" s="49" t="str">
        <f>IFERROR(VLOOKUP($A4,'HIDDEN Testrun Results'!$A:$B,2,FALSE),"")</f>
        <v/>
      </c>
      <c r="H4" s="49" t="b">
        <f t="shared" si="0"/>
        <v>1</v>
      </c>
      <c r="I4" s="49" t="b">
        <f>IF(VLOOKUP(A4&amp;" "&amp;B4,'HIDDEN import'!A:G,5,FALSE)="M",TRUE,IFERROR(VLOOKUP(E4,'Optional features'!B:E,3,FALSE)="Yes",IFERROR(VLOOKUP(E4,'HIDDEN calc sheet'!A:B,2,FALSE),VLOOKUP(E4,'Additional questions'!B:D,3,FALSE)="Yes")))</f>
        <v>1</v>
      </c>
      <c r="J4" t="b">
        <f>IF(VLOOKUP(B4,'Profile selection'!B:C,2,FALSE)="Yes",TRUE,FALSE)</f>
        <v>1</v>
      </c>
      <c r="K4" s="22" t="b">
        <f>IF(AND(D4=MD!$A$1,M4),TRUE,(IF(AND(D4=MD!$A$3,M4),(IF(L4=TRUE,TRUE,FALSE)),(IF(AND(D4=MD!$A$2,M4),(IF(N4=TRUE,TRUE,FALSE)),FALSE)))))</f>
        <v>1</v>
      </c>
      <c r="M4" t="b">
        <f>IF(VLOOKUP(B4,'Profile selection'!B:C,2,FALSE)="Yes",TRUE,FALSE)</f>
        <v>1</v>
      </c>
      <c r="P4" s="73"/>
      <c r="Q4" s="73"/>
    </row>
    <row r="5" spans="1:17" x14ac:dyDescent="0.25">
      <c r="A5" t="str">
        <f>'HIDDEN import'!B5</f>
        <v>TC_A_09_CSMS</v>
      </c>
      <c r="B5" t="str">
        <f>'HIDDEN import'!C5</f>
        <v>Core</v>
      </c>
      <c r="C5" t="str">
        <f>'HIDDEN import'!D5</f>
        <v>Update Charging Station Password for HTTP Basic Authentication - Accepted</v>
      </c>
      <c r="D5" t="str">
        <f>IF(VLOOKUP(A5&amp;" "&amp;B5,'HIDDEN import'!A:G,5,FALSE)="M",MD!$A$1,(IF(AND(VLOOKUP(A5,'HIDDEN import'!B:E,4,FALSE)="C",OR(NOT(ISERROR(VLOOKUP(E5,'Optional features'!B:E,1,FALSE)=E5)),NOT(ISERROR(VLOOKUP(E5,'HIDDEN calc sheet'!A:C,1,FALSE)=E5)))),MD!$A$3,MD!$A$2)))</f>
        <v>Mandatory test for a mandatory feature</v>
      </c>
      <c r="E5" t="str">
        <f>IF('HIDDEN import'!F5=0,"",'HIDDEN import'!F5)</f>
        <v/>
      </c>
      <c r="F5" t="str">
        <f>IF('HIDDEN import'!G5=0,"",'HIDDEN import'!G5)</f>
        <v/>
      </c>
      <c r="G5" s="49" t="str">
        <f>IFERROR(VLOOKUP($A5,'HIDDEN Testrun Results'!$A:$B,2,FALSE),"")</f>
        <v/>
      </c>
      <c r="H5" s="49" t="b">
        <f t="shared" si="0"/>
        <v>1</v>
      </c>
      <c r="I5" s="49" t="b">
        <f>IF(VLOOKUP(A5&amp;" "&amp;B5,'HIDDEN import'!A:G,5,FALSE)="M",TRUE,IFERROR(VLOOKUP(E5,'Optional features'!B:E,3,FALSE)="Yes",IFERROR(VLOOKUP(E5,'HIDDEN calc sheet'!A:B,2,FALSE),VLOOKUP(E5,'Additional questions'!B:D,3,FALSE)="Yes")))</f>
        <v>1</v>
      </c>
      <c r="J5" t="b">
        <f>IF(VLOOKUP(B5,'Profile selection'!B:C,2,FALSE)="Yes",TRUE,FALSE)</f>
        <v>1</v>
      </c>
      <c r="K5" s="22" t="b">
        <f>IF(AND(D5=MD!$A$1,M5),TRUE,(IF(AND(D5=MD!$A$3,M5),(IF(L5=TRUE,TRUE,FALSE)),(IF(AND(D5=MD!$A$2,M5),(IF(N5=TRUE,TRUE,FALSE)),FALSE)))))</f>
        <v>1</v>
      </c>
      <c r="M5" t="b">
        <f>IF(VLOOKUP(B5,'Profile selection'!B:C,2,FALSE)="Yes",TRUE,FALSE)</f>
        <v>1</v>
      </c>
      <c r="P5" s="73"/>
      <c r="Q5" s="73"/>
    </row>
    <row r="6" spans="1:17" x14ac:dyDescent="0.25">
      <c r="A6" t="str">
        <f>'HIDDEN import'!B6</f>
        <v>TC_A_10_CSMS</v>
      </c>
      <c r="B6" t="str">
        <f>'HIDDEN import'!C6</f>
        <v>Core</v>
      </c>
      <c r="C6" t="str">
        <f>'HIDDEN import'!D6</f>
        <v>Update Charging Station Password for HTTP Basic Authentication - Rejected</v>
      </c>
      <c r="D6" t="str">
        <f>IF(VLOOKUP(A6&amp;" "&amp;B6,'HIDDEN import'!A:G,5,FALSE)="M",MD!$A$1,(IF(AND(VLOOKUP(A6,'HIDDEN import'!B:E,4,FALSE)="C",OR(NOT(ISERROR(VLOOKUP(E6,'Optional features'!B:E,1,FALSE)=E6)),NOT(ISERROR(VLOOKUP(E6,'HIDDEN calc sheet'!A:C,1,FALSE)=E6)))),MD!$A$3,MD!$A$2)))</f>
        <v>Mandatory test for a mandatory feature</v>
      </c>
      <c r="E6" t="str">
        <f>IF('HIDDEN import'!F6=0,"",'HIDDEN import'!F6)</f>
        <v/>
      </c>
      <c r="F6" t="str">
        <f>IF('HIDDEN import'!G6=0,"",'HIDDEN import'!G6)</f>
        <v/>
      </c>
      <c r="G6" s="49" t="str">
        <f>IFERROR(VLOOKUP($A6,'HIDDEN Testrun Results'!$A:$B,2,FALSE),"")</f>
        <v/>
      </c>
      <c r="H6" s="49" t="b">
        <f t="shared" si="0"/>
        <v>1</v>
      </c>
      <c r="I6" s="49" t="b">
        <f>IF(VLOOKUP(A6&amp;" "&amp;B6,'HIDDEN import'!A:G,5,FALSE)="M",TRUE,IFERROR(VLOOKUP(E6,'Optional features'!B:E,3,FALSE)="Yes",IFERROR(VLOOKUP(E6,'HIDDEN calc sheet'!A:B,2,FALSE),VLOOKUP(E6,'Additional questions'!B:D,3,FALSE)="Yes")))</f>
        <v>1</v>
      </c>
      <c r="J6" t="b">
        <f>IF(VLOOKUP(B6,'Profile selection'!B:C,2,FALSE)="Yes",TRUE,FALSE)</f>
        <v>1</v>
      </c>
      <c r="K6" s="22" t="b">
        <f>IF(AND(D6=MD!$A$1,M6),TRUE,(IF(AND(D6=MD!$A$3,M6),(IF(L6=TRUE,TRUE,FALSE)),(IF(AND(D6=MD!$A$2,M6),(IF(N6=TRUE,TRUE,FALSE)),FALSE)))))</f>
        <v>1</v>
      </c>
      <c r="M6" t="b">
        <f>IF(VLOOKUP(B6,'Profile selection'!B:C,2,FALSE)="Yes",TRUE,FALSE)</f>
        <v>1</v>
      </c>
      <c r="P6" s="73"/>
      <c r="Q6" s="73"/>
    </row>
    <row r="7" spans="1:17" x14ac:dyDescent="0.25">
      <c r="A7" t="str">
        <f>'HIDDEN import'!B7</f>
        <v>TC_A_04_CSMS</v>
      </c>
      <c r="B7" t="str">
        <f>'HIDDEN import'!C7</f>
        <v>Core</v>
      </c>
      <c r="C7" t="str">
        <f>'HIDDEN import'!D7</f>
        <v>TLS - server-side certificate - Valid certificate</v>
      </c>
      <c r="D7" t="str">
        <f>IF(VLOOKUP(A7&amp;" "&amp;B7,'HIDDEN import'!A:G,5,FALSE)="M",MD!$A$1,(IF(AND(VLOOKUP(A7,'HIDDEN import'!B:E,4,FALSE)="C",OR(NOT(ISERROR(VLOOKUP(E7,'Optional features'!B:E,1,FALSE)=E7)),NOT(ISERROR(VLOOKUP(E7,'HIDDEN calc sheet'!A:C,1,FALSE)=E7)))),MD!$A$3,MD!$A$2)))</f>
        <v>Mandatory test for a mandatory feature</v>
      </c>
      <c r="E7" t="str">
        <f>IF('HIDDEN import'!F7=0,"",'HIDDEN import'!F7)</f>
        <v/>
      </c>
      <c r="F7" t="str">
        <f>IF('HIDDEN import'!G7=0,"",'HIDDEN import'!G7)</f>
        <v/>
      </c>
      <c r="G7" s="49" t="str">
        <f>IFERROR(VLOOKUP($A7,'HIDDEN Testrun Results'!$A:$B,2,FALSE),"")</f>
        <v/>
      </c>
      <c r="H7" s="49" t="b">
        <f t="shared" si="0"/>
        <v>1</v>
      </c>
      <c r="I7" s="49" t="b">
        <f>IF(VLOOKUP(A7&amp;" "&amp;B7,'HIDDEN import'!A:G,5,FALSE)="M",TRUE,IFERROR(VLOOKUP(E7,'Optional features'!B:E,3,FALSE)="Yes",IFERROR(VLOOKUP(E7,'HIDDEN calc sheet'!A:B,2,FALSE),VLOOKUP(E7,'Additional questions'!B:D,3,FALSE)="Yes")))</f>
        <v>1</v>
      </c>
      <c r="J7" t="b">
        <f>IF(VLOOKUP(B7,'Profile selection'!B:C,2,FALSE)="Yes",TRUE,FALSE)</f>
        <v>1</v>
      </c>
      <c r="K7" s="22" t="b">
        <f>IF(AND(D7=MD!$A$1,M7),TRUE,(IF(AND(D7=MD!$A$3,M7),(IF(L7=TRUE,TRUE,FALSE)),(IF(AND(D7=MD!$A$2,M7),(IF(N7=TRUE,TRUE,FALSE)),FALSE)))))</f>
        <v>1</v>
      </c>
      <c r="M7" t="b">
        <f>IF(VLOOKUP(B7,'Profile selection'!B:C,2,FALSE)="Yes",TRUE,FALSE)</f>
        <v>1</v>
      </c>
      <c r="P7" s="73"/>
      <c r="Q7" s="73"/>
    </row>
    <row r="8" spans="1:17" x14ac:dyDescent="0.25">
      <c r="A8" t="str">
        <f>'HIDDEN import'!B8</f>
        <v>TC_A_06_CSMS</v>
      </c>
      <c r="B8" t="str">
        <f>'HIDDEN import'!C8</f>
        <v>Core</v>
      </c>
      <c r="C8" t="str">
        <f>'HIDDEN import'!D8</f>
        <v>TLS - server-side certificate - TLS version too low</v>
      </c>
      <c r="D8" t="str">
        <f>IF(VLOOKUP(A8&amp;" "&amp;B8,'HIDDEN import'!A:G,5,FALSE)="M",MD!$A$1,(IF(AND(VLOOKUP(A8,'HIDDEN import'!B:E,4,FALSE)="C",OR(NOT(ISERROR(VLOOKUP(E8,'Optional features'!B:E,1,FALSE)=E8)),NOT(ISERROR(VLOOKUP(E8,'HIDDEN calc sheet'!A:C,1,FALSE)=E8)))),MD!$A$3,MD!$A$2)))</f>
        <v>Mandatory test for a mandatory feature</v>
      </c>
      <c r="E8" t="str">
        <f>IF('HIDDEN import'!F8=0,"",'HIDDEN import'!F8)</f>
        <v/>
      </c>
      <c r="F8" t="str">
        <f>IF('HIDDEN import'!G8=0,"",'HIDDEN import'!G8)</f>
        <v/>
      </c>
      <c r="G8" s="49" t="str">
        <f>IFERROR(VLOOKUP($A8,'HIDDEN Testrun Results'!$A:$B,2,FALSE),"")</f>
        <v/>
      </c>
      <c r="H8" s="49" t="b">
        <f t="shared" si="0"/>
        <v>1</v>
      </c>
      <c r="I8" s="49" t="b">
        <f>IF(VLOOKUP(A8&amp;" "&amp;B8,'HIDDEN import'!A:G,5,FALSE)="M",TRUE,IFERROR(VLOOKUP(E8,'Optional features'!B:E,3,FALSE)="Yes",IFERROR(VLOOKUP(E8,'HIDDEN calc sheet'!A:B,2,FALSE),VLOOKUP(E8,'Additional questions'!B:D,3,FALSE)="Yes")))</f>
        <v>1</v>
      </c>
      <c r="J8" t="b">
        <f>IF(VLOOKUP(B8,'Profile selection'!B:C,2,FALSE)="Yes",TRUE,FALSE)</f>
        <v>1</v>
      </c>
      <c r="K8" s="22" t="b">
        <f>IF(AND(D8=MD!$A$1,M8),TRUE,(IF(AND(D8=MD!$A$3,M8),(IF(L8=TRUE,TRUE,FALSE)),(IF(AND(D8=MD!$A$2,M8),(IF(N8=TRUE,TRUE,FALSE)),FALSE)))))</f>
        <v>1</v>
      </c>
      <c r="M8" t="b">
        <f>IF(VLOOKUP(B8,'Profile selection'!B:C,2,FALSE)="Yes",TRUE,FALSE)</f>
        <v>1</v>
      </c>
      <c r="P8" s="73"/>
      <c r="Q8" s="73"/>
    </row>
    <row r="9" spans="1:17" x14ac:dyDescent="0.25">
      <c r="A9" t="str">
        <f>'HIDDEN import'!B9</f>
        <v>TC_A_19_CSMS</v>
      </c>
      <c r="B9" t="str">
        <f>'HIDDEN import'!C9</f>
        <v>Core</v>
      </c>
      <c r="C9" t="str">
        <f>'HIDDEN import'!D9</f>
        <v>Upgrade Charging Station Security Profile - Accepted</v>
      </c>
      <c r="D9" t="str">
        <f>IF(VLOOKUP(A9&amp;" "&amp;B9,'HIDDEN import'!A:G,5,FALSE)="M",MD!$A$1,(IF(AND(VLOOKUP(A9,'HIDDEN import'!B:E,4,FALSE)="C",OR(NOT(ISERROR(VLOOKUP(E9,'Optional features'!B:E,1,FALSE)=E9)),NOT(ISERROR(VLOOKUP(E9,'HIDDEN calc sheet'!A:C,1,FALSE)=E9)))),MD!$A$3,MD!$A$2)))</f>
        <v>Mandatory test for a mandatory feature</v>
      </c>
      <c r="E9" t="str">
        <f>IF('HIDDEN import'!F9=0,"",'HIDDEN import'!F9)</f>
        <v/>
      </c>
      <c r="F9" t="str">
        <f>IF('HIDDEN import'!G9=0,"",'HIDDEN import'!G9)</f>
        <v/>
      </c>
      <c r="G9" s="49" t="str">
        <f>IFERROR(VLOOKUP($A9,'HIDDEN Testrun Results'!$A:$B,2,FALSE),"")</f>
        <v/>
      </c>
      <c r="H9" s="49" t="b">
        <f t="shared" si="0"/>
        <v>1</v>
      </c>
      <c r="I9" s="49" t="b">
        <f>IF(VLOOKUP(A9&amp;" "&amp;B9,'HIDDEN import'!A:G,5,FALSE)="M",TRUE,IFERROR(VLOOKUP(E9,'Optional features'!B:E,3,FALSE)="Yes",IFERROR(VLOOKUP(E9,'HIDDEN calc sheet'!A:B,2,FALSE),VLOOKUP(E9,'Additional questions'!B:D,3,FALSE)="Yes")))</f>
        <v>1</v>
      </c>
      <c r="J9" t="b">
        <f>IF(VLOOKUP(B9,'Profile selection'!B:C,2,FALSE)="Yes",TRUE,FALSE)</f>
        <v>1</v>
      </c>
      <c r="K9" s="22" t="b">
        <f>IF(AND(D9=MD!$A$1,M9),TRUE,(IF(AND(D9=MD!$A$3,M9),(IF(L9=TRUE,TRUE,FALSE)),(IF(AND(D9=MD!$A$2,M9),(IF(N9=TRUE,TRUE,FALSE)),FALSE)))))</f>
        <v>1</v>
      </c>
      <c r="M9" t="b">
        <f>IF(VLOOKUP(B9,'Profile selection'!B:C,2,FALSE)="Yes",TRUE,FALSE)</f>
        <v>1</v>
      </c>
      <c r="P9" s="73"/>
      <c r="Q9" s="73"/>
    </row>
    <row r="10" spans="1:17" x14ac:dyDescent="0.25">
      <c r="A10" t="str">
        <f>'HIDDEN import'!B10</f>
        <v>TC_B_01_CSMS</v>
      </c>
      <c r="B10" t="str">
        <f>'HIDDEN import'!C10</f>
        <v>Core</v>
      </c>
      <c r="C10" t="str">
        <f>'HIDDEN import'!D10</f>
        <v>Cold Boot Charging Station - Accepted</v>
      </c>
      <c r="D10" t="str">
        <f>IF(VLOOKUP(A10&amp;" "&amp;B10,'HIDDEN import'!A:G,5,FALSE)="M",MD!$A$1,(IF(AND(VLOOKUP(A10,'HIDDEN import'!B:E,4,FALSE)="C",OR(NOT(ISERROR(VLOOKUP(E10,'Optional features'!B:E,1,FALSE)=E10)),NOT(ISERROR(VLOOKUP(E10,'HIDDEN calc sheet'!A:C,1,FALSE)=E10)))),MD!$A$3,MD!$A$2)))</f>
        <v>Mandatory test for a mandatory feature</v>
      </c>
      <c r="E10" t="str">
        <f>IF('HIDDEN import'!F10=0,"",'HIDDEN import'!F10)</f>
        <v/>
      </c>
      <c r="F10" t="str">
        <f>IF('HIDDEN import'!G10=0,"",'HIDDEN import'!G10)</f>
        <v/>
      </c>
      <c r="G10" s="49" t="str">
        <f>IFERROR(VLOOKUP($A10,'HIDDEN Testrun Results'!$A:$B,2,FALSE),"")</f>
        <v/>
      </c>
      <c r="H10" s="49" t="b">
        <f t="shared" si="0"/>
        <v>1</v>
      </c>
      <c r="I10" s="49" t="b">
        <f>IF(VLOOKUP(A10&amp;" "&amp;B10,'HIDDEN import'!A:G,5,FALSE)="M",TRUE,IFERROR(VLOOKUP(E10,'Optional features'!B:E,3,FALSE)="Yes",IFERROR(VLOOKUP(E10,'HIDDEN calc sheet'!A:B,2,FALSE),VLOOKUP(E10,'Additional questions'!B:D,3,FALSE)="Yes")))</f>
        <v>1</v>
      </c>
      <c r="J10" t="b">
        <f>IF(VLOOKUP(B10,'Profile selection'!B:C,2,FALSE)="Yes",TRUE,FALSE)</f>
        <v>1</v>
      </c>
      <c r="K10" s="22" t="b">
        <f>IF(AND(D10=MD!$A$1,M10),TRUE,(IF(AND(D10=MD!$A$3,M10),(IF(L10=TRUE,TRUE,FALSE)),(IF(AND(D10=MD!$A$2,M10),(IF(N10=TRUE,TRUE,FALSE)),FALSE)))))</f>
        <v>1</v>
      </c>
      <c r="M10" t="b">
        <f>IF(VLOOKUP(B10,'Profile selection'!B:C,2,FALSE)="Yes",TRUE,FALSE)</f>
        <v>1</v>
      </c>
      <c r="P10" s="73"/>
      <c r="Q10" s="73"/>
    </row>
    <row r="11" spans="1:17" x14ac:dyDescent="0.25">
      <c r="A11" t="str">
        <f>'HIDDEN import'!B11</f>
        <v>TC_B_02_CSMS</v>
      </c>
      <c r="B11" t="str">
        <f>'HIDDEN import'!C11</f>
        <v>Core</v>
      </c>
      <c r="C11" t="str">
        <f>'HIDDEN import'!D11</f>
        <v>Cold Boot Charging Station - Pending</v>
      </c>
      <c r="D11" t="str">
        <f>IF(VLOOKUP(A11&amp;" "&amp;B11,'HIDDEN import'!A:G,5,FALSE)="M",MD!$A$1,(IF(AND(VLOOKUP(A11,'HIDDEN import'!B:E,4,FALSE)="C",OR(NOT(ISERROR(VLOOKUP(E11,'Optional features'!B:E,1,FALSE)=E11)),NOT(ISERROR(VLOOKUP(E11,'HIDDEN calc sheet'!A:C,1,FALSE)=E11)))),MD!$A$3,MD!$A$2)))</f>
        <v>Mandatory for optional feature</v>
      </c>
      <c r="E11" t="str">
        <f>IF('HIDDEN import'!F11=0,"",'HIDDEN import'!F11)</f>
        <v>C-44</v>
      </c>
      <c r="F11" t="str">
        <f>IF('HIDDEN import'!G11=0,"",'HIDDEN import'!G11)</f>
        <v>BootNotification Pending</v>
      </c>
      <c r="G11" s="49" t="str">
        <f>IFERROR(VLOOKUP($A11,'HIDDEN Testrun Results'!$A:$B,2,FALSE),"")</f>
        <v/>
      </c>
      <c r="H11" s="49" t="b">
        <f t="shared" si="0"/>
        <v>0</v>
      </c>
      <c r="I11" s="49" t="b">
        <f>IF(VLOOKUP(A11&amp;" "&amp;B11,'HIDDEN import'!A:G,5,FALSE)="M",TRUE,IFERROR(VLOOKUP(E11,'Optional features'!B:E,3,FALSE)="Yes",IFERROR(VLOOKUP(E11,'HIDDEN calc sheet'!A:B,2,FALSE),VLOOKUP(E11,'Additional questions'!B:D,3,FALSE)="Yes")))</f>
        <v>0</v>
      </c>
      <c r="J11" t="b">
        <f>IF(VLOOKUP(B11,'Profile selection'!B:C,2,FALSE)="Yes",TRUE,FALSE)</f>
        <v>1</v>
      </c>
      <c r="K11" s="22" t="b">
        <f>IF(AND(D11=MD!$A$1,M11),TRUE,(IF(AND(D11=MD!$A$3,M11),(IF(L11=TRUE,TRUE,FALSE)),(IF(AND(D11=MD!$A$2,M11),(IF(N11=TRUE,TRUE,FALSE)),FALSE)))))</f>
        <v>0</v>
      </c>
      <c r="L11" t="b">
        <f>IF(ISNA(VLOOKUP(E11,'Optional features'!B:D,3,FALSE)),FALSE,IF(VLOOKUP(E11,'Optional features'!B:D,3,FALSE)="Yes",TRUE,FALSE))</f>
        <v>0</v>
      </c>
      <c r="M11" t="b">
        <f>IF(VLOOKUP(B11,'Profile selection'!B:C,2,FALSE)="Yes",TRUE,FALSE)</f>
        <v>1</v>
      </c>
      <c r="P11" s="73"/>
      <c r="Q11" s="73"/>
    </row>
    <row r="12" spans="1:17" x14ac:dyDescent="0.25">
      <c r="A12" t="str">
        <f>'HIDDEN import'!B12</f>
        <v>TC_B_30_CSMS</v>
      </c>
      <c r="B12" t="str">
        <f>'HIDDEN import'!C12</f>
        <v>Core</v>
      </c>
      <c r="C12" t="str">
        <f>'HIDDEN import'!D12</f>
        <v>Cold Boot Charging Station - Pending/Rejected - SecurityError</v>
      </c>
      <c r="D12" t="str">
        <f>IF(VLOOKUP(A12&amp;" "&amp;B12,'HIDDEN import'!A:G,5,FALSE)="M",MD!$A$1,(IF(AND(VLOOKUP(A12,'HIDDEN import'!B:E,4,FALSE)="C",OR(NOT(ISERROR(VLOOKUP(E12,'Optional features'!B:E,1,FALSE)=E12)),NOT(ISERROR(VLOOKUP(E12,'HIDDEN calc sheet'!A:C,1,FALSE)=E12)))),MD!$A$3,MD!$A$2)))</f>
        <v>Mandatory for optional feature</v>
      </c>
      <c r="E12" t="str">
        <f>IF('HIDDEN import'!F12=0,"",'HIDDEN import'!F12)</f>
        <v>C-44 or NOT AQ-6</v>
      </c>
      <c r="F12" t="str">
        <f>IF('HIDDEN import'!G12=0,"",'HIDDEN import'!G12)</f>
        <v>BootNotification Pending or + Does the CSMS reject unknown Charging Stations during websocket connection setup?</v>
      </c>
      <c r="G12" s="49" t="str">
        <f>IFERROR(VLOOKUP($A12,'HIDDEN Testrun Results'!$A:$B,2,FALSE),"")</f>
        <v/>
      </c>
      <c r="H12" s="49" t="b">
        <f t="shared" si="0"/>
        <v>1</v>
      </c>
      <c r="I12" s="49" t="b">
        <f>IF(VLOOKUP(A12&amp;" "&amp;B12,'HIDDEN import'!A:G,5,FALSE)="M",TRUE,IFERROR(VLOOKUP(E12,'Optional features'!B:E,3,FALSE)="Yes",IFERROR(VLOOKUP(E12,'HIDDEN calc sheet'!A:B,2,FALSE),VLOOKUP(E12,'Additional questions'!B:D,3,FALSE)="Yes")))</f>
        <v>1</v>
      </c>
      <c r="J12" t="b">
        <f>IF(VLOOKUP(B12,'Profile selection'!B:C,2,FALSE)="Yes",TRUE,FALSE)</f>
        <v>1</v>
      </c>
      <c r="K12" s="22" t="b">
        <f>IF(AND(D12=MD!$A$1,M12),TRUE,(IF(AND(D12=MD!$A$3,M12),(IF(L12=TRUE,TRUE,FALSE)),(IF(AND(D12=MD!$A$2,M12),(IF(N12=TRUE,TRUE,FALSE)),FALSE)))))</f>
        <v>0</v>
      </c>
      <c r="M12" t="b">
        <f>IF(VLOOKUP(B12,'Profile selection'!B:C,2,FALSE)="Yes",TRUE,FALSE)</f>
        <v>1</v>
      </c>
      <c r="N12" t="b">
        <f>IF('Additional questions'!D4="Yes",TRUE,FALSE)</f>
        <v>0</v>
      </c>
      <c r="P12" s="73"/>
      <c r="Q12" s="73"/>
    </row>
    <row r="13" spans="1:17" x14ac:dyDescent="0.25">
      <c r="A13" t="str">
        <f>'HIDDEN import'!B13</f>
        <v>TC_B_31_CSMS</v>
      </c>
      <c r="B13" t="str">
        <f>'HIDDEN import'!C13</f>
        <v>Core</v>
      </c>
      <c r="C13" t="str">
        <f>'HIDDEN import'!D13</f>
        <v>Cold Boot Charging Station - Pending/Rejected - TriggerMessage</v>
      </c>
      <c r="D13" t="str">
        <f>IF(VLOOKUP(A13&amp;" "&amp;B13,'HIDDEN import'!A:G,5,FALSE)="M",MD!$A$1,(IF(AND(VLOOKUP(A13,'HIDDEN import'!B:E,4,FALSE)="C",OR(NOT(ISERROR(VLOOKUP(E13,'Optional features'!B:E,1,FALSE)=E13)),NOT(ISERROR(VLOOKUP(E13,'HIDDEN calc sheet'!A:C,1,FALSE)=E13)))),MD!$A$3,MD!$A$2)))</f>
        <v>Mandatory for optional feature</v>
      </c>
      <c r="E13" t="str">
        <f>IF('HIDDEN import'!F13=0,"",'HIDDEN import'!F13)</f>
        <v>C-44 or NOT AQ-6</v>
      </c>
      <c r="F13" t="str">
        <f>IF('HIDDEN import'!G13=0,"",'HIDDEN import'!G13)</f>
        <v>BootNotification Pending or + Does the CSMS reject unknown Charging Stations during websocket connection setup?</v>
      </c>
      <c r="G13" s="49" t="str">
        <f>IFERROR(VLOOKUP($A13,'HIDDEN Testrun Results'!$A:$B,2,FALSE),"")</f>
        <v/>
      </c>
      <c r="H13" s="49" t="b">
        <f t="shared" si="0"/>
        <v>1</v>
      </c>
      <c r="I13" s="49" t="b">
        <f>IF(VLOOKUP(A13&amp;" "&amp;B13,'HIDDEN import'!A:G,5,FALSE)="M",TRUE,IFERROR(VLOOKUP(E13,'Optional features'!B:E,3,FALSE)="Yes",IFERROR(VLOOKUP(E13,'HIDDEN calc sheet'!A:B,2,FALSE),VLOOKUP(E13,'Additional questions'!B:D,3,FALSE)="Yes")))</f>
        <v>1</v>
      </c>
      <c r="J13" t="b">
        <f>IF(VLOOKUP(B13,'Profile selection'!B:C,2,FALSE)="Yes",TRUE,FALSE)</f>
        <v>1</v>
      </c>
      <c r="K13" s="22" t="b">
        <f>IF(AND(D13=MD!$A$1,M13),TRUE,(IF(AND(D13=MD!$A$3,M13),(IF(L13=TRUE,TRUE,FALSE)),(IF(AND(D13=MD!$A$2,M13),(IF(N13=TRUE,TRUE,FALSE)),FALSE)))))</f>
        <v>0</v>
      </c>
      <c r="M13" t="b">
        <f>IF(VLOOKUP(B13,'Profile selection'!B:C,2,FALSE)="Yes",TRUE,FALSE)</f>
        <v>1</v>
      </c>
      <c r="N13" s="22" t="b">
        <f>IF('Additional questions'!D4="Yes",TRUE,FALSE)</f>
        <v>0</v>
      </c>
      <c r="P13" s="73"/>
      <c r="Q13" s="73"/>
    </row>
    <row r="14" spans="1:17" x14ac:dyDescent="0.25">
      <c r="A14" t="str">
        <f>'HIDDEN import'!B14</f>
        <v>TC_B_06_CSMS</v>
      </c>
      <c r="B14" t="str">
        <f>'HIDDEN import'!C14</f>
        <v>Core</v>
      </c>
      <c r="C14" t="str">
        <f>'HIDDEN import'!D14</f>
        <v>Get Variables - single value</v>
      </c>
      <c r="D14" t="str">
        <f>IF(VLOOKUP(A14&amp;" "&amp;B14,'HIDDEN import'!A:G,5,FALSE)="M",MD!$A$1,(IF(AND(VLOOKUP(A14,'HIDDEN import'!B:E,4,FALSE)="C",OR(NOT(ISERROR(VLOOKUP(E14,'Optional features'!B:E,1,FALSE)=E14)),NOT(ISERROR(VLOOKUP(E14,'HIDDEN calc sheet'!A:C,1,FALSE)=E14)))),MD!$A$3,MD!$A$2)))</f>
        <v>Mandatory test for a mandatory feature</v>
      </c>
      <c r="E14" t="str">
        <f>IF('HIDDEN import'!F14=0,"",'HIDDEN import'!F14)</f>
        <v/>
      </c>
      <c r="F14" t="str">
        <f>IF('HIDDEN import'!G14=0,"",'HIDDEN import'!G14)</f>
        <v/>
      </c>
      <c r="G14" s="49" t="str">
        <f>IFERROR(VLOOKUP($A14,'HIDDEN Testrun Results'!$A:$B,2,FALSE),"")</f>
        <v/>
      </c>
      <c r="H14" s="49" t="b">
        <f t="shared" si="0"/>
        <v>1</v>
      </c>
      <c r="I14" s="49" t="b">
        <f>IF(VLOOKUP(A14&amp;" "&amp;B14,'HIDDEN import'!A:G,5,FALSE)="M",TRUE,IFERROR(VLOOKUP(E14,'Optional features'!B:E,3,FALSE)="Yes",IFERROR(VLOOKUP(E14,'HIDDEN calc sheet'!A:B,2,FALSE),VLOOKUP(E14,'Additional questions'!B:D,3,FALSE)="Yes")))</f>
        <v>1</v>
      </c>
      <c r="J14" t="b">
        <f>IF(VLOOKUP(B14,'Profile selection'!B:C,2,FALSE)="Yes",TRUE,FALSE)</f>
        <v>1</v>
      </c>
      <c r="K14" s="22" t="b">
        <f>IF(AND(D14=MD!$A$1,M14),TRUE,(IF(AND(D14=MD!$A$3,M14),(IF(L14=TRUE,TRUE,FALSE)),(IF(AND(D14=MD!$A$2,M14),(IF(N14=TRUE,TRUE,FALSE)),FALSE)))))</f>
        <v>1</v>
      </c>
      <c r="M14" t="b">
        <f>IF(VLOOKUP(B14,'Profile selection'!B:C,2,FALSE)="Yes",TRUE,FALSE)</f>
        <v>1</v>
      </c>
      <c r="P14" s="73"/>
      <c r="Q14" s="73"/>
    </row>
    <row r="15" spans="1:17" x14ac:dyDescent="0.25">
      <c r="A15" t="str">
        <f>'HIDDEN import'!B15</f>
        <v>TC_B_07_CSMS</v>
      </c>
      <c r="B15" t="str">
        <f>'HIDDEN import'!C15</f>
        <v>Core</v>
      </c>
      <c r="C15" t="str">
        <f>'HIDDEN import'!D15</f>
        <v>Get Variables - multiple values</v>
      </c>
      <c r="D15" t="str">
        <f>IF(VLOOKUP(A15&amp;" "&amp;B15,'HIDDEN import'!A:G,5,FALSE)="M",MD!$A$1,(IF(AND(VLOOKUP(A15,'HIDDEN import'!B:E,4,FALSE)="C",OR(NOT(ISERROR(VLOOKUP(E15,'Optional features'!B:E,1,FALSE)=E15)),NOT(ISERROR(VLOOKUP(E15,'HIDDEN calc sheet'!A:C,1,FALSE)=E15)))),MD!$A$3,MD!$A$2)))</f>
        <v>Mandatory for optional feature</v>
      </c>
      <c r="E15" t="str">
        <f>IF('HIDDEN import'!F15=0,"",'HIDDEN import'!F15)</f>
        <v>C-45</v>
      </c>
      <c r="F15" t="str">
        <f>IF('HIDDEN import'!G15=0,"",'HIDDEN import'!G15)</f>
        <v>multiple values elements GetVariablesRequest</v>
      </c>
      <c r="G15" s="49" t="str">
        <f>IFERROR(VLOOKUP($A15,'HIDDEN Testrun Results'!$A:$B,2,FALSE),"")</f>
        <v/>
      </c>
      <c r="H15" s="49" t="b">
        <f t="shared" si="0"/>
        <v>0</v>
      </c>
      <c r="I15" s="49" t="b">
        <f>IF(VLOOKUP(A15&amp;" "&amp;B15,'HIDDEN import'!A:G,5,FALSE)="M",TRUE,IFERROR(VLOOKUP(E15,'Optional features'!B:E,3,FALSE)="Yes",IFERROR(VLOOKUP(E15,'HIDDEN calc sheet'!A:B,2,FALSE),VLOOKUP(E15,'Additional questions'!B:D,3,FALSE)="Yes")))</f>
        <v>0</v>
      </c>
      <c r="J15" t="b">
        <f>IF(VLOOKUP(B15,'Profile selection'!B:C,2,FALSE)="Yes",TRUE,FALSE)</f>
        <v>1</v>
      </c>
      <c r="K15" s="22" t="b">
        <f>IF(AND(D15=MD!$A$1,M15),TRUE,(IF(AND(D15=MD!$A$3,M15),(IF(L15=TRUE,TRUE,FALSE)),(IF(AND(D15=MD!$A$2,M15),(IF(N15=TRUE,TRUE,FALSE)),FALSE)))))</f>
        <v>0</v>
      </c>
      <c r="L15" t="b">
        <f>IF(ISNA(VLOOKUP(E15,'Optional features'!B:D,3,FALSE)),FALSE,IF(VLOOKUP(E15,'Optional features'!B:D,3,FALSE)="Yes",TRUE,FALSE))</f>
        <v>0</v>
      </c>
      <c r="M15" t="b">
        <f>IF(VLOOKUP(B15,'Profile selection'!B:C,2,FALSE)="Yes",TRUE,FALSE)</f>
        <v>1</v>
      </c>
      <c r="P15" s="73"/>
      <c r="Q15" s="73"/>
    </row>
    <row r="16" spans="1:17" x14ac:dyDescent="0.25">
      <c r="A16" t="str">
        <f>'HIDDEN import'!B16</f>
        <v>TC_B_09_CSMS</v>
      </c>
      <c r="B16" t="str">
        <f>'HIDDEN import'!C16</f>
        <v>Core</v>
      </c>
      <c r="C16" t="str">
        <f>'HIDDEN import'!D16</f>
        <v>Set Variables - single value</v>
      </c>
      <c r="D16" t="str">
        <f>IF(VLOOKUP(A16&amp;" "&amp;B16,'HIDDEN import'!A:G,5,FALSE)="M",MD!$A$1,(IF(AND(VLOOKUP(A16,'HIDDEN import'!B:E,4,FALSE)="C",OR(NOT(ISERROR(VLOOKUP(E16,'Optional features'!B:E,1,FALSE)=E16)),NOT(ISERROR(VLOOKUP(E16,'HIDDEN calc sheet'!A:C,1,FALSE)=E16)))),MD!$A$3,MD!$A$2)))</f>
        <v>Mandatory test for a mandatory feature</v>
      </c>
      <c r="E16" t="str">
        <f>IF('HIDDEN import'!F16=0,"",'HIDDEN import'!F16)</f>
        <v/>
      </c>
      <c r="F16" t="str">
        <f>IF('HIDDEN import'!G16=0,"",'HIDDEN import'!G16)</f>
        <v/>
      </c>
      <c r="G16" s="49" t="str">
        <f>IFERROR(VLOOKUP($A16,'HIDDEN Testrun Results'!$A:$B,2,FALSE),"")</f>
        <v/>
      </c>
      <c r="H16" s="49" t="b">
        <f t="shared" si="0"/>
        <v>1</v>
      </c>
      <c r="I16" s="49" t="b">
        <f>IF(VLOOKUP(A16&amp;" "&amp;B16,'HIDDEN import'!A:G,5,FALSE)="M",TRUE,IFERROR(VLOOKUP(E16,'Optional features'!B:E,3,FALSE)="Yes",IFERROR(VLOOKUP(E16,'HIDDEN calc sheet'!A:B,2,FALSE),VLOOKUP(E16,'Additional questions'!B:D,3,FALSE)="Yes")))</f>
        <v>1</v>
      </c>
      <c r="J16" t="b">
        <f>IF(VLOOKUP(B16,'Profile selection'!B:C,2,FALSE)="Yes",TRUE,FALSE)</f>
        <v>1</v>
      </c>
      <c r="K16" s="22" t="b">
        <f>IF(AND(D16=MD!$A$1,M16),TRUE,(IF(AND(D16=MD!$A$3,M16),(IF(L16=TRUE,TRUE,FALSE)),(IF(AND(D16=MD!$A$2,M16),(IF(N16=TRUE,TRUE,FALSE)),FALSE)))))</f>
        <v>1</v>
      </c>
      <c r="M16" t="b">
        <f>IF(VLOOKUP(B16,'Profile selection'!B:C,2,FALSE)="Yes",TRUE,FALSE)</f>
        <v>1</v>
      </c>
      <c r="P16" s="73"/>
      <c r="Q16" s="73"/>
    </row>
    <row r="17" spans="1:17" x14ac:dyDescent="0.25">
      <c r="A17" t="str">
        <f>'HIDDEN import'!B17</f>
        <v>TC_B_10_CSMS</v>
      </c>
      <c r="B17" t="str">
        <f>'HIDDEN import'!C17</f>
        <v>Core</v>
      </c>
      <c r="C17" t="str">
        <f>'HIDDEN import'!D17</f>
        <v>Set Variables - multiple values</v>
      </c>
      <c r="D17" t="str">
        <f>IF(VLOOKUP(A17&amp;" "&amp;B17,'HIDDEN import'!A:G,5,FALSE)="M",MD!$A$1,(IF(AND(VLOOKUP(A17,'HIDDEN import'!B:E,4,FALSE)="C",OR(NOT(ISERROR(VLOOKUP(E17,'Optional features'!B:E,1,FALSE)=E17)),NOT(ISERROR(VLOOKUP(E17,'HIDDEN calc sheet'!A:C,1,FALSE)=E17)))),MD!$A$3,MD!$A$2)))</f>
        <v>Mandatory for optional feature</v>
      </c>
      <c r="E17" t="str">
        <f>IF('HIDDEN import'!F17=0,"",'HIDDEN import'!F17)</f>
        <v>C-46</v>
      </c>
      <c r="F17" t="str">
        <f>IF('HIDDEN import'!G17=0,"",'HIDDEN import'!G17)</f>
        <v>multiple values elements SetVariablesRequest</v>
      </c>
      <c r="G17" s="49" t="str">
        <f>IFERROR(VLOOKUP($A17,'HIDDEN Testrun Results'!$A:$B,2,FALSE),"")</f>
        <v/>
      </c>
      <c r="H17" s="49" t="b">
        <f t="shared" si="0"/>
        <v>0</v>
      </c>
      <c r="I17" s="49" t="b">
        <f>IF(VLOOKUP(A17&amp;" "&amp;B17,'HIDDEN import'!A:G,5,FALSE)="M",TRUE,IFERROR(VLOOKUP(E17,'Optional features'!B:E,3,FALSE)="Yes",IFERROR(VLOOKUP(E17,'HIDDEN calc sheet'!A:B,2,FALSE),VLOOKUP(E17,'Additional questions'!B:D,3,FALSE)="Yes")))</f>
        <v>0</v>
      </c>
      <c r="J17" t="b">
        <f>IF(VLOOKUP(B17,'Profile selection'!B:C,2,FALSE)="Yes",TRUE,FALSE)</f>
        <v>1</v>
      </c>
      <c r="K17" s="22" t="b">
        <f>IF(AND(D17=MD!$A$1,M17),TRUE,(IF(AND(D17=MD!$A$3,M17),(IF(L17=TRUE,TRUE,FALSE)),(IF(AND(D17=MD!$A$2,M17),(IF(N17=TRUE,TRUE,FALSE)),FALSE)))))</f>
        <v>0</v>
      </c>
      <c r="L17" t="b">
        <f>IF(ISNA(VLOOKUP(E17,'Optional features'!B:D,3,FALSE)),FALSE,IF(VLOOKUP(E17,'Optional features'!B:D,3,FALSE)="Yes",TRUE,FALSE))</f>
        <v>0</v>
      </c>
      <c r="M17" t="b">
        <f>IF(VLOOKUP(B17,'Profile selection'!B:C,2,FALSE)="Yes",TRUE,FALSE)</f>
        <v>1</v>
      </c>
      <c r="P17" s="73"/>
      <c r="Q17" s="73"/>
    </row>
    <row r="18" spans="1:17" x14ac:dyDescent="0.25">
      <c r="A18" t="str">
        <f>'HIDDEN import'!B18</f>
        <v>TC_B_12_CSMS</v>
      </c>
      <c r="B18" t="str">
        <f>'HIDDEN import'!C18</f>
        <v>Core</v>
      </c>
      <c r="C18" t="str">
        <f>'HIDDEN import'!D18</f>
        <v>Get Base Report - ConfigurationInventory</v>
      </c>
      <c r="D18" t="str">
        <f>IF(VLOOKUP(A18&amp;" "&amp;B18,'HIDDEN import'!A:G,5,FALSE)="M",MD!$A$1,(IF(AND(VLOOKUP(A18,'HIDDEN import'!B:E,4,FALSE)="C",OR(NOT(ISERROR(VLOOKUP(E18,'Optional features'!B:E,1,FALSE)=E18)),NOT(ISERROR(VLOOKUP(E18,'HIDDEN calc sheet'!A:C,1,FALSE)=E18)))),MD!$A$3,MD!$A$2)))</f>
        <v>Mandatory for optional feature</v>
      </c>
      <c r="E18" t="str">
        <f>IF('HIDDEN import'!F18=0,"",'HIDDEN import'!F18)</f>
        <v>C-17</v>
      </c>
      <c r="F18" t="str">
        <f>IF('HIDDEN import'!G18=0,"",'HIDDEN import'!G18)</f>
        <v>ConfigurationInventory</v>
      </c>
      <c r="G18" s="49" t="str">
        <f>IFERROR(VLOOKUP($A18,'HIDDEN Testrun Results'!$A:$B,2,FALSE),"")</f>
        <v/>
      </c>
      <c r="H18" s="49" t="b">
        <f t="shared" si="0"/>
        <v>0</v>
      </c>
      <c r="I18" s="49" t="b">
        <f>IF(VLOOKUP(A18&amp;" "&amp;B18,'HIDDEN import'!A:G,5,FALSE)="M",TRUE,IFERROR(VLOOKUP(E18,'Optional features'!B:E,3,FALSE)="Yes",IFERROR(VLOOKUP(E18,'HIDDEN calc sheet'!A:B,2,FALSE),VLOOKUP(E18,'Additional questions'!B:D,3,FALSE)="Yes")))</f>
        <v>0</v>
      </c>
      <c r="J18" t="b">
        <f>IF(VLOOKUP(B18,'Profile selection'!B:C,2,FALSE)="Yes",TRUE,FALSE)</f>
        <v>1</v>
      </c>
      <c r="K18" s="22" t="b">
        <f>IF(AND(D18=MD!$A$1,M18),TRUE,(IF(AND(D18=MD!$A$3,M18),(IF(L18=TRUE,TRUE,FALSE)),(IF(AND(D18=MD!$A$2,M18),(IF(N18=TRUE,TRUE,FALSE)),FALSE)))))</f>
        <v>0</v>
      </c>
      <c r="L18" t="b">
        <f>IF(ISNA(VLOOKUP(E18,'Optional features'!B:D,3,FALSE)),FALSE,IF(VLOOKUP(E18,'Optional features'!B:D,3,FALSE)="Yes",TRUE,FALSE))</f>
        <v>0</v>
      </c>
      <c r="M18" t="b">
        <f>IF(VLOOKUP(B18,'Profile selection'!B:C,2,FALSE)="Yes",TRUE,FALSE)</f>
        <v>1</v>
      </c>
      <c r="P18" s="73"/>
      <c r="Q18" s="73"/>
    </row>
    <row r="19" spans="1:17" x14ac:dyDescent="0.25">
      <c r="A19" t="str">
        <f>'HIDDEN import'!B19</f>
        <v>TC_B_13_CSMS</v>
      </c>
      <c r="B19" t="str">
        <f>'HIDDEN import'!C19</f>
        <v>Core</v>
      </c>
      <c r="C19" t="str">
        <f>'HIDDEN import'!D19</f>
        <v>Get Base Report - FullInventory</v>
      </c>
      <c r="D19" t="str">
        <f>IF(VLOOKUP(A19&amp;" "&amp;B19,'HIDDEN import'!A:G,5,FALSE)="M",MD!$A$1,(IF(AND(VLOOKUP(A19,'HIDDEN import'!B:E,4,FALSE)="C",OR(NOT(ISERROR(VLOOKUP(E19,'Optional features'!B:E,1,FALSE)=E19)),NOT(ISERROR(VLOOKUP(E19,'HIDDEN calc sheet'!A:C,1,FALSE)=E19)))),MD!$A$3,MD!$A$2)))</f>
        <v>Mandatory for optional feature</v>
      </c>
      <c r="E19" t="str">
        <f>IF('HIDDEN import'!F19=0,"",'HIDDEN import'!F19)</f>
        <v>C-50.2</v>
      </c>
      <c r="F19" t="str">
        <f>IF('HIDDEN import'!G19=0,"",'HIDDEN import'!G19)</f>
        <v>GetBaseReport - FullInventory - Manual trigger</v>
      </c>
      <c r="G19" s="49" t="str">
        <f>IFERROR(VLOOKUP($A19,'HIDDEN Testrun Results'!$A:$B,2,FALSE),"")</f>
        <v/>
      </c>
      <c r="H19" s="49" t="b">
        <f t="shared" si="0"/>
        <v>0</v>
      </c>
      <c r="I19" s="49" t="b">
        <f>IF(VLOOKUP(A19&amp;" "&amp;B19,'HIDDEN import'!A:G,5,FALSE)="M",TRUE,IFERROR(VLOOKUP(E19,'Optional features'!B:E,3,FALSE)="Yes",IFERROR(VLOOKUP(E19,'HIDDEN calc sheet'!A:B,2,FALSE),VLOOKUP(E19,'Additional questions'!B:D,3,FALSE)="Yes")))</f>
        <v>0</v>
      </c>
      <c r="J19" t="b">
        <f>IF(VLOOKUP(B19,'Profile selection'!B:C,2,FALSE)="Yes",TRUE,FALSE)</f>
        <v>1</v>
      </c>
      <c r="K19" s="22" t="b">
        <f>IF(AND(D19=MD!$A$1,M19),TRUE,(IF(AND(D19=MD!$A$3,M19),(IF(L19=TRUE,TRUE,FALSE)),(IF(AND(D19=MD!$A$2,M19),(IF(N19=TRUE,TRUE,FALSE)),FALSE)))))</f>
        <v>0</v>
      </c>
      <c r="M19" t="b">
        <f>IF(VLOOKUP(B19,'Profile selection'!B:C,2,FALSE)="Yes",TRUE,FALSE)</f>
        <v>1</v>
      </c>
      <c r="N19" t="b">
        <f>IF('Additional questions'!D7="Yes",TRUE,FALSE)</f>
        <v>0</v>
      </c>
      <c r="P19" s="73"/>
      <c r="Q19" s="73"/>
    </row>
    <row r="20" spans="1:17" x14ac:dyDescent="0.25">
      <c r="A20" t="str">
        <f>'HIDDEN import'!B20</f>
        <v>TC_B_20_CSMS</v>
      </c>
      <c r="B20" t="str">
        <f>'HIDDEN import'!C20</f>
        <v>Core</v>
      </c>
      <c r="C20" t="str">
        <f>'HIDDEN import'!D20</f>
        <v>Reset Charging Station - Without ongoing transaction - OnIdle</v>
      </c>
      <c r="D20" t="str">
        <f>IF(VLOOKUP(A20&amp;" "&amp;B20,'HIDDEN import'!A:G,5,FALSE)="M",MD!$A$1,(IF(AND(VLOOKUP(A20,'HIDDEN import'!B:E,4,FALSE)="C",OR(NOT(ISERROR(VLOOKUP(E20,'Optional features'!B:E,1,FALSE)=E20)),NOT(ISERROR(VLOOKUP(E20,'HIDDEN calc sheet'!A:C,1,FALSE)=E20)))),MD!$A$3,MD!$A$2)))</f>
        <v>Mandatory test for a mandatory feature</v>
      </c>
      <c r="E20" t="str">
        <f>IF('HIDDEN import'!F20=0,"",'HIDDEN import'!F20)</f>
        <v/>
      </c>
      <c r="F20" t="str">
        <f>IF('HIDDEN import'!G20=0,"",'HIDDEN import'!G20)</f>
        <v/>
      </c>
      <c r="G20" s="49" t="str">
        <f>IFERROR(VLOOKUP($A20,'HIDDEN Testrun Results'!$A:$B,2,FALSE),"")</f>
        <v/>
      </c>
      <c r="H20" s="49" t="b">
        <f t="shared" si="0"/>
        <v>1</v>
      </c>
      <c r="I20" s="49" t="b">
        <f>IF(VLOOKUP(A20&amp;" "&amp;B20,'HIDDEN import'!A:G,5,FALSE)="M",TRUE,IFERROR(VLOOKUP(E20,'Optional features'!B:E,3,FALSE)="Yes",IFERROR(VLOOKUP(E20,'HIDDEN calc sheet'!A:B,2,FALSE),VLOOKUP(E20,'Additional questions'!B:D,3,FALSE)="Yes")))</f>
        <v>1</v>
      </c>
      <c r="J20" t="b">
        <f>IF(VLOOKUP(B20,'Profile selection'!B:C,2,FALSE)="Yes",TRUE,FALSE)</f>
        <v>1</v>
      </c>
      <c r="K20" s="22" t="b">
        <f>IF(AND(D20=MD!$A$1,M20),TRUE,(IF(AND(D20=MD!$A$3,M20),(IF(L20=TRUE,TRUE,FALSE)),(IF(AND(D20=MD!$A$2,M20),(IF(N20=TRUE,TRUE,FALSE)),FALSE)))))</f>
        <v>1</v>
      </c>
      <c r="M20" t="b">
        <f>IF(VLOOKUP(B20,'Profile selection'!B:C,2,FALSE)="Yes",TRUE,FALSE)</f>
        <v>1</v>
      </c>
      <c r="P20" s="73"/>
      <c r="Q20" s="73"/>
    </row>
    <row r="21" spans="1:17" x14ac:dyDescent="0.25">
      <c r="A21" t="str">
        <f>'HIDDEN import'!B21</f>
        <v>TC_B_21_CSMS</v>
      </c>
      <c r="B21" t="str">
        <f>'HIDDEN import'!C21</f>
        <v>Core</v>
      </c>
      <c r="C21" t="str">
        <f>'HIDDEN import'!D21</f>
        <v>Reset Charging Station - With Ongoing Transaction - OnIdle</v>
      </c>
      <c r="D21" t="str">
        <f>IF(VLOOKUP(A21&amp;" "&amp;B21,'HIDDEN import'!A:G,5,FALSE)="M",MD!$A$1,(IF(AND(VLOOKUP(A21,'HIDDEN import'!B:E,4,FALSE)="C",OR(NOT(ISERROR(VLOOKUP(E21,'Optional features'!B:E,1,FALSE)=E21)),NOT(ISERROR(VLOOKUP(E21,'HIDDEN calc sheet'!A:C,1,FALSE)=E21)))),MD!$A$3,MD!$A$2)))</f>
        <v>Mandatory test for a mandatory feature</v>
      </c>
      <c r="E21" t="str">
        <f>IF('HIDDEN import'!F21=0,"",'HIDDEN import'!F21)</f>
        <v/>
      </c>
      <c r="F21" t="str">
        <f>IF('HIDDEN import'!G21=0,"",'HIDDEN import'!G21)</f>
        <v/>
      </c>
      <c r="G21" s="49" t="str">
        <f>IFERROR(VLOOKUP($A21,'HIDDEN Testrun Results'!$A:$B,2,FALSE),"")</f>
        <v/>
      </c>
      <c r="H21" s="49" t="b">
        <f t="shared" si="0"/>
        <v>1</v>
      </c>
      <c r="I21" s="49" t="b">
        <f>IF(VLOOKUP(A21&amp;" "&amp;B21,'HIDDEN import'!A:G,5,FALSE)="M",TRUE,IFERROR(VLOOKUP(E21,'Optional features'!B:E,3,FALSE)="Yes",IFERROR(VLOOKUP(E21,'HIDDEN calc sheet'!A:B,2,FALSE),VLOOKUP(E21,'Additional questions'!B:D,3,FALSE)="Yes")))</f>
        <v>1</v>
      </c>
      <c r="J21" t="b">
        <f>IF(VLOOKUP(B21,'Profile selection'!B:C,2,FALSE)="Yes",TRUE,FALSE)</f>
        <v>1</v>
      </c>
      <c r="K21" s="22" t="b">
        <f>IF(AND(D21=MD!$A$1,M21),TRUE,(IF(AND(D21=MD!$A$3,M21),(IF(L21=TRUE,TRUE,FALSE)),(IF(AND(D21=MD!$A$2,M21),(IF(N21=TRUE,TRUE,FALSE)),FALSE)))))</f>
        <v>1</v>
      </c>
      <c r="M21" t="b">
        <f>IF(VLOOKUP(B21,'Profile selection'!B:C,2,FALSE)="Yes",TRUE,FALSE)</f>
        <v>1</v>
      </c>
      <c r="P21" s="73"/>
      <c r="Q21" s="73"/>
    </row>
    <row r="22" spans="1:17" x14ac:dyDescent="0.25">
      <c r="A22" t="str">
        <f>'HIDDEN import'!B22</f>
        <v>TC_B_22_CSMS</v>
      </c>
      <c r="B22" t="str">
        <f>'HIDDEN import'!C22</f>
        <v>Core</v>
      </c>
      <c r="C22" t="str">
        <f>'HIDDEN import'!D22</f>
        <v>Reset Charging Station - With Ongoing Transaction - Immediate</v>
      </c>
      <c r="D22" t="str">
        <f>IF(VLOOKUP(A22&amp;" "&amp;B22,'HIDDEN import'!A:G,5,FALSE)="M",MD!$A$1,(IF(AND(VLOOKUP(A22,'HIDDEN import'!B:E,4,FALSE)="C",OR(NOT(ISERROR(VLOOKUP(E22,'Optional features'!B:E,1,FALSE)=E22)),NOT(ISERROR(VLOOKUP(E22,'HIDDEN calc sheet'!A:C,1,FALSE)=E22)))),MD!$A$3,MD!$A$2)))</f>
        <v>Mandatory test for a mandatory feature</v>
      </c>
      <c r="E22" t="str">
        <f>IF('HIDDEN import'!F22=0,"",'HIDDEN import'!F22)</f>
        <v/>
      </c>
      <c r="F22" t="str">
        <f>IF('HIDDEN import'!G22=0,"",'HIDDEN import'!G22)</f>
        <v/>
      </c>
      <c r="G22" s="49" t="str">
        <f>IFERROR(VLOOKUP($A22,'HIDDEN Testrun Results'!$A:$B,2,FALSE),"")</f>
        <v/>
      </c>
      <c r="H22" s="49" t="b">
        <f t="shared" si="0"/>
        <v>1</v>
      </c>
      <c r="I22" s="49" t="b">
        <f>IF(VLOOKUP(A22&amp;" "&amp;B22,'HIDDEN import'!A:G,5,FALSE)="M",TRUE,IFERROR(VLOOKUP(E22,'Optional features'!B:E,3,FALSE)="Yes",IFERROR(VLOOKUP(E22,'HIDDEN calc sheet'!A:B,2,FALSE),VLOOKUP(E22,'Additional questions'!B:D,3,FALSE)="Yes")))</f>
        <v>1</v>
      </c>
      <c r="J22" t="b">
        <f>IF(VLOOKUP(B22,'Profile selection'!B:C,2,FALSE)="Yes",TRUE,FALSE)</f>
        <v>1</v>
      </c>
      <c r="K22" s="22" t="b">
        <f>IF(AND(D22=MD!$A$1,M22),TRUE,(IF(AND(D22=MD!$A$3,M22),(IF(L22=TRUE,TRUE,FALSE)),(IF(AND(D22=MD!$A$2,M22),(IF(N22=TRUE,TRUE,FALSE)),FALSE)))))</f>
        <v>1</v>
      </c>
      <c r="M22" t="b">
        <f>IF(VLOOKUP(B22,'Profile selection'!B:C,2,FALSE)="Yes",TRUE,FALSE)</f>
        <v>1</v>
      </c>
      <c r="P22" s="73"/>
      <c r="Q22" s="73"/>
    </row>
    <row r="23" spans="1:17" x14ac:dyDescent="0.25">
      <c r="A23" t="str">
        <f>'HIDDEN import'!B23</f>
        <v>TC_B_25_CSMS</v>
      </c>
      <c r="B23" t="str">
        <f>'HIDDEN import'!C23</f>
        <v>Core</v>
      </c>
      <c r="C23" t="str">
        <f>'HIDDEN import'!D23</f>
        <v>Reset EVSE - Without ongoing transaction</v>
      </c>
      <c r="D23" t="str">
        <f>IF(VLOOKUP(A23&amp;" "&amp;B23,'HIDDEN import'!A:G,5,FALSE)="M",MD!$A$1,(IF(AND(VLOOKUP(A23,'HIDDEN import'!B:E,4,FALSE)="C",OR(NOT(ISERROR(VLOOKUP(E23,'Optional features'!B:E,1,FALSE)=E23)),NOT(ISERROR(VLOOKUP(E23,'HIDDEN calc sheet'!A:C,1,FALSE)=E23)))),MD!$A$3,MD!$A$2)))</f>
        <v>Mandatory for optional feature</v>
      </c>
      <c r="E23" t="str">
        <f>IF('HIDDEN import'!F23=0,"",'HIDDEN import'!F23)</f>
        <v>C-13</v>
      </c>
      <c r="F23" t="str">
        <f>IF('HIDDEN import'!G23=0,"",'HIDDEN import'!G23)</f>
        <v>Reset per EVSE</v>
      </c>
      <c r="G23" s="49" t="str">
        <f>IFERROR(VLOOKUP($A23,'HIDDEN Testrun Results'!$A:$B,2,FALSE),"")</f>
        <v/>
      </c>
      <c r="H23" s="49" t="b">
        <f t="shared" si="0"/>
        <v>0</v>
      </c>
      <c r="I23" s="49" t="b">
        <f>IF(VLOOKUP(A23&amp;" "&amp;B23,'HIDDEN import'!A:G,5,FALSE)="M",TRUE,IFERROR(VLOOKUP(E23,'Optional features'!B:E,3,FALSE)="Yes",IFERROR(VLOOKUP(E23,'HIDDEN calc sheet'!A:B,2,FALSE),VLOOKUP(E23,'Additional questions'!B:D,3,FALSE)="Yes")))</f>
        <v>0</v>
      </c>
      <c r="J23" t="b">
        <f>IF(VLOOKUP(B23,'Profile selection'!B:C,2,FALSE)="Yes",TRUE,FALSE)</f>
        <v>1</v>
      </c>
      <c r="K23" s="22" t="b">
        <f>IF(AND(D23=MD!$A$1,M23),TRUE,(IF(AND(D23=MD!$A$3,M23),(IF(L23=TRUE,TRUE,FALSE)),(IF(AND(D23=MD!$A$2,M23),(IF(N23=TRUE,TRUE,FALSE)),FALSE)))))</f>
        <v>0</v>
      </c>
      <c r="L23" t="b">
        <f>IF(ISNA(VLOOKUP(E23,'Optional features'!B:D,3,FALSE)),FALSE,IF(VLOOKUP(E23,'Optional features'!B:D,3,FALSE)="Yes",TRUE,FALSE))</f>
        <v>0</v>
      </c>
      <c r="M23" t="b">
        <f>IF(VLOOKUP(B23,'Profile selection'!B:C,2,FALSE)="Yes",TRUE,FALSE)</f>
        <v>1</v>
      </c>
      <c r="P23" s="73"/>
      <c r="Q23" s="73"/>
    </row>
    <row r="24" spans="1:17" x14ac:dyDescent="0.25">
      <c r="A24" t="str">
        <f>'HIDDEN import'!B24</f>
        <v>TC_B_26_CSMS</v>
      </c>
      <c r="B24" t="str">
        <f>'HIDDEN import'!C24</f>
        <v>Core</v>
      </c>
      <c r="C24" t="str">
        <f>'HIDDEN import'!D24</f>
        <v>Reset EVSE - With Ongoing Transaction - OnIdle</v>
      </c>
      <c r="D24" t="str">
        <f>IF(VLOOKUP(A24&amp;" "&amp;B24,'HIDDEN import'!A:G,5,FALSE)="M",MD!$A$1,(IF(AND(VLOOKUP(A24,'HIDDEN import'!B:E,4,FALSE)="C",OR(NOT(ISERROR(VLOOKUP(E24,'Optional features'!B:E,1,FALSE)=E24)),NOT(ISERROR(VLOOKUP(E24,'HIDDEN calc sheet'!A:C,1,FALSE)=E24)))),MD!$A$3,MD!$A$2)))</f>
        <v>Mandatory for optional feature</v>
      </c>
      <c r="E24" t="str">
        <f>IF('HIDDEN import'!F24=0,"",'HIDDEN import'!F24)</f>
        <v>C-13</v>
      </c>
      <c r="F24" t="str">
        <f>IF('HIDDEN import'!G24=0,"",'HIDDEN import'!G24)</f>
        <v>Reset per EVSE</v>
      </c>
      <c r="G24" s="49" t="str">
        <f>IFERROR(VLOOKUP($A24,'HIDDEN Testrun Results'!$A:$B,2,FALSE),"")</f>
        <v/>
      </c>
      <c r="H24" s="49" t="b">
        <f t="shared" si="0"/>
        <v>0</v>
      </c>
      <c r="I24" s="49" t="b">
        <f>IF(VLOOKUP(A24&amp;" "&amp;B24,'HIDDEN import'!A:G,5,FALSE)="M",TRUE,IFERROR(VLOOKUP(E24,'Optional features'!B:E,3,FALSE)="Yes",IFERROR(VLOOKUP(E24,'HIDDEN calc sheet'!A:B,2,FALSE),VLOOKUP(E24,'Additional questions'!B:D,3,FALSE)="Yes")))</f>
        <v>0</v>
      </c>
      <c r="J24" t="b">
        <f>IF(VLOOKUP(B24,'Profile selection'!B:C,2,FALSE)="Yes",TRUE,FALSE)</f>
        <v>1</v>
      </c>
      <c r="K24" s="22" t="b">
        <f>IF(AND(D24=MD!$A$1,M24),TRUE,(IF(AND(D24=MD!$A$3,M24),(IF(L24=TRUE,TRUE,FALSE)),(IF(AND(D24=MD!$A$2,M24),(IF(N24=TRUE,TRUE,FALSE)),FALSE)))))</f>
        <v>0</v>
      </c>
      <c r="L24" t="b">
        <f>IF(ISNA(VLOOKUP(E24,'Optional features'!B:D,3,FALSE)),FALSE,IF(VLOOKUP(E24,'Optional features'!B:D,3,FALSE)="Yes",TRUE,FALSE))</f>
        <v>0</v>
      </c>
      <c r="M24" t="b">
        <f>IF(VLOOKUP(B24,'Profile selection'!B:C,2,FALSE)="Yes",TRUE,FALSE)</f>
        <v>1</v>
      </c>
      <c r="P24" s="73"/>
      <c r="Q24" s="73"/>
    </row>
    <row r="25" spans="1:17" x14ac:dyDescent="0.25">
      <c r="A25" t="str">
        <f>'HIDDEN import'!B25</f>
        <v>TC_B_27_CSMS</v>
      </c>
      <c r="B25" t="str">
        <f>'HIDDEN import'!C25</f>
        <v>Core</v>
      </c>
      <c r="C25" t="str">
        <f>'HIDDEN import'!D25</f>
        <v>Reset EVSE - With Ongoing Transaction - Immediate</v>
      </c>
      <c r="D25" t="str">
        <f>IF(VLOOKUP(A25&amp;" "&amp;B25,'HIDDEN import'!A:G,5,FALSE)="M",MD!$A$1,(IF(AND(VLOOKUP(A25,'HIDDEN import'!B:E,4,FALSE)="C",OR(NOT(ISERROR(VLOOKUP(E25,'Optional features'!B:E,1,FALSE)=E25)),NOT(ISERROR(VLOOKUP(E25,'HIDDEN calc sheet'!A:C,1,FALSE)=E25)))),MD!$A$3,MD!$A$2)))</f>
        <v>Mandatory for optional feature</v>
      </c>
      <c r="E25" t="str">
        <f>IF('HIDDEN import'!F25=0,"",'HIDDEN import'!F25)</f>
        <v>C-13</v>
      </c>
      <c r="F25" t="str">
        <f>IF('HIDDEN import'!G25=0,"",'HIDDEN import'!G25)</f>
        <v>Reset per EVSE</v>
      </c>
      <c r="G25" s="49" t="str">
        <f>IFERROR(VLOOKUP($A25,'HIDDEN Testrun Results'!$A:$B,2,FALSE),"")</f>
        <v/>
      </c>
      <c r="H25" s="49" t="b">
        <f t="shared" si="0"/>
        <v>0</v>
      </c>
      <c r="I25" s="49" t="b">
        <f>IF(VLOOKUP(A25&amp;" "&amp;B25,'HIDDEN import'!A:G,5,FALSE)="M",TRUE,IFERROR(VLOOKUP(E25,'Optional features'!B:E,3,FALSE)="Yes",IFERROR(VLOOKUP(E25,'HIDDEN calc sheet'!A:B,2,FALSE),VLOOKUP(E25,'Additional questions'!B:D,3,FALSE)="Yes")))</f>
        <v>0</v>
      </c>
      <c r="J25" t="b">
        <f>IF(VLOOKUP(B25,'Profile selection'!B:C,2,FALSE)="Yes",TRUE,FALSE)</f>
        <v>1</v>
      </c>
      <c r="K25" s="22" t="b">
        <f>IF(AND(D25=MD!$A$1,M25),TRUE,(IF(AND(D25=MD!$A$3,M25),(IF(L25=TRUE,TRUE,FALSE)),(IF(AND(D25=MD!$A$2,M25),(IF(N25=TRUE,TRUE,FALSE)),FALSE)))))</f>
        <v>0</v>
      </c>
      <c r="L25" t="b">
        <f>IF(ISNA(VLOOKUP(E25,'Optional features'!B:D,3,FALSE)),FALSE,IF(VLOOKUP(E25,'Optional features'!B:D,3,FALSE)="Yes",TRUE,FALSE))</f>
        <v>0</v>
      </c>
      <c r="M25" t="b">
        <f>IF(VLOOKUP(B25,'Profile selection'!B:C,2,FALSE)="Yes",TRUE,FALSE)</f>
        <v>1</v>
      </c>
      <c r="P25" s="73"/>
      <c r="Q25" s="73"/>
    </row>
    <row r="26" spans="1:17" x14ac:dyDescent="0.25">
      <c r="A26" t="str">
        <f>'HIDDEN import'!B26</f>
        <v>TC_B_42_CSMS</v>
      </c>
      <c r="B26" t="str">
        <f>'HIDDEN import'!C26</f>
        <v>Core</v>
      </c>
      <c r="C26" t="str">
        <f>'HIDDEN import'!D26</f>
        <v>Set new NetworkConnectionProfile - Accepted</v>
      </c>
      <c r="D26" t="str">
        <f>IF(VLOOKUP(A26&amp;" "&amp;B26,'HIDDEN import'!A:G,5,FALSE)="M",MD!$A$1,(IF(AND(VLOOKUP(A26,'HIDDEN import'!B:E,4,FALSE)="C",OR(NOT(ISERROR(VLOOKUP(E26,'Optional features'!B:E,1,FALSE)=E26)),NOT(ISERROR(VLOOKUP(E26,'HIDDEN calc sheet'!A:C,1,FALSE)=E26)))),MD!$A$3,MD!$A$2)))</f>
        <v>Mandatory test for a mandatory feature</v>
      </c>
      <c r="E26" t="str">
        <f>IF('HIDDEN import'!F26=0,"",'HIDDEN import'!F26)</f>
        <v/>
      </c>
      <c r="F26" t="str">
        <f>IF('HIDDEN import'!G26=0,"",'HIDDEN import'!G26)</f>
        <v/>
      </c>
      <c r="G26" s="49" t="str">
        <f>IFERROR(VLOOKUP($A26,'HIDDEN Testrun Results'!$A:$B,2,FALSE),"")</f>
        <v/>
      </c>
      <c r="H26" s="49" t="b">
        <f t="shared" si="0"/>
        <v>1</v>
      </c>
      <c r="I26" s="49" t="b">
        <f>IF(VLOOKUP(A26&amp;" "&amp;B26,'HIDDEN import'!A:G,5,FALSE)="M",TRUE,IFERROR(VLOOKUP(E26,'Optional features'!B:E,3,FALSE)="Yes",IFERROR(VLOOKUP(E26,'HIDDEN calc sheet'!A:B,2,FALSE),VLOOKUP(E26,'Additional questions'!B:D,3,FALSE)="Yes")))</f>
        <v>1</v>
      </c>
      <c r="J26" t="b">
        <f>IF(VLOOKUP(B26,'Profile selection'!B:C,2,FALSE)="Yes",TRUE,FALSE)</f>
        <v>1</v>
      </c>
      <c r="K26" s="22" t="b">
        <f>IF(AND(D26=MD!$A$1,M26),TRUE,(IF(AND(D26=MD!$A$3,M26),(IF(L26=TRUE,TRUE,FALSE)),(IF(AND(D26=MD!$A$2,M26),(IF(N26=TRUE,TRUE,FALSE)),FALSE)))))</f>
        <v>1</v>
      </c>
      <c r="M26" t="b">
        <f>IF(VLOOKUP(B26,'Profile selection'!B:C,2,FALSE)="Yes",TRUE,FALSE)</f>
        <v>1</v>
      </c>
      <c r="P26" s="73"/>
      <c r="Q26" s="73"/>
    </row>
    <row r="27" spans="1:17" x14ac:dyDescent="0.25">
      <c r="A27" t="str">
        <f>'HIDDEN import'!B27</f>
        <v>TC_B_44_CSMS</v>
      </c>
      <c r="B27" t="str">
        <f>'HIDDEN import'!C27</f>
        <v>Core</v>
      </c>
      <c r="C27" t="str">
        <f>'HIDDEN import'!D27</f>
        <v>Set new NetworkConnectionProfile - Failed</v>
      </c>
      <c r="D27" t="str">
        <f>IF(VLOOKUP(A27&amp;" "&amp;B27,'HIDDEN import'!A:G,5,FALSE)="M",MD!$A$1,(IF(AND(VLOOKUP(A27,'HIDDEN import'!B:E,4,FALSE)="C",OR(NOT(ISERROR(VLOOKUP(E27,'Optional features'!B:E,1,FALSE)=E27)),NOT(ISERROR(VLOOKUP(E27,'HIDDEN calc sheet'!A:C,1,FALSE)=E27)))),MD!$A$3,MD!$A$2)))</f>
        <v>Mandatory test for a mandatory feature</v>
      </c>
      <c r="E27" t="str">
        <f>IF('HIDDEN import'!F27=0,"",'HIDDEN import'!F27)</f>
        <v/>
      </c>
      <c r="F27" t="str">
        <f>IF('HIDDEN import'!G27=0,"",'HIDDEN import'!G27)</f>
        <v/>
      </c>
      <c r="G27" s="49" t="str">
        <f>IFERROR(VLOOKUP($A27,'HIDDEN Testrun Results'!$A:$B,2,FALSE),"")</f>
        <v/>
      </c>
      <c r="H27" s="49" t="b">
        <f t="shared" si="0"/>
        <v>1</v>
      </c>
      <c r="I27" s="49" t="b">
        <f>IF(VLOOKUP(A27&amp;" "&amp;B27,'HIDDEN import'!A:G,5,FALSE)="M",TRUE,IFERROR(VLOOKUP(E27,'Optional features'!B:E,3,FALSE)="Yes",IFERROR(VLOOKUP(E27,'HIDDEN calc sheet'!A:B,2,FALSE),VLOOKUP(E27,'Additional questions'!B:D,3,FALSE)="Yes")))</f>
        <v>1</v>
      </c>
      <c r="J27" t="b">
        <f>IF(VLOOKUP(B27,'Profile selection'!B:C,2,FALSE)="Yes",TRUE,FALSE)</f>
        <v>1</v>
      </c>
      <c r="K27" s="22" t="b">
        <f>IF(AND(D27=MD!$A$1,M27),TRUE,(IF(AND(D27=MD!$A$3,M27),(IF(L27=TRUE,TRUE,FALSE)),(IF(AND(D27=MD!$A$2,M27),(IF(N27=TRUE,TRUE,FALSE)),FALSE)))))</f>
        <v>1</v>
      </c>
      <c r="M27" t="b">
        <f>IF(VLOOKUP(B27,'Profile selection'!B:C,2,FALSE)="Yes",TRUE,FALSE)</f>
        <v>1</v>
      </c>
      <c r="P27" s="73"/>
      <c r="Q27" s="73"/>
    </row>
    <row r="28" spans="1:17" x14ac:dyDescent="0.25">
      <c r="A28" t="str">
        <f>'HIDDEN import'!B28</f>
        <v>TC_C_02_CSMS</v>
      </c>
      <c r="B28" t="str">
        <f>'HIDDEN import'!C28</f>
        <v>Core</v>
      </c>
      <c r="C28" t="str">
        <f>'HIDDEN import'!D28</f>
        <v>Local start transaction - Authorization Invalid/Unknown</v>
      </c>
      <c r="D28" t="str">
        <f>IF(VLOOKUP(A28&amp;" "&amp;B28,'HIDDEN import'!A:G,5,FALSE)="M",MD!$A$1,(IF(AND(VLOOKUP(A28,'HIDDEN import'!B:E,4,FALSE)="C",OR(NOT(ISERROR(VLOOKUP(E28,'Optional features'!B:E,1,FALSE)=E28)),NOT(ISERROR(VLOOKUP(E28,'HIDDEN calc sheet'!A:C,1,FALSE)=E28)))),MD!$A$3,MD!$A$2)))</f>
        <v>Mandatory test for a mandatory feature</v>
      </c>
      <c r="E28" t="str">
        <f>IF('HIDDEN import'!F28=0,"",'HIDDEN import'!F28)</f>
        <v>(C-30 or C-31 or C-32) and NOT AQ-2</v>
      </c>
      <c r="F28" t="str">
        <f>IF('HIDDEN import'!G28=0,"",'HIDDEN import'!G28)</f>
        <v>Local Authorization - using RFID ISO14443 / RFID ISO15693 / KeyCode and + Does the Charging Station have a cable lock, which prevents the EV driver to connect the EV and EVSE before authorization?</v>
      </c>
      <c r="G28" s="49" t="str">
        <f>IFERROR(VLOOKUP($A28,'HIDDEN Testrun Results'!$A:$B,2,FALSE),"")</f>
        <v/>
      </c>
      <c r="H28" s="49" t="b">
        <f t="shared" si="0"/>
        <v>1</v>
      </c>
      <c r="I28" s="49" t="b">
        <f>IF(VLOOKUP(A28&amp;" "&amp;B28,'HIDDEN import'!A:G,5,FALSE)="M",TRUE,IFERROR(VLOOKUP(E28,'Optional features'!B:E,3,FALSE)="Yes",IFERROR(VLOOKUP(E28,'HIDDEN calc sheet'!A:B,2,FALSE),VLOOKUP(E28,'Additional questions'!B:D,3,FALSE)="Yes")))</f>
        <v>1</v>
      </c>
      <c r="J28" t="b">
        <f>IF(VLOOKUP(B28,'Profile selection'!B:C,2,FALSE)="Yes",TRUE,FALSE)</f>
        <v>1</v>
      </c>
      <c r="K28" s="22" t="b">
        <f>IF(AND(D28=MD!$A$1,M28),TRUE,(IF(AND(D28=MD!$A$3,M28),(IF(L28=TRUE,TRUE,FALSE)),(IF(AND(D28=MD!$A$2,M28),(IF(N28=TRUE,TRUE,FALSE)),FALSE)))))</f>
        <v>1</v>
      </c>
      <c r="M28" t="b">
        <f>IF(VLOOKUP(B28,'Profile selection'!B:C,2,FALSE)="Yes",TRUE,FALSE)</f>
        <v>1</v>
      </c>
      <c r="P28" s="73"/>
      <c r="Q28" s="73"/>
    </row>
    <row r="29" spans="1:17" x14ac:dyDescent="0.25">
      <c r="A29" t="str">
        <f>'HIDDEN import'!B29</f>
        <v>TC_C_06_CSMS</v>
      </c>
      <c r="B29" t="str">
        <f>'HIDDEN import'!C29</f>
        <v>Core</v>
      </c>
      <c r="C29" t="str">
        <f>'HIDDEN import'!D29</f>
        <v>Local start transaction - Authorization Blocked</v>
      </c>
      <c r="D29" t="str">
        <f>IF(VLOOKUP(A29&amp;" "&amp;B29,'HIDDEN import'!A:G,5,FALSE)="M",MD!$A$1,(IF(AND(VLOOKUP(A29,'HIDDEN import'!B:E,4,FALSE)="C",OR(NOT(ISERROR(VLOOKUP(E29,'Optional features'!B:E,1,FALSE)=E29)),NOT(ISERROR(VLOOKUP(E29,'HIDDEN calc sheet'!A:C,1,FALSE)=E29)))),MD!$A$3,MD!$A$2)))</f>
        <v>Mandatory test for a mandatory feature</v>
      </c>
      <c r="E29" t="str">
        <f>IF('HIDDEN import'!F29=0,"",'HIDDEN import'!F29)</f>
        <v>NOT AQ-2 and (C-30 or C-31 or C-32)</v>
      </c>
      <c r="F29" t="str">
        <f>IF('HIDDEN import'!G29=0,"",'HIDDEN import'!G29)</f>
        <v>Local Authorization - using RFID ISO14443 / RFID ISO15693 / KeyCode</v>
      </c>
      <c r="G29" s="49" t="str">
        <f>IFERROR(VLOOKUP($A29,'HIDDEN Testrun Results'!$A:$B,2,FALSE),"")</f>
        <v/>
      </c>
      <c r="H29" s="49" t="b">
        <f t="shared" si="0"/>
        <v>1</v>
      </c>
      <c r="I29" s="49" t="b">
        <f>IF(VLOOKUP(A29&amp;" "&amp;B29,'HIDDEN import'!A:G,5,FALSE)="M",TRUE,IFERROR(VLOOKUP(E29,'Optional features'!B:E,3,FALSE)="Yes",IFERROR(VLOOKUP(E29,'HIDDEN calc sheet'!A:B,2,FALSE),VLOOKUP(E29,'Additional questions'!B:D,3,FALSE)="Yes")))</f>
        <v>1</v>
      </c>
      <c r="J29" t="b">
        <f>IF(VLOOKUP(B29,'Profile selection'!B:C,2,FALSE)="Yes",TRUE,FALSE)</f>
        <v>1</v>
      </c>
      <c r="K29" s="22" t="b">
        <f>IF(AND(D29=MD!$A$1,M29),TRUE,(IF(AND(D29=MD!$A$3,M29),(IF(L29=TRUE,TRUE,FALSE)),(IF(AND(D29=MD!$A$2,M29),(IF(N29=TRUE,TRUE,FALSE)),FALSE)))))</f>
        <v>1</v>
      </c>
      <c r="M29" t="b">
        <f>IF(VLOOKUP(B29,'Profile selection'!B:C,2,FALSE)="Yes",TRUE,FALSE)</f>
        <v>1</v>
      </c>
      <c r="P29" s="73"/>
      <c r="Q29" s="73"/>
    </row>
    <row r="30" spans="1:17" x14ac:dyDescent="0.25">
      <c r="A30" t="str">
        <f>'HIDDEN import'!B30</f>
        <v>TC_C_07_CSMS</v>
      </c>
      <c r="B30" t="str">
        <f>'HIDDEN import'!C30</f>
        <v>Core</v>
      </c>
      <c r="C30" t="str">
        <f>'HIDDEN import'!D30</f>
        <v>Local start transaction - Authorization Expired</v>
      </c>
      <c r="D30" t="str">
        <f>IF(VLOOKUP(A30&amp;" "&amp;B30,'HIDDEN import'!A:G,5,FALSE)="M",MD!$A$1,(IF(AND(VLOOKUP(A30,'HIDDEN import'!B:E,4,FALSE)="C",OR(NOT(ISERROR(VLOOKUP(E30,'Optional features'!B:E,1,FALSE)=E30)),NOT(ISERROR(VLOOKUP(E30,'HIDDEN calc sheet'!A:C,1,FALSE)=E30)))),MD!$A$3,MD!$A$2)))</f>
        <v>Mandatory test for a mandatory feature</v>
      </c>
      <c r="E30" t="str">
        <f>IF('HIDDEN import'!F30=0,"",'HIDDEN import'!F30)</f>
        <v>NOT AQ-2 and (C-30 or C-31 or C-32)</v>
      </c>
      <c r="F30" t="str">
        <f>IF('HIDDEN import'!G30=0,"",'HIDDEN import'!G30)</f>
        <v>Local Authorization - using RFID ISO14443 / RFID ISO15693 / KeyCode</v>
      </c>
      <c r="G30" s="49" t="str">
        <f>IFERROR(VLOOKUP($A30,'HIDDEN Testrun Results'!$A:$B,2,FALSE),"")</f>
        <v/>
      </c>
      <c r="H30" s="49" t="b">
        <f t="shared" si="0"/>
        <v>1</v>
      </c>
      <c r="I30" s="49" t="b">
        <f>IF(VLOOKUP(A30&amp;" "&amp;B30,'HIDDEN import'!A:G,5,FALSE)="M",TRUE,IFERROR(VLOOKUP(E30,'Optional features'!B:E,3,FALSE)="Yes",IFERROR(VLOOKUP(E30,'HIDDEN calc sheet'!A:B,2,FALSE),VLOOKUP(E30,'Additional questions'!B:D,3,FALSE)="Yes")))</f>
        <v>1</v>
      </c>
      <c r="J30" t="b">
        <f>IF(VLOOKUP(B30,'Profile selection'!B:C,2,FALSE)="Yes",TRUE,FALSE)</f>
        <v>1</v>
      </c>
      <c r="K30" s="22" t="b">
        <f>IF(AND(D30=MD!$A$1,M30),TRUE,(IF(AND(D30=MD!$A$3,M30),(IF(L30=TRUE,TRUE,FALSE)),(IF(AND(D30=MD!$A$2,M30),(IF(N30=TRUE,TRUE,FALSE)),FALSE)))))</f>
        <v>1</v>
      </c>
      <c r="M30" t="b">
        <f>IF(VLOOKUP(B30,'Profile selection'!B:C,2,FALSE)="Yes",TRUE,FALSE)</f>
        <v>1</v>
      </c>
      <c r="P30" s="73"/>
      <c r="Q30" s="73"/>
    </row>
    <row r="31" spans="1:17" x14ac:dyDescent="0.25">
      <c r="A31" t="str">
        <f>'HIDDEN import'!B31</f>
        <v>TC_E_38_CSMS</v>
      </c>
      <c r="B31" t="str">
        <f>'HIDDEN import'!C31</f>
        <v>Core</v>
      </c>
      <c r="C31" t="str">
        <f>'HIDDEN import'!D31</f>
        <v>Local start transaction - EV not ready</v>
      </c>
      <c r="D31" t="str">
        <f>IF(VLOOKUP(A31&amp;" "&amp;B31,'HIDDEN import'!A:G,5,FALSE)="M",MD!$A$1,(IF(AND(VLOOKUP(A31,'HIDDEN import'!B:E,4,FALSE)="C",OR(NOT(ISERROR(VLOOKUP(E31,'Optional features'!B:E,1,FALSE)=E31)),NOT(ISERROR(VLOOKUP(E31,'HIDDEN calc sheet'!A:C,1,FALSE)=E31)))),MD!$A$3,MD!$A$2)))</f>
        <v>Mandatory test for a mandatory feature</v>
      </c>
      <c r="E31" t="str">
        <f>IF('HIDDEN import'!F31=0,"",'HIDDEN import'!F31)</f>
        <v>NOT C-09.5 and NOT Product Subtype "Mode 1/2-only Charging Station"</v>
      </c>
      <c r="F31" t="str">
        <f>IF('HIDDEN import'!G31=0,"",'HIDDEN import'!G31)</f>
        <v>Start transaction options - EnergyTransfer</v>
      </c>
      <c r="G31" s="49" t="str">
        <f>IFERROR(VLOOKUP($A31,'HIDDEN Testrun Results'!$A:$B,2,FALSE),"")</f>
        <v/>
      </c>
      <c r="H31" s="49" t="b">
        <f t="shared" si="0"/>
        <v>1</v>
      </c>
      <c r="I31" s="49" t="b">
        <f>IF(VLOOKUP(A31&amp;" "&amp;B31,'HIDDEN import'!A:G,5,FALSE)="M",TRUE,IFERROR(VLOOKUP(E31,'Optional features'!B:E,3,FALSE)="Yes",IFERROR(VLOOKUP(E31,'HIDDEN calc sheet'!A:B,2,FALSE),VLOOKUP(E31,'Additional questions'!B:D,3,FALSE)="Yes")))</f>
        <v>1</v>
      </c>
      <c r="J31" t="b">
        <f>IF(VLOOKUP(B31,'Profile selection'!B:C,2,FALSE)="Yes",TRUE,FALSE)</f>
        <v>1</v>
      </c>
      <c r="K31" s="22" t="b">
        <f>IF(AND(D31=MD!$A$1,M31),TRUE,(IF(AND(D31=MD!$A$3,M31),(IF(L31=TRUE,TRUE,FALSE)),(IF(AND(D31=MD!$A$2,M31),(IF(N31=TRUE,TRUE,FALSE)),FALSE)))))</f>
        <v>1</v>
      </c>
      <c r="M31" t="b">
        <f>IF(VLOOKUP(B31,'Profile selection'!B:C,2,FALSE)="Yes",TRUE,FALSE)</f>
        <v>1</v>
      </c>
      <c r="P31" s="73"/>
      <c r="Q31" s="73"/>
    </row>
    <row r="32" spans="1:17" x14ac:dyDescent="0.25">
      <c r="A32" t="str">
        <f>'HIDDEN import'!B32</f>
        <v>TC_C_39_CSMS</v>
      </c>
      <c r="B32" t="str">
        <f>'HIDDEN import'!C32</f>
        <v>Core</v>
      </c>
      <c r="C32" t="str">
        <f>'HIDDEN import'!D32</f>
        <v>Authorization by GroupId - Success</v>
      </c>
      <c r="D32" t="str">
        <f>IF(VLOOKUP(A32&amp;" "&amp;B32,'HIDDEN import'!A:G,5,FALSE)="M",MD!$A$1,(IF(AND(VLOOKUP(A32,'HIDDEN import'!B:E,4,FALSE)="C",OR(NOT(ISERROR(VLOOKUP(E32,'Optional features'!B:E,1,FALSE)=E32)),NOT(ISERROR(VLOOKUP(E32,'HIDDEN calc sheet'!A:C,1,FALSE)=E32)))),MD!$A$3,MD!$A$2)))</f>
        <v>Mandatory test for a mandatory feature</v>
      </c>
      <c r="E32" t="str">
        <f>IF('HIDDEN import'!F32=0,"",'HIDDEN import'!F32)</f>
        <v>C-30 or C-31 or C-32</v>
      </c>
      <c r="F32" t="str">
        <f>IF('HIDDEN import'!G32=0,"",'HIDDEN import'!G32)</f>
        <v>Local Authorization - using RFID ISO14443 / RFID ISO15693 / KeyCode</v>
      </c>
      <c r="G32" s="49" t="str">
        <f>IFERROR(VLOOKUP($A32,'HIDDEN Testrun Results'!$A:$B,2,FALSE),"")</f>
        <v/>
      </c>
      <c r="H32" s="49" t="b">
        <f t="shared" si="0"/>
        <v>1</v>
      </c>
      <c r="I32" s="49" t="b">
        <f>IF(VLOOKUP(A32&amp;" "&amp;B32,'HIDDEN import'!A:G,5,FALSE)="M",TRUE,IFERROR(VLOOKUP(E32,'Optional features'!B:E,3,FALSE)="Yes",IFERROR(VLOOKUP(E32,'HIDDEN calc sheet'!A:B,2,FALSE),VLOOKUP(E32,'Additional questions'!B:D,3,FALSE)="Yes")))</f>
        <v>1</v>
      </c>
      <c r="J32" t="b">
        <f>IF(VLOOKUP(B32,'Profile selection'!B:C,2,FALSE)="Yes",TRUE,FALSE)</f>
        <v>1</v>
      </c>
      <c r="K32" s="22" t="b">
        <f>IF(AND(D32=MD!$A$1,M32),TRUE,(IF(AND(D32=MD!$A$3,M32),(IF(L32=TRUE,TRUE,FALSE)),(IF(AND(D32=MD!$A$2,M32),(IF(N32=TRUE,TRUE,FALSE)),FALSE)))))</f>
        <v>1</v>
      </c>
      <c r="M32" t="b">
        <f>IF(VLOOKUP(B32,'Profile selection'!B:C,2,FALSE)="Yes",TRUE,FALSE)</f>
        <v>1</v>
      </c>
      <c r="P32" s="73"/>
      <c r="Q32" s="73"/>
    </row>
    <row r="33" spans="1:17" x14ac:dyDescent="0.25">
      <c r="A33" t="str">
        <f>'HIDDEN import'!B33</f>
        <v>TC_C_47_CSMS</v>
      </c>
      <c r="B33" t="str">
        <f>'HIDDEN import'!C33</f>
        <v>Core</v>
      </c>
      <c r="C33" t="str">
        <f>'HIDDEN import'!D33</f>
        <v>Stop Transaction with a Master Pass - With UI - All transactions</v>
      </c>
      <c r="D33" t="str">
        <f>IF(VLOOKUP(A33&amp;" "&amp;B33,'HIDDEN import'!A:G,5,FALSE)="M",MD!$A$1,(IF(AND(VLOOKUP(A33,'HIDDEN import'!B:E,4,FALSE)="C",OR(NOT(ISERROR(VLOOKUP(E33,'Optional features'!B:E,1,FALSE)=E33)),NOT(ISERROR(VLOOKUP(E33,'HIDDEN calc sheet'!A:C,1,FALSE)=E33)))),MD!$A$3,MD!$A$2)))</f>
        <v>Mandatory test for a mandatory feature</v>
      </c>
      <c r="E33" t="str">
        <f>IF('HIDDEN import'!F33=0,"",'HIDDEN import'!F33)</f>
        <v>C-07 and (C-30 or C-31 or C-32)</v>
      </c>
      <c r="F33" t="str">
        <f>IF('HIDDEN import'!G33=0,"",'HIDDEN import'!G33)</f>
        <v>Master Pass - With UI</v>
      </c>
      <c r="G33" s="49" t="str">
        <f>IFERROR(VLOOKUP($A33,'HIDDEN Testrun Results'!$A:$B,2,FALSE),"")</f>
        <v/>
      </c>
      <c r="H33" s="49" t="b">
        <f t="shared" si="0"/>
        <v>1</v>
      </c>
      <c r="I33" s="49" t="b">
        <f>IF(VLOOKUP(A33&amp;" "&amp;B33,'HIDDEN import'!A:G,5,FALSE)="M",TRUE,IFERROR(VLOOKUP(E33,'Optional features'!B:E,3,FALSE)="Yes",IFERROR(VLOOKUP(E33,'HIDDEN calc sheet'!A:B,2,FALSE),VLOOKUP(E33,'Additional questions'!B:D,3,FALSE)="Yes")))</f>
        <v>1</v>
      </c>
      <c r="J33" t="b">
        <f>IF(VLOOKUP(B33,'Profile selection'!B:C,2,FALSE)="Yes",TRUE,FALSE)</f>
        <v>1</v>
      </c>
      <c r="K33" s="22" t="b">
        <f>IF(AND(D33=MD!$A$1,M33),TRUE,(IF(AND(D33=MD!$A$3,M33),(IF(L33=TRUE,TRUE,FALSE)),(IF(AND(D33=MD!$A$2,M33),(IF(N33=TRUE,TRUE,FALSE)),FALSE)))))</f>
        <v>1</v>
      </c>
      <c r="M33" t="b">
        <f>IF(VLOOKUP(B33,'Profile selection'!B:C,2,FALSE)="Yes",TRUE,FALSE)</f>
        <v>1</v>
      </c>
      <c r="P33" s="73"/>
      <c r="Q33" s="73"/>
    </row>
    <row r="34" spans="1:17" x14ac:dyDescent="0.25">
      <c r="A34" t="str">
        <f>'HIDDEN import'!B34</f>
        <v>TC_C_48_CSMS</v>
      </c>
      <c r="B34" t="str">
        <f>'HIDDEN import'!C34</f>
        <v>Core</v>
      </c>
      <c r="C34" t="str">
        <f>'HIDDEN import'!D34</f>
        <v>Stop Transaction with a Master Pass - With UI - With UI - Specific transactions</v>
      </c>
      <c r="D34" t="str">
        <f>IF(VLOOKUP(A34&amp;" "&amp;B34,'HIDDEN import'!A:G,5,FALSE)="M",MD!$A$1,(IF(AND(VLOOKUP(A34,'HIDDEN import'!B:E,4,FALSE)="C",OR(NOT(ISERROR(VLOOKUP(E34,'Optional features'!B:E,1,FALSE)=E34)),NOT(ISERROR(VLOOKUP(E34,'HIDDEN calc sheet'!A:C,1,FALSE)=E34)))),MD!$A$3,MD!$A$2)))</f>
        <v>Mandatory test for a mandatory feature</v>
      </c>
      <c r="E34" t="str">
        <f>IF('HIDDEN import'!F34=0,"",'HIDDEN import'!F34)</f>
        <v>C-07 and (C-30 or C-31 or C-32)</v>
      </c>
      <c r="F34" t="str">
        <f>IF('HIDDEN import'!G34=0,"",'HIDDEN import'!G34)</f>
        <v>Master Pass - With UI</v>
      </c>
      <c r="G34" s="49" t="str">
        <f>IFERROR(VLOOKUP($A34,'HIDDEN Testrun Results'!$A:$B,2,FALSE),"")</f>
        <v/>
      </c>
      <c r="H34" s="49" t="b">
        <f t="shared" si="0"/>
        <v>1</v>
      </c>
      <c r="I34" s="49" t="b">
        <f>IF(VLOOKUP(A34&amp;" "&amp;B34,'HIDDEN import'!A:G,5,FALSE)="M",TRUE,IFERROR(VLOOKUP(E34,'Optional features'!B:E,3,FALSE)="Yes",IFERROR(VLOOKUP(E34,'HIDDEN calc sheet'!A:B,2,FALSE),VLOOKUP(E34,'Additional questions'!B:D,3,FALSE)="Yes")))</f>
        <v>1</v>
      </c>
      <c r="J34" t="b">
        <f>IF(VLOOKUP(B34,'Profile selection'!B:C,2,FALSE)="Yes",TRUE,FALSE)</f>
        <v>1</v>
      </c>
      <c r="K34" s="22" t="b">
        <f>IF(AND(D34=MD!$A$1,M34),TRUE,(IF(AND(D34=MD!$A$3,M34),(IF(L34=TRUE,TRUE,FALSE)),(IF(AND(D34=MD!$A$2,M34),(IF(N34=TRUE,TRUE,FALSE)),FALSE)))))</f>
        <v>1</v>
      </c>
      <c r="M34" t="b">
        <f>IF(VLOOKUP(B34,'Profile selection'!B:C,2,FALSE)="Yes",TRUE,FALSE)</f>
        <v>1</v>
      </c>
      <c r="P34" s="73"/>
      <c r="Q34" s="73"/>
    </row>
    <row r="35" spans="1:17" x14ac:dyDescent="0.25">
      <c r="A35" t="str">
        <f>'HIDDEN import'!B35</f>
        <v>TC_C_49_CSMS</v>
      </c>
      <c r="B35" t="str">
        <f>'HIDDEN import'!C35</f>
        <v>Core</v>
      </c>
      <c r="C35" t="str">
        <f>'HIDDEN import'!D35</f>
        <v>Stop Transaction with a Master Pass - Without UI</v>
      </c>
      <c r="D35" t="str">
        <f>IF(VLOOKUP(A35&amp;" "&amp;B35,'HIDDEN import'!A:G,5,FALSE)="M",MD!$A$1,(IF(AND(VLOOKUP(A35,'HIDDEN import'!B:E,4,FALSE)="C",OR(NOT(ISERROR(VLOOKUP(E35,'Optional features'!B:E,1,FALSE)=E35)),NOT(ISERROR(VLOOKUP(E35,'HIDDEN calc sheet'!A:C,1,FALSE)=E35)))),MD!$A$3,MD!$A$2)))</f>
        <v>Mandatory test for a mandatory feature</v>
      </c>
      <c r="E35" t="str">
        <f>IF('HIDDEN import'!F35=0,"",'HIDDEN import'!F35)</f>
        <v>C-08 and (C-30 or C-31 or C-32)</v>
      </c>
      <c r="F35" t="str">
        <f>IF('HIDDEN import'!G35=0,"",'HIDDEN import'!G35)</f>
        <v>Master Pass - Without UI</v>
      </c>
      <c r="G35" s="49" t="str">
        <f>IFERROR(VLOOKUP($A35,'HIDDEN Testrun Results'!$A:$B,2,FALSE),"")</f>
        <v/>
      </c>
      <c r="H35" s="49" t="b">
        <f t="shared" si="0"/>
        <v>1</v>
      </c>
      <c r="I35" s="49" t="b">
        <f>IF(VLOOKUP(A35&amp;" "&amp;B35,'HIDDEN import'!A:G,5,FALSE)="M",TRUE,IFERROR(VLOOKUP(E35,'Optional features'!B:E,3,FALSE)="Yes",IFERROR(VLOOKUP(E35,'HIDDEN calc sheet'!A:B,2,FALSE),VLOOKUP(E35,'Additional questions'!B:D,3,FALSE)="Yes")))</f>
        <v>1</v>
      </c>
      <c r="J35" t="b">
        <f>IF(VLOOKUP(B35,'Profile selection'!B:C,2,FALSE)="Yes",TRUE,FALSE)</f>
        <v>1</v>
      </c>
      <c r="K35" s="22" t="b">
        <f>IF(AND(D35=MD!$A$1,M35),TRUE,(IF(AND(D35=MD!$A$3,M35),(IF(L35=TRUE,TRUE,FALSE)),(IF(AND(D35=MD!$A$2,M35),(IF(N35=TRUE,TRUE,FALSE)),FALSE)))))</f>
        <v>1</v>
      </c>
      <c r="M35" t="b">
        <f>IF(VLOOKUP(B35,'Profile selection'!B:C,2,FALSE)="Yes",TRUE,FALSE)</f>
        <v>1</v>
      </c>
      <c r="P35" s="73"/>
      <c r="Q35" s="73"/>
    </row>
    <row r="36" spans="1:17" x14ac:dyDescent="0.25">
      <c r="A36" t="str">
        <f>'HIDDEN import'!B36</f>
        <v>TC_C_37_CSMS</v>
      </c>
      <c r="B36" t="str">
        <f>'HIDDEN import'!C36</f>
        <v>Core</v>
      </c>
      <c r="C36" t="str">
        <f>'HIDDEN import'!D36</f>
        <v>Clear Authorization Data in Authorization Cache - Accepted</v>
      </c>
      <c r="D36" t="str">
        <f>IF(VLOOKUP(A36&amp;" "&amp;B36,'HIDDEN import'!A:G,5,FALSE)="M",MD!$A$1,(IF(AND(VLOOKUP(A36,'HIDDEN import'!B:E,4,FALSE)="C",OR(NOT(ISERROR(VLOOKUP(E36,'Optional features'!B:E,1,FALSE)=E36)),NOT(ISERROR(VLOOKUP(E36,'HIDDEN calc sheet'!A:C,1,FALSE)=E36)))),MD!$A$3,MD!$A$2)))</f>
        <v>Mandatory test for a mandatory feature</v>
      </c>
      <c r="E36" t="str">
        <f>IF('HIDDEN import'!F36=0,"",'HIDDEN import'!F36)</f>
        <v>C-49 and (C-30 or C-31 or C-32)</v>
      </c>
      <c r="F36" t="str">
        <f>IF('HIDDEN import'!G36=0,"",'HIDDEN import'!G36)</f>
        <v>Authorization Cache</v>
      </c>
      <c r="G36" s="49" t="str">
        <f>IFERROR(VLOOKUP($A36,'HIDDEN Testrun Results'!$A:$B,2,FALSE),"")</f>
        <v/>
      </c>
      <c r="H36" s="49" t="b">
        <f t="shared" si="0"/>
        <v>1</v>
      </c>
      <c r="I36" s="49" t="b">
        <f>IF(VLOOKUP(A36&amp;" "&amp;B36,'HIDDEN import'!A:G,5,FALSE)="M",TRUE,IFERROR(VLOOKUP(E36,'Optional features'!B:E,3,FALSE)="Yes",IFERROR(VLOOKUP(E36,'HIDDEN calc sheet'!A:B,2,FALSE),VLOOKUP(E36,'Additional questions'!B:D,3,FALSE)="Yes")))</f>
        <v>1</v>
      </c>
      <c r="J36" t="b">
        <f>IF(VLOOKUP(B36,'Profile selection'!B:C,2,FALSE)="Yes",TRUE,FALSE)</f>
        <v>1</v>
      </c>
      <c r="K36" s="22" t="b">
        <f>IF(AND(D36=MD!$A$1,M36),TRUE,(IF(AND(D36=MD!$A$3,M36),(IF(L36=TRUE,TRUE,FALSE)),(IF(AND(D36=MD!$A$2,M36),(IF(N36=TRUE,TRUE,FALSE)),FALSE)))))</f>
        <v>1</v>
      </c>
      <c r="M36" t="b">
        <f>IF(VLOOKUP(B36,'Profile selection'!B:C,2,FALSE)="Yes",TRUE,FALSE)</f>
        <v>1</v>
      </c>
      <c r="P36" s="73"/>
      <c r="Q36" s="73"/>
    </row>
    <row r="37" spans="1:17" x14ac:dyDescent="0.25">
      <c r="A37" t="str">
        <f>'HIDDEN import'!B37</f>
        <v>TC_C_38_CSMS</v>
      </c>
      <c r="B37" t="str">
        <f>'HIDDEN import'!C37</f>
        <v>Core</v>
      </c>
      <c r="C37" t="str">
        <f>'HIDDEN import'!D37</f>
        <v>Clear Authorization Data in Authorization Cache - Rejected</v>
      </c>
      <c r="D37" t="str">
        <f>IF(VLOOKUP(A37&amp;" "&amp;B37,'HIDDEN import'!A:G,5,FALSE)="M",MD!$A$1,(IF(AND(VLOOKUP(A37,'HIDDEN import'!B:E,4,FALSE)="C",OR(NOT(ISERROR(VLOOKUP(E37,'Optional features'!B:E,1,FALSE)=E37)),NOT(ISERROR(VLOOKUP(E37,'HIDDEN calc sheet'!A:C,1,FALSE)=E37)))),MD!$A$3,MD!$A$2)))</f>
        <v>Mandatory test for a mandatory feature</v>
      </c>
      <c r="E37" t="str">
        <f>IF('HIDDEN import'!F37=0,"",'HIDDEN import'!F37)</f>
        <v>C-49 and (C-30 or C-31 or C-32)</v>
      </c>
      <c r="F37" t="str">
        <f>IF('HIDDEN import'!G37=0,"",'HIDDEN import'!G37)</f>
        <v>Authorization Cache</v>
      </c>
      <c r="G37" s="49" t="str">
        <f>IFERROR(VLOOKUP($A37,'HIDDEN Testrun Results'!$A:$B,2,FALSE),"")</f>
        <v/>
      </c>
      <c r="H37" s="49" t="b">
        <f t="shared" si="0"/>
        <v>1</v>
      </c>
      <c r="I37" s="49" t="b">
        <f>IF(VLOOKUP(A37&amp;" "&amp;B37,'HIDDEN import'!A:G,5,FALSE)="M",TRUE,IFERROR(VLOOKUP(E37,'Optional features'!B:E,3,FALSE)="Yes",IFERROR(VLOOKUP(E37,'HIDDEN calc sheet'!A:B,2,FALSE),VLOOKUP(E37,'Additional questions'!B:D,3,FALSE)="Yes")))</f>
        <v>1</v>
      </c>
      <c r="J37" t="b">
        <f>IF(VLOOKUP(B37,'Profile selection'!B:C,2,FALSE)="Yes",TRUE,FALSE)</f>
        <v>1</v>
      </c>
      <c r="K37" s="22" t="b">
        <f>IF(AND(D37=MD!$A$1,M37),TRUE,(IF(AND(D37=MD!$A$3,M37),(IF(L37=TRUE,TRUE,FALSE)),(IF(AND(D37=MD!$A$2,M37),(IF(N37=TRUE,TRUE,FALSE)),FALSE)))))</f>
        <v>1</v>
      </c>
      <c r="M37" t="b">
        <f>IF(VLOOKUP(B37,'Profile selection'!B:C,2,FALSE)="Yes",TRUE,FALSE)</f>
        <v>1</v>
      </c>
      <c r="P37" s="73"/>
      <c r="Q37" s="73"/>
    </row>
    <row r="38" spans="1:17" x14ac:dyDescent="0.25">
      <c r="A38" t="str">
        <f>'HIDDEN import'!B38</f>
        <v>TC_C_08_CSMS</v>
      </c>
      <c r="B38" t="str">
        <f>'HIDDEN import'!C38</f>
        <v>Core</v>
      </c>
      <c r="C38" t="str">
        <f>'HIDDEN import'!D38</f>
        <v>Authorization through authorization cache - Accepted</v>
      </c>
      <c r="D38" t="str">
        <f>IF(VLOOKUP(A38&amp;" "&amp;B38,'HIDDEN import'!A:G,5,FALSE)="M",MD!$A$1,(IF(AND(VLOOKUP(A38,'HIDDEN import'!B:E,4,FALSE)="C",OR(NOT(ISERROR(VLOOKUP(E38,'Optional features'!B:E,1,FALSE)=E38)),NOT(ISERROR(VLOOKUP(E38,'HIDDEN calc sheet'!A:C,1,FALSE)=E38)))),MD!$A$3,MD!$A$2)))</f>
        <v>Mandatory test for a mandatory feature</v>
      </c>
      <c r="E38" t="str">
        <f>IF('HIDDEN import'!F38=0,"",'HIDDEN import'!F38)</f>
        <v>C-49 and (C-30 or C-31 or C-32)</v>
      </c>
      <c r="F38" t="str">
        <f>IF('HIDDEN import'!G38=0,"",'HIDDEN import'!G38)</f>
        <v>Authorization Cache</v>
      </c>
      <c r="G38" s="49" t="str">
        <f>IFERROR(VLOOKUP($A38,'HIDDEN Testrun Results'!$A:$B,2,FALSE),"")</f>
        <v/>
      </c>
      <c r="H38" s="49" t="b">
        <f t="shared" si="0"/>
        <v>1</v>
      </c>
      <c r="I38" s="49" t="b">
        <f>IF(VLOOKUP(A38&amp;" "&amp;B38,'HIDDEN import'!A:G,5,FALSE)="M",TRUE,IFERROR(VLOOKUP(E38,'Optional features'!B:E,3,FALSE)="Yes",IFERROR(VLOOKUP(E38,'HIDDEN calc sheet'!A:B,2,FALSE),VLOOKUP(E38,'Additional questions'!B:D,3,FALSE)="Yes")))</f>
        <v>1</v>
      </c>
      <c r="J38" t="b">
        <f>IF(VLOOKUP(B38,'Profile selection'!B:C,2,FALSE)="Yes",TRUE,FALSE)</f>
        <v>1</v>
      </c>
      <c r="K38" s="22" t="b">
        <f>IF(AND(D38=MD!$A$1,M38),TRUE,(IF(AND(D38=MD!$A$3,M38),(IF(L38=TRUE,TRUE,FALSE)),(IF(AND(D38=MD!$A$2,M38),(IF(N38=TRUE,TRUE,FALSE)),FALSE)))))</f>
        <v>1</v>
      </c>
      <c r="M38" t="b">
        <f>IF(VLOOKUP(B38,'Profile selection'!B:C,2,FALSE)="Yes",TRUE,FALSE)</f>
        <v>1</v>
      </c>
      <c r="P38" s="73"/>
      <c r="Q38" s="73"/>
    </row>
    <row r="39" spans="1:17" x14ac:dyDescent="0.25">
      <c r="A39" t="str">
        <f>'HIDDEN import'!B39</f>
        <v>TC_C_20_CSMS</v>
      </c>
      <c r="B39" t="str">
        <f>'HIDDEN import'!C39</f>
        <v>Core</v>
      </c>
      <c r="C39" t="str">
        <f>'HIDDEN import'!D39</f>
        <v>Authorization through authorization cache - Invalid</v>
      </c>
      <c r="D39" t="str">
        <f>IF(VLOOKUP(A39&amp;" "&amp;B39,'HIDDEN import'!A:G,5,FALSE)="M",MD!$A$1,(IF(AND(VLOOKUP(A39,'HIDDEN import'!B:E,4,FALSE)="C",OR(NOT(ISERROR(VLOOKUP(E39,'Optional features'!B:E,1,FALSE)=E39)),NOT(ISERROR(VLOOKUP(E39,'HIDDEN calc sheet'!A:C,1,FALSE)=E39)))),MD!$A$3,MD!$A$2)))</f>
        <v>Mandatory test for a mandatory feature</v>
      </c>
      <c r="E39" t="str">
        <f>IF('HIDDEN import'!F39=0,"",'HIDDEN import'!F39)</f>
        <v/>
      </c>
      <c r="F39" t="str">
        <f>IF('HIDDEN import'!G39=0,"",'HIDDEN import'!G39)</f>
        <v/>
      </c>
      <c r="G39" s="49" t="str">
        <f>IFERROR(VLOOKUP($A39,'HIDDEN Testrun Results'!$A:$B,2,FALSE),"")</f>
        <v/>
      </c>
      <c r="H39" s="49" t="b">
        <f t="shared" si="0"/>
        <v>1</v>
      </c>
      <c r="I39" s="49" t="b">
        <f>IF(VLOOKUP(A39&amp;" "&amp;B39,'HIDDEN import'!A:G,5,FALSE)="M",TRUE,IFERROR(VLOOKUP(E39,'Optional features'!B:E,3,FALSE)="Yes",IFERROR(VLOOKUP(E39,'HIDDEN calc sheet'!A:B,2,FALSE),VLOOKUP(E39,'Additional questions'!B:D,3,FALSE)="Yes")))</f>
        <v>1</v>
      </c>
      <c r="J39" t="b">
        <f>IF(VLOOKUP(B39,'Profile selection'!B:C,2,FALSE)="Yes",TRUE,FALSE)</f>
        <v>1</v>
      </c>
      <c r="K39" s="22" t="b">
        <f>IF(AND(D39=MD!$A$1,M39),TRUE,(IF(AND(D39=MD!$A$3,M39),(IF(L39=TRUE,TRUE,FALSE)),(IF(AND(D39=MD!$A$2,M39),(IF(N39=TRUE,TRUE,FALSE)),FALSE)))))</f>
        <v>1</v>
      </c>
      <c r="M39" t="b">
        <f>IF(VLOOKUP(B39,'Profile selection'!B:C,2,FALSE)="Yes",TRUE,FALSE)</f>
        <v>1</v>
      </c>
      <c r="P39" s="73"/>
      <c r="Q39" s="73"/>
    </row>
    <row r="40" spans="1:17" x14ac:dyDescent="0.25">
      <c r="A40" t="str">
        <f>'HIDDEN import'!B40</f>
        <v>TC_E_03_CSMS</v>
      </c>
      <c r="B40" t="str">
        <f>'HIDDEN import'!C40</f>
        <v>Core</v>
      </c>
      <c r="C40" t="str">
        <f>'HIDDEN import'!D40</f>
        <v>Local start transaction - Cable plugin first - Success</v>
      </c>
      <c r="D40" t="str">
        <f>IF(VLOOKUP(A40&amp;" "&amp;B40,'HIDDEN import'!A:G,5,FALSE)="M",MD!$A$1,(IF(AND(VLOOKUP(A40,'HIDDEN import'!B:E,4,FALSE)="C",OR(NOT(ISERROR(VLOOKUP(E40,'Optional features'!B:E,1,FALSE)=E40)),NOT(ISERROR(VLOOKUP(E40,'HIDDEN calc sheet'!A:C,1,FALSE)=E40)))),MD!$A$3,MD!$A$2)))</f>
        <v>Mandatory test for a mandatory feature</v>
      </c>
      <c r="E40" t="str">
        <f>IF('HIDDEN import'!F40=0,"",'HIDDEN import'!F40)</f>
        <v>NOT AQ-2 and (C-30 - C-35 or ISO 15118 support)</v>
      </c>
      <c r="F40" t="str">
        <f>IF('HIDDEN import'!G40=0,"",'HIDDEN import'!G40)</f>
        <v>Authorization options for local start</v>
      </c>
      <c r="G40" s="49" t="str">
        <f>IFERROR(VLOOKUP($A40,'HIDDEN Testrun Results'!$A:$B,2,FALSE),"")</f>
        <v/>
      </c>
      <c r="H40" s="49" t="b">
        <f t="shared" si="0"/>
        <v>1</v>
      </c>
      <c r="I40" s="49" t="b">
        <f>IF(VLOOKUP(A40&amp;" "&amp;B40,'HIDDEN import'!A:G,5,FALSE)="M",TRUE,IFERROR(VLOOKUP(E40,'Optional features'!B:E,3,FALSE)="Yes",IFERROR(VLOOKUP(E40,'HIDDEN calc sheet'!A:B,2,FALSE),VLOOKUP(E40,'Additional questions'!B:D,3,FALSE)="Yes")))</f>
        <v>1</v>
      </c>
      <c r="J40" t="b">
        <f>IF(VLOOKUP(B40,'Profile selection'!B:C,2,FALSE)="Yes",TRUE,FALSE)</f>
        <v>1</v>
      </c>
      <c r="K40" s="22" t="b">
        <f>IF(AND(D40=MD!$A$1,M40),TRUE,(IF(AND(D40=MD!$A$3,M40),(IF(L40=TRUE,TRUE,FALSE)),(IF(AND(D40=MD!$A$2,M40),(IF(N40=TRUE,TRUE,FALSE)),FALSE)))))</f>
        <v>1</v>
      </c>
      <c r="M40" t="b">
        <f>IF(VLOOKUP(B40,'Profile selection'!B:C,2,FALSE)="Yes",TRUE,FALSE)</f>
        <v>1</v>
      </c>
      <c r="P40" s="73"/>
      <c r="Q40" s="73"/>
    </row>
    <row r="41" spans="1:17" x14ac:dyDescent="0.25">
      <c r="A41" t="str">
        <f>'HIDDEN import'!B41</f>
        <v>TC_E_04_CSMS</v>
      </c>
      <c r="B41" t="str">
        <f>'HIDDEN import'!C41</f>
        <v>Core</v>
      </c>
      <c r="C41" t="str">
        <f>'HIDDEN import'!D41</f>
        <v>Local start transaction - Authorization first - Success</v>
      </c>
      <c r="D41" t="str">
        <f>IF(VLOOKUP(A41&amp;" "&amp;B41,'HIDDEN import'!A:G,5,FALSE)="M",MD!$A$1,(IF(AND(VLOOKUP(A41,'HIDDEN import'!B:E,4,FALSE)="C",OR(NOT(ISERROR(VLOOKUP(E41,'Optional features'!B:E,1,FALSE)=E41)),NOT(ISERROR(VLOOKUP(E41,'HIDDEN calc sheet'!A:C,1,FALSE)=E41)))),MD!$A$3,MD!$A$2)))</f>
        <v>Mandatory test for a mandatory feature</v>
      </c>
      <c r="E41" t="str">
        <f>IF('HIDDEN import'!F41=0,"",'HIDDEN import'!F41)</f>
        <v>C-30 - C-35 or ISO 15118 support</v>
      </c>
      <c r="F41" t="str">
        <f>IF('HIDDEN import'!G41=0,"",'HIDDEN import'!G41)</f>
        <v>Authorization options for local start</v>
      </c>
      <c r="G41" s="49" t="str">
        <f>IFERROR(VLOOKUP($A41,'HIDDEN Testrun Results'!$A:$B,2,FALSE),"")</f>
        <v/>
      </c>
      <c r="H41" s="49" t="b">
        <f t="shared" si="0"/>
        <v>1</v>
      </c>
      <c r="I41" s="49" t="b">
        <f>IF(VLOOKUP(A41&amp;" "&amp;B41,'HIDDEN import'!A:G,5,FALSE)="M",TRUE,IFERROR(VLOOKUP(E41,'Optional features'!B:E,3,FALSE)="Yes",IFERROR(VLOOKUP(E41,'HIDDEN calc sheet'!A:B,2,FALSE),VLOOKUP(E41,'Additional questions'!B:D,3,FALSE)="Yes")))</f>
        <v>1</v>
      </c>
      <c r="J41" t="b">
        <f>IF(VLOOKUP(B41,'Profile selection'!B:C,2,FALSE)="Yes",TRUE,FALSE)</f>
        <v>1</v>
      </c>
      <c r="K41" s="22" t="b">
        <f>IF(AND(D41=MD!$A$1,M41),TRUE,(IF(AND(D41=MD!$A$3,M41),(IF(L41=TRUE,TRUE,FALSE)),(IF(AND(D41=MD!$A$2,M41),(IF(N41=TRUE,TRUE,FALSE)),FALSE)))))</f>
        <v>1</v>
      </c>
      <c r="L41" t="b">
        <f>IF(ISNA(VLOOKUP(E41,'Optional features'!B:D,3,FALSE)),FALSE,IF(VLOOKUP(E41,'Optional features'!B:D,3,FALSE)="Yes",TRUE,FALSE))</f>
        <v>0</v>
      </c>
      <c r="M41" t="b">
        <f>IF(VLOOKUP(B41,'Profile selection'!B:C,2,FALSE)="Yes",TRUE,FALSE)</f>
        <v>1</v>
      </c>
      <c r="P41" s="73"/>
      <c r="Q41" s="73"/>
    </row>
    <row r="42" spans="1:17" x14ac:dyDescent="0.25">
      <c r="A42" t="str">
        <f>'HIDDEN import'!B42</f>
        <v>TC_E_09_CSMS</v>
      </c>
      <c r="B42" t="str">
        <f>'HIDDEN import'!C42</f>
        <v>Core</v>
      </c>
      <c r="C42" t="str">
        <f>'HIDDEN import'!D42</f>
        <v>Start transaction options - EVConnected</v>
      </c>
      <c r="D42" t="str">
        <f>IF(VLOOKUP(A42&amp;" "&amp;B42,'HIDDEN import'!A:G,5,FALSE)="M",MD!$A$1,(IF(AND(VLOOKUP(A42,'HIDDEN import'!B:E,4,FALSE)="C",OR(NOT(ISERROR(VLOOKUP(E42,'Optional features'!B:E,1,FALSE)=E42)),NOT(ISERROR(VLOOKUP(E42,'HIDDEN calc sheet'!A:C,1,FALSE)=E42)))),MD!$A$3,MD!$A$2)))</f>
        <v>Mandatory test for a mandatory feature</v>
      </c>
      <c r="E42" t="str">
        <f>IF('HIDDEN import'!F42=0,"",'HIDDEN import'!F42)</f>
        <v>C-09.1 and (C-51 or NOT C-09.6)</v>
      </c>
      <c r="F42" t="str">
        <f>IF('HIDDEN import'!G42=0,"",'HIDDEN import'!G42)</f>
        <v/>
      </c>
      <c r="G42" s="49" t="str">
        <f>IFERROR(VLOOKUP($A42,'HIDDEN Testrun Results'!$A:$B,2,FALSE),"")</f>
        <v/>
      </c>
      <c r="H42" s="49" t="b">
        <f t="shared" si="0"/>
        <v>1</v>
      </c>
      <c r="I42" s="49" t="b">
        <f>IF(VLOOKUP(A42&amp;" "&amp;B42,'HIDDEN import'!A:G,5,FALSE)="M",TRUE,IFERROR(VLOOKUP(E42,'Optional features'!B:E,3,FALSE)="Yes",IFERROR(VLOOKUP(E42,'HIDDEN calc sheet'!A:B,2,FALSE),VLOOKUP(E42,'Additional questions'!B:D,3,FALSE)="Yes")))</f>
        <v>1</v>
      </c>
      <c r="J42" t="b">
        <f>IF(VLOOKUP(B42,'Profile selection'!B:C,2,FALSE)="Yes",TRUE,FALSE)</f>
        <v>1</v>
      </c>
      <c r="K42" s="22" t="b">
        <f>IF(AND(D42=MD!$A$1,M42),TRUE,(IF(AND(D42=MD!$A$3,M42),(IF(L42=TRUE,TRUE,FALSE)),(IF(AND(D42=MD!$A$2,M42),(IF(N42=TRUE,TRUE,FALSE)),FALSE)))))</f>
        <v>1</v>
      </c>
      <c r="M42" t="b">
        <f>IF(VLOOKUP(B42,'Profile selection'!B:C,2,FALSE)="Yes",TRUE,FALSE)</f>
        <v>1</v>
      </c>
      <c r="P42" s="73"/>
      <c r="Q42" s="73"/>
    </row>
    <row r="43" spans="1:17" x14ac:dyDescent="0.25">
      <c r="A43" t="str">
        <f>'HIDDEN import'!B43</f>
        <v>TC_E_10_CSMS</v>
      </c>
      <c r="B43" t="str">
        <f>'HIDDEN import'!C43</f>
        <v>Core</v>
      </c>
      <c r="C43" t="str">
        <f>'HIDDEN import'!D43</f>
        <v>Start transaction options - Authorized - Local</v>
      </c>
      <c r="D43" t="str">
        <f>IF(VLOOKUP(A43&amp;" "&amp;B43,'HIDDEN import'!A:G,5,FALSE)="M",MD!$A$1,(IF(AND(VLOOKUP(A43,'HIDDEN import'!B:E,4,FALSE)="C",OR(NOT(ISERROR(VLOOKUP(E43,'Optional features'!B:E,1,FALSE)=E43)),NOT(ISERROR(VLOOKUP(E43,'HIDDEN calc sheet'!A:C,1,FALSE)=E43)))),MD!$A$3,MD!$A$2)))</f>
        <v>Mandatory test for a mandatory feature</v>
      </c>
      <c r="E43" t="str">
        <f>IF('HIDDEN import'!F43=0,"",'HIDDEN import'!F43)</f>
        <v>C-09.2 and (C-30 - C-35 or ISO 15118 support)</v>
      </c>
      <c r="F43" t="str">
        <f>IF('HIDDEN import'!G43=0,"",'HIDDEN import'!G43)</f>
        <v>Supported Transaction Start Points &amp; Authorization options for local start &amp; Authorization - eMAID</v>
      </c>
      <c r="G43" s="49" t="str">
        <f>IFERROR(VLOOKUP($A43,'HIDDEN Testrun Results'!$A:$B,2,FALSE),"")</f>
        <v/>
      </c>
      <c r="H43" s="49" t="b">
        <f t="shared" si="0"/>
        <v>1</v>
      </c>
      <c r="I43" s="49" t="b">
        <f>IF(VLOOKUP(A43&amp;" "&amp;B43,'HIDDEN import'!A:G,5,FALSE)="M",TRUE,IFERROR(VLOOKUP(E43,'Optional features'!B:E,3,FALSE)="Yes",IFERROR(VLOOKUP(E43,'HIDDEN calc sheet'!A:B,2,FALSE),VLOOKUP(E43,'Additional questions'!B:D,3,FALSE)="Yes")))</f>
        <v>1</v>
      </c>
      <c r="J43" t="b">
        <f>IF(VLOOKUP(B43,'Profile selection'!B:C,2,FALSE)="Yes",TRUE,FALSE)</f>
        <v>1</v>
      </c>
      <c r="K43" s="22" t="b">
        <f>IF(AND(D43=MD!$A$1,M43),TRUE,(IF(AND(D43=MD!$A$3,M43),(IF(L43=TRUE,TRUE,FALSE)),(IF(AND(D43=MD!$A$2,M43),(IF(N43=TRUE,TRUE,FALSE)),FALSE)))))</f>
        <v>1</v>
      </c>
      <c r="M43" t="b">
        <f>IF(VLOOKUP(B43,'Profile selection'!B:C,2,FALSE)="Yes",TRUE,FALSE)</f>
        <v>1</v>
      </c>
      <c r="P43" s="73"/>
      <c r="Q43" s="73"/>
    </row>
    <row r="44" spans="1:17" x14ac:dyDescent="0.25">
      <c r="A44" t="str">
        <f>'HIDDEN import'!B44</f>
        <v>TC_E_11_CSMS</v>
      </c>
      <c r="B44" t="str">
        <f>'HIDDEN import'!C44</f>
        <v>Core</v>
      </c>
      <c r="C44" t="str">
        <f>'HIDDEN import'!D44</f>
        <v>Start transaction options - DataSigned</v>
      </c>
      <c r="D44" t="str">
        <f>IF(VLOOKUP(A44&amp;" "&amp;B44,'HIDDEN import'!A:G,5,FALSE)="M",MD!$A$1,(IF(AND(VLOOKUP(A44,'HIDDEN import'!B:E,4,FALSE)="C",OR(NOT(ISERROR(VLOOKUP(E44,'Optional features'!B:E,1,FALSE)=E44)),NOT(ISERROR(VLOOKUP(E44,'HIDDEN calc sheet'!A:C,1,FALSE)=E44)))),MD!$A$3,MD!$A$2)))</f>
        <v>Mandatory test for a mandatory feature</v>
      </c>
      <c r="E44" t="str">
        <f>IF('HIDDEN import'!F44=0,"",'HIDDEN import'!F44)</f>
        <v>C-09.3 and (C-51 or NOT (C-09.1 or C-09.2 or C-09.6))</v>
      </c>
      <c r="F44" t="str">
        <f>IF('HIDDEN import'!G44=0,"",'HIDDEN import'!G44)</f>
        <v>Supported Transaction Start points</v>
      </c>
      <c r="G44" s="49" t="str">
        <f>IFERROR(VLOOKUP($A44,'HIDDEN Testrun Results'!$A:$B,2,FALSE),"")</f>
        <v/>
      </c>
      <c r="H44" s="49" t="b">
        <f t="shared" si="0"/>
        <v>1</v>
      </c>
      <c r="I44" s="49" t="b">
        <f>IF(VLOOKUP(A44&amp;" "&amp;B44,'HIDDEN import'!A:G,5,FALSE)="M",TRUE,IFERROR(VLOOKUP(E44,'Optional features'!B:E,3,FALSE)="Yes",IFERROR(VLOOKUP(E44,'HIDDEN calc sheet'!A:B,2,FALSE),VLOOKUP(E44,'Additional questions'!B:D,3,FALSE)="Yes")))</f>
        <v>1</v>
      </c>
      <c r="J44" t="b">
        <f>IF(VLOOKUP(B44,'Profile selection'!B:C,2,FALSE)="Yes",TRUE,FALSE)</f>
        <v>1</v>
      </c>
      <c r="K44" s="22" t="b">
        <f>IF(AND(D44=MD!$A$1,M44),TRUE,(IF(AND(D44=MD!$A$3,M44),(IF(L44=TRUE,TRUE,FALSE)),(IF(AND(D44=MD!$A$2,M44),(IF(N44=TRUE,TRUE,FALSE)),FALSE)))))</f>
        <v>1</v>
      </c>
      <c r="M44" t="b">
        <f>IF(VLOOKUP(B44,'Profile selection'!B:C,2,FALSE)="Yes",TRUE,FALSE)</f>
        <v>1</v>
      </c>
      <c r="P44" s="73"/>
      <c r="Q44" s="73"/>
    </row>
    <row r="45" spans="1:17" x14ac:dyDescent="0.25">
      <c r="A45" t="str">
        <f>'HIDDEN import'!B45</f>
        <v>TC_E_01_CSMS</v>
      </c>
      <c r="B45" t="str">
        <f>'HIDDEN import'!C45</f>
        <v>Core</v>
      </c>
      <c r="C45" t="str">
        <f>'HIDDEN import'!D45</f>
        <v>Start transaction options - PowerPathClosed</v>
      </c>
      <c r="D45" t="str">
        <f>IF(VLOOKUP(A45&amp;" "&amp;B45,'HIDDEN import'!A:G,5,FALSE)="M",MD!$A$1,(IF(AND(VLOOKUP(A45,'HIDDEN import'!B:E,4,FALSE)="C",OR(NOT(ISERROR(VLOOKUP(E45,'Optional features'!B:E,1,FALSE)=E45)),NOT(ISERROR(VLOOKUP(E45,'HIDDEN calc sheet'!A:C,1,FALSE)=E45)))),MD!$A$3,MD!$A$2)))</f>
        <v>Mandatory test for a mandatory feature</v>
      </c>
      <c r="E45" t="str">
        <f>IF('HIDDEN import'!F45=0,"",'HIDDEN import'!F45)</f>
        <v>C-09.4 and (C-51 or NOT (C-09.1 or C-09.2 or C-09.3 or C-09.6))</v>
      </c>
      <c r="F45" t="str">
        <f>IF('HIDDEN import'!G45=0,"",'HIDDEN import'!G45)</f>
        <v>Supported Transaction Start points</v>
      </c>
      <c r="G45" s="49" t="str">
        <f>IFERROR(VLOOKUP($A45,'HIDDEN Testrun Results'!$A:$B,2,FALSE),"")</f>
        <v/>
      </c>
      <c r="H45" s="49" t="b">
        <f t="shared" si="0"/>
        <v>1</v>
      </c>
      <c r="I45" s="49" t="b">
        <f>IF(VLOOKUP(A45&amp;" "&amp;B45,'HIDDEN import'!A:G,5,FALSE)="M",TRUE,IFERROR(VLOOKUP(E45,'Optional features'!B:E,3,FALSE)="Yes",IFERROR(VLOOKUP(E45,'HIDDEN calc sheet'!A:B,2,FALSE),VLOOKUP(E45,'Additional questions'!B:D,3,FALSE)="Yes")))</f>
        <v>1</v>
      </c>
      <c r="J45" t="b">
        <f>IF(VLOOKUP(B45,'Profile selection'!B:C,2,FALSE)="Yes",TRUE,FALSE)</f>
        <v>1</v>
      </c>
      <c r="K45" s="22" t="b">
        <f>IF(AND(D45=MD!$A$1,M45),TRUE,(IF(AND(D45=MD!$A$3,M45),(IF(L45=TRUE,TRUE,FALSE)),(IF(AND(D45=MD!$A$2,M45),(IF(N45=TRUE,TRUE,FALSE)),FALSE)))))</f>
        <v>1</v>
      </c>
      <c r="M45" t="b">
        <f>IF(VLOOKUP(B45,'Profile selection'!B:C,2,FALSE)="Yes",TRUE,FALSE)</f>
        <v>1</v>
      </c>
      <c r="P45" s="73"/>
      <c r="Q45" s="73"/>
    </row>
    <row r="46" spans="1:17" x14ac:dyDescent="0.25">
      <c r="A46" t="str">
        <f>'HIDDEN import'!B46</f>
        <v>TC_E_02_CSMS</v>
      </c>
      <c r="B46" t="str">
        <f>'HIDDEN import'!C46</f>
        <v>Core</v>
      </c>
      <c r="C46" t="str">
        <f>'HIDDEN import'!D46</f>
        <v>Start transaction options - EnergyTransfer</v>
      </c>
      <c r="D46" t="str">
        <f>IF(VLOOKUP(A46&amp;" "&amp;B46,'HIDDEN import'!A:G,5,FALSE)="M",MD!$A$1,(IF(AND(VLOOKUP(A46,'HIDDEN import'!B:E,4,FALSE)="C",OR(NOT(ISERROR(VLOOKUP(E46,'Optional features'!B:E,1,FALSE)=E46)),NOT(ISERROR(VLOOKUP(E46,'HIDDEN calc sheet'!A:C,1,FALSE)=E46)))),MD!$A$3,MD!$A$2)))</f>
        <v>Mandatory test for a mandatory feature</v>
      </c>
      <c r="E46" t="str">
        <f>IF('HIDDEN import'!F46=0,"",'HIDDEN import'!F46)</f>
        <v>C-09.5 and (C-51 or NOT (C-09.1 or C-09.2 or C-09.3 or C-09.4 or C-09.6))</v>
      </c>
      <c r="F46" t="str">
        <f>IF('HIDDEN import'!G46=0,"",'HIDDEN import'!G46)</f>
        <v>Supported Transaction Start points</v>
      </c>
      <c r="G46" s="49" t="str">
        <f>IFERROR(VLOOKUP($A46,'HIDDEN Testrun Results'!$A:$B,2,FALSE),"")</f>
        <v/>
      </c>
      <c r="H46" s="49" t="b">
        <f t="shared" si="0"/>
        <v>1</v>
      </c>
      <c r="I46" s="49" t="b">
        <f>IF(VLOOKUP(A46&amp;" "&amp;B46,'HIDDEN import'!A:G,5,FALSE)="M",TRUE,IFERROR(VLOOKUP(E46,'Optional features'!B:E,3,FALSE)="Yes",IFERROR(VLOOKUP(E46,'HIDDEN calc sheet'!A:B,2,FALSE),VLOOKUP(E46,'Additional questions'!B:D,3,FALSE)="Yes")))</f>
        <v>1</v>
      </c>
      <c r="J46" t="b">
        <f>IF(VLOOKUP(B46,'Profile selection'!B:C,2,FALSE)="Yes",TRUE,FALSE)</f>
        <v>1</v>
      </c>
      <c r="K46" s="22" t="b">
        <f>IF(AND(D46=MD!$A$1,M46),TRUE,(IF(AND(D46=MD!$A$3,M46),(IF(L46=TRUE,TRUE,FALSE)),(IF(AND(D46=MD!$A$2,M46),(IF(N46=TRUE,TRUE,FALSE)),FALSE)))))</f>
        <v>1</v>
      </c>
      <c r="M46" t="b">
        <f>IF(VLOOKUP(B46,'Profile selection'!B:C,2,FALSE)="Yes",TRUE,FALSE)</f>
        <v>1</v>
      </c>
      <c r="P46" s="73"/>
      <c r="Q46" s="73"/>
    </row>
    <row r="47" spans="1:17" x14ac:dyDescent="0.25">
      <c r="A47" t="str">
        <f>'HIDDEN import'!B47</f>
        <v>TC_E_12_CSMS</v>
      </c>
      <c r="B47" t="str">
        <f>'HIDDEN import'!C47</f>
        <v>Core</v>
      </c>
      <c r="C47" t="str">
        <f>'HIDDEN import'!D47</f>
        <v>Start transaction options - ParkingBayOccupied</v>
      </c>
      <c r="D47" t="str">
        <f>IF(VLOOKUP(A47&amp;" "&amp;B47,'HIDDEN import'!A:G,5,FALSE)="M",MD!$A$1,(IF(AND(VLOOKUP(A47,'HIDDEN import'!B:E,4,FALSE)="C",OR(NOT(ISERROR(VLOOKUP(E47,'Optional features'!B:E,1,FALSE)=E47)),NOT(ISERROR(VLOOKUP(E47,'HIDDEN calc sheet'!A:C,1,FALSE)=E47)))),MD!$A$3,MD!$A$2)))</f>
        <v>Mandatory test for a mandatory feature</v>
      </c>
      <c r="E47" t="str">
        <f>IF('HIDDEN import'!F47=0,"",'HIDDEN import'!F47)</f>
        <v>C-09.6</v>
      </c>
      <c r="F47" t="str">
        <f>IF('HIDDEN import'!G47=0,"",'HIDDEN import'!G47)</f>
        <v>Supported Transaction Start points</v>
      </c>
      <c r="G47" s="49" t="str">
        <f>IFERROR(VLOOKUP($A47,'HIDDEN Testrun Results'!$A:$B,2,FALSE),"")</f>
        <v/>
      </c>
      <c r="H47" s="49" t="b">
        <f t="shared" si="0"/>
        <v>1</v>
      </c>
      <c r="I47" s="49" t="b">
        <f>IF(VLOOKUP(A47&amp;" "&amp;B47,'HIDDEN import'!A:G,5,FALSE)="M",TRUE,IFERROR(VLOOKUP(E47,'Optional features'!B:E,3,FALSE)="Yes",IFERROR(VLOOKUP(E47,'HIDDEN calc sheet'!A:B,2,FALSE),VLOOKUP(E47,'Additional questions'!B:D,3,FALSE)="Yes")))</f>
        <v>1</v>
      </c>
      <c r="J47" t="b">
        <f>IF(VLOOKUP(B47,'Profile selection'!B:C,2,FALSE)="Yes",TRUE,FALSE)</f>
        <v>1</v>
      </c>
      <c r="K47" s="22" t="b">
        <f>IF(AND(D47=MD!$A$1,M47),TRUE,(IF(AND(D47=MD!$A$3,M47),(IF(L47=TRUE,TRUE,FALSE)),(IF(AND(D47=MD!$A$2,M47),(IF(N47=TRUE,TRUE,FALSE)),FALSE)))))</f>
        <v>1</v>
      </c>
      <c r="M47" t="b">
        <f>IF(VLOOKUP(B47,'Profile selection'!B:C,2,FALSE)="Yes",TRUE,FALSE)</f>
        <v>1</v>
      </c>
      <c r="P47" s="73"/>
      <c r="Q47" s="73"/>
    </row>
    <row r="48" spans="1:17" x14ac:dyDescent="0.25">
      <c r="A48" t="str">
        <f>'HIDDEN import'!B48</f>
        <v>TC_E_14_CSMS</v>
      </c>
      <c r="B48" t="str">
        <f>'HIDDEN import'!C48</f>
        <v>Core</v>
      </c>
      <c r="C48" t="str">
        <f>'HIDDEN import'!D48</f>
        <v>Stop transaction options - EVDisconnected - Charging Station side</v>
      </c>
      <c r="D48" t="str">
        <f>IF(VLOOKUP(A48&amp;" "&amp;B48,'HIDDEN import'!A:G,5,FALSE)="M",MD!$A$1,(IF(AND(VLOOKUP(A48,'HIDDEN import'!B:E,4,FALSE)="C",OR(NOT(ISERROR(VLOOKUP(E48,'Optional features'!B:E,1,FALSE)=E48)),NOT(ISERROR(VLOOKUP(E48,'HIDDEN calc sheet'!A:C,1,FALSE)=E48)))),MD!$A$3,MD!$A$2)))</f>
        <v>Mandatory test for a mandatory feature</v>
      </c>
      <c r="E48" t="str">
        <f>IF('HIDDEN import'!F48=0,"",'HIDDEN import'!F48)</f>
        <v>HFS-1 and C-10.1 and (C-52 or NOT (C-10.2 or C-10.3 or C-10.4))</v>
      </c>
      <c r="F48" t="str">
        <f>IF('HIDDEN import'!G48=0,"",'HIDDEN import'!G48)</f>
        <v>Supported Transaction Stop points</v>
      </c>
      <c r="G48" s="49" t="str">
        <f>IFERROR(VLOOKUP($A48,'HIDDEN Testrun Results'!$A:$B,2,FALSE),"")</f>
        <v/>
      </c>
      <c r="H48" s="49" t="b">
        <f t="shared" si="0"/>
        <v>1</v>
      </c>
      <c r="I48" s="49" t="b">
        <f>IF(VLOOKUP(A48&amp;" "&amp;B48,'HIDDEN import'!A:G,5,FALSE)="M",TRUE,IFERROR(VLOOKUP(E48,'Optional features'!B:E,3,FALSE)="Yes",IFERROR(VLOOKUP(E48,'HIDDEN calc sheet'!A:B,2,FALSE),VLOOKUP(E48,'Additional questions'!B:D,3,FALSE)="Yes")))</f>
        <v>1</v>
      </c>
      <c r="J48" t="b">
        <f>IF(VLOOKUP(B48,'Profile selection'!B:C,2,FALSE)="Yes",TRUE,FALSE)</f>
        <v>1</v>
      </c>
      <c r="K48" s="22" t="b">
        <f>IF(AND(D48=MD!$A$1,M48),TRUE,(IF(AND(D48=MD!$A$3,M48),(IF(L48=TRUE,TRUE,FALSE)),(IF(AND(D48=MD!$A$2,M48),(IF(N48=TRUE,TRUE,FALSE)),FALSE)))))</f>
        <v>1</v>
      </c>
      <c r="M48" t="b">
        <f>IF(VLOOKUP(B48,'Profile selection'!B:C,2,FALSE)="Yes",TRUE,FALSE)</f>
        <v>1</v>
      </c>
      <c r="P48" s="73"/>
      <c r="Q48" s="73"/>
    </row>
    <row r="49" spans="1:17" x14ac:dyDescent="0.25">
      <c r="A49" t="str">
        <f>'HIDDEN import'!B49</f>
        <v>TC_E_20_CSMS</v>
      </c>
      <c r="B49" t="str">
        <f>'HIDDEN import'!C49</f>
        <v>Core</v>
      </c>
      <c r="C49" t="str">
        <f>'HIDDEN import'!D49</f>
        <v>Stop transaction options - EVDisconnected - EV side (able to charge IEC 61851-1 EV)</v>
      </c>
      <c r="D49" t="str">
        <f>IF(VLOOKUP(A49&amp;" "&amp;B49,'HIDDEN import'!A:G,5,FALSE)="M",MD!$A$1,(IF(AND(VLOOKUP(A49,'HIDDEN import'!B:E,4,FALSE)="C",OR(NOT(ISERROR(VLOOKUP(E49,'Optional features'!B:E,1,FALSE)=E49)),NOT(ISERROR(VLOOKUP(E49,'HIDDEN calc sheet'!A:C,1,FALSE)=E49)))),MD!$A$3,MD!$A$2)))</f>
        <v>Mandatory test for a mandatory feature</v>
      </c>
      <c r="E49" t="str">
        <f>IF('HIDDEN import'!F49=0,"",'HIDDEN import'!F49)</f>
        <v>(C-10.1 AND (NOT (NOT C-52 AND (C-10.3 or C-10.4))) AND NOT (NOT C.06.1 AND NOT C-52 AND C-10.2)) AND (AQ-9 OR Product Subtype "Mode 1/2-only Charging Station")</v>
      </c>
      <c r="F49" t="str">
        <f>IF('HIDDEN import'!G49=0,"",'HIDDEN import'!G49)</f>
        <v>Supported Transaction Stop points</v>
      </c>
      <c r="G49" s="49" t="str">
        <f>IFERROR(VLOOKUP($A49,'HIDDEN Testrun Results'!$A:$B,2,FALSE),"")</f>
        <v/>
      </c>
      <c r="H49" s="49" t="b">
        <f t="shared" si="0"/>
        <v>1</v>
      </c>
      <c r="I49" s="49" t="b">
        <f>IF(VLOOKUP(A49&amp;" "&amp;B49,'HIDDEN import'!A:G,5,FALSE)="M",TRUE,IFERROR(VLOOKUP(E49,'Optional features'!B:E,3,FALSE)="Yes",IFERROR(VLOOKUP(E49,'HIDDEN calc sheet'!A:B,2,FALSE),VLOOKUP(E49,'Additional questions'!B:D,3,FALSE)="Yes")))</f>
        <v>1</v>
      </c>
      <c r="J49" t="b">
        <f>IF(VLOOKUP(B49,'Profile selection'!B:C,2,FALSE)="Yes",TRUE,FALSE)</f>
        <v>1</v>
      </c>
      <c r="K49" s="22" t="b">
        <f>IF(AND(D49=MD!$A$1,M49),TRUE,(IF(AND(D49=MD!$A$3,M49),(IF(L49=TRUE,TRUE,FALSE)),(IF(AND(D49=MD!$A$2,M49),(IF(N49=TRUE,TRUE,FALSE)),FALSE)))))</f>
        <v>1</v>
      </c>
      <c r="M49" t="b">
        <f>IF(VLOOKUP(B49,'Profile selection'!B:C,2,FALSE)="Yes",TRUE,FALSE)</f>
        <v>1</v>
      </c>
      <c r="P49" s="73"/>
      <c r="Q49" s="73"/>
    </row>
    <row r="50" spans="1:17" x14ac:dyDescent="0.25">
      <c r="A50" t="str">
        <f>'HIDDEN import'!B50</f>
        <v>TC_E_15_CSMS</v>
      </c>
      <c r="B50" t="str">
        <f>'HIDDEN import'!C50</f>
        <v>Core</v>
      </c>
      <c r="C50" t="str">
        <f>'HIDDEN import'!D50</f>
        <v>Stop transaction options - StopAuthorized - Local</v>
      </c>
      <c r="D50" t="str">
        <f>IF(VLOOKUP(A50&amp;" "&amp;B50,'HIDDEN import'!A:G,5,FALSE)="M",MD!$A$1,(IF(AND(VLOOKUP(A50,'HIDDEN import'!B:E,4,FALSE)="C",OR(NOT(ISERROR(VLOOKUP(E50,'Optional features'!B:E,1,FALSE)=E50)),NOT(ISERROR(VLOOKUP(E50,'HIDDEN calc sheet'!A:C,1,FALSE)=E50)))),MD!$A$3,MD!$A$2)))</f>
        <v>Mandatory test for a mandatory feature</v>
      </c>
      <c r="E50" t="str">
        <f>IF('HIDDEN import'!F50=0,"",'HIDDEN import'!F50)</f>
        <v>C-10.2 and (C-30 or C-31 or C-32 or C35)</v>
      </c>
      <c r="F50" t="str">
        <f>IF('HIDDEN import'!G50=0,"",'HIDDEN import'!G50)</f>
        <v>Supported Transaction Stop Points &amp; Local Authorization - using RFID ISO14443 / RFID ISO15693 / KeyCode / NoAuthorization</v>
      </c>
      <c r="G50" s="49" t="str">
        <f>IFERROR(VLOOKUP($A50,'HIDDEN Testrun Results'!$A:$B,2,FALSE),"")</f>
        <v/>
      </c>
      <c r="H50" s="49" t="b">
        <f t="shared" si="0"/>
        <v>1</v>
      </c>
      <c r="I50" s="49" t="b">
        <f>IF(VLOOKUP(A50&amp;" "&amp;B50,'HIDDEN import'!A:G,5,FALSE)="M",TRUE,IFERROR(VLOOKUP(E50,'Optional features'!B:E,3,FALSE)="Yes",IFERROR(VLOOKUP(E50,'HIDDEN calc sheet'!A:B,2,FALSE),VLOOKUP(E50,'Additional questions'!B:D,3,FALSE)="Yes")))</f>
        <v>1</v>
      </c>
      <c r="J50" t="b">
        <f>IF(VLOOKUP(B50,'Profile selection'!B:C,2,FALSE)="Yes",TRUE,FALSE)</f>
        <v>1</v>
      </c>
      <c r="K50" s="22" t="b">
        <f>IF(AND(D50=MD!$A$1,M50),TRUE,(IF(AND(D50=MD!$A$3,M50),(IF(L50=TRUE,TRUE,FALSE)),(IF(AND(D50=MD!$A$2,M50),(IF(N50=TRUE,TRUE,FALSE)),FALSE)))))</f>
        <v>1</v>
      </c>
      <c r="M50" t="b">
        <f>IF(VLOOKUP(B50,'Profile selection'!B:C,2,FALSE)="Yes",TRUE,FALSE)</f>
        <v>1</v>
      </c>
      <c r="P50" s="73"/>
      <c r="Q50" s="73"/>
    </row>
    <row r="51" spans="1:17" x14ac:dyDescent="0.25">
      <c r="A51" t="str">
        <f>'HIDDEN import'!B51</f>
        <v>TC_E_21_CSMS</v>
      </c>
      <c r="B51" t="str">
        <f>'HIDDEN import'!C51</f>
        <v>Core</v>
      </c>
      <c r="C51" t="str">
        <f>'HIDDEN import'!D51</f>
        <v>Stop transaction options - StopAuthorized - Remote</v>
      </c>
      <c r="D51" t="str">
        <f>IF(VLOOKUP(A51&amp;" "&amp;B51,'HIDDEN import'!A:G,5,FALSE)="M",MD!$A$1,(IF(AND(VLOOKUP(A51,'HIDDEN import'!B:E,4,FALSE)="C",OR(NOT(ISERROR(VLOOKUP(E51,'Optional features'!B:E,1,FALSE)=E51)),NOT(ISERROR(VLOOKUP(E51,'HIDDEN calc sheet'!A:C,1,FALSE)=E51)))),MD!$A$3,MD!$A$2)))</f>
        <v>Mandatory test for a mandatory feature</v>
      </c>
      <c r="E51" t="str">
        <f>IF('HIDDEN import'!F51=0,"",'HIDDEN import'!F51)</f>
        <v>C-10.2</v>
      </c>
      <c r="F51" t="str">
        <f>IF('HIDDEN import'!G51=0,"",'HIDDEN import'!G51)</f>
        <v>Supported Transaction Stop points</v>
      </c>
      <c r="G51" s="49" t="str">
        <f>IFERROR(VLOOKUP($A51,'HIDDEN Testrun Results'!$A:$B,2,FALSE),"")</f>
        <v/>
      </c>
      <c r="H51" s="49" t="b">
        <f t="shared" si="0"/>
        <v>1</v>
      </c>
      <c r="I51" s="49" t="b">
        <f>IF(VLOOKUP(A51&amp;" "&amp;B51,'HIDDEN import'!A:G,5,FALSE)="M",TRUE,IFERROR(VLOOKUP(E51,'Optional features'!B:E,3,FALSE)="Yes",IFERROR(VLOOKUP(E51,'HIDDEN calc sheet'!A:B,2,FALSE),VLOOKUP(E51,'Additional questions'!B:D,3,FALSE)="Yes")))</f>
        <v>1</v>
      </c>
      <c r="J51" t="b">
        <f>IF(VLOOKUP(B51,'Profile selection'!B:C,2,FALSE)="Yes",TRUE,FALSE)</f>
        <v>1</v>
      </c>
      <c r="K51" s="22" t="b">
        <f>IF(AND(D51=MD!$A$1,M51),TRUE,(IF(AND(D51=MD!$A$3,M51),(IF(L51=TRUE,TRUE,FALSE)),(IF(AND(D51=MD!$A$2,M51),(IF(N51=TRUE,TRUE,FALSE)),FALSE)))))</f>
        <v>1</v>
      </c>
      <c r="M51" t="b">
        <f>IF(VLOOKUP(B51,'Profile selection'!B:C,2,FALSE)="Yes",TRUE,FALSE)</f>
        <v>1</v>
      </c>
      <c r="P51" s="73"/>
      <c r="Q51" s="73"/>
    </row>
    <row r="52" spans="1:17" x14ac:dyDescent="0.25">
      <c r="A52" t="str">
        <f>'HIDDEN import'!B52</f>
        <v>TC_E_16_CSMS</v>
      </c>
      <c r="B52" t="str">
        <f>'HIDDEN import'!C52</f>
        <v>Core</v>
      </c>
      <c r="C52" t="str">
        <f>'HIDDEN import'!D52</f>
        <v>Stop transaction options - Deauthorized - Invalid idToken</v>
      </c>
      <c r="D52" t="str">
        <f>IF(VLOOKUP(A52&amp;" "&amp;B52,'HIDDEN import'!A:G,5,FALSE)="M",MD!$A$1,(IF(AND(VLOOKUP(A52,'HIDDEN import'!B:E,4,FALSE)="C",OR(NOT(ISERROR(VLOOKUP(E52,'Optional features'!B:E,1,FALSE)=E52)),NOT(ISERROR(VLOOKUP(E52,'HIDDEN calc sheet'!A:C,1,FALSE)=E52)))),MD!$A$3,MD!$A$2)))</f>
        <v>Mandatory test for a mandatory feature</v>
      </c>
      <c r="E52" t="str">
        <f>IF('HIDDEN import'!F52=0,"",'HIDDEN import'!F52)</f>
        <v>(C-10.2 or C-10.3) and (C-30 - C-32 or ISO 15118 support) and C-01</v>
      </c>
      <c r="F52" t="str">
        <f>IF('HIDDEN import'!G52=0,"",'HIDDEN import'!G52)</f>
        <v>Supported Transaction Stop Points &amp; Local Authorization options for local start &amp; Authorization - eMAID</v>
      </c>
      <c r="G52" s="49" t="str">
        <f>IFERROR(VLOOKUP($A52,'HIDDEN Testrun Results'!$A:$B,2,FALSE),"")</f>
        <v/>
      </c>
      <c r="H52" s="49" t="b">
        <f t="shared" si="0"/>
        <v>1</v>
      </c>
      <c r="I52" s="49" t="b">
        <f>IF(VLOOKUP(A52&amp;" "&amp;B52,'HIDDEN import'!A:G,5,FALSE)="M",TRUE,IFERROR(VLOOKUP(E52,'Optional features'!B:E,3,FALSE)="Yes",IFERROR(VLOOKUP(E52,'HIDDEN calc sheet'!A:B,2,FALSE),VLOOKUP(E52,'Additional questions'!B:D,3,FALSE)="Yes")))</f>
        <v>1</v>
      </c>
      <c r="J52" t="b">
        <f>IF(VLOOKUP(B52,'Profile selection'!B:C,2,FALSE)="Yes",TRUE,FALSE)</f>
        <v>1</v>
      </c>
      <c r="K52" s="22" t="b">
        <f>IF(AND(D52=MD!$A$1,M52),TRUE,(IF(AND(D52=MD!$A$3,M52),(IF(L52=TRUE,TRUE,FALSE)),(IF(AND(D52=MD!$A$2,M52),(IF(N52=TRUE,TRUE,FALSE)),FALSE)))))</f>
        <v>1</v>
      </c>
      <c r="M52" t="b">
        <f>IF(VLOOKUP(B52,'Profile selection'!B:C,2,FALSE)="Yes",TRUE,FALSE)</f>
        <v>1</v>
      </c>
      <c r="P52" s="73"/>
      <c r="Q52" s="73"/>
    </row>
    <row r="53" spans="1:17" x14ac:dyDescent="0.25">
      <c r="A53" t="str">
        <f>'HIDDEN import'!B53</f>
        <v>TC_E_17_CSMS</v>
      </c>
      <c r="B53" t="str">
        <f>'HIDDEN import'!C53</f>
        <v>Core</v>
      </c>
      <c r="C53" t="str">
        <f>'HIDDEN import'!D53</f>
        <v>Stop transaction options - Deauthorized - EV side disconnect</v>
      </c>
      <c r="D53" t="str">
        <f>IF(VLOOKUP(A53&amp;" "&amp;B53,'HIDDEN import'!A:G,5,FALSE)="M",MD!$A$1,(IF(AND(VLOOKUP(A53,'HIDDEN import'!B:E,4,FALSE)="C",OR(NOT(ISERROR(VLOOKUP(E53,'Optional features'!B:E,1,FALSE)=E53)),NOT(ISERROR(VLOOKUP(E53,'HIDDEN calc sheet'!A:C,1,FALSE)=E53)))),MD!$A$3,MD!$A$2)))</f>
        <v>Mandatory test for a mandatory feature</v>
      </c>
      <c r="E53" t="str">
        <f>IF('HIDDEN import'!F53=0,"",'HIDDEN import'!F53)</f>
        <v>(C-10.2 or C-10.3) and C-06.2 and AQ-9</v>
      </c>
      <c r="F53" t="str">
        <f>IF('HIDDEN import'!G53=0,"",'HIDDEN import'!G53)</f>
        <v>Supported Transaction Stop points</v>
      </c>
      <c r="G53" s="49" t="str">
        <f>IFERROR(VLOOKUP($A53,'HIDDEN Testrun Results'!$A:$B,2,FALSE),"")</f>
        <v/>
      </c>
      <c r="H53" s="49" t="b">
        <f t="shared" si="0"/>
        <v>1</v>
      </c>
      <c r="I53" s="49" t="b">
        <f>IF(VLOOKUP(A53&amp;" "&amp;B53,'HIDDEN import'!A:G,5,FALSE)="M",TRUE,IFERROR(VLOOKUP(E53,'Optional features'!B:E,3,FALSE)="Yes",IFERROR(VLOOKUP(E53,'HIDDEN calc sheet'!A:B,2,FALSE),VLOOKUP(E53,'Additional questions'!B:D,3,FALSE)="Yes")))</f>
        <v>1</v>
      </c>
      <c r="J53" t="b">
        <f>IF(VLOOKUP(B53,'Profile selection'!B:C,2,FALSE)="Yes",TRUE,FALSE)</f>
        <v>1</v>
      </c>
      <c r="K53" s="22" t="b">
        <f>IF(AND(D53=MD!$A$1,M53),TRUE,(IF(AND(D53=MD!$A$3,M53),(IF(L53=TRUE,TRUE,FALSE)),(IF(AND(D53=MD!$A$2,M53),(IF(N53=TRUE,TRUE,FALSE)),FALSE)))))</f>
        <v>1</v>
      </c>
      <c r="M53" t="b">
        <f>IF(VLOOKUP(B53,'Profile selection'!B:C,2,FALSE)="Yes",TRUE,FALSE)</f>
        <v>1</v>
      </c>
      <c r="P53" s="73"/>
      <c r="Q53" s="73"/>
    </row>
    <row r="54" spans="1:17" x14ac:dyDescent="0.25">
      <c r="A54" t="str">
        <f>'HIDDEN import'!B54</f>
        <v>TC_E_39_CSMS</v>
      </c>
      <c r="B54" t="str">
        <f>'HIDDEN import'!C54</f>
        <v>Core</v>
      </c>
      <c r="C54" t="str">
        <f>'HIDDEN import'!D54</f>
        <v>Stop transaction options - Deauthorized - timeout</v>
      </c>
      <c r="D54" t="str">
        <f>IF(VLOOKUP(A54&amp;" "&amp;B54,'HIDDEN import'!A:G,5,FALSE)="M",MD!$A$1,(IF(AND(VLOOKUP(A54,'HIDDEN import'!B:E,4,FALSE)="C",OR(NOT(ISERROR(VLOOKUP(E54,'Optional features'!B:E,1,FALSE)=E54)),NOT(ISERROR(VLOOKUP(E54,'HIDDEN calc sheet'!A:C,1,FALSE)=E54)))),MD!$A$3,MD!$A$2)))</f>
        <v>Mandatory test for a mandatory feature</v>
      </c>
      <c r="E54" t="str">
        <f>IF('HIDDEN import'!F54=0,"",'HIDDEN import'!F54)</f>
        <v/>
      </c>
      <c r="F54" t="str">
        <f>IF('HIDDEN import'!G54=0,"",'HIDDEN import'!G54)</f>
        <v/>
      </c>
      <c r="G54" s="49" t="str">
        <f>IFERROR(VLOOKUP($A54,'HIDDEN Testrun Results'!$A:$B,2,FALSE),"")</f>
        <v/>
      </c>
      <c r="H54" s="49" t="b">
        <f t="shared" si="0"/>
        <v>1</v>
      </c>
      <c r="I54" s="49" t="b">
        <f>IF(VLOOKUP(A54&amp;" "&amp;B54,'HIDDEN import'!A:G,5,FALSE)="M",TRUE,IFERROR(VLOOKUP(E54,'Optional features'!B:E,3,FALSE)="Yes",IFERROR(VLOOKUP(E54,'HIDDEN calc sheet'!A:B,2,FALSE),VLOOKUP(E54,'Additional questions'!B:D,3,FALSE)="Yes")))</f>
        <v>1</v>
      </c>
      <c r="J54" t="b">
        <f>IF(VLOOKUP(B54,'Profile selection'!B:C,2,FALSE)="Yes",TRUE,FALSE)</f>
        <v>1</v>
      </c>
      <c r="K54" s="22" t="b">
        <f>IF(AND(D54=MD!$A$1,M54),TRUE,(IF(AND(D54=MD!$A$3,M54),(IF(L54=TRUE,TRUE,FALSE)),(IF(AND(D54=MD!$A$2,M54),(IF(N54=TRUE,TRUE,FALSE)),FALSE)))))</f>
        <v>1</v>
      </c>
      <c r="M54" t="b">
        <f>IF(VLOOKUP(B54,'Profile selection'!B:C,2,FALSE)="Yes",TRUE,FALSE)</f>
        <v>1</v>
      </c>
      <c r="P54" s="73"/>
      <c r="Q54" s="73"/>
    </row>
    <row r="55" spans="1:17" x14ac:dyDescent="0.25">
      <c r="A55" t="str">
        <f>'HIDDEN import'!B55</f>
        <v>TC_E_07_CSMS</v>
      </c>
      <c r="B55" t="str">
        <f>'HIDDEN import'!C55</f>
        <v>Core</v>
      </c>
      <c r="C55" t="str">
        <f>'HIDDEN import'!D55</f>
        <v>Stop transaction options - PowerPathClosed - Local stop</v>
      </c>
      <c r="D55" t="str">
        <f>IF(VLOOKUP(A55&amp;" "&amp;B55,'HIDDEN import'!A:G,5,FALSE)="M",MD!$A$1,(IF(AND(VLOOKUP(A55,'HIDDEN import'!B:E,4,FALSE)="C",OR(NOT(ISERROR(VLOOKUP(E55,'Optional features'!B:E,1,FALSE)=E55)),NOT(ISERROR(VLOOKUP(E55,'HIDDEN calc sheet'!A:C,1,FALSE)=E55)))),MD!$A$3,MD!$A$2)))</f>
        <v>Mandatory test for a mandatory feature</v>
      </c>
      <c r="E55" t="str">
        <f>IF('HIDDEN import'!F55=0,"",'HIDDEN import'!F55)</f>
        <v>C-10.3 and (C-52 or NOT C-10.2) and (C-30 or C-31 or C-32 or C35)</v>
      </c>
      <c r="F55" t="str">
        <f>IF('HIDDEN import'!G55=0,"",'HIDDEN import'!G55)</f>
        <v>Supported Transaction Stop Points &amp; Local Authorization - using RFID ISO14443 / RFID ISO15693 / KeyCode / NoAuthorization</v>
      </c>
      <c r="G55" s="49" t="str">
        <f>IFERROR(VLOOKUP($A55,'HIDDEN Testrun Results'!$A:$B,2,FALSE),"")</f>
        <v/>
      </c>
      <c r="H55" s="49" t="b">
        <f t="shared" si="0"/>
        <v>1</v>
      </c>
      <c r="I55" s="49" t="b">
        <f>IF(VLOOKUP(A55&amp;" "&amp;B55,'HIDDEN import'!A:G,5,FALSE)="M",TRUE,IFERROR(VLOOKUP(E55,'Optional features'!B:E,3,FALSE)="Yes",IFERROR(VLOOKUP(E55,'HIDDEN calc sheet'!A:B,2,FALSE),VLOOKUP(E55,'Additional questions'!B:D,3,FALSE)="Yes")))</f>
        <v>1</v>
      </c>
      <c r="J55" t="b">
        <f>IF(VLOOKUP(B55,'Profile selection'!B:C,2,FALSE)="Yes",TRUE,FALSE)</f>
        <v>1</v>
      </c>
      <c r="K55" s="22" t="b">
        <f>IF(AND(D55=MD!$A$1,M55),TRUE,(IF(AND(D55=MD!$A$3,M55),(IF(L55=TRUE,TRUE,FALSE)),(IF(AND(D55=MD!$A$2,M55),(IF(N55=TRUE,TRUE,FALSE)),FALSE)))))</f>
        <v>1</v>
      </c>
      <c r="M55" t="b">
        <f>IF(VLOOKUP(B55,'Profile selection'!B:C,2,FALSE)="Yes",TRUE,FALSE)</f>
        <v>1</v>
      </c>
      <c r="P55" s="73"/>
      <c r="Q55" s="73"/>
    </row>
    <row r="56" spans="1:17" x14ac:dyDescent="0.25">
      <c r="A56" t="str">
        <f>'HIDDEN import'!B56</f>
        <v>TC_E_08_CSMS</v>
      </c>
      <c r="B56" t="str">
        <f>'HIDDEN import'!C56</f>
        <v>Core</v>
      </c>
      <c r="C56" t="str">
        <f>'HIDDEN import'!D56</f>
        <v>Stop transaction options - EnergyTransfer stopped - StopAuthorized</v>
      </c>
      <c r="D56" t="str">
        <f>IF(VLOOKUP(A56&amp;" "&amp;B56,'HIDDEN import'!A:G,5,FALSE)="M",MD!$A$1,(IF(AND(VLOOKUP(A56,'HIDDEN import'!B:E,4,FALSE)="C",OR(NOT(ISERROR(VLOOKUP(E56,'Optional features'!B:E,1,FALSE)=E56)),NOT(ISERROR(VLOOKUP(E56,'HIDDEN calc sheet'!A:C,1,FALSE)=E56)))),MD!$A$3,MD!$A$2)))</f>
        <v>Mandatory test for a mandatory feature</v>
      </c>
      <c r="E56" t="str">
        <f>IF('HIDDEN import'!F56=0,"",'HIDDEN import'!F56)</f>
        <v>C-10.4 and (C-52 or NOT (C-10.2 or C-10.3))</v>
      </c>
      <c r="F56" t="str">
        <f>IF('HIDDEN import'!G56=0,"",'HIDDEN import'!G56)</f>
        <v>Supported Transaction Stop points</v>
      </c>
      <c r="G56" s="49" t="str">
        <f>IFERROR(VLOOKUP($A56,'HIDDEN Testrun Results'!$A:$B,2,FALSE),"")</f>
        <v/>
      </c>
      <c r="H56" s="49" t="b">
        <f t="shared" si="0"/>
        <v>1</v>
      </c>
      <c r="I56" s="49" t="b">
        <f>IF(VLOOKUP(A56&amp;" "&amp;B56,'HIDDEN import'!A:G,5,FALSE)="M",TRUE,IFERROR(VLOOKUP(E56,'Optional features'!B:E,3,FALSE)="Yes",IFERROR(VLOOKUP(E56,'HIDDEN calc sheet'!A:B,2,FALSE),VLOOKUP(E56,'Additional questions'!B:D,3,FALSE)="Yes")))</f>
        <v>1</v>
      </c>
      <c r="J56" t="b">
        <f>IF(VLOOKUP(B56,'Profile selection'!B:C,2,FALSE)="Yes",TRUE,FALSE)</f>
        <v>1</v>
      </c>
      <c r="K56" s="22" t="b">
        <f>IF(AND(D56=MD!$A$1,M56),TRUE,(IF(AND(D56=MD!$A$3,M56),(IF(L56=TRUE,TRUE,FALSE)),(IF(AND(D56=MD!$A$2,M56),(IF(N56=TRUE,TRUE,FALSE)),FALSE)))))</f>
        <v>1</v>
      </c>
      <c r="M56" t="b">
        <f>IF(VLOOKUP(B56,'Profile selection'!B:C,2,FALSE)="Yes",TRUE,FALSE)</f>
        <v>1</v>
      </c>
      <c r="P56" s="73"/>
      <c r="Q56" s="73"/>
    </row>
    <row r="57" spans="1:17" x14ac:dyDescent="0.25">
      <c r="A57" t="str">
        <f>'HIDDEN import'!B57</f>
        <v>TC_E_22_CSMS</v>
      </c>
      <c r="B57" t="str">
        <f>'HIDDEN import'!C57</f>
        <v>Core</v>
      </c>
      <c r="C57" t="str">
        <f>'HIDDEN import'!D57</f>
        <v>Stop transaction options - EnergyTransfer stopped - SuspendedEV</v>
      </c>
      <c r="D57" t="str">
        <f>IF(VLOOKUP(A57&amp;" "&amp;B57,'HIDDEN import'!A:G,5,FALSE)="M",MD!$A$1,(IF(AND(VLOOKUP(A57,'HIDDEN import'!B:E,4,FALSE)="C",OR(NOT(ISERROR(VLOOKUP(E57,'Optional features'!B:E,1,FALSE)=E57)),NOT(ISERROR(VLOOKUP(E57,'HIDDEN calc sheet'!A:C,1,FALSE)=E57)))),MD!$A$3,MD!$A$2)))</f>
        <v>Mandatory test for a mandatory feature</v>
      </c>
      <c r="E57" t="str">
        <f>IF('HIDDEN import'!F57=0,"",'HIDDEN import'!F57)</f>
        <v>C-10.4</v>
      </c>
      <c r="F57" t="str">
        <f>IF('HIDDEN import'!G57=0,"",'HIDDEN import'!G57)</f>
        <v>Supported Transaction Stop points</v>
      </c>
      <c r="G57" s="49" t="str">
        <f>IFERROR(VLOOKUP($A57,'HIDDEN Testrun Results'!$A:$B,2,FALSE),"")</f>
        <v/>
      </c>
      <c r="H57" s="49" t="b">
        <f t="shared" si="0"/>
        <v>1</v>
      </c>
      <c r="I57" s="49" t="b">
        <f>IF(VLOOKUP(A57&amp;" "&amp;B57,'HIDDEN import'!A:G,5,FALSE)="M",TRUE,IFERROR(VLOOKUP(E57,'Optional features'!B:E,3,FALSE)="Yes",IFERROR(VLOOKUP(E57,'HIDDEN calc sheet'!A:B,2,FALSE),VLOOKUP(E57,'Additional questions'!B:D,3,FALSE)="Yes")))</f>
        <v>1</v>
      </c>
      <c r="J57" t="b">
        <f>IF(VLOOKUP(B57,'Profile selection'!B:C,2,FALSE)="Yes",TRUE,FALSE)</f>
        <v>1</v>
      </c>
      <c r="K57" s="22" t="b">
        <f>IF(AND(D57=MD!$A$1,M57),TRUE,(IF(AND(D57=MD!$A$3,M57),(IF(L57=TRUE,TRUE,FALSE)),(IF(AND(D57=MD!$A$2,M57),(IF(N57=TRUE,TRUE,FALSE)),FALSE)))))</f>
        <v>1</v>
      </c>
      <c r="L57" t="b">
        <f>IF(ISNA(VLOOKUP(E57,'Optional features'!B:D,3,FALSE)),FALSE,IF(VLOOKUP(E57,'Optional features'!B:D,3,FALSE)="Yes",TRUE,FALSE))</f>
        <v>0</v>
      </c>
      <c r="M57" t="b">
        <f>IF(VLOOKUP(B57,'Profile selection'!B:C,2,FALSE)="Yes",TRUE,FALSE)</f>
        <v>1</v>
      </c>
      <c r="P57" s="73"/>
      <c r="Q57" s="73"/>
    </row>
    <row r="58" spans="1:17" x14ac:dyDescent="0.25">
      <c r="A58" t="str">
        <f>'HIDDEN import'!B58</f>
        <v>TC_E_19_CSMS</v>
      </c>
      <c r="B58" t="str">
        <f>'HIDDEN import'!C58</f>
        <v>Core</v>
      </c>
      <c r="C58" t="str">
        <f>'HIDDEN import'!D58</f>
        <v>Stop transaction options - ParkingBayUnoccupied</v>
      </c>
      <c r="D58" t="str">
        <f>IF(VLOOKUP(A58&amp;" "&amp;B58,'HIDDEN import'!A:G,5,FALSE)="M",MD!$A$1,(IF(AND(VLOOKUP(A58,'HIDDEN import'!B:E,4,FALSE)="C",OR(NOT(ISERROR(VLOOKUP(E58,'Optional features'!B:E,1,FALSE)=E58)),NOT(ISERROR(VLOOKUP(E58,'HIDDEN calc sheet'!A:C,1,FALSE)=E58)))),MD!$A$3,MD!$A$2)))</f>
        <v>Mandatory test for a mandatory feature</v>
      </c>
      <c r="E58" t="str">
        <f>IF('HIDDEN import'!F58=0,"",'HIDDEN import'!F58)</f>
        <v>C-10.5 and (C-52 or NOT (C-10.1 or C-10.2 or C-10.3 or C-10.4))</v>
      </c>
      <c r="F58" t="str">
        <f>IF('HIDDEN import'!G58=0,"",'HIDDEN import'!G58)</f>
        <v>Supported Transaction Stop points</v>
      </c>
      <c r="G58" s="49" t="str">
        <f>IFERROR(VLOOKUP($A58,'HIDDEN Testrun Results'!$A:$B,2,FALSE),"")</f>
        <v/>
      </c>
      <c r="H58" s="49" t="b">
        <f t="shared" si="0"/>
        <v>1</v>
      </c>
      <c r="I58" s="49" t="b">
        <f>IF(VLOOKUP(A58&amp;" "&amp;B58,'HIDDEN import'!A:G,5,FALSE)="M",TRUE,IFERROR(VLOOKUP(E58,'Optional features'!B:E,3,FALSE)="Yes",IFERROR(VLOOKUP(E58,'HIDDEN calc sheet'!A:B,2,FALSE),VLOOKUP(E58,'Additional questions'!B:D,3,FALSE)="Yes")))</f>
        <v>1</v>
      </c>
      <c r="J58" t="b">
        <f>IF(VLOOKUP(B58,'Profile selection'!B:C,2,FALSE)="Yes",TRUE,FALSE)</f>
        <v>1</v>
      </c>
      <c r="K58" s="22" t="b">
        <f>IF(AND(D58=MD!$A$1,M58),TRUE,(IF(AND(D58=MD!$A$3,M58),(IF(L58=TRUE,TRUE,FALSE)),(IF(AND(D58=MD!$A$2,M58),(IF(N58=TRUE,TRUE,FALSE)),FALSE)))))</f>
        <v>1</v>
      </c>
      <c r="L58" t="b">
        <f>IF(ISNA(VLOOKUP(E58,'Optional features'!B:D,3,FALSE)),FALSE,IF(VLOOKUP(E58,'Optional features'!B:D,3,FALSE)="Yes",TRUE,FALSE))</f>
        <v>0</v>
      </c>
      <c r="M58" t="b">
        <f>IF(VLOOKUP(B58,'Profile selection'!B:C,2,FALSE)="Yes",TRUE,FALSE)</f>
        <v>1</v>
      </c>
      <c r="P58" s="73"/>
      <c r="Q58" s="73"/>
    </row>
    <row r="59" spans="1:17" x14ac:dyDescent="0.25">
      <c r="A59" t="str">
        <f>'HIDDEN import'!B59</f>
        <v>TC_E_26_CSMS</v>
      </c>
      <c r="B59" t="str">
        <f>'HIDDEN import'!C59</f>
        <v>Core</v>
      </c>
      <c r="C59" t="str">
        <f>'HIDDEN import'!D59</f>
        <v>Disconnect cable on EV-side - Suspend transaction</v>
      </c>
      <c r="D59" t="str">
        <f>IF(VLOOKUP(A59&amp;" "&amp;B59,'HIDDEN import'!A:G,5,FALSE)="M",MD!$A$1,(IF(AND(VLOOKUP(A59,'HIDDEN import'!B:E,4,FALSE)="C",OR(NOT(ISERROR(VLOOKUP(E59,'Optional features'!B:E,1,FALSE)=E59)),NOT(ISERROR(VLOOKUP(E59,'HIDDEN calc sheet'!A:C,1,FALSE)=E59)))),MD!$A$3,MD!$A$2)))</f>
        <v>Mandatory test for a mandatory feature</v>
      </c>
      <c r="E59" t="str">
        <f>IF('HIDDEN import'!F59=0,"",'HIDDEN import'!F59)</f>
        <v>(C-10.2 or C-10.5) and (C-52 or NOT (C-10.1 or C-10.3 or C-10.4)) and C-06.1 and C-12.2 and AQ-9 and NOT Product Subtype "Mode 1/2-only Charging Station"</v>
      </c>
      <c r="F59" t="str">
        <f>IF('HIDDEN import'!G59=0,"",'HIDDEN import'!G59)</f>
        <v/>
      </c>
      <c r="G59" s="49" t="str">
        <f>IFERROR(VLOOKUP($A59,'HIDDEN Testrun Results'!$A:$B,2,FALSE),"")</f>
        <v/>
      </c>
      <c r="H59" s="49" t="b">
        <f t="shared" si="0"/>
        <v>1</v>
      </c>
      <c r="I59" s="49" t="b">
        <f>IF(VLOOKUP(A59&amp;" "&amp;B59,'HIDDEN import'!A:G,5,FALSE)="M",TRUE,IFERROR(VLOOKUP(E59,'Optional features'!B:E,3,FALSE)="Yes",IFERROR(VLOOKUP(E59,'HIDDEN calc sheet'!A:B,2,FALSE),VLOOKUP(E59,'Additional questions'!B:D,3,FALSE)="Yes")))</f>
        <v>1</v>
      </c>
      <c r="J59" t="b">
        <f>IF(VLOOKUP(B59,'Profile selection'!B:C,2,FALSE)="Yes",TRUE,FALSE)</f>
        <v>1</v>
      </c>
      <c r="K59" s="22" t="b">
        <f>IF(AND(D59=MD!$A$1,M59),TRUE,(IF(AND(D59=MD!$A$3,M59),(IF(L59=TRUE,TRUE,FALSE)),(IF(AND(D59=MD!$A$2,M59),(IF(N59=TRUE,TRUE,FALSE)),FALSE)))))</f>
        <v>1</v>
      </c>
      <c r="L59" t="b">
        <f>IF(ISNA(VLOOKUP(E59,'Optional features'!B:D,3,FALSE)),FALSE,IF(VLOOKUP(E59,'Optional features'!B:D,3,FALSE)="Yes",TRUE,FALSE))</f>
        <v>0</v>
      </c>
      <c r="M59" t="b">
        <f>IF(VLOOKUP(B59,'Profile selection'!B:C,2,FALSE)="Yes",TRUE,FALSE)</f>
        <v>1</v>
      </c>
      <c r="P59" s="73"/>
      <c r="Q59" s="73"/>
    </row>
    <row r="60" spans="1:17" x14ac:dyDescent="0.25">
      <c r="A60" t="str">
        <f>'HIDDEN import'!B60</f>
        <v>TC_E_29_CSMS</v>
      </c>
      <c r="B60" t="str">
        <f>'HIDDEN import'!C60</f>
        <v>Core</v>
      </c>
      <c r="C60" t="str">
        <f>'HIDDEN import'!D60</f>
        <v>Check Transaction status - Transaction with id ongoing - with message in queue</v>
      </c>
      <c r="D60" t="str">
        <f>IF(VLOOKUP(A60&amp;" "&amp;B60,'HIDDEN import'!A:G,5,FALSE)="M",MD!$A$1,(IF(AND(VLOOKUP(A60,'HIDDEN import'!B:E,4,FALSE)="C",OR(NOT(ISERROR(VLOOKUP(E60,'Optional features'!B:E,1,FALSE)=E60)),NOT(ISERROR(VLOOKUP(E60,'HIDDEN calc sheet'!A:C,1,FALSE)=E60)))),MD!$A$3,MD!$A$2)))</f>
        <v>Mandatory for optional feature</v>
      </c>
      <c r="E60" t="str">
        <f>IF('HIDDEN import'!F60=0,"",'HIDDEN import'!F60)</f>
        <v>C-16</v>
      </c>
      <c r="F60" t="str">
        <f>IF('HIDDEN import'!G60=0,"",'HIDDEN import'!G60)</f>
        <v>Check TransactionStatus</v>
      </c>
      <c r="G60" s="49" t="str">
        <f>IFERROR(VLOOKUP($A60,'HIDDEN Testrun Results'!$A:$B,2,FALSE),"")</f>
        <v/>
      </c>
      <c r="H60" s="49" t="b">
        <f t="shared" si="0"/>
        <v>0</v>
      </c>
      <c r="I60" s="49" t="b">
        <f>IF(VLOOKUP(A60&amp;" "&amp;B60,'HIDDEN import'!A:G,5,FALSE)="M",TRUE,IFERROR(VLOOKUP(E60,'Optional features'!B:E,3,FALSE)="Yes",IFERROR(VLOOKUP(E60,'HIDDEN calc sheet'!A:B,2,FALSE),VLOOKUP(E60,'Additional questions'!B:D,3,FALSE)="Yes")))</f>
        <v>0</v>
      </c>
      <c r="J60" t="b">
        <f>IF(VLOOKUP(B60,'Profile selection'!B:C,2,FALSE)="Yes",TRUE,FALSE)</f>
        <v>1</v>
      </c>
      <c r="K60" s="22" t="b">
        <f>IF(AND(D60=MD!$A$1,M60),TRUE,(IF(AND(D60=MD!$A$3,M60),(IF(L60=TRUE,TRUE,FALSE)),(IF(AND(D60=MD!$A$2,M60),(IF(N60=TRUE,TRUE,FALSE)),FALSE)))))</f>
        <v>0</v>
      </c>
      <c r="L60" t="b">
        <f>IF(ISNA(VLOOKUP(E60,'Optional features'!B:D,3,FALSE)),FALSE,IF(VLOOKUP(E60,'Optional features'!B:D,3,FALSE)="Yes",TRUE,FALSE))</f>
        <v>0</v>
      </c>
      <c r="M60" t="b">
        <f>IF(VLOOKUP(B60,'Profile selection'!B:C,2,FALSE)="Yes",TRUE,FALSE)</f>
        <v>1</v>
      </c>
      <c r="P60" s="73"/>
      <c r="Q60" s="73"/>
    </row>
    <row r="61" spans="1:17" x14ac:dyDescent="0.25">
      <c r="A61" t="str">
        <f>'HIDDEN import'!B61</f>
        <v>TC_E_30_CSMS</v>
      </c>
      <c r="B61" t="str">
        <f>'HIDDEN import'!C61</f>
        <v>Core</v>
      </c>
      <c r="C61" t="str">
        <f>'HIDDEN import'!D61</f>
        <v>Check Transaction status - Transaction with id ongoing - without message in queue</v>
      </c>
      <c r="D61" t="str">
        <f>IF(VLOOKUP(A61&amp;" "&amp;B61,'HIDDEN import'!A:G,5,FALSE)="M",MD!$A$1,(IF(AND(VLOOKUP(A61,'HIDDEN import'!B:E,4,FALSE)="C",OR(NOT(ISERROR(VLOOKUP(E61,'Optional features'!B:E,1,FALSE)=E61)),NOT(ISERROR(VLOOKUP(E61,'HIDDEN calc sheet'!A:C,1,FALSE)=E61)))),MD!$A$3,MD!$A$2)))</f>
        <v>Mandatory for optional feature</v>
      </c>
      <c r="E61" t="str">
        <f>IF('HIDDEN import'!F61=0,"",'HIDDEN import'!F61)</f>
        <v>C-16</v>
      </c>
      <c r="F61" t="str">
        <f>IF('HIDDEN import'!G61=0,"",'HIDDEN import'!G61)</f>
        <v>Check TransactionStatus</v>
      </c>
      <c r="G61" s="49" t="str">
        <f>IFERROR(VLOOKUP($A61,'HIDDEN Testrun Results'!$A:$B,2,FALSE),"")</f>
        <v/>
      </c>
      <c r="H61" s="49" t="b">
        <f t="shared" si="0"/>
        <v>0</v>
      </c>
      <c r="I61" s="49" t="b">
        <f>IF(VLOOKUP(A61&amp;" "&amp;B61,'HIDDEN import'!A:G,5,FALSE)="M",TRUE,IFERROR(VLOOKUP(E61,'Optional features'!B:E,3,FALSE)="Yes",IFERROR(VLOOKUP(E61,'HIDDEN calc sheet'!A:B,2,FALSE),VLOOKUP(E61,'Additional questions'!B:D,3,FALSE)="Yes")))</f>
        <v>0</v>
      </c>
      <c r="J61" t="b">
        <f>IF(VLOOKUP(B61,'Profile selection'!B:C,2,FALSE)="Yes",TRUE,FALSE)</f>
        <v>1</v>
      </c>
      <c r="K61" s="22" t="b">
        <f>IF(AND(D61=MD!$A$1,M61),TRUE,(IF(AND(D61=MD!$A$3,M61),(IF(L61=TRUE,TRUE,FALSE)),(IF(AND(D61=MD!$A$2,M61),(IF(N61=TRUE,TRUE,FALSE)),FALSE)))))</f>
        <v>0</v>
      </c>
      <c r="L61" t="b">
        <f>IF(ISNA(VLOOKUP(E61,'Optional features'!B:D,3,FALSE)),FALSE,IF(VLOOKUP(E61,'Optional features'!B:D,3,FALSE)="Yes",TRUE,FALSE))</f>
        <v>0</v>
      </c>
      <c r="M61" t="b">
        <f>IF(VLOOKUP(B61,'Profile selection'!B:C,2,FALSE)="Yes",TRUE,FALSE)</f>
        <v>1</v>
      </c>
      <c r="P61" s="73"/>
      <c r="Q61" s="73"/>
    </row>
    <row r="62" spans="1:17" x14ac:dyDescent="0.25">
      <c r="A62" t="str">
        <f>'HIDDEN import'!B62</f>
        <v>TC_E_31_CSMS</v>
      </c>
      <c r="B62" t="str">
        <f>'HIDDEN import'!C62</f>
        <v>Core</v>
      </c>
      <c r="C62" t="str">
        <f>'HIDDEN import'!D62</f>
        <v>Check Transaction status - Transaction with id ended - with message in queue</v>
      </c>
      <c r="D62" t="str">
        <f>IF(VLOOKUP(A62&amp;" "&amp;B62,'HIDDEN import'!A:G,5,FALSE)="M",MD!$A$1,(IF(AND(VLOOKUP(A62,'HIDDEN import'!B:E,4,FALSE)="C",OR(NOT(ISERROR(VLOOKUP(E62,'Optional features'!B:E,1,FALSE)=E62)),NOT(ISERROR(VLOOKUP(E62,'HIDDEN calc sheet'!A:C,1,FALSE)=E62)))),MD!$A$3,MD!$A$2)))</f>
        <v>Mandatory for optional feature</v>
      </c>
      <c r="E62" t="str">
        <f>IF('HIDDEN import'!F62=0,"",'HIDDEN import'!F62)</f>
        <v>C-16</v>
      </c>
      <c r="F62" t="str">
        <f>IF('HIDDEN import'!G62=0,"",'HIDDEN import'!G62)</f>
        <v>Check TransactionStatus</v>
      </c>
      <c r="G62" s="49" t="str">
        <f>IFERROR(VLOOKUP($A62,'HIDDEN Testrun Results'!$A:$B,2,FALSE),"")</f>
        <v/>
      </c>
      <c r="H62" s="49" t="b">
        <f t="shared" si="0"/>
        <v>0</v>
      </c>
      <c r="I62" s="49" t="b">
        <f>IF(VLOOKUP(A62&amp;" "&amp;B62,'HIDDEN import'!A:G,5,FALSE)="M",TRUE,IFERROR(VLOOKUP(E62,'Optional features'!B:E,3,FALSE)="Yes",IFERROR(VLOOKUP(E62,'HIDDEN calc sheet'!A:B,2,FALSE),VLOOKUP(E62,'Additional questions'!B:D,3,FALSE)="Yes")))</f>
        <v>0</v>
      </c>
      <c r="J62" t="b">
        <f>IF(VLOOKUP(B62,'Profile selection'!B:C,2,FALSE)="Yes",TRUE,FALSE)</f>
        <v>1</v>
      </c>
      <c r="K62" s="22" t="b">
        <f>IF(AND(D62=MD!$A$1,M62),TRUE,(IF(AND(D62=MD!$A$3,M62),(IF(L62=TRUE,TRUE,FALSE)),(IF(AND(D62=MD!$A$2,M62),(IF(N62=TRUE,TRUE,FALSE)),FALSE)))))</f>
        <v>0</v>
      </c>
      <c r="M62" t="b">
        <f>IF(VLOOKUP(B62,'Profile selection'!B:C,2,FALSE)="Yes",TRUE,FALSE)</f>
        <v>1</v>
      </c>
      <c r="P62" s="73"/>
      <c r="Q62" s="73"/>
    </row>
    <row r="63" spans="1:17" x14ac:dyDescent="0.25">
      <c r="A63" t="str">
        <f>'HIDDEN import'!B63</f>
        <v>TC_E_33_CSMS</v>
      </c>
      <c r="B63" t="str">
        <f>'HIDDEN import'!C63</f>
        <v>Core</v>
      </c>
      <c r="C63" t="str">
        <f>'HIDDEN import'!D63</f>
        <v>Check Transaction status - Without transactionId - with message in queue</v>
      </c>
      <c r="D63" t="str">
        <f>IF(VLOOKUP(A63&amp;" "&amp;B63,'HIDDEN import'!A:G,5,FALSE)="M",MD!$A$1,(IF(AND(VLOOKUP(A63,'HIDDEN import'!B:E,4,FALSE)="C",OR(NOT(ISERROR(VLOOKUP(E63,'Optional features'!B:E,1,FALSE)=E63)),NOT(ISERROR(VLOOKUP(E63,'HIDDEN calc sheet'!A:C,1,FALSE)=E63)))),MD!$A$3,MD!$A$2)))</f>
        <v>Mandatory for optional feature</v>
      </c>
      <c r="E63" t="str">
        <f>IF('HIDDEN import'!F63=0,"",'HIDDEN import'!F63)</f>
        <v>C-16</v>
      </c>
      <c r="F63" t="str">
        <f>IF('HIDDEN import'!G63=0,"",'HIDDEN import'!G63)</f>
        <v>Check TransactionStatus</v>
      </c>
      <c r="G63" s="49" t="str">
        <f>IFERROR(VLOOKUP($A63,'HIDDEN Testrun Results'!$A:$B,2,FALSE),"")</f>
        <v/>
      </c>
      <c r="H63" s="49" t="b">
        <f t="shared" si="0"/>
        <v>0</v>
      </c>
      <c r="I63" s="49" t="b">
        <f>IF(VLOOKUP(A63&amp;" "&amp;B63,'HIDDEN import'!A:G,5,FALSE)="M",TRUE,IFERROR(VLOOKUP(E63,'Optional features'!B:E,3,FALSE)="Yes",IFERROR(VLOOKUP(E63,'HIDDEN calc sheet'!A:B,2,FALSE),VLOOKUP(E63,'Additional questions'!B:D,3,FALSE)="Yes")))</f>
        <v>0</v>
      </c>
      <c r="J63" t="b">
        <f>IF(VLOOKUP(B63,'Profile selection'!B:C,2,FALSE)="Yes",TRUE,FALSE)</f>
        <v>1</v>
      </c>
      <c r="K63" s="22" t="b">
        <f>IF(AND(D63=MD!$A$1,M63),TRUE,(IF(AND(D63=MD!$A$3,M63),(IF(L63=TRUE,TRUE,FALSE)),(IF(AND(D63=MD!$A$2,M63),(IF(N63=TRUE,TRUE,FALSE)),FALSE)))))</f>
        <v>0</v>
      </c>
      <c r="M63" t="b">
        <f>IF(VLOOKUP(B63,'Profile selection'!B:C,2,FALSE)="Yes",TRUE,FALSE)</f>
        <v>1</v>
      </c>
      <c r="P63" s="73"/>
      <c r="Q63" s="73"/>
    </row>
    <row r="64" spans="1:17" x14ac:dyDescent="0.25">
      <c r="A64" t="str">
        <f>'HIDDEN import'!B64</f>
        <v>TC_E_34_CSMS</v>
      </c>
      <c r="B64" t="str">
        <f>'HIDDEN import'!C64</f>
        <v>Core</v>
      </c>
      <c r="C64" t="str">
        <f>'HIDDEN import'!D64</f>
        <v>Check Transaction status - Without transactionId - without message in queue</v>
      </c>
      <c r="D64" t="str">
        <f>IF(VLOOKUP(A64&amp;" "&amp;B64,'HIDDEN import'!A:G,5,FALSE)="M",MD!$A$1,(IF(AND(VLOOKUP(A64,'HIDDEN import'!B:E,4,FALSE)="C",OR(NOT(ISERROR(VLOOKUP(E64,'Optional features'!B:E,1,FALSE)=E64)),NOT(ISERROR(VLOOKUP(E64,'HIDDEN calc sheet'!A:C,1,FALSE)=E64)))),MD!$A$3,MD!$A$2)))</f>
        <v>Mandatory for optional feature</v>
      </c>
      <c r="E64" t="str">
        <f>IF('HIDDEN import'!F64=0,"",'HIDDEN import'!F64)</f>
        <v>C-16</v>
      </c>
      <c r="F64" t="str">
        <f>IF('HIDDEN import'!G64=0,"",'HIDDEN import'!G64)</f>
        <v>Check TransactionStatus</v>
      </c>
      <c r="G64" s="49" t="str">
        <f>IFERROR(VLOOKUP($A64,'HIDDEN Testrun Results'!$A:$B,2,FALSE),"")</f>
        <v/>
      </c>
      <c r="H64" s="49" t="b">
        <f t="shared" si="0"/>
        <v>0</v>
      </c>
      <c r="I64" s="49" t="b">
        <f>IF(VLOOKUP(A64&amp;" "&amp;B64,'HIDDEN import'!A:G,5,FALSE)="M",TRUE,IFERROR(VLOOKUP(E64,'Optional features'!B:E,3,FALSE)="Yes",IFERROR(VLOOKUP(E64,'HIDDEN calc sheet'!A:B,2,FALSE),VLOOKUP(E64,'Additional questions'!B:D,3,FALSE)="Yes")))</f>
        <v>0</v>
      </c>
      <c r="J64" t="b">
        <f>IF(VLOOKUP(B64,'Profile selection'!B:C,2,FALSE)="Yes",TRUE,FALSE)</f>
        <v>1</v>
      </c>
      <c r="K64" s="22" t="b">
        <f>IF(AND(D64=MD!$A$1,M64),TRUE,(IF(AND(D64=MD!$A$3,M64),(IF(L64=TRUE,TRUE,FALSE)),(IF(AND(D64=MD!$A$2,M64),(IF(N64=TRUE,TRUE,FALSE)),FALSE)))))</f>
        <v>0</v>
      </c>
      <c r="M64" t="b">
        <f>IF(VLOOKUP(B64,'Profile selection'!B:C,2,FALSE)="Yes",TRUE,FALSE)</f>
        <v>1</v>
      </c>
      <c r="P64" s="73"/>
      <c r="Q64" s="73"/>
    </row>
    <row r="65" spans="1:17" x14ac:dyDescent="0.25">
      <c r="A65" t="str">
        <f>'HIDDEN import'!B65</f>
        <v>TC_E_53_CSMS</v>
      </c>
      <c r="B65" t="str">
        <f>'HIDDEN import'!C65</f>
        <v>Core</v>
      </c>
      <c r="C65" t="str">
        <f>'HIDDEN import'!D65</f>
        <v>Reset Sequence Number - CSMS accepting _seqNo_ = 0 at start of transaction</v>
      </c>
      <c r="D65" t="str">
        <f>IF(VLOOKUP(A65&amp;" "&amp;B65,'HIDDEN import'!A:G,5,FALSE)="M",MD!$A$1,(IF(AND(VLOOKUP(A65,'HIDDEN import'!B:E,4,FALSE)="C",OR(NOT(ISERROR(VLOOKUP(E65,'Optional features'!B:E,1,FALSE)=E65)),NOT(ISERROR(VLOOKUP(E65,'HIDDEN calc sheet'!A:C,1,FALSE)=E65)))),MD!$A$3,MD!$A$2)))</f>
        <v>Mandatory test for a mandatory feature</v>
      </c>
      <c r="E65" t="str">
        <f>IF('HIDDEN import'!F65=0,"",'HIDDEN import'!F65)</f>
        <v/>
      </c>
      <c r="F65" t="str">
        <f>IF('HIDDEN import'!G65=0,"",'HIDDEN import'!G65)</f>
        <v/>
      </c>
      <c r="G65" s="49" t="str">
        <f>IFERROR(VLOOKUP($A65,'HIDDEN Testrun Results'!$A:$B,2,FALSE),"")</f>
        <v/>
      </c>
      <c r="H65" s="49" t="b">
        <f t="shared" si="0"/>
        <v>1</v>
      </c>
      <c r="I65" s="49" t="b">
        <f>IF(VLOOKUP(A65&amp;" "&amp;B65,'HIDDEN import'!A:G,5,FALSE)="M",TRUE,IFERROR(VLOOKUP(E65,'Optional features'!B:E,3,FALSE)="Yes",IFERROR(VLOOKUP(E65,'HIDDEN calc sheet'!A:B,2,FALSE),VLOOKUP(E65,'Additional questions'!B:D,3,FALSE)="Yes")))</f>
        <v>1</v>
      </c>
      <c r="J65" t="b">
        <f>IF(VLOOKUP(B65,'Profile selection'!B:C,2,FALSE)="Yes",TRUE,FALSE)</f>
        <v>1</v>
      </c>
      <c r="K65" s="22" t="b">
        <f>IF(AND(D65=MD!$A$1,M65),TRUE,(IF(AND(D65=MD!$A$3,M65),(IF(L65=TRUE,TRUE,FALSE)),(IF(AND(D65=MD!$A$2,M65),(IF(N65=TRUE,TRUE,FALSE)),FALSE)))))</f>
        <v>1</v>
      </c>
      <c r="M65" t="b">
        <f>IF(VLOOKUP(B65,'Profile selection'!B:C,2,FALSE)="Yes",TRUE,FALSE)</f>
        <v>1</v>
      </c>
      <c r="P65" s="73"/>
      <c r="Q65" s="73"/>
    </row>
    <row r="66" spans="1:17" x14ac:dyDescent="0.25">
      <c r="A66" t="str">
        <f>'HIDDEN import'!B66</f>
        <v>TC_F_01_CSMS</v>
      </c>
      <c r="B66" t="str">
        <f>'HIDDEN import'!C66</f>
        <v>Core</v>
      </c>
      <c r="C66" t="str">
        <f>'HIDDEN import'!D66</f>
        <v>Remote start transaction - Cable plugin first</v>
      </c>
      <c r="D66" t="str">
        <f>IF(VLOOKUP(A66&amp;" "&amp;B66,'HIDDEN import'!A:G,5,FALSE)="M",MD!$A$1,(IF(AND(VLOOKUP(A66,'HIDDEN import'!B:E,4,FALSE)="C",OR(NOT(ISERROR(VLOOKUP(E66,'Optional features'!B:E,1,FALSE)=E66)),NOT(ISERROR(VLOOKUP(E66,'HIDDEN calc sheet'!A:C,1,FALSE)=E66)))),MD!$A$3,MD!$A$2)))</f>
        <v>Mandatory test for a mandatory feature</v>
      </c>
      <c r="E66" t="str">
        <f>IF('HIDDEN import'!F66=0,"",'HIDDEN import'!F66)</f>
        <v>NOT AQ-2 and (C-36 -(or) C-39)</v>
      </c>
      <c r="F66" t="str">
        <f>IF('HIDDEN import'!G66=0,"",'HIDDEN import'!G66)</f>
        <v>Authorization options for remote start</v>
      </c>
      <c r="G66" s="49" t="str">
        <f>IFERROR(VLOOKUP($A66,'HIDDEN Testrun Results'!$A:$B,2,FALSE),"")</f>
        <v/>
      </c>
      <c r="H66" s="49" t="b">
        <f t="shared" si="0"/>
        <v>1</v>
      </c>
      <c r="I66" s="49" t="b">
        <f>IF(VLOOKUP(A66&amp;" "&amp;B66,'HIDDEN import'!A:G,5,FALSE)="M",TRUE,IFERROR(VLOOKUP(E66,'Optional features'!B:E,3,FALSE)="Yes",IFERROR(VLOOKUP(E66,'HIDDEN calc sheet'!A:B,2,FALSE),VLOOKUP(E66,'Additional questions'!B:D,3,FALSE)="Yes")))</f>
        <v>1</v>
      </c>
      <c r="J66" t="b">
        <f>IF(VLOOKUP(B66,'Profile selection'!B:C,2,FALSE)="Yes",TRUE,FALSE)</f>
        <v>1</v>
      </c>
      <c r="K66" s="22" t="b">
        <f>IF(AND(D66=MD!$A$1,M66),TRUE,(IF(AND(D66=MD!$A$3,M66),(IF(L66=TRUE,TRUE,FALSE)),(IF(AND(D66=MD!$A$2,M66),(IF(N66=TRUE,TRUE,FALSE)),FALSE)))))</f>
        <v>1</v>
      </c>
      <c r="L66" t="b">
        <f>IF(ISNA(VLOOKUP(E66,'Optional features'!B:D,3,FALSE)),FALSE,IF(VLOOKUP(E66,'Optional features'!B:D,3,FALSE)="Yes",TRUE,FALSE))</f>
        <v>0</v>
      </c>
      <c r="M66" t="b">
        <f>IF(VLOOKUP(B66,'Profile selection'!B:C,2,FALSE)="Yes",TRUE,FALSE)</f>
        <v>1</v>
      </c>
      <c r="P66" s="73"/>
      <c r="Q66" s="73"/>
    </row>
    <row r="67" spans="1:17" x14ac:dyDescent="0.25">
      <c r="A67" t="str">
        <f>'HIDDEN import'!B67</f>
        <v>TC_F_02_CSMS</v>
      </c>
      <c r="B67" t="str">
        <f>'HIDDEN import'!C67</f>
        <v>Core</v>
      </c>
      <c r="C67" t="str">
        <f>'HIDDEN import'!D67</f>
        <v>Remote start transaction - Remote start first - AuthorizeRemoteStart is true</v>
      </c>
      <c r="D67" t="str">
        <f>IF(VLOOKUP(A67&amp;" "&amp;B67,'HIDDEN import'!A:G,5,FALSE)="M",MD!$A$1,(IF(AND(VLOOKUP(A67,'HIDDEN import'!B:E,4,FALSE)="C",OR(NOT(ISERROR(VLOOKUP(E67,'Optional features'!B:E,1,FALSE)=E67)),NOT(ISERROR(VLOOKUP(E67,'HIDDEN calc sheet'!A:C,1,FALSE)=E67)))),MD!$A$3,MD!$A$2)))</f>
        <v>Mandatory test for a mandatory feature</v>
      </c>
      <c r="E67" t="str">
        <f>IF('HIDDEN import'!F67=0,"",'HIDDEN import'!F67)</f>
        <v>C-48.1 and (C-36 -(or) C-39)</v>
      </c>
      <c r="F67" t="str">
        <f>IF('HIDDEN import'!G67=0,"",'HIDDEN import'!G67)</f>
        <v>Authorization options for remote start</v>
      </c>
      <c r="G67" s="49" t="str">
        <f>IFERROR(VLOOKUP($A67,'HIDDEN Testrun Results'!$A:$B,2,FALSE),"")</f>
        <v/>
      </c>
      <c r="H67" s="49" t="b">
        <f t="shared" ref="H67:H130" si="1">IF(NOT(ISLOGICAL(I67)),I67,AND(I67,J67))</f>
        <v>1</v>
      </c>
      <c r="I67" s="49" t="b">
        <f>IF(VLOOKUP(A67&amp;" "&amp;B67,'HIDDEN import'!A:G,5,FALSE)="M",TRUE,IFERROR(VLOOKUP(E67,'Optional features'!B:E,3,FALSE)="Yes",IFERROR(VLOOKUP(E67,'HIDDEN calc sheet'!A:B,2,FALSE),VLOOKUP(E67,'Additional questions'!B:D,3,FALSE)="Yes")))</f>
        <v>1</v>
      </c>
      <c r="J67" t="b">
        <f>IF(VLOOKUP(B67,'Profile selection'!B:C,2,FALSE)="Yes",TRUE,FALSE)</f>
        <v>1</v>
      </c>
      <c r="K67" s="22" t="b">
        <f>IF(AND(D67=MD!$A$1,M67),TRUE,(IF(AND(D67=MD!$A$3,M67),(IF(L67=TRUE,TRUE,FALSE)),(IF(AND(D67=MD!$A$2,M67),(IF(N67=TRUE,TRUE,FALSE)),FALSE)))))</f>
        <v>1</v>
      </c>
      <c r="L67" t="b">
        <f>IF('Optional features'!D10="Yes",TRUE,FALSE)</f>
        <v>0</v>
      </c>
      <c r="M67" t="b">
        <f>IF(VLOOKUP(B67,'Profile selection'!B:C,2,FALSE)="Yes",TRUE,FALSE)</f>
        <v>1</v>
      </c>
      <c r="P67" s="73"/>
      <c r="Q67" s="73"/>
    </row>
    <row r="68" spans="1:17" x14ac:dyDescent="0.25">
      <c r="A68" t="str">
        <f>'HIDDEN import'!B68</f>
        <v>TC_F_03_CSMS</v>
      </c>
      <c r="B68" t="str">
        <f>'HIDDEN import'!C68</f>
        <v>Core</v>
      </c>
      <c r="C68" t="str">
        <f>'HIDDEN import'!D68</f>
        <v>Remote start transaction - Remote start first - AuthorizeRemoteStart is false</v>
      </c>
      <c r="D68" t="str">
        <f>IF(VLOOKUP(A68&amp;" "&amp;B68,'HIDDEN import'!A:G,5,FALSE)="M",MD!$A$1,(IF(AND(VLOOKUP(A68,'HIDDEN import'!B:E,4,FALSE)="C",OR(NOT(ISERROR(VLOOKUP(E68,'Optional features'!B:E,1,FALSE)=E68)),NOT(ISERROR(VLOOKUP(E68,'HIDDEN calc sheet'!A:C,1,FALSE)=E68)))),MD!$A$3,MD!$A$2)))</f>
        <v>Mandatory test for a mandatory feature</v>
      </c>
      <c r="E68" t="str">
        <f>IF('HIDDEN import'!F68=0,"",'HIDDEN import'!F68)</f>
        <v>C-48.2 and (C-36 -(or) C-39)</v>
      </c>
      <c r="F68" t="str">
        <f>IF('HIDDEN import'!G68=0,"",'HIDDEN import'!G68)</f>
        <v>Authorization options for remote start</v>
      </c>
      <c r="G68" s="49" t="str">
        <f>IFERROR(VLOOKUP($A68,'HIDDEN Testrun Results'!$A:$B,2,FALSE),"")</f>
        <v/>
      </c>
      <c r="H68" s="49" t="b">
        <f t="shared" si="1"/>
        <v>1</v>
      </c>
      <c r="I68" s="49" t="b">
        <f>IF(VLOOKUP(A68&amp;" "&amp;B68,'HIDDEN import'!A:G,5,FALSE)="M",TRUE,IFERROR(VLOOKUP(E68,'Optional features'!B:E,3,FALSE)="Yes",IFERROR(VLOOKUP(E68,'HIDDEN calc sheet'!A:B,2,FALSE),VLOOKUP(E68,'Additional questions'!B:D,3,FALSE)="Yes")))</f>
        <v>1</v>
      </c>
      <c r="J68" t="b">
        <f>IF(VLOOKUP(B68,'Profile selection'!B:C,2,FALSE)="Yes",TRUE,FALSE)</f>
        <v>1</v>
      </c>
      <c r="K68" s="22" t="b">
        <f>IF(AND(D68=MD!$A$1,M68),TRUE,(IF(AND(D68=MD!$A$3,M68),(IF(L68=TRUE,TRUE,FALSE)),(IF(AND(D68=MD!$A$2,M68),(IF(N68=TRUE,TRUE,FALSE)),FALSE)))))</f>
        <v>1</v>
      </c>
      <c r="L68" t="b">
        <f>IF('Optional features'!D11="Yes",TRUE,FALSE)</f>
        <v>0</v>
      </c>
      <c r="M68" t="b">
        <f>IF(VLOOKUP(B68,'Profile selection'!B:C,2,FALSE)="Yes",TRUE,FALSE)</f>
        <v>1</v>
      </c>
      <c r="P68" s="73"/>
      <c r="Q68" s="73"/>
    </row>
    <row r="69" spans="1:17" x14ac:dyDescent="0.25">
      <c r="A69" t="str">
        <f>'HIDDEN import'!B69</f>
        <v>TC_F_04_CSMS</v>
      </c>
      <c r="B69" t="str">
        <f>'HIDDEN import'!C69</f>
        <v>Core</v>
      </c>
      <c r="C69" t="str">
        <f>'HIDDEN import'!D69</f>
        <v>Remote start transaction - Remote start first - Cable plugin timeout</v>
      </c>
      <c r="D69" t="str">
        <f>IF(VLOOKUP(A69&amp;" "&amp;B69,'HIDDEN import'!A:G,5,FALSE)="M",MD!$A$1,(IF(AND(VLOOKUP(A69,'HIDDEN import'!B:E,4,FALSE)="C",OR(NOT(ISERROR(VLOOKUP(E69,'Optional features'!B:E,1,FALSE)=E69)),NOT(ISERROR(VLOOKUP(E69,'HIDDEN calc sheet'!A:C,1,FALSE)=E69)))),MD!$A$3,MD!$A$2)))</f>
        <v>Mandatory test for a mandatory feature</v>
      </c>
      <c r="E69" t="str">
        <f>IF('HIDDEN import'!F69=0,"",'HIDDEN import'!F69)</f>
        <v/>
      </c>
      <c r="F69" t="str">
        <f>IF('HIDDEN import'!G69=0,"",'HIDDEN import'!G69)</f>
        <v/>
      </c>
      <c r="G69" s="49" t="str">
        <f>IFERROR(VLOOKUP($A69,'HIDDEN Testrun Results'!$A:$B,2,FALSE),"")</f>
        <v/>
      </c>
      <c r="H69" s="49" t="b">
        <f t="shared" si="1"/>
        <v>1</v>
      </c>
      <c r="I69" s="49" t="b">
        <f>IF(VLOOKUP(A69&amp;" "&amp;B69,'HIDDEN import'!A:G,5,FALSE)="M",TRUE,IFERROR(VLOOKUP(E69,'Optional features'!B:E,3,FALSE)="Yes",IFERROR(VLOOKUP(E69,'HIDDEN calc sheet'!A:B,2,FALSE),VLOOKUP(E69,'Additional questions'!B:D,3,FALSE)="Yes")))</f>
        <v>1</v>
      </c>
      <c r="J69" t="b">
        <f>IF(VLOOKUP(B69,'Profile selection'!B:C,2,FALSE)="Yes",TRUE,FALSE)</f>
        <v>1</v>
      </c>
      <c r="K69" s="22" t="b">
        <f>IF(AND(D69=MD!$A$1,M69),TRUE,(IF(AND(D69=MD!$A$3,M69),(IF(L69=TRUE,TRUE,FALSE)),(IF(AND(D69=MD!$A$2,M69),(IF(N69=TRUE,TRUE,FALSE)),FALSE)))))</f>
        <v>1</v>
      </c>
      <c r="L69" t="b">
        <f>IF('Optional features'!D12="Yes",TRUE,FALSE)</f>
        <v>0</v>
      </c>
      <c r="M69" t="b">
        <f>IF(VLOOKUP(B69,'Profile selection'!B:C,2,FALSE)="Yes",TRUE,FALSE)</f>
        <v>1</v>
      </c>
      <c r="P69" s="73"/>
      <c r="Q69" s="73"/>
    </row>
    <row r="70" spans="1:17" x14ac:dyDescent="0.25">
      <c r="A70" t="str">
        <f>'HIDDEN import'!B70</f>
        <v>TC_F_06_CSMS</v>
      </c>
      <c r="B70" t="str">
        <f>'HIDDEN import'!C70</f>
        <v>Core</v>
      </c>
      <c r="C70" t="str">
        <f>'HIDDEN import'!D70</f>
        <v>Remote unlock Connector - Without ongoing transaction - Accepted</v>
      </c>
      <c r="D70" t="str">
        <f>IF(VLOOKUP(A70&amp;" "&amp;B70,'HIDDEN import'!A:G,5,FALSE)="M",MD!$A$1,(IF(AND(VLOOKUP(A70,'HIDDEN import'!B:E,4,FALSE)="C",OR(NOT(ISERROR(VLOOKUP(E70,'Optional features'!B:E,1,FALSE)=E70)),NOT(ISERROR(VLOOKUP(E70,'HIDDEN calc sheet'!A:C,1,FALSE)=E70)))),MD!$A$3,MD!$A$2)))</f>
        <v>Possibly mandatory, depending on your system</v>
      </c>
      <c r="E70" t="str">
        <f>IF('HIDDEN import'!F70=0,"",'HIDDEN import'!F70)</f>
        <v>See column 3/4</v>
      </c>
      <c r="F70" t="str">
        <f>IF('HIDDEN import'!G70=0,"",'HIDDEN import'!G70)</f>
        <v/>
      </c>
      <c r="G70" s="49" t="str">
        <f>IFERROR(VLOOKUP($A70,'HIDDEN Testrun Results'!$A:$B,2,FALSE),"")</f>
        <v/>
      </c>
      <c r="H70" s="49" t="b">
        <f t="shared" si="1"/>
        <v>0</v>
      </c>
      <c r="I70" s="49" t="b">
        <f>IF(VLOOKUP(A70&amp;" "&amp;B70,'HIDDEN import'!A:G,5,FALSE)="M",TRUE,IFERROR(VLOOKUP(E70,'Optional features'!B:E,3,FALSE)="Yes",IFERROR(VLOOKUP(E70,'HIDDEN calc sheet'!A:B,2,FALSE),VLOOKUP(E70,'Additional questions'!B:D,3,FALSE)="Yes")))</f>
        <v>0</v>
      </c>
      <c r="J70" t="b">
        <f>IF(VLOOKUP(B70,'Profile selection'!B:C,2,FALSE)="Yes",TRUE,FALSE)</f>
        <v>1</v>
      </c>
      <c r="K70" s="22" t="b">
        <f>IF(AND(D70=MD!$A$1,M70),TRUE,(IF(AND(D70=MD!$A$3,M70),(IF(L70=TRUE,TRUE,FALSE)),(IF(AND(D70=MD!$A$2,M70),(IF(N70=TRUE,TRUE,FALSE)),FALSE)))))</f>
        <v>0</v>
      </c>
      <c r="L70" t="b">
        <f>IF('Optional features'!D13="Yes",TRUE,FALSE)</f>
        <v>0</v>
      </c>
      <c r="M70" t="b">
        <f>IF(VLOOKUP(B70,'Profile selection'!B:C,2,FALSE)="Yes",TRUE,FALSE)</f>
        <v>1</v>
      </c>
      <c r="P70" s="73"/>
      <c r="Q70" s="73"/>
    </row>
    <row r="71" spans="1:17" x14ac:dyDescent="0.25">
      <c r="A71" t="str">
        <f>'HIDDEN import'!B71</f>
        <v>TC_F_11_CSMS</v>
      </c>
      <c r="B71" t="str">
        <f>'HIDDEN import'!C71</f>
        <v>Core</v>
      </c>
      <c r="C71" t="str">
        <f>'HIDDEN import'!D71</f>
        <v>Trigger message - MeterValues - Specific EVSE</v>
      </c>
      <c r="D71" t="str">
        <f>IF(VLOOKUP(A71&amp;" "&amp;B71,'HIDDEN import'!A:G,5,FALSE)="M",MD!$A$1,(IF(AND(VLOOKUP(A71,'HIDDEN import'!B:E,4,FALSE)="C",OR(NOT(ISERROR(VLOOKUP(E71,'Optional features'!B:E,1,FALSE)=E71)),NOT(ISERROR(VLOOKUP(E71,'HIDDEN calc sheet'!A:C,1,FALSE)=E71)))),MD!$A$3,MD!$A$2)))</f>
        <v>Mandatory for optional feature</v>
      </c>
      <c r="E71" t="str">
        <f>IF('HIDDEN import'!F71=0,"",'HIDDEN import'!F71)</f>
        <v>C-29.1</v>
      </c>
      <c r="F71" t="str">
        <f>IF('HIDDEN import'!G71=0,"",'HIDDEN import'!G71)</f>
        <v>TriggerMessage</v>
      </c>
      <c r="G71" s="49" t="str">
        <f>IFERROR(VLOOKUP($A71,'HIDDEN Testrun Results'!$A:$B,2,FALSE),"")</f>
        <v/>
      </c>
      <c r="H71" s="49" t="b">
        <f t="shared" si="1"/>
        <v>0</v>
      </c>
      <c r="I71" s="49" t="b">
        <f>IF(VLOOKUP(A71&amp;" "&amp;B71,'HIDDEN import'!A:G,5,FALSE)="M",TRUE,IFERROR(VLOOKUP(E71,'Optional features'!B:E,3,FALSE)="Yes",IFERROR(VLOOKUP(E71,'HIDDEN calc sheet'!A:B,2,FALSE),VLOOKUP(E71,'Additional questions'!B:D,3,FALSE)="Yes")))</f>
        <v>0</v>
      </c>
      <c r="J71" t="b">
        <f>IF(VLOOKUP(B71,'Profile selection'!B:C,2,FALSE)="Yes",TRUE,FALSE)</f>
        <v>1</v>
      </c>
      <c r="K71" s="22" t="b">
        <f>IF(AND(D71=MD!$A$1,M71),TRUE,(IF(AND(D71=MD!$A$3,M71),(IF(L71=TRUE,TRUE,FALSE)),(IF(AND(D71=MD!$A$2,M71),(IF(N71=TRUE,TRUE,FALSE)),FALSE)))))</f>
        <v>0</v>
      </c>
      <c r="L71" t="b">
        <f>IF('Optional features'!D14="Yes",TRUE,FALSE)</f>
        <v>0</v>
      </c>
      <c r="M71" t="b">
        <f>IF(VLOOKUP(B71,'Profile selection'!B:C,2,FALSE)="Yes",TRUE,FALSE)</f>
        <v>1</v>
      </c>
      <c r="P71" s="73"/>
      <c r="Q71" s="73"/>
    </row>
    <row r="72" spans="1:17" x14ac:dyDescent="0.25">
      <c r="A72" t="str">
        <f>'HIDDEN import'!B72</f>
        <v>TC_F_12_CSMS</v>
      </c>
      <c r="B72" t="str">
        <f>'HIDDEN import'!C72</f>
        <v>Core</v>
      </c>
      <c r="C72" t="str">
        <f>'HIDDEN import'!D72</f>
        <v>Trigger message - MeterValues - All EVSE</v>
      </c>
      <c r="D72" t="str">
        <f>IF(VLOOKUP(A72&amp;" "&amp;B72,'HIDDEN import'!A:G,5,FALSE)="M",MD!$A$1,(IF(AND(VLOOKUP(A72,'HIDDEN import'!B:E,4,FALSE)="C",OR(NOT(ISERROR(VLOOKUP(E72,'Optional features'!B:E,1,FALSE)=E72)),NOT(ISERROR(VLOOKUP(E72,'HIDDEN calc sheet'!A:C,1,FALSE)=E72)))),MD!$A$3,MD!$A$2)))</f>
        <v>Mandatory for optional feature</v>
      </c>
      <c r="E72" t="str">
        <f>IF('HIDDEN import'!F72=0,"",'HIDDEN import'!F72)</f>
        <v>C-29.1</v>
      </c>
      <c r="F72" t="str">
        <f>IF('HIDDEN import'!G72=0,"",'HIDDEN import'!G72)</f>
        <v>TriggerMessage</v>
      </c>
      <c r="G72" s="49" t="str">
        <f>IFERROR(VLOOKUP($A72,'HIDDEN Testrun Results'!$A:$B,2,FALSE),"")</f>
        <v/>
      </c>
      <c r="H72" s="49" t="b">
        <f t="shared" si="1"/>
        <v>0</v>
      </c>
      <c r="I72" s="49" t="b">
        <f>IF(VLOOKUP(A72&amp;" "&amp;B72,'HIDDEN import'!A:G,5,FALSE)="M",TRUE,IFERROR(VLOOKUP(E72,'Optional features'!B:E,3,FALSE)="Yes",IFERROR(VLOOKUP(E72,'HIDDEN calc sheet'!A:B,2,FALSE),VLOOKUP(E72,'Additional questions'!B:D,3,FALSE)="Yes")))</f>
        <v>0</v>
      </c>
      <c r="J72" t="b">
        <f>IF(VLOOKUP(B72,'Profile selection'!B:C,2,FALSE)="Yes",TRUE,FALSE)</f>
        <v>1</v>
      </c>
      <c r="K72" s="22" t="b">
        <f>IF(AND(D72=MD!$A$1,M72),TRUE,(IF(AND(D72=MD!$A$3,M72),(IF(L72=TRUE,TRUE,FALSE)),(IF(AND(D72=MD!$A$2,M72),(IF(N72=TRUE,TRUE,FALSE)),FALSE)))))</f>
        <v>0</v>
      </c>
      <c r="L72" t="b">
        <f>VLOOKUP(E72,'Optional features'!$B:$D,3,FALSE)="Yes"</f>
        <v>0</v>
      </c>
      <c r="M72" t="b">
        <f>IF(VLOOKUP(B72,'Profile selection'!B:C,2,FALSE)="Yes",TRUE,FALSE)</f>
        <v>1</v>
      </c>
      <c r="P72" s="73"/>
      <c r="Q72" s="73"/>
    </row>
    <row r="73" spans="1:17" x14ac:dyDescent="0.25">
      <c r="A73" t="str">
        <f>'HIDDEN import'!B73</f>
        <v>TC_F_13_CSMS</v>
      </c>
      <c r="B73" t="str">
        <f>'HIDDEN import'!C73</f>
        <v>Core</v>
      </c>
      <c r="C73" t="str">
        <f>'HIDDEN import'!D73</f>
        <v>Trigger message - TransactionEvent - Specific EVSE</v>
      </c>
      <c r="D73" t="str">
        <f>IF(VLOOKUP(A73&amp;" "&amp;B73,'HIDDEN import'!A:G,5,FALSE)="M",MD!$A$1,(IF(AND(VLOOKUP(A73,'HIDDEN import'!B:E,4,FALSE)="C",OR(NOT(ISERROR(VLOOKUP(E73,'Optional features'!B:E,1,FALSE)=E73)),NOT(ISERROR(VLOOKUP(E73,'HIDDEN calc sheet'!A:C,1,FALSE)=E73)))),MD!$A$3,MD!$A$2)))</f>
        <v>Mandatory for optional feature</v>
      </c>
      <c r="E73" t="str">
        <f>IF('HIDDEN import'!F73=0,"",'HIDDEN import'!F73)</f>
        <v>C-29.2</v>
      </c>
      <c r="F73" t="str">
        <f>IF('HIDDEN import'!G73=0,"",'HIDDEN import'!G73)</f>
        <v>TriggerMessage</v>
      </c>
      <c r="G73" s="49" t="str">
        <f>IFERROR(VLOOKUP($A73,'HIDDEN Testrun Results'!$A:$B,2,FALSE),"")</f>
        <v/>
      </c>
      <c r="H73" s="49" t="b">
        <f t="shared" si="1"/>
        <v>0</v>
      </c>
      <c r="I73" s="49" t="b">
        <f>IF(VLOOKUP(A73&amp;" "&amp;B73,'HIDDEN import'!A:G,5,FALSE)="M",TRUE,IFERROR(VLOOKUP(E73,'Optional features'!B:E,3,FALSE)="Yes",IFERROR(VLOOKUP(E73,'HIDDEN calc sheet'!A:B,2,FALSE),VLOOKUP(E73,'Additional questions'!B:D,3,FALSE)="Yes")))</f>
        <v>0</v>
      </c>
      <c r="J73" t="b">
        <f>IF(VLOOKUP(B73,'Profile selection'!B:C,2,FALSE)="Yes",TRUE,FALSE)</f>
        <v>1</v>
      </c>
      <c r="K73" s="22" t="b">
        <f>IF(AND(D73=MD!$A$1,M73),TRUE,(IF(AND(D73=MD!$A$3,M73),(IF(L73=TRUE,TRUE,FALSE)),(IF(AND(D73=MD!$A$2,M73),(IF(N73=TRUE,TRUE,FALSE)),FALSE)))))</f>
        <v>0</v>
      </c>
      <c r="M73" t="b">
        <f>IF(VLOOKUP(B73,'Profile selection'!B:C,2,FALSE)="Yes",TRUE,FALSE)</f>
        <v>1</v>
      </c>
      <c r="P73" s="73"/>
      <c r="Q73" s="73"/>
    </row>
    <row r="74" spans="1:17" x14ac:dyDescent="0.25">
      <c r="A74" t="str">
        <f>'HIDDEN import'!B74</f>
        <v>TC_F_14_CSMS</v>
      </c>
      <c r="B74" t="str">
        <f>'HIDDEN import'!C74</f>
        <v>Core</v>
      </c>
      <c r="C74" t="str">
        <f>'HIDDEN import'!D74</f>
        <v>Trigger message - TransactionEvent - All EVSE</v>
      </c>
      <c r="D74" t="str">
        <f>IF(VLOOKUP(A74&amp;" "&amp;B74,'HIDDEN import'!A:G,5,FALSE)="M",MD!$A$1,(IF(AND(VLOOKUP(A74,'HIDDEN import'!B:E,4,FALSE)="C",OR(NOT(ISERROR(VLOOKUP(E74,'Optional features'!B:E,1,FALSE)=E74)),NOT(ISERROR(VLOOKUP(E74,'HIDDEN calc sheet'!A:C,1,FALSE)=E74)))),MD!$A$3,MD!$A$2)))</f>
        <v>Mandatory for optional feature</v>
      </c>
      <c r="E74" t="str">
        <f>IF('HIDDEN import'!F74=0,"",'HIDDEN import'!F74)</f>
        <v>C-29.2</v>
      </c>
      <c r="F74" t="str">
        <f>IF('HIDDEN import'!G74=0,"",'HIDDEN import'!G74)</f>
        <v>TriggerMessage</v>
      </c>
      <c r="G74" s="49" t="str">
        <f>IFERROR(VLOOKUP($A74,'HIDDEN Testrun Results'!$A:$B,2,FALSE),"")</f>
        <v/>
      </c>
      <c r="H74" s="49" t="b">
        <f t="shared" si="1"/>
        <v>0</v>
      </c>
      <c r="I74" s="49" t="b">
        <f>IF(VLOOKUP(A74&amp;" "&amp;B74,'HIDDEN import'!A:G,5,FALSE)="M",TRUE,IFERROR(VLOOKUP(E74,'Optional features'!B:E,3,FALSE)="Yes",IFERROR(VLOOKUP(E74,'HIDDEN calc sheet'!A:B,2,FALSE),VLOOKUP(E74,'Additional questions'!B:D,3,FALSE)="Yes")))</f>
        <v>0</v>
      </c>
      <c r="J74" t="b">
        <f>IF(VLOOKUP(B74,'Profile selection'!B:C,2,FALSE)="Yes",TRUE,FALSE)</f>
        <v>1</v>
      </c>
      <c r="K74" s="22" t="b">
        <f>IF(AND(D74=MD!$A$1,M74),TRUE,(IF(AND(D74=MD!$A$3,M74),(IF(L74=TRUE,TRUE,FALSE)),(IF(AND(D74=MD!$A$2,M74),(IF(N74=TRUE,TRUE,FALSE)),FALSE)))))</f>
        <v>0</v>
      </c>
      <c r="L74" t="b">
        <f>VLOOKUP(E74,'Optional features'!$B:$D,3,FALSE)="Yes"</f>
        <v>0</v>
      </c>
      <c r="M74" t="b">
        <f>IF(VLOOKUP(B74,'Profile selection'!B:C,2,FALSE)="Yes",TRUE,FALSE)</f>
        <v>1</v>
      </c>
      <c r="P74" s="73"/>
      <c r="Q74" s="73"/>
    </row>
    <row r="75" spans="1:17" x14ac:dyDescent="0.25">
      <c r="A75" t="str">
        <f>'HIDDEN import'!B75</f>
        <v>TC_F_15_CSMS</v>
      </c>
      <c r="B75" t="str">
        <f>'HIDDEN import'!C75</f>
        <v>Core</v>
      </c>
      <c r="C75" t="str">
        <f>'HIDDEN import'!D75</f>
        <v>Trigger message - LogStatusNotification - Idle</v>
      </c>
      <c r="D75" t="str">
        <f>IF(VLOOKUP(A75&amp;" "&amp;B75,'HIDDEN import'!A:G,5,FALSE)="M",MD!$A$1,(IF(AND(VLOOKUP(A75,'HIDDEN import'!B:E,4,FALSE)="C",OR(NOT(ISERROR(VLOOKUP(E75,'Optional features'!B:E,1,FALSE)=E75)),NOT(ISERROR(VLOOKUP(E75,'HIDDEN calc sheet'!A:C,1,FALSE)=E75)))),MD!$A$3,MD!$A$2)))</f>
        <v>Mandatory for optional feature</v>
      </c>
      <c r="E75" t="str">
        <f>IF('HIDDEN import'!F75=0,"",'HIDDEN import'!F75)</f>
        <v>C-29.3</v>
      </c>
      <c r="F75" t="str">
        <f>IF('HIDDEN import'!G75=0,"",'HIDDEN import'!G75)</f>
        <v>TriggerMessage</v>
      </c>
      <c r="G75" s="49" t="str">
        <f>IFERROR(VLOOKUP($A75,'HIDDEN Testrun Results'!$A:$B,2,FALSE),"")</f>
        <v/>
      </c>
      <c r="H75" s="49" t="b">
        <f t="shared" si="1"/>
        <v>0</v>
      </c>
      <c r="I75" s="49" t="b">
        <f>IF(VLOOKUP(A75&amp;" "&amp;B75,'HIDDEN import'!A:G,5,FALSE)="M",TRUE,IFERROR(VLOOKUP(E75,'Optional features'!B:E,3,FALSE)="Yes",IFERROR(VLOOKUP(E75,'HIDDEN calc sheet'!A:B,2,FALSE),VLOOKUP(E75,'Additional questions'!B:D,3,FALSE)="Yes")))</f>
        <v>0</v>
      </c>
      <c r="J75" t="b">
        <f>IF(VLOOKUP(B75,'Profile selection'!B:C,2,FALSE)="Yes",TRUE,FALSE)</f>
        <v>1</v>
      </c>
      <c r="K75" s="22" t="b">
        <f>IF(AND(D75=MD!$A$1,M75),TRUE,(IF(AND(D75=MD!$A$3,M75),(IF(L75=TRUE,TRUE,FALSE)),(IF(AND(D75=MD!$A$2,M75),(IF(N75=TRUE,TRUE,FALSE)),FALSE)))))</f>
        <v>0</v>
      </c>
      <c r="L75" t="b">
        <f>VLOOKUP(E75,'Optional features'!$B:$D,3,FALSE)="Yes"</f>
        <v>0</v>
      </c>
      <c r="M75" t="b">
        <f>IF(VLOOKUP(B75,'Profile selection'!B:C,2,FALSE)="Yes",TRUE,FALSE)</f>
        <v>1</v>
      </c>
      <c r="P75" s="73"/>
      <c r="Q75" s="73"/>
    </row>
    <row r="76" spans="1:17" x14ac:dyDescent="0.25">
      <c r="A76" t="str">
        <f>'HIDDEN import'!B76</f>
        <v>TC_F_18_CSMS</v>
      </c>
      <c r="B76" t="str">
        <f>'HIDDEN import'!C76</f>
        <v>Core</v>
      </c>
      <c r="C76" t="str">
        <f>'HIDDEN import'!D76</f>
        <v>Trigger message - FirmwareStatusNotification - Idle</v>
      </c>
      <c r="D76" t="str">
        <f>IF(VLOOKUP(A76&amp;" "&amp;B76,'HIDDEN import'!A:G,5,FALSE)="M",MD!$A$1,(IF(AND(VLOOKUP(A76,'HIDDEN import'!B:E,4,FALSE)="C",OR(NOT(ISERROR(VLOOKUP(E76,'Optional features'!B:E,1,FALSE)=E76)),NOT(ISERROR(VLOOKUP(E76,'HIDDEN calc sheet'!A:C,1,FALSE)=E76)))),MD!$A$3,MD!$A$2)))</f>
        <v>Mandatory for optional feature</v>
      </c>
      <c r="E76" t="str">
        <f>IF('HIDDEN import'!F76=0,"",'HIDDEN import'!F76)</f>
        <v>C-29.4</v>
      </c>
      <c r="F76" t="str">
        <f>IF('HIDDEN import'!G76=0,"",'HIDDEN import'!G76)</f>
        <v>TriggerMessage</v>
      </c>
      <c r="G76" s="49" t="str">
        <f>IFERROR(VLOOKUP($A76,'HIDDEN Testrun Results'!$A:$B,2,FALSE),"")</f>
        <v/>
      </c>
      <c r="H76" s="49" t="b">
        <f t="shared" si="1"/>
        <v>0</v>
      </c>
      <c r="I76" s="49" t="b">
        <f>IF(VLOOKUP(A76&amp;" "&amp;B76,'HIDDEN import'!A:G,5,FALSE)="M",TRUE,IFERROR(VLOOKUP(E76,'Optional features'!B:E,3,FALSE)="Yes",IFERROR(VLOOKUP(E76,'HIDDEN calc sheet'!A:B,2,FALSE),VLOOKUP(E76,'Additional questions'!B:D,3,FALSE)="Yes")))</f>
        <v>0</v>
      </c>
      <c r="J76" t="b">
        <f>IF(VLOOKUP(B76,'Profile selection'!B:C,2,FALSE)="Yes",TRUE,FALSE)</f>
        <v>1</v>
      </c>
      <c r="K76" s="22" t="b">
        <f>IF(AND(D76=MD!$A$1,M76),TRUE,(IF(AND(D76=MD!$A$3,M76),(IF(L76=TRUE,TRUE,FALSE)),(IF(AND(D76=MD!$A$2,M76),(IF(N76=TRUE,TRUE,FALSE)),FALSE)))))</f>
        <v>0</v>
      </c>
      <c r="M76" t="b">
        <f>IF(VLOOKUP(B76,'Profile selection'!B:C,2,FALSE)="Yes",TRUE,FALSE)</f>
        <v>1</v>
      </c>
      <c r="P76" s="73"/>
      <c r="Q76" s="73"/>
    </row>
    <row r="77" spans="1:17" x14ac:dyDescent="0.25">
      <c r="A77" t="str">
        <f>'HIDDEN import'!B77</f>
        <v>TC_F_20_CSMS</v>
      </c>
      <c r="B77" t="str">
        <f>'HIDDEN import'!C77</f>
        <v>Core</v>
      </c>
      <c r="C77" t="str">
        <f>'HIDDEN import'!D77</f>
        <v>Trigger message - Heartbeat</v>
      </c>
      <c r="D77" t="str">
        <f>IF(VLOOKUP(A77&amp;" "&amp;B77,'HIDDEN import'!A:G,5,FALSE)="M",MD!$A$1,(IF(AND(VLOOKUP(A77,'HIDDEN import'!B:E,4,FALSE)="C",OR(NOT(ISERROR(VLOOKUP(E77,'Optional features'!B:E,1,FALSE)=E77)),NOT(ISERROR(VLOOKUP(E77,'HIDDEN calc sheet'!A:C,1,FALSE)=E77)))),MD!$A$3,MD!$A$2)))</f>
        <v>Mandatory test for a mandatory feature</v>
      </c>
      <c r="E77" t="str">
        <f>IF('HIDDEN import'!F77=0,"",'HIDDEN import'!F77)</f>
        <v/>
      </c>
      <c r="F77" t="str">
        <f>IF('HIDDEN import'!G77=0,"",'HIDDEN import'!G77)</f>
        <v/>
      </c>
      <c r="G77" s="49" t="str">
        <f>IFERROR(VLOOKUP($A77,'HIDDEN Testrun Results'!$A:$B,2,FALSE),"")</f>
        <v/>
      </c>
      <c r="H77" s="49" t="b">
        <f t="shared" si="1"/>
        <v>1</v>
      </c>
      <c r="I77" s="49" t="b">
        <f>IF(VLOOKUP(A77&amp;" "&amp;B77,'HIDDEN import'!A:G,5,FALSE)="M",TRUE,IFERROR(VLOOKUP(E77,'Optional features'!B:E,3,FALSE)="Yes",IFERROR(VLOOKUP(E77,'HIDDEN calc sheet'!A:B,2,FALSE),VLOOKUP(E77,'Additional questions'!B:D,3,FALSE)="Yes")))</f>
        <v>1</v>
      </c>
      <c r="J77" t="b">
        <f>IF(VLOOKUP(B77,'Profile selection'!B:C,2,FALSE)="Yes",TRUE,FALSE)</f>
        <v>1</v>
      </c>
      <c r="K77" s="22" t="b">
        <f>IF(AND(D77=MD!$A$1,M77),TRUE,(IF(AND(D77=MD!$A$3,M77),(IF(L77=TRUE,TRUE,FALSE)),(IF(AND(D77=MD!$A$2,M77),(IF(N77=TRUE,TRUE,FALSE)),FALSE)))))</f>
        <v>1</v>
      </c>
      <c r="M77" t="b">
        <f>IF(VLOOKUP(B77,'Profile selection'!B:C,2,FALSE)="Yes",TRUE,FALSE)</f>
        <v>1</v>
      </c>
      <c r="P77" s="73"/>
      <c r="Q77" s="73"/>
    </row>
    <row r="78" spans="1:17" x14ac:dyDescent="0.25">
      <c r="A78" t="str">
        <f>'HIDDEN import'!B78</f>
        <v>TC_F_23_CSMS</v>
      </c>
      <c r="B78" t="str">
        <f>'HIDDEN import'!C78</f>
        <v>Core</v>
      </c>
      <c r="C78" t="str">
        <f>'HIDDEN import'!D78</f>
        <v>Trigger message - StatusNotification - Specific EVSE - Available</v>
      </c>
      <c r="D78" t="str">
        <f>IF(VLOOKUP(A78&amp;" "&amp;B78,'HIDDEN import'!A:G,5,FALSE)="M",MD!$A$1,(IF(AND(VLOOKUP(A78,'HIDDEN import'!B:E,4,FALSE)="C",OR(NOT(ISERROR(VLOOKUP(E78,'Optional features'!B:E,1,FALSE)=E78)),NOT(ISERROR(VLOOKUP(E78,'HIDDEN calc sheet'!A:C,1,FALSE)=E78)))),MD!$A$3,MD!$A$2)))</f>
        <v>Mandatory for optional feature</v>
      </c>
      <c r="E78" t="str">
        <f>IF('HIDDEN import'!F78=0,"",'HIDDEN import'!F78)</f>
        <v>C-29.5</v>
      </c>
      <c r="F78" t="str">
        <f>IF('HIDDEN import'!G78=0,"",'HIDDEN import'!G78)</f>
        <v>TriggerMessage</v>
      </c>
      <c r="G78" s="49" t="str">
        <f>IFERROR(VLOOKUP($A78,'HIDDEN Testrun Results'!$A:$B,2,FALSE),"")</f>
        <v/>
      </c>
      <c r="H78" s="49" t="b">
        <f t="shared" si="1"/>
        <v>0</v>
      </c>
      <c r="I78" s="49" t="b">
        <f>IF(VLOOKUP(A78&amp;" "&amp;B78,'HIDDEN import'!A:G,5,FALSE)="M",TRUE,IFERROR(VLOOKUP(E78,'Optional features'!B:E,3,FALSE)="Yes",IFERROR(VLOOKUP(E78,'HIDDEN calc sheet'!A:B,2,FALSE),VLOOKUP(E78,'Additional questions'!B:D,3,FALSE)="Yes")))</f>
        <v>0</v>
      </c>
      <c r="J78" t="b">
        <f>IF(VLOOKUP(B78,'Profile selection'!B:C,2,FALSE)="Yes",TRUE,FALSE)</f>
        <v>1</v>
      </c>
      <c r="K78" s="22" t="b">
        <f>IF(AND(D78=MD!$A$1,M78),TRUE,(IF(AND(D78=MD!$A$3,M78),(IF(L78=TRUE,TRUE,FALSE)),(IF(AND(D78=MD!$A$2,M78),(IF(N78=TRUE,TRUE,FALSE)),FALSE)))))</f>
        <v>0</v>
      </c>
      <c r="M78" t="b">
        <f>IF(VLOOKUP(B78,'Profile selection'!B:C,2,FALSE)="Yes",TRUE,FALSE)</f>
        <v>1</v>
      </c>
      <c r="P78" s="73"/>
      <c r="Q78" s="73"/>
    </row>
    <row r="79" spans="1:17" x14ac:dyDescent="0.25">
      <c r="A79" t="str">
        <f>'HIDDEN import'!B79</f>
        <v>TC_F_24_CSMS</v>
      </c>
      <c r="B79" t="str">
        <f>'HIDDEN import'!C79</f>
        <v>Core</v>
      </c>
      <c r="C79" t="str">
        <f>'HIDDEN import'!D79</f>
        <v>Trigger message - StatusNotification - Specific EVSE - Occupied</v>
      </c>
      <c r="D79" t="str">
        <f>IF(VLOOKUP(A79&amp;" "&amp;B79,'HIDDEN import'!A:G,5,FALSE)="M",MD!$A$1,(IF(AND(VLOOKUP(A79,'HIDDEN import'!B:E,4,FALSE)="C",OR(NOT(ISERROR(VLOOKUP(E79,'Optional features'!B:E,1,FALSE)=E79)),NOT(ISERROR(VLOOKUP(E79,'HIDDEN calc sheet'!A:C,1,FALSE)=E79)))),MD!$A$3,MD!$A$2)))</f>
        <v>Mandatory for optional feature</v>
      </c>
      <c r="E79" t="str">
        <f>IF('HIDDEN import'!F79=0,"",'HIDDEN import'!F79)</f>
        <v>C-29.5</v>
      </c>
      <c r="F79" t="str">
        <f>IF('HIDDEN import'!G79=0,"",'HIDDEN import'!G79)</f>
        <v>TriggerMessage</v>
      </c>
      <c r="G79" s="49" t="str">
        <f>IFERROR(VLOOKUP($A79,'HIDDEN Testrun Results'!$A:$B,2,FALSE),"")</f>
        <v/>
      </c>
      <c r="H79" s="49" t="b">
        <f t="shared" si="1"/>
        <v>0</v>
      </c>
      <c r="I79" s="49" t="b">
        <f>IF(VLOOKUP(A79&amp;" "&amp;B79,'HIDDEN import'!A:G,5,FALSE)="M",TRUE,IFERROR(VLOOKUP(E79,'Optional features'!B:E,3,FALSE)="Yes",IFERROR(VLOOKUP(E79,'HIDDEN calc sheet'!A:B,2,FALSE),VLOOKUP(E79,'Additional questions'!B:D,3,FALSE)="Yes")))</f>
        <v>0</v>
      </c>
      <c r="J79" t="b">
        <f>IF(VLOOKUP(B79,'Profile selection'!B:C,2,FALSE)="Yes",TRUE,FALSE)</f>
        <v>1</v>
      </c>
      <c r="K79" s="22" t="b">
        <f>IF(AND(D79=MD!$A$1,M79),TRUE,(IF(AND(D79=MD!$A$3,M79),(IF(L79=TRUE,TRUE,FALSE)),(IF(AND(D79=MD!$A$2,M79),(IF(N79=TRUE,TRUE,FALSE)),FALSE)))))</f>
        <v>0</v>
      </c>
      <c r="M79" t="b">
        <f>IF(VLOOKUP(B79,'Profile selection'!B:C,2,FALSE)="Yes",TRUE,FALSE)</f>
        <v>1</v>
      </c>
      <c r="P79" s="73"/>
      <c r="Q79" s="73"/>
    </row>
    <row r="80" spans="1:17" x14ac:dyDescent="0.25">
      <c r="A80" t="str">
        <f>'HIDDEN import'!B80</f>
        <v>TC_F_27_CSMS</v>
      </c>
      <c r="B80" t="str">
        <f>'HIDDEN import'!C80</f>
        <v>Core</v>
      </c>
      <c r="C80" t="str">
        <f>'HIDDEN import'!D80</f>
        <v>Trigger message - NotImplemented</v>
      </c>
      <c r="D80" t="str">
        <f>IF(VLOOKUP(A80&amp;" "&amp;B80,'HIDDEN import'!A:G,5,FALSE)="M",MD!$A$1,(IF(AND(VLOOKUP(A80,'HIDDEN import'!B:E,4,FALSE)="C",OR(NOT(ISERROR(VLOOKUP(E80,'Optional features'!B:E,1,FALSE)=E80)),NOT(ISERROR(VLOOKUP(E80,'HIDDEN calc sheet'!A:C,1,FALSE)=E80)))),MD!$A$3,MD!$A$2)))</f>
        <v>Mandatory test for a mandatory feature</v>
      </c>
      <c r="E80" t="str">
        <f>IF('HIDDEN import'!F80=0,"",'HIDDEN import'!F80)</f>
        <v>NOT ISO-3</v>
      </c>
      <c r="F80" t="str">
        <f>IF('HIDDEN import'!G80=0,"",'HIDDEN import'!G80)</f>
        <v/>
      </c>
      <c r="G80" s="49" t="str">
        <f>IFERROR(VLOOKUP($A80,'HIDDEN Testrun Results'!$A:$B,2,FALSE),"")</f>
        <v/>
      </c>
      <c r="H80" s="49" t="b">
        <f t="shared" si="1"/>
        <v>1</v>
      </c>
      <c r="I80" s="49" t="b">
        <f>IF(VLOOKUP(A80&amp;" "&amp;B80,'HIDDEN import'!A:G,5,FALSE)="M",TRUE,IFERROR(VLOOKUP(E80,'Optional features'!B:E,3,FALSE)="Yes",IFERROR(VLOOKUP(E80,'HIDDEN calc sheet'!A:B,2,FALSE),VLOOKUP(E80,'Additional questions'!B:D,3,FALSE)="Yes")))</f>
        <v>1</v>
      </c>
      <c r="J80" t="b">
        <f>IF(VLOOKUP(B80,'Profile selection'!B:C,2,FALSE)="Yes",TRUE,FALSE)</f>
        <v>1</v>
      </c>
      <c r="K80" s="22" t="b">
        <f>IF(AND(D80=MD!$A$1,M80),TRUE,(IF(AND(D80=MD!$A$3,M80),(IF(L80=TRUE,TRUE,FALSE)),(IF(AND(D80=MD!$A$2,M80),(IF(N80=TRUE,TRUE,FALSE)),FALSE)))))</f>
        <v>1</v>
      </c>
      <c r="M80" t="b">
        <f>IF(VLOOKUP(B80,'Profile selection'!B:C,2,FALSE)="Yes",TRUE,FALSE)</f>
        <v>1</v>
      </c>
      <c r="P80" s="73"/>
      <c r="Q80" s="73"/>
    </row>
    <row r="81" spans="1:17" x14ac:dyDescent="0.25">
      <c r="A81" t="str">
        <f>'HIDDEN import'!B81</f>
        <v>TC_G_20_CSMS</v>
      </c>
      <c r="B81" t="str">
        <f>'HIDDEN import'!C81</f>
        <v>Core</v>
      </c>
      <c r="C81" t="str">
        <f>'HIDDEN import'!D81</f>
        <v>Connector status Notification - Lock Failure</v>
      </c>
      <c r="D81" t="str">
        <f>IF(VLOOKUP(A81&amp;" "&amp;B81,'HIDDEN import'!A:G,5,FALSE)="M",MD!$A$1,(IF(AND(VLOOKUP(A81,'HIDDEN import'!B:E,4,FALSE)="C",OR(NOT(ISERROR(VLOOKUP(E81,'Optional features'!B:E,1,FALSE)=E81)),NOT(ISERROR(VLOOKUP(E81,'HIDDEN calc sheet'!A:C,1,FALSE)=E81)))),MD!$A$3,MD!$A$2)))</f>
        <v>Mandatory test for a mandatory feature</v>
      </c>
      <c r="E81" t="str">
        <f>IF('HIDDEN import'!F81=0,"",'HIDDEN import'!F81)</f>
        <v/>
      </c>
      <c r="F81" t="str">
        <f>IF('HIDDEN import'!G81=0,"",'HIDDEN import'!G81)</f>
        <v/>
      </c>
      <c r="G81" s="49" t="str">
        <f>IFERROR(VLOOKUP($A81,'HIDDEN Testrun Results'!$A:$B,2,FALSE),"")</f>
        <v/>
      </c>
      <c r="H81" s="49" t="b">
        <f t="shared" si="1"/>
        <v>1</v>
      </c>
      <c r="I81" s="49" t="b">
        <f>IF(VLOOKUP(A81&amp;" "&amp;B81,'HIDDEN import'!A:G,5,FALSE)="M",TRUE,IFERROR(VLOOKUP(E81,'Optional features'!B:E,3,FALSE)="Yes",IFERROR(VLOOKUP(E81,'HIDDEN calc sheet'!A:B,2,FALSE),VLOOKUP(E81,'Additional questions'!B:D,3,FALSE)="Yes")))</f>
        <v>1</v>
      </c>
      <c r="J81" t="b">
        <f>IF(VLOOKUP(B81,'Profile selection'!B:C,2,FALSE)="Yes",TRUE,FALSE)</f>
        <v>1</v>
      </c>
      <c r="K81" s="22" t="b">
        <f>IF(AND(D81=MD!$A$1,M81),TRUE,(IF(AND(D81=MD!$A$3,M81),(IF(L81=TRUE,TRUE,FALSE)),(IF(AND(D81=MD!$A$2,M81),(IF(N81=TRUE,TRUE,FALSE)),FALSE)))))</f>
        <v>1</v>
      </c>
      <c r="M81" t="b">
        <f>IF(VLOOKUP(B81,'Profile selection'!B:C,2,FALSE)="Yes",TRUE,FALSE)</f>
        <v>1</v>
      </c>
      <c r="P81" s="73"/>
      <c r="Q81" s="73"/>
    </row>
    <row r="82" spans="1:17" x14ac:dyDescent="0.25">
      <c r="A82" t="str">
        <f>'HIDDEN import'!B82</f>
        <v>TC_G_03_CSMS</v>
      </c>
      <c r="B82" t="str">
        <f>'HIDDEN import'!C82</f>
        <v>Core</v>
      </c>
      <c r="C82" t="str">
        <f>'HIDDEN import'!D82</f>
        <v>Change Availability EVSE - Operative to inoperative</v>
      </c>
      <c r="D82" t="str">
        <f>IF(VLOOKUP(A82&amp;" "&amp;B82,'HIDDEN import'!A:G,5,FALSE)="M",MD!$A$1,(IF(AND(VLOOKUP(A82,'HIDDEN import'!B:E,4,FALSE)="C",OR(NOT(ISERROR(VLOOKUP(E82,'Optional features'!B:E,1,FALSE)=E82)),NOT(ISERROR(VLOOKUP(E82,'HIDDEN calc sheet'!A:C,1,FALSE)=E82)))),MD!$A$3,MD!$A$2)))</f>
        <v>Mandatory test for a mandatory feature</v>
      </c>
      <c r="E82" t="str">
        <f>IF('HIDDEN import'!F82=0,"",'HIDDEN import'!F82)</f>
        <v/>
      </c>
      <c r="F82" t="str">
        <f>IF('HIDDEN import'!G82=0,"",'HIDDEN import'!G82)</f>
        <v/>
      </c>
      <c r="G82" s="49" t="str">
        <f>IFERROR(VLOOKUP($A82,'HIDDEN Testrun Results'!$A:$B,2,FALSE),"")</f>
        <v/>
      </c>
      <c r="H82" s="49" t="b">
        <f t="shared" si="1"/>
        <v>1</v>
      </c>
      <c r="I82" s="49" t="b">
        <f>IF(VLOOKUP(A82&amp;" "&amp;B82,'HIDDEN import'!A:G,5,FALSE)="M",TRUE,IFERROR(VLOOKUP(E82,'Optional features'!B:E,3,FALSE)="Yes",IFERROR(VLOOKUP(E82,'HIDDEN calc sheet'!A:B,2,FALSE),VLOOKUP(E82,'Additional questions'!B:D,3,FALSE)="Yes")))</f>
        <v>1</v>
      </c>
      <c r="J82" t="b">
        <f>IF(VLOOKUP(B82,'Profile selection'!B:C,2,FALSE)="Yes",TRUE,FALSE)</f>
        <v>1</v>
      </c>
      <c r="K82" s="22" t="b">
        <f>IF(AND(D82=MD!$A$1,M82),TRUE,(IF(AND(D82=MD!$A$3,M82),(IF(L82=TRUE,TRUE,FALSE)),(IF(AND(D82=MD!$A$2,M82),(IF(N82=TRUE,TRUE,FALSE)),FALSE)))))</f>
        <v>1</v>
      </c>
      <c r="M82" t="b">
        <f>IF(VLOOKUP(B82,'Profile selection'!B:C,2,FALSE)="Yes",TRUE,FALSE)</f>
        <v>1</v>
      </c>
      <c r="P82" s="73"/>
      <c r="Q82" s="73"/>
    </row>
    <row r="83" spans="1:17" x14ac:dyDescent="0.25">
      <c r="A83" t="str">
        <f>'HIDDEN import'!B83</f>
        <v>TC_G_04_CSMS</v>
      </c>
      <c r="B83" t="str">
        <f>'HIDDEN import'!C83</f>
        <v>Core</v>
      </c>
      <c r="C83" t="str">
        <f>'HIDDEN import'!D83</f>
        <v>Change Availability EVSE - Inoperative to operative</v>
      </c>
      <c r="D83" t="str">
        <f>IF(VLOOKUP(A83&amp;" "&amp;B83,'HIDDEN import'!A:G,5,FALSE)="M",MD!$A$1,(IF(AND(VLOOKUP(A83,'HIDDEN import'!B:E,4,FALSE)="C",OR(NOT(ISERROR(VLOOKUP(E83,'Optional features'!B:E,1,FALSE)=E83)),NOT(ISERROR(VLOOKUP(E83,'HIDDEN calc sheet'!A:C,1,FALSE)=E83)))),MD!$A$3,MD!$A$2)))</f>
        <v>Mandatory test for a mandatory feature</v>
      </c>
      <c r="E83" t="str">
        <f>IF('HIDDEN import'!F83=0,"",'HIDDEN import'!F83)</f>
        <v/>
      </c>
      <c r="F83" t="str">
        <f>IF('HIDDEN import'!G83=0,"",'HIDDEN import'!G83)</f>
        <v/>
      </c>
      <c r="G83" s="49" t="str">
        <f>IFERROR(VLOOKUP($A83,'HIDDEN Testrun Results'!$A:$B,2,FALSE),"")</f>
        <v/>
      </c>
      <c r="H83" s="49" t="b">
        <f t="shared" si="1"/>
        <v>1</v>
      </c>
      <c r="I83" s="49" t="b">
        <f>IF(VLOOKUP(A83&amp;" "&amp;B83,'HIDDEN import'!A:G,5,FALSE)="M",TRUE,IFERROR(VLOOKUP(E83,'Optional features'!B:E,3,FALSE)="Yes",IFERROR(VLOOKUP(E83,'HIDDEN calc sheet'!A:B,2,FALSE),VLOOKUP(E83,'Additional questions'!B:D,3,FALSE)="Yes")))</f>
        <v>1</v>
      </c>
      <c r="J83" t="b">
        <f>IF(VLOOKUP(B83,'Profile selection'!B:C,2,FALSE)="Yes",TRUE,FALSE)</f>
        <v>1</v>
      </c>
      <c r="K83" s="22" t="b">
        <f>IF(AND(D83=MD!$A$1,M83),TRUE,(IF(AND(D83=MD!$A$3,M83),(IF(L83=TRUE,TRUE,FALSE)),(IF(AND(D83=MD!$A$2,M83),(IF(N83=TRUE,TRUE,FALSE)),FALSE)))))</f>
        <v>1</v>
      </c>
      <c r="M83" t="b">
        <f>IF(VLOOKUP(B83,'Profile selection'!B:C,2,FALSE)="Yes",TRUE,FALSE)</f>
        <v>1</v>
      </c>
      <c r="P83" s="73"/>
      <c r="Q83" s="73"/>
    </row>
    <row r="84" spans="1:17" x14ac:dyDescent="0.25">
      <c r="A84" t="str">
        <f>'HIDDEN import'!B84</f>
        <v>TC_G_11_CSMS</v>
      </c>
      <c r="B84" t="str">
        <f>'HIDDEN import'!C84</f>
        <v>Core</v>
      </c>
      <c r="C84" t="str">
        <f>'HIDDEN import'!D84</f>
        <v>Change Availability EVSE - With ongoing transaction</v>
      </c>
      <c r="D84" t="str">
        <f>IF(VLOOKUP(A84&amp;" "&amp;B84,'HIDDEN import'!A:G,5,FALSE)="M",MD!$A$1,(IF(AND(VLOOKUP(A84,'HIDDEN import'!B:E,4,FALSE)="C",OR(NOT(ISERROR(VLOOKUP(E84,'Optional features'!B:E,1,FALSE)=E84)),NOT(ISERROR(VLOOKUP(E84,'HIDDEN calc sheet'!A:C,1,FALSE)=E84)))),MD!$A$3,MD!$A$2)))</f>
        <v>Mandatory test for a mandatory feature</v>
      </c>
      <c r="E84" t="str">
        <f>IF('HIDDEN import'!F84=0,"",'HIDDEN import'!F84)</f>
        <v/>
      </c>
      <c r="F84" t="str">
        <f>IF('HIDDEN import'!G84=0,"",'HIDDEN import'!G84)</f>
        <v/>
      </c>
      <c r="G84" s="49" t="str">
        <f>IFERROR(VLOOKUP($A84,'HIDDEN Testrun Results'!$A:$B,2,FALSE),"")</f>
        <v/>
      </c>
      <c r="H84" s="49" t="b">
        <f t="shared" si="1"/>
        <v>1</v>
      </c>
      <c r="I84" s="49" t="b">
        <f>IF(VLOOKUP(A84&amp;" "&amp;B84,'HIDDEN import'!A:G,5,FALSE)="M",TRUE,IFERROR(VLOOKUP(E84,'Optional features'!B:E,3,FALSE)="Yes",IFERROR(VLOOKUP(E84,'HIDDEN calc sheet'!A:B,2,FALSE),VLOOKUP(E84,'Additional questions'!B:D,3,FALSE)="Yes")))</f>
        <v>1</v>
      </c>
      <c r="J84" t="b">
        <f>IF(VLOOKUP(B84,'Profile selection'!B:C,2,FALSE)="Yes",TRUE,FALSE)</f>
        <v>1</v>
      </c>
      <c r="K84" s="22" t="b">
        <f>IF(AND(D84=MD!$A$1,M84),TRUE,(IF(AND(D84=MD!$A$3,M84),(IF(L84=TRUE,TRUE,FALSE)),(IF(AND(D84=MD!$A$2,M84),(IF(N84=TRUE,TRUE,FALSE)),FALSE)))))</f>
        <v>1</v>
      </c>
      <c r="M84" t="b">
        <f>IF(VLOOKUP(B84,'Profile selection'!B:C,2,FALSE)="Yes",TRUE,FALSE)</f>
        <v>1</v>
      </c>
      <c r="P84" s="73"/>
      <c r="Q84" s="73"/>
    </row>
    <row r="85" spans="1:17" x14ac:dyDescent="0.25">
      <c r="A85" t="str">
        <f>'HIDDEN import'!B85</f>
        <v>TC_G_05_CSMS</v>
      </c>
      <c r="B85" t="str">
        <f>'HIDDEN import'!C85</f>
        <v>Core</v>
      </c>
      <c r="C85" t="str">
        <f>'HIDDEN import'!D85</f>
        <v>Change Availability Charging Station - Operative to inoperative</v>
      </c>
      <c r="D85" t="str">
        <f>IF(VLOOKUP(A85&amp;" "&amp;B85,'HIDDEN import'!A:G,5,FALSE)="M",MD!$A$1,(IF(AND(VLOOKUP(A85,'HIDDEN import'!B:E,4,FALSE)="C",OR(NOT(ISERROR(VLOOKUP(E85,'Optional features'!B:E,1,FALSE)=E85)),NOT(ISERROR(VLOOKUP(E85,'HIDDEN calc sheet'!A:C,1,FALSE)=E85)))),MD!$A$3,MD!$A$2)))</f>
        <v>Mandatory test for a mandatory feature</v>
      </c>
      <c r="E85" t="str">
        <f>IF('HIDDEN import'!F85=0,"",'HIDDEN import'!F85)</f>
        <v/>
      </c>
      <c r="F85" t="str">
        <f>IF('HIDDEN import'!G85=0,"",'HIDDEN import'!G85)</f>
        <v/>
      </c>
      <c r="G85" s="49" t="str">
        <f>IFERROR(VLOOKUP($A85,'HIDDEN Testrun Results'!$A:$B,2,FALSE),"")</f>
        <v/>
      </c>
      <c r="H85" s="49" t="b">
        <f t="shared" si="1"/>
        <v>1</v>
      </c>
      <c r="I85" s="49" t="b">
        <f>IF(VLOOKUP(A85&amp;" "&amp;B85,'HIDDEN import'!A:G,5,FALSE)="M",TRUE,IFERROR(VLOOKUP(E85,'Optional features'!B:E,3,FALSE)="Yes",IFERROR(VLOOKUP(E85,'HIDDEN calc sheet'!A:B,2,FALSE),VLOOKUP(E85,'Additional questions'!B:D,3,FALSE)="Yes")))</f>
        <v>1</v>
      </c>
      <c r="J85" t="b">
        <f>IF(VLOOKUP(B85,'Profile selection'!B:C,2,FALSE)="Yes",TRUE,FALSE)</f>
        <v>1</v>
      </c>
      <c r="K85" s="22" t="b">
        <f>IF(AND(D85=MD!$A$1,M85),TRUE,(IF(AND(D85=MD!$A$3,M85),(IF(L85=TRUE,TRUE,FALSE)),(IF(AND(D85=MD!$A$2,M85),(IF(N85=TRUE,TRUE,FALSE)),FALSE)))))</f>
        <v>1</v>
      </c>
      <c r="M85" t="b">
        <f>IF(VLOOKUP(B85,'Profile selection'!B:C,2,FALSE)="Yes",TRUE,FALSE)</f>
        <v>1</v>
      </c>
      <c r="P85" s="73"/>
      <c r="Q85" s="73"/>
    </row>
    <row r="86" spans="1:17" x14ac:dyDescent="0.25">
      <c r="A86" t="str">
        <f>'HIDDEN import'!B86</f>
        <v>TC_G_06_CSMS</v>
      </c>
      <c r="B86" t="str">
        <f>'HIDDEN import'!C86</f>
        <v>Core</v>
      </c>
      <c r="C86" t="str">
        <f>'HIDDEN import'!D86</f>
        <v>Change Availability Charging Station - Inoperative to operative</v>
      </c>
      <c r="D86" t="str">
        <f>IF(VLOOKUP(A86&amp;" "&amp;B86,'HIDDEN import'!A:G,5,FALSE)="M",MD!$A$1,(IF(AND(VLOOKUP(A86,'HIDDEN import'!B:E,4,FALSE)="C",OR(NOT(ISERROR(VLOOKUP(E86,'Optional features'!B:E,1,FALSE)=E86)),NOT(ISERROR(VLOOKUP(E86,'HIDDEN calc sheet'!A:C,1,FALSE)=E86)))),MD!$A$3,MD!$A$2)))</f>
        <v>Mandatory test for a mandatory feature</v>
      </c>
      <c r="E86" t="str">
        <f>IF('HIDDEN import'!F86=0,"",'HIDDEN import'!F86)</f>
        <v/>
      </c>
      <c r="F86" t="str">
        <f>IF('HIDDEN import'!G86=0,"",'HIDDEN import'!G86)</f>
        <v/>
      </c>
      <c r="G86" s="49" t="str">
        <f>IFERROR(VLOOKUP($A86,'HIDDEN Testrun Results'!$A:$B,2,FALSE),"")</f>
        <v/>
      </c>
      <c r="H86" s="49" t="b">
        <f t="shared" si="1"/>
        <v>1</v>
      </c>
      <c r="I86" s="49" t="b">
        <f>IF(VLOOKUP(A86&amp;" "&amp;B86,'HIDDEN import'!A:G,5,FALSE)="M",TRUE,IFERROR(VLOOKUP(E86,'Optional features'!B:E,3,FALSE)="Yes",IFERROR(VLOOKUP(E86,'HIDDEN calc sheet'!A:B,2,FALSE),VLOOKUP(E86,'Additional questions'!B:D,3,FALSE)="Yes")))</f>
        <v>1</v>
      </c>
      <c r="J86" t="b">
        <f>IF(VLOOKUP(B86,'Profile selection'!B:C,2,FALSE)="Yes",TRUE,FALSE)</f>
        <v>1</v>
      </c>
      <c r="K86" s="22" t="b">
        <f>IF(AND(D86=MD!$A$1,M86),TRUE,(IF(AND(D86=MD!$A$3,M86),(IF(L86=TRUE,TRUE,FALSE)),(IF(AND(D86=MD!$A$2,M86),(IF(N86=TRUE,TRUE,FALSE)),FALSE)))))</f>
        <v>1</v>
      </c>
      <c r="M86" t="b">
        <f>IF(VLOOKUP(B86,'Profile selection'!B:C,2,FALSE)="Yes",TRUE,FALSE)</f>
        <v>1</v>
      </c>
      <c r="P86" s="73"/>
      <c r="Q86" s="73"/>
    </row>
    <row r="87" spans="1:17" x14ac:dyDescent="0.25">
      <c r="A87" t="str">
        <f>'HIDDEN import'!B87</f>
        <v>TC_G_14_CSMS</v>
      </c>
      <c r="B87" t="str">
        <f>'HIDDEN import'!C87</f>
        <v>Core</v>
      </c>
      <c r="C87" t="str">
        <f>'HIDDEN import'!D87</f>
        <v>Change Availability Charging Station - With ongoing transaction</v>
      </c>
      <c r="D87" t="str">
        <f>IF(VLOOKUP(A87&amp;" "&amp;B87,'HIDDEN import'!A:G,5,FALSE)="M",MD!$A$1,(IF(AND(VLOOKUP(A87,'HIDDEN import'!B:E,4,FALSE)="C",OR(NOT(ISERROR(VLOOKUP(E87,'Optional features'!B:E,1,FALSE)=E87)),NOT(ISERROR(VLOOKUP(E87,'HIDDEN calc sheet'!A:C,1,FALSE)=E87)))),MD!$A$3,MD!$A$2)))</f>
        <v>Mandatory test for a mandatory feature</v>
      </c>
      <c r="E87" t="str">
        <f>IF('HIDDEN import'!F87=0,"",'HIDDEN import'!F87)</f>
        <v/>
      </c>
      <c r="F87" t="str">
        <f>IF('HIDDEN import'!G87=0,"",'HIDDEN import'!G87)</f>
        <v/>
      </c>
      <c r="G87" s="49" t="str">
        <f>IFERROR(VLOOKUP($A87,'HIDDEN Testrun Results'!$A:$B,2,FALSE),"")</f>
        <v/>
      </c>
      <c r="H87" s="49" t="b">
        <f t="shared" si="1"/>
        <v>1</v>
      </c>
      <c r="I87" s="49" t="b">
        <f>IF(VLOOKUP(A87&amp;" "&amp;B87,'HIDDEN import'!A:G,5,FALSE)="M",TRUE,IFERROR(VLOOKUP(E87,'Optional features'!B:E,3,FALSE)="Yes",IFERROR(VLOOKUP(E87,'HIDDEN calc sheet'!A:B,2,FALSE),VLOOKUP(E87,'Additional questions'!B:D,3,FALSE)="Yes")))</f>
        <v>1</v>
      </c>
      <c r="J87" t="b">
        <f>IF(VLOOKUP(B87,'Profile selection'!B:C,2,FALSE)="Yes",TRUE,FALSE)</f>
        <v>1</v>
      </c>
      <c r="K87" s="22" t="b">
        <f>IF(AND(D87=MD!$A$1,M87),TRUE,(IF(AND(D87=MD!$A$3,M87),(IF(L87=TRUE,TRUE,FALSE)),(IF(AND(D87=MD!$A$2,M87),(IF(N87=TRUE,TRUE,FALSE)),FALSE)))))</f>
        <v>1</v>
      </c>
      <c r="M87" t="b">
        <f>IF(VLOOKUP(B87,'Profile selection'!B:C,2,FALSE)="Yes",TRUE,FALSE)</f>
        <v>1</v>
      </c>
      <c r="P87" s="73"/>
      <c r="Q87" s="73"/>
    </row>
    <row r="88" spans="1:17" x14ac:dyDescent="0.25">
      <c r="A88" t="str">
        <f>'HIDDEN import'!B88</f>
        <v>TC_G_07_CSMS</v>
      </c>
      <c r="B88" t="str">
        <f>'HIDDEN import'!C88</f>
        <v>Core</v>
      </c>
      <c r="C88" t="str">
        <f>'HIDDEN import'!D88</f>
        <v>Change Availability Connector - Operative to inoperative</v>
      </c>
      <c r="D88" t="str">
        <f>IF(VLOOKUP(A88&amp;" "&amp;B88,'HIDDEN import'!A:G,5,FALSE)="M",MD!$A$1,(IF(AND(VLOOKUP(A88,'HIDDEN import'!B:E,4,FALSE)="C",OR(NOT(ISERROR(VLOOKUP(E88,'Optional features'!B:E,1,FALSE)=E88)),NOT(ISERROR(VLOOKUP(E88,'HIDDEN calc sheet'!A:C,1,FALSE)=E88)))),MD!$A$3,MD!$A$2)))</f>
        <v>Mandatory test for a mandatory feature</v>
      </c>
      <c r="E88" t="str">
        <f>IF('HIDDEN import'!F88=0,"",'HIDDEN import'!F88)</f>
        <v/>
      </c>
      <c r="F88" t="str">
        <f>IF('HIDDEN import'!G88=0,"",'HIDDEN import'!G88)</f>
        <v/>
      </c>
      <c r="G88" s="49" t="str">
        <f>IFERROR(VLOOKUP($A88,'HIDDEN Testrun Results'!$A:$B,2,FALSE),"")</f>
        <v/>
      </c>
      <c r="H88" s="49" t="b">
        <f t="shared" si="1"/>
        <v>1</v>
      </c>
      <c r="I88" s="49" t="b">
        <f>IF(VLOOKUP(A88&amp;" "&amp;B88,'HIDDEN import'!A:G,5,FALSE)="M",TRUE,IFERROR(VLOOKUP(E88,'Optional features'!B:E,3,FALSE)="Yes",IFERROR(VLOOKUP(E88,'HIDDEN calc sheet'!A:B,2,FALSE),VLOOKUP(E88,'Additional questions'!B:D,3,FALSE)="Yes")))</f>
        <v>1</v>
      </c>
      <c r="J88" t="b">
        <f>IF(VLOOKUP(B88,'Profile selection'!B:C,2,FALSE)="Yes",TRUE,FALSE)</f>
        <v>1</v>
      </c>
      <c r="K88" s="22" t="b">
        <f>IF(AND(D88=MD!$A$1,M88),TRUE,(IF(AND(D88=MD!$A$3,M88),(IF(L88=TRUE,TRUE,FALSE)),(IF(AND(D88=MD!$A$2,M88),(IF(N88=TRUE,TRUE,FALSE)),FALSE)))))</f>
        <v>1</v>
      </c>
      <c r="M88" t="b">
        <f>IF(VLOOKUP(B88,'Profile selection'!B:C,2,FALSE)="Yes",TRUE,FALSE)</f>
        <v>1</v>
      </c>
      <c r="P88" s="73"/>
      <c r="Q88" s="73"/>
    </row>
    <row r="89" spans="1:17" x14ac:dyDescent="0.25">
      <c r="A89" t="str">
        <f>'HIDDEN import'!B89</f>
        <v>TC_G_08_CSMS</v>
      </c>
      <c r="B89" t="str">
        <f>'HIDDEN import'!C89</f>
        <v>Core</v>
      </c>
      <c r="C89" t="str">
        <f>'HIDDEN import'!D89</f>
        <v>Change Availability Connector - Inoperative to operative</v>
      </c>
      <c r="D89" t="str">
        <f>IF(VLOOKUP(A89&amp;" "&amp;B89,'HIDDEN import'!A:G,5,FALSE)="M",MD!$A$1,(IF(AND(VLOOKUP(A89,'HIDDEN import'!B:E,4,FALSE)="C",OR(NOT(ISERROR(VLOOKUP(E89,'Optional features'!B:E,1,FALSE)=E89)),NOT(ISERROR(VLOOKUP(E89,'HIDDEN calc sheet'!A:C,1,FALSE)=E89)))),MD!$A$3,MD!$A$2)))</f>
        <v>Mandatory test for a mandatory feature</v>
      </c>
      <c r="E89" t="str">
        <f>IF('HIDDEN import'!F89=0,"",'HIDDEN import'!F89)</f>
        <v/>
      </c>
      <c r="F89" t="str">
        <f>IF('HIDDEN import'!G89=0,"",'HIDDEN import'!G89)</f>
        <v/>
      </c>
      <c r="G89" s="49" t="str">
        <f>IFERROR(VLOOKUP($A89,'HIDDEN Testrun Results'!$A:$B,2,FALSE),"")</f>
        <v/>
      </c>
      <c r="H89" s="49" t="b">
        <f t="shared" si="1"/>
        <v>1</v>
      </c>
      <c r="I89" s="49" t="b">
        <f>IF(VLOOKUP(A89&amp;" "&amp;B89,'HIDDEN import'!A:G,5,FALSE)="M",TRUE,IFERROR(VLOOKUP(E89,'Optional features'!B:E,3,FALSE)="Yes",IFERROR(VLOOKUP(E89,'HIDDEN calc sheet'!A:B,2,FALSE),VLOOKUP(E89,'Additional questions'!B:D,3,FALSE)="Yes")))</f>
        <v>1</v>
      </c>
      <c r="J89" t="b">
        <f>IF(VLOOKUP(B89,'Profile selection'!B:C,2,FALSE)="Yes",TRUE,FALSE)</f>
        <v>1</v>
      </c>
      <c r="K89" s="22" t="b">
        <f>IF(AND(D89=MD!$A$1,M89),TRUE,(IF(AND(D89=MD!$A$3,M89),(IF(L89=TRUE,TRUE,FALSE)),(IF(AND(D89=MD!$A$2,M89),(IF(N89=TRUE,TRUE,FALSE)),FALSE)))))</f>
        <v>1</v>
      </c>
      <c r="M89" t="b">
        <f>IF(VLOOKUP(B89,'Profile selection'!B:C,2,FALSE)="Yes",TRUE,FALSE)</f>
        <v>1</v>
      </c>
      <c r="P89" s="73"/>
      <c r="Q89" s="73"/>
    </row>
    <row r="90" spans="1:17" x14ac:dyDescent="0.25">
      <c r="A90" t="str">
        <f>'HIDDEN import'!B90</f>
        <v>TC_G_17_CSMS</v>
      </c>
      <c r="B90" t="str">
        <f>'HIDDEN import'!C90</f>
        <v>Core</v>
      </c>
      <c r="C90" t="str">
        <f>'HIDDEN import'!D90</f>
        <v>Change Availability Connector - With ongoing transaction</v>
      </c>
      <c r="D90" t="str">
        <f>IF(VLOOKUP(A90&amp;" "&amp;B90,'HIDDEN import'!A:G,5,FALSE)="M",MD!$A$1,(IF(AND(VLOOKUP(A90,'HIDDEN import'!B:E,4,FALSE)="C",OR(NOT(ISERROR(VLOOKUP(E90,'Optional features'!B:E,1,FALSE)=E90)),NOT(ISERROR(VLOOKUP(E90,'HIDDEN calc sheet'!A:C,1,FALSE)=E90)))),MD!$A$3,MD!$A$2)))</f>
        <v>Mandatory test for a mandatory feature</v>
      </c>
      <c r="E90" t="str">
        <f>IF('HIDDEN import'!F90=0,"",'HIDDEN import'!F90)</f>
        <v/>
      </c>
      <c r="F90" t="str">
        <f>IF('HIDDEN import'!G90=0,"",'HIDDEN import'!G90)</f>
        <v/>
      </c>
      <c r="G90" s="49" t="str">
        <f>IFERROR(VLOOKUP($A90,'HIDDEN Testrun Results'!$A:$B,2,FALSE),"")</f>
        <v/>
      </c>
      <c r="H90" s="49" t="b">
        <f t="shared" si="1"/>
        <v>1</v>
      </c>
      <c r="I90" s="49" t="b">
        <f>IF(VLOOKUP(A90&amp;" "&amp;B90,'HIDDEN import'!A:G,5,FALSE)="M",TRUE,IFERROR(VLOOKUP(E90,'Optional features'!B:E,3,FALSE)="Yes",IFERROR(VLOOKUP(E90,'HIDDEN calc sheet'!A:B,2,FALSE),VLOOKUP(E90,'Additional questions'!B:D,3,FALSE)="Yes")))</f>
        <v>1</v>
      </c>
      <c r="J90" t="b">
        <f>IF(VLOOKUP(B90,'Profile selection'!B:C,2,FALSE)="Yes",TRUE,FALSE)</f>
        <v>1</v>
      </c>
      <c r="K90" s="22" t="b">
        <f>IF(AND(D90=MD!$A$1,M90),TRUE,(IF(AND(D90=MD!$A$3,M90),(IF(L90=TRUE,TRUE,FALSE)),(IF(AND(D90=MD!$A$2,M90),(IF(N90=TRUE,TRUE,FALSE)),FALSE)))))</f>
        <v>1</v>
      </c>
      <c r="M90" t="b">
        <f>IF(VLOOKUP(B90,'Profile selection'!B:C,2,FALSE)="Yes",TRUE,FALSE)</f>
        <v>1</v>
      </c>
      <c r="P90" s="73"/>
      <c r="Q90" s="73"/>
    </row>
    <row r="91" spans="1:17" x14ac:dyDescent="0.25">
      <c r="A91" t="str">
        <f>'HIDDEN import'!B91</f>
        <v>TC_J_01_CSMS</v>
      </c>
      <c r="B91" t="str">
        <f>'HIDDEN import'!C91</f>
        <v>Core</v>
      </c>
      <c r="C91" t="str">
        <f>'HIDDEN import'!D91</f>
        <v>Clock-aligned Meter Values - No transaction ongoing</v>
      </c>
      <c r="D91" t="str">
        <f>IF(VLOOKUP(A91&amp;" "&amp;B91,'HIDDEN import'!A:G,5,FALSE)="M",MD!$A$1,(IF(AND(VLOOKUP(A91,'HIDDEN import'!B:E,4,FALSE)="C",OR(NOT(ISERROR(VLOOKUP(E91,'Optional features'!B:E,1,FALSE)=E91)),NOT(ISERROR(VLOOKUP(E91,'HIDDEN calc sheet'!A:C,1,FALSE)=E91)))),MD!$A$3,MD!$A$2)))</f>
        <v>Mandatory test for a mandatory feature</v>
      </c>
      <c r="E91" t="str">
        <f>IF('HIDDEN import'!F91=0,"",'HIDDEN import'!F91)</f>
        <v>C-40</v>
      </c>
      <c r="F91" t="str">
        <f>IF('HIDDEN import'!G91=0,"",'HIDDEN import'!G91)</f>
        <v>Supported MeterValue Measurands</v>
      </c>
      <c r="G91" s="49" t="str">
        <f>IFERROR(VLOOKUP($A91,'HIDDEN Testrun Results'!$A:$B,2,FALSE),"")</f>
        <v/>
      </c>
      <c r="H91" s="49" t="b">
        <f t="shared" si="1"/>
        <v>1</v>
      </c>
      <c r="I91" s="49" t="b">
        <f>IF(VLOOKUP(A91&amp;" "&amp;B91,'HIDDEN import'!A:G,5,FALSE)="M",TRUE,IFERROR(VLOOKUP(E91,'Optional features'!B:E,3,FALSE)="Yes",IFERROR(VLOOKUP(E91,'HIDDEN calc sheet'!A:B,2,FALSE),VLOOKUP(E91,'Additional questions'!B:D,3,FALSE)="Yes")))</f>
        <v>1</v>
      </c>
      <c r="J91" t="b">
        <f>IF(VLOOKUP(B91,'Profile selection'!B:C,2,FALSE)="Yes",TRUE,FALSE)</f>
        <v>1</v>
      </c>
      <c r="K91" s="22" t="b">
        <f>IF(AND(D91=MD!$A$1,M91),TRUE,(IF(AND(D91=MD!$A$3,M91),(IF(L91=TRUE,TRUE,FALSE)),(IF(AND(D91=MD!$A$2,M91),(IF(N91=TRUE,TRUE,FALSE)),FALSE)))))</f>
        <v>1</v>
      </c>
      <c r="M91" t="b">
        <f>IF(VLOOKUP(B91,'Profile selection'!B:C,2,FALSE)="Yes",TRUE,FALSE)</f>
        <v>1</v>
      </c>
      <c r="P91" s="73"/>
      <c r="Q91" s="73"/>
    </row>
    <row r="92" spans="1:17" x14ac:dyDescent="0.25">
      <c r="A92" t="str">
        <f>'HIDDEN import'!B92</f>
        <v>TC_J_02_CSMS</v>
      </c>
      <c r="B92" t="str">
        <f>'HIDDEN import'!C92</f>
        <v>Core</v>
      </c>
      <c r="C92" t="str">
        <f>'HIDDEN import'!D92</f>
        <v>Clock-aligned Meter Values - Transaction ongoing</v>
      </c>
      <c r="D92" t="str">
        <f>IF(VLOOKUP(A92&amp;" "&amp;B92,'HIDDEN import'!A:G,5,FALSE)="M",MD!$A$1,(IF(AND(VLOOKUP(A92,'HIDDEN import'!B:E,4,FALSE)="C",OR(NOT(ISERROR(VLOOKUP(E92,'Optional features'!B:E,1,FALSE)=E92)),NOT(ISERROR(VLOOKUP(E92,'HIDDEN calc sheet'!A:C,1,FALSE)=E92)))),MD!$A$3,MD!$A$2)))</f>
        <v>Mandatory test for a mandatory feature</v>
      </c>
      <c r="E92" t="str">
        <f>IF('HIDDEN import'!F92=0,"",'HIDDEN import'!F92)</f>
        <v>C-40</v>
      </c>
      <c r="F92" t="str">
        <f>IF('HIDDEN import'!G92=0,"",'HIDDEN import'!G92)</f>
        <v>Supported MeterValue Measurands</v>
      </c>
      <c r="G92" s="49" t="str">
        <f>IFERROR(VLOOKUP($A92,'HIDDEN Testrun Results'!$A:$B,2,FALSE),"")</f>
        <v/>
      </c>
      <c r="H92" s="49" t="b">
        <f t="shared" si="1"/>
        <v>1</v>
      </c>
      <c r="I92" s="49" t="b">
        <f>IF(VLOOKUP(A92&amp;" "&amp;B92,'HIDDEN import'!A:G,5,FALSE)="M",TRUE,IFERROR(VLOOKUP(E92,'Optional features'!B:E,3,FALSE)="Yes",IFERROR(VLOOKUP(E92,'HIDDEN calc sheet'!A:B,2,FALSE),VLOOKUP(E92,'Additional questions'!B:D,3,FALSE)="Yes")))</f>
        <v>1</v>
      </c>
      <c r="J92" t="b">
        <f>IF(VLOOKUP(B92,'Profile selection'!B:C,2,FALSE)="Yes",TRUE,FALSE)</f>
        <v>1</v>
      </c>
      <c r="K92" s="22" t="b">
        <f>IF(AND(D92=MD!$A$1,M92),TRUE,(IF(AND(D92=MD!$A$3,M92),(IF(L92=TRUE,TRUE,FALSE)),(IF(AND(D92=MD!$A$2,M92),(IF(N92=TRUE,TRUE,FALSE)),FALSE)))))</f>
        <v>1</v>
      </c>
      <c r="M92" t="b">
        <f>IF(VLOOKUP(B92,'Profile selection'!B:C,2,FALSE)="Yes",TRUE,FALSE)</f>
        <v>1</v>
      </c>
      <c r="P92" s="73"/>
      <c r="Q92" s="73"/>
    </row>
    <row r="93" spans="1:17" x14ac:dyDescent="0.25">
      <c r="A93" t="str">
        <f>'HIDDEN import'!B93</f>
        <v>TC_J_03_CSMS</v>
      </c>
      <c r="B93" t="str">
        <f>'HIDDEN import'!C93</f>
        <v>Core</v>
      </c>
      <c r="C93" t="str">
        <f>'HIDDEN import'!D93</f>
        <v>Clock-aligned Meter Values - EventType Ended</v>
      </c>
      <c r="D93" t="str">
        <f>IF(VLOOKUP(A93&amp;" "&amp;B93,'HIDDEN import'!A:G,5,FALSE)="M",MD!$A$1,(IF(AND(VLOOKUP(A93,'HIDDEN import'!B:E,4,FALSE)="C",OR(NOT(ISERROR(VLOOKUP(E93,'Optional features'!B:E,1,FALSE)=E93)),NOT(ISERROR(VLOOKUP(E93,'HIDDEN calc sheet'!A:C,1,FALSE)=E93)))),MD!$A$3,MD!$A$2)))</f>
        <v>Mandatory test for a mandatory feature</v>
      </c>
      <c r="E93" t="str">
        <f>IF('HIDDEN import'!F93=0,"",'HIDDEN import'!F93)</f>
        <v>C-40</v>
      </c>
      <c r="F93" t="str">
        <f>IF('HIDDEN import'!G93=0,"",'HIDDEN import'!G93)</f>
        <v>Supported MeterValue Measurands</v>
      </c>
      <c r="G93" s="49" t="str">
        <f>IFERROR(VLOOKUP($A93,'HIDDEN Testrun Results'!$A:$B,2,FALSE),"")</f>
        <v/>
      </c>
      <c r="H93" s="49" t="b">
        <f t="shared" si="1"/>
        <v>1</v>
      </c>
      <c r="I93" s="49" t="b">
        <f>IF(VLOOKUP(A93&amp;" "&amp;B93,'HIDDEN import'!A:G,5,FALSE)="M",TRUE,IFERROR(VLOOKUP(E93,'Optional features'!B:E,3,FALSE)="Yes",IFERROR(VLOOKUP(E93,'HIDDEN calc sheet'!A:B,2,FALSE),VLOOKUP(E93,'Additional questions'!B:D,3,FALSE)="Yes")))</f>
        <v>1</v>
      </c>
      <c r="J93" t="b">
        <f>IF(VLOOKUP(B93,'Profile selection'!B:C,2,FALSE)="Yes",TRUE,FALSE)</f>
        <v>1</v>
      </c>
      <c r="K93" s="22" t="b">
        <f>IF(AND(D93=MD!$A$1,M93),TRUE,(IF(AND(D93=MD!$A$3,M93),(IF(L93=TRUE,TRUE,FALSE)),(IF(AND(D93=MD!$A$2,M93),(IF(N93=TRUE,TRUE,FALSE)),FALSE)))))</f>
        <v>1</v>
      </c>
      <c r="M93" t="b">
        <f>IF(VLOOKUP(B93,'Profile selection'!B:C,2,FALSE)="Yes",TRUE,FALSE)</f>
        <v>1</v>
      </c>
      <c r="P93" s="73"/>
      <c r="Q93" s="73"/>
    </row>
    <row r="94" spans="1:17" x14ac:dyDescent="0.25">
      <c r="A94" t="str">
        <f>'HIDDEN import'!B94</f>
        <v>TC_J_04_CSMS</v>
      </c>
      <c r="B94" t="str">
        <f>'HIDDEN import'!C94</f>
        <v>Core</v>
      </c>
      <c r="C94" t="str">
        <f>'HIDDEN import'!D94</f>
        <v>Clock-aligned Meter Values - Signed</v>
      </c>
      <c r="D94" t="str">
        <f>IF(VLOOKUP(A94&amp;" "&amp;B94,'HIDDEN import'!A:G,5,FALSE)="M",MD!$A$1,(IF(AND(VLOOKUP(A94,'HIDDEN import'!B:E,4,FALSE)="C",OR(NOT(ISERROR(VLOOKUP(E94,'Optional features'!B:E,1,FALSE)=E94)),NOT(ISERROR(VLOOKUP(E94,'HIDDEN calc sheet'!A:C,1,FALSE)=E94)))),MD!$A$3,MD!$A$2)))</f>
        <v>Mandatory test for a mandatory feature</v>
      </c>
      <c r="E94" t="str">
        <f>IF('HIDDEN import'!F94=0,"",'HIDDEN import'!F94)</f>
        <v>C-40 and C-42</v>
      </c>
      <c r="F94" t="str">
        <f>IF('HIDDEN import'!G94=0,"",'HIDDEN import'!G94)</f>
        <v>Supported MeterValue Measurands &amp; Signed Metervalues</v>
      </c>
      <c r="G94" s="49" t="str">
        <f>IFERROR(VLOOKUP($A94,'HIDDEN Testrun Results'!$A:$B,2,FALSE),"")</f>
        <v/>
      </c>
      <c r="H94" s="49" t="b">
        <f t="shared" si="1"/>
        <v>1</v>
      </c>
      <c r="I94" s="49" t="b">
        <f>IF(VLOOKUP(A94&amp;" "&amp;B94,'HIDDEN import'!A:G,5,FALSE)="M",TRUE,IFERROR(VLOOKUP(E94,'Optional features'!B:E,3,FALSE)="Yes",IFERROR(VLOOKUP(E94,'HIDDEN calc sheet'!A:B,2,FALSE),VLOOKUP(E94,'Additional questions'!B:D,3,FALSE)="Yes")))</f>
        <v>1</v>
      </c>
      <c r="J94" t="b">
        <f>IF(VLOOKUP(B94,'Profile selection'!B:C,2,FALSE)="Yes",TRUE,FALSE)</f>
        <v>1</v>
      </c>
      <c r="K94" s="22" t="b">
        <f>IF(AND(D94=MD!$A$1,M94),TRUE,(IF(AND(D94=MD!$A$3,M94),(IF(L94=TRUE,TRUE,FALSE)),(IF(AND(D94=MD!$A$2,M94),(IF(N94=TRUE,TRUE,FALSE)),FALSE)))))</f>
        <v>1</v>
      </c>
      <c r="M94" t="b">
        <f>IF(VLOOKUP(B94,'Profile selection'!B:C,2,FALSE)="Yes",TRUE,FALSE)</f>
        <v>1</v>
      </c>
      <c r="P94" s="73"/>
      <c r="Q94" s="73"/>
    </row>
    <row r="95" spans="1:17" x14ac:dyDescent="0.25">
      <c r="A95" t="str">
        <f>'HIDDEN import'!B95</f>
        <v>TC_J_07_CSMS</v>
      </c>
      <c r="B95" t="str">
        <f>'HIDDEN import'!C95</f>
        <v>Core</v>
      </c>
      <c r="C95" t="str">
        <f>'HIDDEN import'!D95</f>
        <v>Sampled Meter Values - EventType Started - EVSE known</v>
      </c>
      <c r="D95" t="str">
        <f>IF(VLOOKUP(A95&amp;" "&amp;B95,'HIDDEN import'!A:G,5,FALSE)="M",MD!$A$1,(IF(AND(VLOOKUP(A95,'HIDDEN import'!B:E,4,FALSE)="C",OR(NOT(ISERROR(VLOOKUP(E95,'Optional features'!B:E,1,FALSE)=E95)),NOT(ISERROR(VLOOKUP(E95,'HIDDEN calc sheet'!A:C,1,FALSE)=E95)))),MD!$A$3,MD!$A$2)))</f>
        <v>Mandatory test for a mandatory feature</v>
      </c>
      <c r="E95" t="str">
        <f>IF('HIDDEN import'!F95=0,"",'HIDDEN import'!F95)</f>
        <v>C-40</v>
      </c>
      <c r="F95" t="str">
        <f>IF('HIDDEN import'!G95=0,"",'HIDDEN import'!G95)</f>
        <v>Supported MeterValue Measurands</v>
      </c>
      <c r="G95" s="49" t="str">
        <f>IFERROR(VLOOKUP($A95,'HIDDEN Testrun Results'!$A:$B,2,FALSE),"")</f>
        <v/>
      </c>
      <c r="H95" s="49" t="b">
        <f t="shared" si="1"/>
        <v>1</v>
      </c>
      <c r="I95" s="49" t="b">
        <f>IF(VLOOKUP(A95&amp;" "&amp;B95,'HIDDEN import'!A:G,5,FALSE)="M",TRUE,IFERROR(VLOOKUP(E95,'Optional features'!B:E,3,FALSE)="Yes",IFERROR(VLOOKUP(E95,'HIDDEN calc sheet'!A:B,2,FALSE),VLOOKUP(E95,'Additional questions'!B:D,3,FALSE)="Yes")))</f>
        <v>1</v>
      </c>
      <c r="J95" t="b">
        <f>IF(VLOOKUP(B95,'Profile selection'!B:C,2,FALSE)="Yes",TRUE,FALSE)</f>
        <v>1</v>
      </c>
      <c r="K95" s="22" t="b">
        <f>IF(AND(D95=MD!$A$1,M95),TRUE,(IF(AND(D95=MD!$A$3,M95),(IF(L95=TRUE,TRUE,FALSE)),(IF(AND(D95=MD!$A$2,M95),(IF(N95=TRUE,TRUE,FALSE)),FALSE)))))</f>
        <v>1</v>
      </c>
      <c r="L95" t="b">
        <f>IF(ISNA(VLOOKUP(E95,'Optional features'!B:D,3,FALSE)),FALSE,IF(VLOOKUP(E95,'Optional features'!B:D,3,FALSE)="Yes",TRUE,FALSE))</f>
        <v>0</v>
      </c>
      <c r="M95" t="b">
        <f>IF(VLOOKUP(B95,'Profile selection'!B:C,2,FALSE)="Yes",TRUE,FALSE)</f>
        <v>1</v>
      </c>
      <c r="P95" s="73"/>
      <c r="Q95" s="73"/>
    </row>
    <row r="96" spans="1:17" x14ac:dyDescent="0.25">
      <c r="A96" t="str">
        <f>'HIDDEN import'!B96</f>
        <v>TC_J_08_CSMS</v>
      </c>
      <c r="B96" t="str">
        <f>'HIDDEN import'!C96</f>
        <v>Core</v>
      </c>
      <c r="C96" t="str">
        <f>'HIDDEN import'!D96</f>
        <v>Sampled Meter Values - Context Transaction.Begin - EVSE not known</v>
      </c>
      <c r="D96" t="str">
        <f>IF(VLOOKUP(A96&amp;" "&amp;B96,'HIDDEN import'!A:G,5,FALSE)="M",MD!$A$1,(IF(AND(VLOOKUP(A96,'HIDDEN import'!B:E,4,FALSE)="C",OR(NOT(ISERROR(VLOOKUP(E96,'Optional features'!B:E,1,FALSE)=E96)),NOT(ISERROR(VLOOKUP(E96,'HIDDEN calc sheet'!A:C,1,FALSE)=E96)))),MD!$A$3,MD!$A$2)))</f>
        <v>Mandatory test for a mandatory feature</v>
      </c>
      <c r="E96" t="str">
        <f>IF('HIDDEN import'!F96=0,"",'HIDDEN import'!F96)</f>
        <v>C-40 and NOT AQ-8 AND (C-09.2 OR C-09.6)</v>
      </c>
      <c r="F96" t="str">
        <f>IF('HIDDEN import'!G96=0,"",'HIDDEN import'!G96)</f>
        <v>Supported MeterValue Measurands &amp; possibility to enforce EVSE being known.</v>
      </c>
      <c r="G96" s="49" t="str">
        <f>IFERROR(VLOOKUP($A96,'HIDDEN Testrun Results'!$A:$B,2,FALSE),"")</f>
        <v/>
      </c>
      <c r="H96" s="49" t="b">
        <f t="shared" si="1"/>
        <v>1</v>
      </c>
      <c r="I96" s="49" t="b">
        <f>IF(VLOOKUP(A96&amp;" "&amp;B96,'HIDDEN import'!A:G,5,FALSE)="M",TRUE,IFERROR(VLOOKUP(E96,'Optional features'!B:E,3,FALSE)="Yes",IFERROR(VLOOKUP(E96,'HIDDEN calc sheet'!A:B,2,FALSE),VLOOKUP(E96,'Additional questions'!B:D,3,FALSE)="Yes")))</f>
        <v>1</v>
      </c>
      <c r="J96" t="b">
        <f>IF(VLOOKUP(B96,'Profile selection'!B:C,2,FALSE)="Yes",TRUE,FALSE)</f>
        <v>1</v>
      </c>
      <c r="K96" s="22" t="b">
        <f>IF(AND(D96=MD!$A$1,M96),TRUE,(IF(AND(D96=MD!$A$3,M96),(IF(L96=TRUE,TRUE,FALSE)),(IF(AND(D96=MD!$A$2,M96),(IF(N96=TRUE,TRUE,FALSE)),FALSE)))))</f>
        <v>1</v>
      </c>
      <c r="M96" t="b">
        <f>IF(VLOOKUP(B96,'Profile selection'!B:C,2,FALSE)="Yes",TRUE,FALSE)</f>
        <v>1</v>
      </c>
      <c r="P96" s="73"/>
      <c r="Q96" s="73"/>
    </row>
    <row r="97" spans="1:17" x14ac:dyDescent="0.25">
      <c r="A97" t="str">
        <f>'HIDDEN import'!B97</f>
        <v>TC_J_09_CSMS</v>
      </c>
      <c r="B97" t="str">
        <f>'HIDDEN import'!C97</f>
        <v>Core</v>
      </c>
      <c r="C97" t="str">
        <f>'HIDDEN import'!D97</f>
        <v>Sampled Meter Values - EventType Updated</v>
      </c>
      <c r="D97" t="str">
        <f>IF(VLOOKUP(A97&amp;" "&amp;B97,'HIDDEN import'!A:G,5,FALSE)="M",MD!$A$1,(IF(AND(VLOOKUP(A97,'HIDDEN import'!B:E,4,FALSE)="C",OR(NOT(ISERROR(VLOOKUP(E97,'Optional features'!B:E,1,FALSE)=E97)),NOT(ISERROR(VLOOKUP(E97,'HIDDEN calc sheet'!A:C,1,FALSE)=E97)))),MD!$A$3,MD!$A$2)))</f>
        <v>Mandatory test for a mandatory feature</v>
      </c>
      <c r="E97" t="str">
        <f>IF('HIDDEN import'!F97=0,"",'HIDDEN import'!F97)</f>
        <v>C-40</v>
      </c>
      <c r="F97" t="str">
        <f>IF('HIDDEN import'!G97=0,"",'HIDDEN import'!G97)</f>
        <v>Supported MeterValue Measurands</v>
      </c>
      <c r="G97" s="49" t="str">
        <f>IFERROR(VLOOKUP($A97,'HIDDEN Testrun Results'!$A:$B,2,FALSE),"")</f>
        <v/>
      </c>
      <c r="H97" s="49" t="b">
        <f t="shared" si="1"/>
        <v>1</v>
      </c>
      <c r="I97" s="49" t="b">
        <f>IF(VLOOKUP(A97&amp;" "&amp;B97,'HIDDEN import'!A:G,5,FALSE)="M",TRUE,IFERROR(VLOOKUP(E97,'Optional features'!B:E,3,FALSE)="Yes",IFERROR(VLOOKUP(E97,'HIDDEN calc sheet'!A:B,2,FALSE),VLOOKUP(E97,'Additional questions'!B:D,3,FALSE)="Yes")))</f>
        <v>1</v>
      </c>
      <c r="J97" t="b">
        <f>IF(VLOOKUP(B97,'Profile selection'!B:C,2,FALSE)="Yes",TRUE,FALSE)</f>
        <v>1</v>
      </c>
      <c r="K97" s="22" t="b">
        <f>IF(AND(D97=MD!$A$1,M97),TRUE,(IF(AND(D97=MD!$A$3,M97),(IF(L97=TRUE,TRUE,FALSE)),(IF(AND(D97=MD!$A$2,M97),(IF(N97=TRUE,TRUE,FALSE)),FALSE)))))</f>
        <v>1</v>
      </c>
      <c r="L97" t="b">
        <f>IF(ISNA(VLOOKUP(E97,'Optional features'!B:D,3,FALSE)),FALSE,IF(VLOOKUP(E97,'Optional features'!B:D,3,FALSE)="Yes",TRUE,FALSE))</f>
        <v>0</v>
      </c>
      <c r="M97" t="b">
        <f>IF(VLOOKUP(B97,'Profile selection'!B:C,2,FALSE)="Yes",TRUE,FALSE)</f>
        <v>1</v>
      </c>
      <c r="P97" s="73"/>
      <c r="Q97" s="73"/>
    </row>
    <row r="98" spans="1:17" x14ac:dyDescent="0.25">
      <c r="A98" t="str">
        <f>'HIDDEN import'!B98</f>
        <v>TC_J_10_CSMS</v>
      </c>
      <c r="B98" t="str">
        <f>'HIDDEN import'!C98</f>
        <v>Core</v>
      </c>
      <c r="C98" t="str">
        <f>'HIDDEN import'!D98</f>
        <v>Sampled Meter Values - EventType Ended</v>
      </c>
      <c r="D98" t="str">
        <f>IF(VLOOKUP(A98&amp;" "&amp;B98,'HIDDEN import'!A:G,5,FALSE)="M",MD!$A$1,(IF(AND(VLOOKUP(A98,'HIDDEN import'!B:E,4,FALSE)="C",OR(NOT(ISERROR(VLOOKUP(E98,'Optional features'!B:E,1,FALSE)=E98)),NOT(ISERROR(VLOOKUP(E98,'HIDDEN calc sheet'!A:C,1,FALSE)=E98)))),MD!$A$3,MD!$A$2)))</f>
        <v>Mandatory test for a mandatory feature</v>
      </c>
      <c r="E98" t="str">
        <f>IF('HIDDEN import'!F98=0,"",'HIDDEN import'!F98)</f>
        <v>C-40</v>
      </c>
      <c r="F98" t="str">
        <f>IF('HIDDEN import'!G98=0,"",'HIDDEN import'!G98)</f>
        <v>Supported MeterValue Measurands</v>
      </c>
      <c r="G98" s="49" t="str">
        <f>IFERROR(VLOOKUP($A98,'HIDDEN Testrun Results'!$A:$B,2,FALSE),"")</f>
        <v/>
      </c>
      <c r="H98" s="49" t="b">
        <f t="shared" si="1"/>
        <v>1</v>
      </c>
      <c r="I98" s="49" t="b">
        <f>IF(VLOOKUP(A98&amp;" "&amp;B98,'HIDDEN import'!A:G,5,FALSE)="M",TRUE,IFERROR(VLOOKUP(E98,'Optional features'!B:E,3,FALSE)="Yes",IFERROR(VLOOKUP(E98,'HIDDEN calc sheet'!A:B,2,FALSE),VLOOKUP(E98,'Additional questions'!B:D,3,FALSE)="Yes")))</f>
        <v>1</v>
      </c>
      <c r="J98" t="b">
        <f>IF(VLOOKUP(B98,'Profile selection'!B:C,2,FALSE)="Yes",TRUE,FALSE)</f>
        <v>1</v>
      </c>
      <c r="K98" s="22" t="b">
        <f>IF(AND(D98=MD!$A$1,M98),TRUE,(IF(AND(D98=MD!$A$3,M98),(IF(L98=TRUE,TRUE,FALSE)),(IF(AND(D98=MD!$A$2,M98),(IF(N98=TRUE,TRUE,FALSE)),FALSE)))))</f>
        <v>1</v>
      </c>
      <c r="L98" t="b">
        <f>IF(ISNA(VLOOKUP(E98,'Optional features'!B:D,3,FALSE)),FALSE,IF(VLOOKUP(E98,'Optional features'!B:D,3,FALSE)="Yes",TRUE,FALSE))</f>
        <v>0</v>
      </c>
      <c r="M98" t="b">
        <f>IF(VLOOKUP(B98,'Profile selection'!B:C,2,FALSE)="Yes",TRUE,FALSE)</f>
        <v>1</v>
      </c>
      <c r="P98" s="73"/>
      <c r="Q98" s="73"/>
    </row>
    <row r="99" spans="1:17" x14ac:dyDescent="0.25">
      <c r="A99" t="str">
        <f>'HIDDEN import'!B99</f>
        <v>TC_J_11_CSMS</v>
      </c>
      <c r="B99" t="str">
        <f>'HIDDEN import'!C99</f>
        <v>Core</v>
      </c>
      <c r="C99" t="str">
        <f>'HIDDEN import'!D99</f>
        <v>Sampled Meter Values - Signed</v>
      </c>
      <c r="D99" t="str">
        <f>IF(VLOOKUP(A99&amp;" "&amp;B99,'HIDDEN import'!A:G,5,FALSE)="M",MD!$A$1,(IF(AND(VLOOKUP(A99,'HIDDEN import'!B:E,4,FALSE)="C",OR(NOT(ISERROR(VLOOKUP(E99,'Optional features'!B:E,1,FALSE)=E99)),NOT(ISERROR(VLOOKUP(E99,'HIDDEN calc sheet'!A:C,1,FALSE)=E99)))),MD!$A$3,MD!$A$2)))</f>
        <v>Mandatory test for a mandatory feature</v>
      </c>
      <c r="E99" t="str">
        <f>IF('HIDDEN import'!F99=0,"",'HIDDEN import'!F99)</f>
        <v>C-42</v>
      </c>
      <c r="F99" t="str">
        <f>IF('HIDDEN import'!G99=0,"",'HIDDEN import'!G99)</f>
        <v>Supported MeterValue Measurands &amp; Signed Metervalues</v>
      </c>
      <c r="G99" s="49" t="str">
        <f>IFERROR(VLOOKUP($A99,'HIDDEN Testrun Results'!$A:$B,2,FALSE),"")</f>
        <v/>
      </c>
      <c r="H99" s="49" t="b">
        <f t="shared" si="1"/>
        <v>1</v>
      </c>
      <c r="I99" s="49" t="b">
        <f>IF(VLOOKUP(A99&amp;" "&amp;B99,'HIDDEN import'!A:G,5,FALSE)="M",TRUE,IFERROR(VLOOKUP(E99,'Optional features'!B:E,3,FALSE)="Yes",IFERROR(VLOOKUP(E99,'HIDDEN calc sheet'!A:B,2,FALSE),VLOOKUP(E99,'Additional questions'!B:D,3,FALSE)="Yes")))</f>
        <v>1</v>
      </c>
      <c r="J99" t="b">
        <f>IF(VLOOKUP(B99,'Profile selection'!B:C,2,FALSE)="Yes",TRUE,FALSE)</f>
        <v>1</v>
      </c>
      <c r="K99" s="22" t="b">
        <f>IF(AND(D99=MD!$A$1,M99),TRUE,(IF(AND(D99=MD!$A$3,M99),(IF(L99=TRUE,TRUE,FALSE)),(IF(AND(D99=MD!$A$2,M99),(IF(N99=TRUE,TRUE,FALSE)),FALSE)))))</f>
        <v>1</v>
      </c>
      <c r="M99" t="b">
        <f>IF(VLOOKUP(B99,'Profile selection'!B:C,2,FALSE)="Yes",TRUE,FALSE)</f>
        <v>1</v>
      </c>
      <c r="P99" s="73"/>
      <c r="Q99" s="73"/>
    </row>
    <row r="100" spans="1:17" x14ac:dyDescent="0.25">
      <c r="A100" t="str">
        <f>'HIDDEN import'!B100</f>
        <v>TC_L_01_CSMS</v>
      </c>
      <c r="B100" t="str">
        <f>'HIDDEN import'!C100</f>
        <v>Core</v>
      </c>
      <c r="C100" t="str">
        <f>'HIDDEN import'!D100</f>
        <v>Secure Firmware Update - Installation successful</v>
      </c>
      <c r="D100" t="str">
        <f>IF(VLOOKUP(A100&amp;" "&amp;B100,'HIDDEN import'!A:G,5,FALSE)="M",MD!$A$1,(IF(AND(VLOOKUP(A100,'HIDDEN import'!B:E,4,FALSE)="C",OR(NOT(ISERROR(VLOOKUP(E100,'Optional features'!B:E,1,FALSE)=E100)),NOT(ISERROR(VLOOKUP(E100,'HIDDEN calc sheet'!A:C,1,FALSE)=E100)))),MD!$A$3,MD!$A$2)))</f>
        <v>Mandatory test for a mandatory feature</v>
      </c>
      <c r="E100" t="str">
        <f>IF('HIDDEN import'!F100=0,"",'HIDDEN import'!F100)</f>
        <v/>
      </c>
      <c r="F100" t="str">
        <f>IF('HIDDEN import'!G100=0,"",'HIDDEN import'!G100)</f>
        <v/>
      </c>
      <c r="G100" s="49" t="str">
        <f>IFERROR(VLOOKUP($A100,'HIDDEN Testrun Results'!$A:$B,2,FALSE),"")</f>
        <v/>
      </c>
      <c r="H100" s="49" t="b">
        <f t="shared" si="1"/>
        <v>1</v>
      </c>
      <c r="I100" s="49" t="b">
        <f>IF(VLOOKUP(A100&amp;" "&amp;B100,'HIDDEN import'!A:G,5,FALSE)="M",TRUE,IFERROR(VLOOKUP(E100,'Optional features'!B:E,3,FALSE)="Yes",IFERROR(VLOOKUP(E100,'HIDDEN calc sheet'!A:B,2,FALSE),VLOOKUP(E100,'Additional questions'!B:D,3,FALSE)="Yes")))</f>
        <v>1</v>
      </c>
      <c r="J100" t="b">
        <f>IF(VLOOKUP(B100,'Profile selection'!B:C,2,FALSE)="Yes",TRUE,FALSE)</f>
        <v>1</v>
      </c>
      <c r="K100" s="22" t="b">
        <f>IF(AND(D100=MD!$A$1,M100),TRUE,(IF(AND(D100=MD!$A$3,M100),(IF(L100=TRUE,TRUE,FALSE)),(IF(AND(D100=MD!$A$2,M100),(IF(N100=TRUE,TRUE,FALSE)),FALSE)))))</f>
        <v>1</v>
      </c>
      <c r="M100" t="b">
        <f>IF(VLOOKUP(B100,'Profile selection'!B:C,2,FALSE)="Yes",TRUE,FALSE)</f>
        <v>1</v>
      </c>
      <c r="P100" s="73"/>
      <c r="Q100" s="73"/>
    </row>
    <row r="101" spans="1:17" x14ac:dyDescent="0.25">
      <c r="A101" t="str">
        <f>'HIDDEN import'!B101</f>
        <v>TC_L_02_CSMS</v>
      </c>
      <c r="B101" t="str">
        <f>'HIDDEN import'!C101</f>
        <v>Core</v>
      </c>
      <c r="C101" t="str">
        <f>'HIDDEN import'!D101</f>
        <v>Secure Firmware Update - InstallScheduled</v>
      </c>
      <c r="D101" t="str">
        <f>IF(VLOOKUP(A101&amp;" "&amp;B101,'HIDDEN import'!A:G,5,FALSE)="M",MD!$A$1,(IF(AND(VLOOKUP(A101,'HIDDEN import'!B:E,4,FALSE)="C",OR(NOT(ISERROR(VLOOKUP(E101,'Optional features'!B:E,1,FALSE)=E101)),NOT(ISERROR(VLOOKUP(E101,'HIDDEN calc sheet'!A:C,1,FALSE)=E101)))),MD!$A$3,MD!$A$2)))</f>
        <v>Mandatory for optional feature</v>
      </c>
      <c r="E101" t="str">
        <f>IF('HIDDEN import'!F101=0,"",'HIDDEN import'!F101)</f>
        <v>C-15</v>
      </c>
      <c r="F101" t="str">
        <f>IF('HIDDEN import'!G101=0,"",'HIDDEN import'!G101)</f>
        <v>Scheduled firmware updates</v>
      </c>
      <c r="G101" s="49" t="str">
        <f>IFERROR(VLOOKUP($A101,'HIDDEN Testrun Results'!$A:$B,2,FALSE),"")</f>
        <v/>
      </c>
      <c r="H101" s="49" t="b">
        <f t="shared" si="1"/>
        <v>0</v>
      </c>
      <c r="I101" s="49" t="b">
        <f>IF(VLOOKUP(A101&amp;" "&amp;B101,'HIDDEN import'!A:G,5,FALSE)="M",TRUE,IFERROR(VLOOKUP(E101,'Optional features'!B:E,3,FALSE)="Yes",IFERROR(VLOOKUP(E101,'HIDDEN calc sheet'!A:B,2,FALSE),VLOOKUP(E101,'Additional questions'!B:D,3,FALSE)="Yes")))</f>
        <v>0</v>
      </c>
      <c r="J101" t="b">
        <f>IF(VLOOKUP(B101,'Profile selection'!B:C,2,FALSE)="Yes",TRUE,FALSE)</f>
        <v>1</v>
      </c>
      <c r="K101" s="22" t="b">
        <f>IF(AND(D101=MD!$A$1,M101),TRUE,(IF(AND(D101=MD!$A$3,M101),(IF(L101=TRUE,TRUE,FALSE)),(IF(AND(D101=MD!$A$2,M101),(IF(N101=TRUE,TRUE,FALSE)),FALSE)))))</f>
        <v>0</v>
      </c>
      <c r="M101" t="b">
        <f>IF(VLOOKUP(B101,'Profile selection'!B:C,2,FALSE)="Yes",TRUE,FALSE)</f>
        <v>1</v>
      </c>
      <c r="P101" s="73"/>
      <c r="Q101" s="73"/>
    </row>
    <row r="102" spans="1:17" x14ac:dyDescent="0.25">
      <c r="A102" t="str">
        <f>'HIDDEN import'!B102</f>
        <v>TC_L_03_CSMS</v>
      </c>
      <c r="B102" t="str">
        <f>'HIDDEN import'!C102</f>
        <v>Core</v>
      </c>
      <c r="C102" t="str">
        <f>'HIDDEN import'!D102</f>
        <v>Secure Firmware Update - DownloadScheduled</v>
      </c>
      <c r="D102" t="str">
        <f>IF(VLOOKUP(A102&amp;" "&amp;B102,'HIDDEN import'!A:G,5,FALSE)="M",MD!$A$1,(IF(AND(VLOOKUP(A102,'HIDDEN import'!B:E,4,FALSE)="C",OR(NOT(ISERROR(VLOOKUP(E102,'Optional features'!B:E,1,FALSE)=E102)),NOT(ISERROR(VLOOKUP(E102,'HIDDEN calc sheet'!A:C,1,FALSE)=E102)))),MD!$A$3,MD!$A$2)))</f>
        <v>Mandatory for optional feature</v>
      </c>
      <c r="E102" t="str">
        <f>IF('HIDDEN import'!F102=0,"",'HIDDEN import'!F102)</f>
        <v>C-15</v>
      </c>
      <c r="F102" t="str">
        <f>IF('HIDDEN import'!G102=0,"",'HIDDEN import'!G102)</f>
        <v>Scheduled firmware updates</v>
      </c>
      <c r="G102" s="49" t="str">
        <f>IFERROR(VLOOKUP($A102,'HIDDEN Testrun Results'!$A:$B,2,FALSE),"")</f>
        <v/>
      </c>
      <c r="H102" s="49" t="b">
        <f t="shared" si="1"/>
        <v>0</v>
      </c>
      <c r="I102" s="49" t="b">
        <f>IF(VLOOKUP(A102&amp;" "&amp;B102,'HIDDEN import'!A:G,5,FALSE)="M",TRUE,IFERROR(VLOOKUP(E102,'Optional features'!B:E,3,FALSE)="Yes",IFERROR(VLOOKUP(E102,'HIDDEN calc sheet'!A:B,2,FALSE),VLOOKUP(E102,'Additional questions'!B:D,3,FALSE)="Yes")))</f>
        <v>0</v>
      </c>
      <c r="J102" t="b">
        <f>IF(VLOOKUP(B102,'Profile selection'!B:C,2,FALSE)="Yes",TRUE,FALSE)</f>
        <v>1</v>
      </c>
      <c r="K102" s="22" t="b">
        <f>IF(AND(D102=MD!$A$1,M102),TRUE,(IF(AND(D102=MD!$A$3,M102),(IF(L102=TRUE,TRUE,FALSE)),(IF(AND(D102=MD!$A$2,M102),(IF(N102=TRUE,TRUE,FALSE)),FALSE)))))</f>
        <v>0</v>
      </c>
      <c r="M102" t="b">
        <f>IF(VLOOKUP(B102,'Profile selection'!B:C,2,FALSE)="Yes",TRUE,FALSE)</f>
        <v>1</v>
      </c>
      <c r="P102" s="73"/>
      <c r="Q102" s="73"/>
    </row>
    <row r="103" spans="1:17" x14ac:dyDescent="0.25">
      <c r="A103" t="str">
        <f>'HIDDEN import'!B103</f>
        <v>TC_L_04_CSMS</v>
      </c>
      <c r="B103" t="str">
        <f>'HIDDEN import'!C103</f>
        <v>Core</v>
      </c>
      <c r="C103" t="str">
        <f>'HIDDEN import'!D103</f>
        <v>Secure Firmware Update - RevokedCertificate</v>
      </c>
      <c r="D103" t="str">
        <f>IF(VLOOKUP(A103&amp;" "&amp;B103,'HIDDEN import'!A:G,5,FALSE)="M",MD!$A$1,(IF(AND(VLOOKUP(A103,'HIDDEN import'!B:E,4,FALSE)="C",OR(NOT(ISERROR(VLOOKUP(E103,'Optional features'!B:E,1,FALSE)=E103)),NOT(ISERROR(VLOOKUP(E103,'HIDDEN calc sheet'!A:C,1,FALSE)=E103)))),MD!$A$3,MD!$A$2)))</f>
        <v>Mandatory test for a mandatory feature</v>
      </c>
      <c r="E103" t="str">
        <f>IF('HIDDEN import'!F103=0,"",'HIDDEN import'!F103)</f>
        <v/>
      </c>
      <c r="F103" t="str">
        <f>IF('HIDDEN import'!G103=0,"",'HIDDEN import'!G103)</f>
        <v/>
      </c>
      <c r="G103" s="49" t="str">
        <f>IFERROR(VLOOKUP($A103,'HIDDEN Testrun Results'!$A:$B,2,FALSE),"")</f>
        <v/>
      </c>
      <c r="H103" s="49" t="b">
        <f t="shared" si="1"/>
        <v>1</v>
      </c>
      <c r="I103" s="49" t="b">
        <f>IF(VLOOKUP(A103&amp;" "&amp;B103,'HIDDEN import'!A:G,5,FALSE)="M",TRUE,IFERROR(VLOOKUP(E103,'Optional features'!B:E,3,FALSE)="Yes",IFERROR(VLOOKUP(E103,'HIDDEN calc sheet'!A:B,2,FALSE),VLOOKUP(E103,'Additional questions'!B:D,3,FALSE)="Yes")))</f>
        <v>1</v>
      </c>
      <c r="J103" t="b">
        <f>IF(VLOOKUP(B103,'Profile selection'!B:C,2,FALSE)="Yes",TRUE,FALSE)</f>
        <v>1</v>
      </c>
      <c r="K103" s="22" t="b">
        <f>IF(AND(D103=MD!$A$1,M103),TRUE,(IF(AND(D103=MD!$A$3,M103),(IF(L103=TRUE,TRUE,FALSE)),(IF(AND(D103=MD!$A$2,M103),(IF(N103=TRUE,TRUE,FALSE)),FALSE)))))</f>
        <v>1</v>
      </c>
      <c r="M103" t="b">
        <f>IF(VLOOKUP(B103,'Profile selection'!B:C,2,FALSE)="Yes",TRUE,FALSE)</f>
        <v>1</v>
      </c>
      <c r="P103" s="73"/>
      <c r="Q103" s="73"/>
    </row>
    <row r="104" spans="1:17" x14ac:dyDescent="0.25">
      <c r="A104" t="str">
        <f>'HIDDEN import'!B104</f>
        <v>TC_L_05_CSMS</v>
      </c>
      <c r="B104" t="str">
        <f>'HIDDEN import'!C104</f>
        <v>Core</v>
      </c>
      <c r="C104" t="str">
        <f>'HIDDEN import'!D104</f>
        <v>Secure Firmware Update - InvalidCertificate</v>
      </c>
      <c r="D104" t="str">
        <f>IF(VLOOKUP(A104&amp;" "&amp;B104,'HIDDEN import'!A:G,5,FALSE)="M",MD!$A$1,(IF(AND(VLOOKUP(A104,'HIDDEN import'!B:E,4,FALSE)="C",OR(NOT(ISERROR(VLOOKUP(E104,'Optional features'!B:E,1,FALSE)=E104)),NOT(ISERROR(VLOOKUP(E104,'HIDDEN calc sheet'!A:C,1,FALSE)=E104)))),MD!$A$3,MD!$A$2)))</f>
        <v>Mandatory test for a mandatory feature</v>
      </c>
      <c r="E104" t="str">
        <f>IF('HIDDEN import'!F104=0,"",'HIDDEN import'!F104)</f>
        <v/>
      </c>
      <c r="F104" t="str">
        <f>IF('HIDDEN import'!G104=0,"",'HIDDEN import'!G104)</f>
        <v/>
      </c>
      <c r="G104" s="49" t="str">
        <f>IFERROR(VLOOKUP($A104,'HIDDEN Testrun Results'!$A:$B,2,FALSE),"")</f>
        <v/>
      </c>
      <c r="H104" s="49" t="b">
        <f t="shared" si="1"/>
        <v>1</v>
      </c>
      <c r="I104" s="49" t="b">
        <f>IF(VLOOKUP(A104&amp;" "&amp;B104,'HIDDEN import'!A:G,5,FALSE)="M",TRUE,IFERROR(VLOOKUP(E104,'Optional features'!B:E,3,FALSE)="Yes",IFERROR(VLOOKUP(E104,'HIDDEN calc sheet'!A:B,2,FALSE),VLOOKUP(E104,'Additional questions'!B:D,3,FALSE)="Yes")))</f>
        <v>1</v>
      </c>
      <c r="J104" t="b">
        <f>IF(VLOOKUP(B104,'Profile selection'!B:C,2,FALSE)="Yes",TRUE,FALSE)</f>
        <v>1</v>
      </c>
      <c r="K104" s="22" t="b">
        <f>IF(AND(D104=MD!$A$1,M104),TRUE,(IF(AND(D104=MD!$A$3,M104),(IF(L104=TRUE,TRUE,FALSE)),(IF(AND(D104=MD!$A$2,M104),(IF(N104=TRUE,TRUE,FALSE)),FALSE)))))</f>
        <v>1</v>
      </c>
      <c r="M104" t="b">
        <f>IF(VLOOKUP(B104,'Profile selection'!B:C,2,FALSE)="Yes",TRUE,FALSE)</f>
        <v>1</v>
      </c>
      <c r="P104" s="73"/>
      <c r="Q104" s="73"/>
    </row>
    <row r="105" spans="1:17" x14ac:dyDescent="0.25">
      <c r="A105" t="str">
        <f>'HIDDEN import'!B105</f>
        <v>TC_L_06_CSMS</v>
      </c>
      <c r="B105" t="str">
        <f>'HIDDEN import'!C105</f>
        <v>Core</v>
      </c>
      <c r="C105" t="str">
        <f>'HIDDEN import'!D105</f>
        <v>Secure Firmware Update - InvalidSignature</v>
      </c>
      <c r="D105" t="str">
        <f>IF(VLOOKUP(A105&amp;" "&amp;B105,'HIDDEN import'!A:G,5,FALSE)="M",MD!$A$1,(IF(AND(VLOOKUP(A105,'HIDDEN import'!B:E,4,FALSE)="C",OR(NOT(ISERROR(VLOOKUP(E105,'Optional features'!B:E,1,FALSE)=E105)),NOT(ISERROR(VLOOKUP(E105,'HIDDEN calc sheet'!A:C,1,FALSE)=E105)))),MD!$A$3,MD!$A$2)))</f>
        <v>Mandatory test for a mandatory feature</v>
      </c>
      <c r="E105" t="str">
        <f>IF('HIDDEN import'!F105=0,"",'HIDDEN import'!F105)</f>
        <v/>
      </c>
      <c r="F105" t="str">
        <f>IF('HIDDEN import'!G105=0,"",'HIDDEN import'!G105)</f>
        <v/>
      </c>
      <c r="G105" s="49" t="str">
        <f>IFERROR(VLOOKUP($A105,'HIDDEN Testrun Results'!$A:$B,2,FALSE),"")</f>
        <v/>
      </c>
      <c r="H105" s="49" t="b">
        <f t="shared" si="1"/>
        <v>1</v>
      </c>
      <c r="I105" s="49" t="b">
        <f>IF(VLOOKUP(A105&amp;" "&amp;B105,'HIDDEN import'!A:G,5,FALSE)="M",TRUE,IFERROR(VLOOKUP(E105,'Optional features'!B:E,3,FALSE)="Yes",IFERROR(VLOOKUP(E105,'HIDDEN calc sheet'!A:B,2,FALSE),VLOOKUP(E105,'Additional questions'!B:D,3,FALSE)="Yes")))</f>
        <v>1</v>
      </c>
      <c r="J105" t="b">
        <f>IF(VLOOKUP(B105,'Profile selection'!B:C,2,FALSE)="Yes",TRUE,FALSE)</f>
        <v>1</v>
      </c>
      <c r="K105" s="22" t="b">
        <f>IF(AND(D105=MD!$A$1,M105),TRUE,(IF(AND(D105=MD!$A$3,M105),(IF(L105=TRUE,TRUE,FALSE)),(IF(AND(D105=MD!$A$2,M105),(IF(N105=TRUE,TRUE,FALSE)),FALSE)))))</f>
        <v>1</v>
      </c>
      <c r="M105" t="b">
        <f>IF(VLOOKUP(B105,'Profile selection'!B:C,2,FALSE)="Yes",TRUE,FALSE)</f>
        <v>1</v>
      </c>
      <c r="P105" s="73"/>
      <c r="Q105" s="73"/>
    </row>
    <row r="106" spans="1:17" x14ac:dyDescent="0.25">
      <c r="A106" t="str">
        <f>'HIDDEN import'!B106</f>
        <v>TC_L_07_CSMS</v>
      </c>
      <c r="B106" t="str">
        <f>'HIDDEN import'!C106</f>
        <v>Core</v>
      </c>
      <c r="C106" t="str">
        <f>'HIDDEN import'!D106</f>
        <v>Secure Firmware Update - DownloadFailed</v>
      </c>
      <c r="D106" t="str">
        <f>IF(VLOOKUP(A106&amp;" "&amp;B106,'HIDDEN import'!A:G,5,FALSE)="M",MD!$A$1,(IF(AND(VLOOKUP(A106,'HIDDEN import'!B:E,4,FALSE)="C",OR(NOT(ISERROR(VLOOKUP(E106,'Optional features'!B:E,1,FALSE)=E106)),NOT(ISERROR(VLOOKUP(E106,'HIDDEN calc sheet'!A:C,1,FALSE)=E106)))),MD!$A$3,MD!$A$2)))</f>
        <v>Mandatory test for a mandatory feature</v>
      </c>
      <c r="E106" t="str">
        <f>IF('HIDDEN import'!F106=0,"",'HIDDEN import'!F106)</f>
        <v/>
      </c>
      <c r="F106" t="str">
        <f>IF('HIDDEN import'!G106=0,"",'HIDDEN import'!G106)</f>
        <v/>
      </c>
      <c r="G106" s="49" t="str">
        <f>IFERROR(VLOOKUP($A106,'HIDDEN Testrun Results'!$A:$B,2,FALSE),"")</f>
        <v/>
      </c>
      <c r="H106" s="49" t="b">
        <f t="shared" si="1"/>
        <v>1</v>
      </c>
      <c r="I106" s="49" t="b">
        <f>IF(VLOOKUP(A106&amp;" "&amp;B106,'HIDDEN import'!A:G,5,FALSE)="M",TRUE,IFERROR(VLOOKUP(E106,'Optional features'!B:E,3,FALSE)="Yes",IFERROR(VLOOKUP(E106,'HIDDEN calc sheet'!A:B,2,FALSE),VLOOKUP(E106,'Additional questions'!B:D,3,FALSE)="Yes")))</f>
        <v>1</v>
      </c>
      <c r="J106" t="b">
        <f>IF(VLOOKUP(B106,'Profile selection'!B:C,2,FALSE)="Yes",TRUE,FALSE)</f>
        <v>1</v>
      </c>
      <c r="K106" s="22" t="b">
        <f>IF(AND(D106=MD!$A$1,M106),TRUE,(IF(AND(D106=MD!$A$3,M106),(IF(L106=TRUE,TRUE,FALSE)),(IF(AND(D106=MD!$A$2,M106),(IF(N106=TRUE,TRUE,FALSE)),FALSE)))))</f>
        <v>1</v>
      </c>
      <c r="M106" t="b">
        <f>IF(VLOOKUP(B106,'Profile selection'!B:C,2,FALSE)="Yes",TRUE,FALSE)</f>
        <v>1</v>
      </c>
      <c r="P106" s="73"/>
      <c r="Q106" s="73"/>
    </row>
    <row r="107" spans="1:17" x14ac:dyDescent="0.25">
      <c r="A107" t="str">
        <f>'HIDDEN import'!B107</f>
        <v>TC_L_08_CSMS</v>
      </c>
      <c r="B107" t="str">
        <f>'HIDDEN import'!C107</f>
        <v>Core</v>
      </c>
      <c r="C107" t="str">
        <f>'HIDDEN import'!D107</f>
        <v>Secure Firmware Update - InstallVerificationFailed or InstallationFailed</v>
      </c>
      <c r="D107" t="str">
        <f>IF(VLOOKUP(A107&amp;" "&amp;B107,'HIDDEN import'!A:G,5,FALSE)="M",MD!$A$1,(IF(AND(VLOOKUP(A107,'HIDDEN import'!B:E,4,FALSE)="C",OR(NOT(ISERROR(VLOOKUP(E107,'Optional features'!B:E,1,FALSE)=E107)),NOT(ISERROR(VLOOKUP(E107,'HIDDEN calc sheet'!A:C,1,FALSE)=E107)))),MD!$A$3,MD!$A$2)))</f>
        <v>Mandatory test for a mandatory feature</v>
      </c>
      <c r="E107" t="str">
        <f>IF('HIDDEN import'!F107=0,"",'HIDDEN import'!F107)</f>
        <v/>
      </c>
      <c r="F107" t="str">
        <f>IF('HIDDEN import'!G107=0,"",'HIDDEN import'!G107)</f>
        <v/>
      </c>
      <c r="G107" s="49" t="str">
        <f>IFERROR(VLOOKUP($A107,'HIDDEN Testrun Results'!$A:$B,2,FALSE),"")</f>
        <v/>
      </c>
      <c r="H107" s="49" t="b">
        <f t="shared" si="1"/>
        <v>1</v>
      </c>
      <c r="I107" s="49" t="b">
        <f>IF(VLOOKUP(A107&amp;" "&amp;B107,'HIDDEN import'!A:G,5,FALSE)="M",TRUE,IFERROR(VLOOKUP(E107,'Optional features'!B:E,3,FALSE)="Yes",IFERROR(VLOOKUP(E107,'HIDDEN calc sheet'!A:B,2,FALSE),VLOOKUP(E107,'Additional questions'!B:D,3,FALSE)="Yes")))</f>
        <v>1</v>
      </c>
      <c r="J107" t="b">
        <f>IF(VLOOKUP(B107,'Profile selection'!B:C,2,FALSE)="Yes",TRUE,FALSE)</f>
        <v>1</v>
      </c>
      <c r="K107" s="22" t="b">
        <f>IF(AND(D107=MD!$A$1,M107),TRUE,(IF(AND(D107=MD!$A$3,M107),(IF(L107=TRUE,TRUE,FALSE)),(IF(AND(D107=MD!$A$2,M107),(IF(N107=TRUE,TRUE,FALSE)),FALSE)))))</f>
        <v>1</v>
      </c>
      <c r="M107" t="b">
        <f>IF(VLOOKUP(B107,'Profile selection'!B:C,2,FALSE)="Yes",TRUE,FALSE)</f>
        <v>1</v>
      </c>
      <c r="P107" s="73"/>
      <c r="Q107" s="73"/>
    </row>
    <row r="108" spans="1:17" x14ac:dyDescent="0.25">
      <c r="A108" t="str">
        <f>'HIDDEN import'!B108</f>
        <v>TC_L_09_CSMS</v>
      </c>
      <c r="B108" t="str">
        <f>'HIDDEN import'!C108</f>
        <v>Core</v>
      </c>
      <c r="C108" t="str">
        <f>'HIDDEN import'!D108</f>
        <v>Secure Firmware Update - InstallationFailed</v>
      </c>
      <c r="D108" t="str">
        <f>IF(VLOOKUP(A108&amp;" "&amp;B108,'HIDDEN import'!A:G,5,FALSE)="M",MD!$A$1,(IF(AND(VLOOKUP(A108,'HIDDEN import'!B:E,4,FALSE)="C",OR(NOT(ISERROR(VLOOKUP(E108,'Optional features'!B:E,1,FALSE)=E108)),NOT(ISERROR(VLOOKUP(E108,'HIDDEN calc sheet'!A:C,1,FALSE)=E108)))),MD!$A$3,MD!$A$2)))</f>
        <v>Mandatory test for a mandatory feature</v>
      </c>
      <c r="E108" t="str">
        <f>IF('HIDDEN import'!F108=0,"",'HIDDEN import'!F108)</f>
        <v/>
      </c>
      <c r="F108" t="str">
        <f>IF('HIDDEN import'!G108=0,"",'HIDDEN import'!G108)</f>
        <v/>
      </c>
      <c r="G108" s="49" t="str">
        <f>IFERROR(VLOOKUP($A108,'HIDDEN Testrun Results'!$A:$B,2,FALSE),"")</f>
        <v/>
      </c>
      <c r="H108" s="49" t="b">
        <f t="shared" si="1"/>
        <v>1</v>
      </c>
      <c r="I108" s="49" t="b">
        <f>IF(VLOOKUP(A108&amp;" "&amp;B108,'HIDDEN import'!A:G,5,FALSE)="M",TRUE,IFERROR(VLOOKUP(E108,'Optional features'!B:E,3,FALSE)="Yes",IFERROR(VLOOKUP(E108,'HIDDEN calc sheet'!A:B,2,FALSE),VLOOKUP(E108,'Additional questions'!B:D,3,FALSE)="Yes")))</f>
        <v>1</v>
      </c>
      <c r="J108" t="b">
        <f>IF(VLOOKUP(B108,'Profile selection'!B:C,2,FALSE)="Yes",TRUE,FALSE)</f>
        <v>1</v>
      </c>
      <c r="K108" s="22" t="b">
        <f>IF(AND(D108=MD!$A$1,M108),TRUE,(IF(AND(D108=MD!$A$3,M108),(IF(L108=TRUE,TRUE,FALSE)),(IF(AND(D108=MD!$A$2,M108),(IF(N108=TRUE,TRUE,FALSE)),FALSE)))))</f>
        <v>1</v>
      </c>
      <c r="M108" t="b">
        <f>IF(VLOOKUP(B108,'Profile selection'!B:C,2,FALSE)="Yes",TRUE,FALSE)</f>
        <v>1</v>
      </c>
      <c r="P108" s="73"/>
      <c r="Q108" s="73"/>
    </row>
    <row r="109" spans="1:17" x14ac:dyDescent="0.25">
      <c r="A109" t="str">
        <f>'HIDDEN import'!B109</f>
        <v>TC_L_10_CSMS</v>
      </c>
      <c r="B109" t="str">
        <f>'HIDDEN import'!C109</f>
        <v>Core</v>
      </c>
      <c r="C109" t="str">
        <f>'HIDDEN import'!D109</f>
        <v>Secure Firmware Update - AcceptedCanceled</v>
      </c>
      <c r="D109" t="str">
        <f>IF(VLOOKUP(A109&amp;" "&amp;B109,'HIDDEN import'!A:G,5,FALSE)="M",MD!$A$1,(IF(AND(VLOOKUP(A109,'HIDDEN import'!B:E,4,FALSE)="C",OR(NOT(ISERROR(VLOOKUP(E109,'Optional features'!B:E,1,FALSE)=E109)),NOT(ISERROR(VLOOKUP(E109,'HIDDEN calc sheet'!A:C,1,FALSE)=E109)))),MD!$A$3,MD!$A$2)))</f>
        <v>Mandatory test for a mandatory feature</v>
      </c>
      <c r="E109" t="str">
        <f>IF('HIDDEN import'!F109=0,"",'HIDDEN import'!F109)</f>
        <v>C-60</v>
      </c>
      <c r="F109" t="str">
        <f>IF('HIDDEN import'!G109=0,"",'HIDDEN import'!G109)</f>
        <v/>
      </c>
      <c r="G109" s="49" t="str">
        <f>IFERROR(VLOOKUP($A109,'HIDDEN Testrun Results'!$A:$B,2,FALSE),"")</f>
        <v/>
      </c>
      <c r="H109" s="49" t="b">
        <f t="shared" si="1"/>
        <v>1</v>
      </c>
      <c r="I109" s="49" t="b">
        <f>IF(VLOOKUP(A109&amp;" "&amp;B109,'HIDDEN import'!A:G,5,FALSE)="M",TRUE,IFERROR(VLOOKUP(E109,'Optional features'!B:E,3,FALSE)="Yes",IFERROR(VLOOKUP(E109,'HIDDEN calc sheet'!A:B,2,FALSE),VLOOKUP(E109,'Additional questions'!B:D,3,FALSE)="Yes")))</f>
        <v>1</v>
      </c>
      <c r="J109" t="b">
        <f>IF(VLOOKUP(B109,'Profile selection'!B:C,2,FALSE)="Yes",TRUE,FALSE)</f>
        <v>1</v>
      </c>
      <c r="K109" s="22" t="b">
        <f>IF(AND(D109=MD!$A$1,M109),TRUE,(IF(AND(D109=MD!$A$3,M109),(IF(L109=TRUE,TRUE,FALSE)),(IF(AND(D109=MD!$A$2,M109),(IF(N109=TRUE,TRUE,FALSE)),FALSE)))))</f>
        <v>1</v>
      </c>
      <c r="M109" t="b">
        <f>IF(VLOOKUP(B109,'Profile selection'!B:C,2,FALSE)="Yes",TRUE,FALSE)</f>
        <v>1</v>
      </c>
      <c r="P109" s="73"/>
      <c r="Q109" s="73"/>
    </row>
    <row r="110" spans="1:17" x14ac:dyDescent="0.25">
      <c r="A110" t="str">
        <f>'HIDDEN import'!B110</f>
        <v>TC_L_11_CSMS</v>
      </c>
      <c r="B110" t="str">
        <f>'HIDDEN import'!C110</f>
        <v>Core</v>
      </c>
      <c r="C110" t="str">
        <f>'HIDDEN import'!D110</f>
        <v>Secure Firmware Update - Unable to cancel</v>
      </c>
      <c r="D110" t="str">
        <f>IF(VLOOKUP(A110&amp;" "&amp;B110,'HIDDEN import'!A:G,5,FALSE)="M",MD!$A$1,(IF(AND(VLOOKUP(A110,'HIDDEN import'!B:E,4,FALSE)="C",OR(NOT(ISERROR(VLOOKUP(E110,'Optional features'!B:E,1,FALSE)=E110)),NOT(ISERROR(VLOOKUP(E110,'HIDDEN calc sheet'!A:C,1,FALSE)=E110)))),MD!$A$3,MD!$A$2)))</f>
        <v>Mandatory test for a mandatory feature</v>
      </c>
      <c r="E110" t="str">
        <f>IF('HIDDEN import'!F110=0,"",'HIDDEN import'!F110)</f>
        <v>NOT C-60</v>
      </c>
      <c r="F110" t="str">
        <f>IF('HIDDEN import'!G110=0,"",'HIDDEN import'!G110)</f>
        <v/>
      </c>
      <c r="G110" s="49" t="str">
        <f>IFERROR(VLOOKUP($A110,'HIDDEN Testrun Results'!$A:$B,2,FALSE),"")</f>
        <v/>
      </c>
      <c r="H110" s="49" t="b">
        <f t="shared" si="1"/>
        <v>1</v>
      </c>
      <c r="I110" s="49" t="b">
        <f>IF(VLOOKUP(A110&amp;" "&amp;B110,'HIDDEN import'!A:G,5,FALSE)="M",TRUE,IFERROR(VLOOKUP(E110,'Optional features'!B:E,3,FALSE)="Yes",IFERROR(VLOOKUP(E110,'HIDDEN calc sheet'!A:B,2,FALSE),VLOOKUP(E110,'Additional questions'!B:D,3,FALSE)="Yes")))</f>
        <v>1</v>
      </c>
      <c r="J110" t="b">
        <f>IF(VLOOKUP(B110,'Profile selection'!B:C,2,FALSE)="Yes",TRUE,FALSE)</f>
        <v>1</v>
      </c>
      <c r="K110" s="22" t="b">
        <f>IF(AND(D110=MD!$A$1,M110),TRUE,(IF(AND(D110=MD!$A$3,M110),(IF(L110=TRUE,TRUE,FALSE)),(IF(AND(D110=MD!$A$2,M110),(IF(N110=TRUE,TRUE,FALSE)),FALSE)))))</f>
        <v>1</v>
      </c>
      <c r="M110" t="b">
        <f>IF(VLOOKUP(B110,'Profile selection'!B:C,2,FALSE)="Yes",TRUE,FALSE)</f>
        <v>1</v>
      </c>
      <c r="P110" s="73"/>
      <c r="Q110" s="73"/>
    </row>
    <row r="111" spans="1:17" x14ac:dyDescent="0.25">
      <c r="A111" t="str">
        <f>'HIDDEN import'!B111</f>
        <v>TC_L_13_CSMS</v>
      </c>
      <c r="B111" t="str">
        <f>'HIDDEN import'!C111</f>
        <v>Core</v>
      </c>
      <c r="C111" t="str">
        <f>'HIDDEN import'!D111</f>
        <v>Secure Firmware Update - Unable to download/install firmware with ongoing transaction - AllowNewSessionsPendingFirmwareUpdate is false</v>
      </c>
      <c r="D111" t="str">
        <f>IF(VLOOKUP(A111&amp;" "&amp;B111,'HIDDEN import'!A:G,5,FALSE)="M",MD!$A$1,(IF(AND(VLOOKUP(A111,'HIDDEN import'!B:E,4,FALSE)="C",OR(NOT(ISERROR(VLOOKUP(E111,'Optional features'!B:E,1,FALSE)=E111)),NOT(ISERROR(VLOOKUP(E111,'HIDDEN calc sheet'!A:C,1,FALSE)=E111)))),MD!$A$3,MD!$A$2)))</f>
        <v>Mandatory test for a mandatory feature</v>
      </c>
      <c r="E111" t="str">
        <f>IF('HIDDEN import'!F111=0,"",'HIDDEN import'!F111)</f>
        <v>NOT C-43 and NOT AQ-7</v>
      </c>
      <c r="F111" t="str">
        <f>IF('HIDDEN import'!G111=0,"",'HIDDEN import'!G111)</f>
        <v/>
      </c>
      <c r="G111" s="49" t="str">
        <f>IFERROR(VLOOKUP($A111,'HIDDEN Testrun Results'!$A:$B,2,FALSE),"")</f>
        <v/>
      </c>
      <c r="H111" s="49" t="b">
        <f t="shared" si="1"/>
        <v>1</v>
      </c>
      <c r="I111" s="49" t="b">
        <f>IF(VLOOKUP(A111&amp;" "&amp;B111,'HIDDEN import'!A:G,5,FALSE)="M",TRUE,IFERROR(VLOOKUP(E111,'Optional features'!B:E,3,FALSE)="Yes",IFERROR(VLOOKUP(E111,'HIDDEN calc sheet'!A:B,2,FALSE),VLOOKUP(E111,'Additional questions'!B:D,3,FALSE)="Yes")))</f>
        <v>1</v>
      </c>
      <c r="J111" t="b">
        <f>IF(VLOOKUP(B111,'Profile selection'!B:C,2,FALSE)="Yes",TRUE,FALSE)</f>
        <v>1</v>
      </c>
      <c r="K111" s="22" t="b">
        <f>IF(AND(D111=MD!$A$1,M111),TRUE,(IF(AND(D111=MD!$A$3,M111),(IF(L111=TRUE,TRUE,FALSE)),(IF(AND(D111=MD!$A$2,M111),(IF(N111=TRUE,TRUE,FALSE)),FALSE)))))</f>
        <v>1</v>
      </c>
      <c r="M111" t="b">
        <f>IF(VLOOKUP(B111,'Profile selection'!B:C,2,FALSE)="Yes",TRUE,FALSE)</f>
        <v>1</v>
      </c>
      <c r="P111" s="73"/>
      <c r="Q111" s="73"/>
    </row>
    <row r="112" spans="1:17" x14ac:dyDescent="0.25">
      <c r="A112" t="str">
        <f>'HIDDEN import'!B112</f>
        <v>TC_M_13_CSMS</v>
      </c>
      <c r="B112" t="str">
        <f>'HIDDEN import'!C112</f>
        <v>Core</v>
      </c>
      <c r="C112" t="str">
        <f>'HIDDEN import'!D112</f>
        <v>Retrieve certificates from Charging Station - ManufacturerRootCertificate</v>
      </c>
      <c r="D112" t="str">
        <f>IF(VLOOKUP(A112&amp;" "&amp;B112,'HIDDEN import'!A:G,5,FALSE)="M",MD!$A$1,(IF(AND(VLOOKUP(A112,'HIDDEN import'!B:E,4,FALSE)="C",OR(NOT(ISERROR(VLOOKUP(E112,'Optional features'!B:E,1,FALSE)=E112)),NOT(ISERROR(VLOOKUP(E112,'HIDDEN calc sheet'!A:C,1,FALSE)=E112)))),MD!$A$3,MD!$A$2)))</f>
        <v>Mandatory test for a mandatory feature</v>
      </c>
      <c r="E112" t="str">
        <f>IF('HIDDEN import'!F112=0,"",'HIDDEN import'!F112)</f>
        <v/>
      </c>
      <c r="F112" t="str">
        <f>IF('HIDDEN import'!G112=0,"",'HIDDEN import'!G112)</f>
        <v/>
      </c>
      <c r="G112" s="49" t="str">
        <f>IFERROR(VLOOKUP($A112,'HIDDEN Testrun Results'!$A:$B,2,FALSE),"")</f>
        <v/>
      </c>
      <c r="H112" s="49" t="b">
        <f t="shared" si="1"/>
        <v>1</v>
      </c>
      <c r="I112" s="49" t="b">
        <f>IF(VLOOKUP(A112&amp;" "&amp;B112,'HIDDEN import'!A:G,5,FALSE)="M",TRUE,IFERROR(VLOOKUP(E112,'Optional features'!B:E,3,FALSE)="Yes",IFERROR(VLOOKUP(E112,'HIDDEN calc sheet'!A:B,2,FALSE),VLOOKUP(E112,'Additional questions'!B:D,3,FALSE)="Yes")))</f>
        <v>1</v>
      </c>
      <c r="J112" t="b">
        <f>IF(VLOOKUP(B112,'Profile selection'!B:C,2,FALSE)="Yes",TRUE,FALSE)</f>
        <v>1</v>
      </c>
      <c r="K112" s="22" t="b">
        <f>IF(AND(D112=MD!$A$1,M112),TRUE,(IF(AND(D112=MD!$A$3,M112),(IF(L112=TRUE,TRUE,FALSE)),(IF(AND(D112=MD!$A$2,M112),(IF(N112=TRUE,TRUE,FALSE)),FALSE)))))</f>
        <v>1</v>
      </c>
      <c r="M112" t="b">
        <f>IF(VLOOKUP(B112,'Profile selection'!B:C,2,FALSE)="Yes",TRUE,FALSE)</f>
        <v>1</v>
      </c>
      <c r="P112" s="73"/>
      <c r="Q112" s="73"/>
    </row>
    <row r="113" spans="1:17" x14ac:dyDescent="0.25">
      <c r="A113" t="str">
        <f>'HIDDEN import'!B113</f>
        <v>TC_M_18_CSMS</v>
      </c>
      <c r="B113" t="str">
        <f>'HIDDEN import'!C113</f>
        <v>Core</v>
      </c>
      <c r="C113" t="str">
        <f>'HIDDEN import'!D113</f>
        <v>Retrieve certificates from Charging Station - All certificateTypes</v>
      </c>
      <c r="D113" t="str">
        <f>IF(VLOOKUP(A113&amp;" "&amp;B113,'HIDDEN import'!A:G,5,FALSE)="M",MD!$A$1,(IF(AND(VLOOKUP(A113,'HIDDEN import'!B:E,4,FALSE)="C",OR(NOT(ISERROR(VLOOKUP(E113,'Optional features'!B:E,1,FALSE)=E113)),NOT(ISERROR(VLOOKUP(E113,'HIDDEN calc sheet'!A:C,1,FALSE)=E113)))),MD!$A$3,MD!$A$2)))</f>
        <v>Mandatory test for a mandatory feature</v>
      </c>
      <c r="E113" t="str">
        <f>IF('HIDDEN import'!F113=0,"",'HIDDEN import'!F113)</f>
        <v/>
      </c>
      <c r="F113" t="str">
        <f>IF('HIDDEN import'!G113=0,"",'HIDDEN import'!G113)</f>
        <v/>
      </c>
      <c r="G113" s="49" t="str">
        <f>IFERROR(VLOOKUP($A113,'HIDDEN Testrun Results'!$A:$B,2,FALSE),"")</f>
        <v/>
      </c>
      <c r="H113" s="49" t="b">
        <f t="shared" si="1"/>
        <v>1</v>
      </c>
      <c r="I113" s="49" t="b">
        <f>IF(VLOOKUP(A113&amp;" "&amp;B113,'HIDDEN import'!A:G,5,FALSE)="M",TRUE,IFERROR(VLOOKUP(E113,'Optional features'!B:E,3,FALSE)="Yes",IFERROR(VLOOKUP(E113,'HIDDEN calc sheet'!A:B,2,FALSE),VLOOKUP(E113,'Additional questions'!B:D,3,FALSE)="Yes")))</f>
        <v>1</v>
      </c>
      <c r="J113" t="b">
        <f>IF(VLOOKUP(B113,'Profile selection'!B:C,2,FALSE)="Yes",TRUE,FALSE)</f>
        <v>1</v>
      </c>
      <c r="K113" s="22" t="b">
        <f>IF(AND(D113=MD!$A$1,M113),TRUE,(IF(AND(D113=MD!$A$3,M113),(IF(L113=TRUE,TRUE,FALSE)),(IF(AND(D113=MD!$A$2,M113),(IF(N113=TRUE,TRUE,FALSE)),FALSE)))))</f>
        <v>1</v>
      </c>
      <c r="M113" t="b">
        <f>IF(VLOOKUP(B113,'Profile selection'!B:C,2,FALSE)="Yes",TRUE,FALSE)</f>
        <v>1</v>
      </c>
      <c r="P113" s="73"/>
      <c r="Q113" s="73"/>
    </row>
    <row r="114" spans="1:17" x14ac:dyDescent="0.25">
      <c r="A114" t="str">
        <f>'HIDDEN import'!B114</f>
        <v>TC_M_19_CSMS</v>
      </c>
      <c r="B114" t="str">
        <f>'HIDDEN import'!C114</f>
        <v>Core</v>
      </c>
      <c r="C114" t="str">
        <f>'HIDDEN import'!D114</f>
        <v>Retrieve certificates from Charging Station - No matching certificate found</v>
      </c>
      <c r="D114" t="str">
        <f>IF(VLOOKUP(A114&amp;" "&amp;B114,'HIDDEN import'!A:G,5,FALSE)="M",MD!$A$1,(IF(AND(VLOOKUP(A114,'HIDDEN import'!B:E,4,FALSE)="C",OR(NOT(ISERROR(VLOOKUP(E114,'Optional features'!B:E,1,FALSE)=E114)),NOT(ISERROR(VLOOKUP(E114,'HIDDEN calc sheet'!A:C,1,FALSE)=E114)))),MD!$A$3,MD!$A$2)))</f>
        <v>Mandatory test for a mandatory feature</v>
      </c>
      <c r="E114" t="str">
        <f>IF('HIDDEN import'!F114=0,"",'HIDDEN import'!F114)</f>
        <v/>
      </c>
      <c r="F114" t="str">
        <f>IF('HIDDEN import'!G114=0,"",'HIDDEN import'!G114)</f>
        <v/>
      </c>
      <c r="G114" s="49" t="str">
        <f>IFERROR(VLOOKUP($A114,'HIDDEN Testrun Results'!$A:$B,2,FALSE),"")</f>
        <v/>
      </c>
      <c r="H114" s="49" t="b">
        <f t="shared" si="1"/>
        <v>1</v>
      </c>
      <c r="I114" s="49" t="b">
        <f>IF(VLOOKUP(A114&amp;" "&amp;B114,'HIDDEN import'!A:G,5,FALSE)="M",TRUE,IFERROR(VLOOKUP(E114,'Optional features'!B:E,3,FALSE)="Yes",IFERROR(VLOOKUP(E114,'HIDDEN calc sheet'!A:B,2,FALSE),VLOOKUP(E114,'Additional questions'!B:D,3,FALSE)="Yes")))</f>
        <v>1</v>
      </c>
      <c r="J114" t="b">
        <f>IF(VLOOKUP(B114,'Profile selection'!B:C,2,FALSE)="Yes",TRUE,FALSE)</f>
        <v>1</v>
      </c>
      <c r="K114" s="22" t="b">
        <f>IF(AND(D114=MD!$A$1,M114),TRUE,(IF(AND(D114=MD!$A$3,M114),(IF(L114=TRUE,TRUE,FALSE)),(IF(AND(D114=MD!$A$2,M114),(IF(N114=TRUE,TRUE,FALSE)),FALSE)))))</f>
        <v>1</v>
      </c>
      <c r="M114" t="b">
        <f>IF(VLOOKUP(B114,'Profile selection'!B:C,2,FALSE)="Yes",TRUE,FALSE)</f>
        <v>1</v>
      </c>
      <c r="P114" s="73"/>
      <c r="Q114" s="73"/>
    </row>
    <row r="115" spans="1:17" x14ac:dyDescent="0.25">
      <c r="A115" t="str">
        <f>'HIDDEN import'!B115</f>
        <v>TC_M_20_CSMS</v>
      </c>
      <c r="B115" t="str">
        <f>'HIDDEN import'!C115</f>
        <v>Core</v>
      </c>
      <c r="C115" t="str">
        <f>'HIDDEN import'!D115</f>
        <v>Delete a certificate from a Charging Station - Success</v>
      </c>
      <c r="D115" t="str">
        <f>IF(VLOOKUP(A115&amp;" "&amp;B115,'HIDDEN import'!A:G,5,FALSE)="M",MD!$A$1,(IF(AND(VLOOKUP(A115,'HIDDEN import'!B:E,4,FALSE)="C",OR(NOT(ISERROR(VLOOKUP(E115,'Optional features'!B:E,1,FALSE)=E115)),NOT(ISERROR(VLOOKUP(E115,'HIDDEN calc sheet'!A:C,1,FALSE)=E115)))),MD!$A$3,MD!$A$2)))</f>
        <v>Mandatory test for a mandatory feature</v>
      </c>
      <c r="E115" t="str">
        <f>IF('HIDDEN import'!F115=0,"",'HIDDEN import'!F115)</f>
        <v/>
      </c>
      <c r="F115" t="str">
        <f>IF('HIDDEN import'!G115=0,"",'HIDDEN import'!G115)</f>
        <v/>
      </c>
      <c r="G115" s="49" t="str">
        <f>IFERROR(VLOOKUP($A115,'HIDDEN Testrun Results'!$A:$B,2,FALSE),"")</f>
        <v/>
      </c>
      <c r="H115" s="49" t="b">
        <f t="shared" si="1"/>
        <v>1</v>
      </c>
      <c r="I115" s="49" t="b">
        <f>IF(VLOOKUP(A115&amp;" "&amp;B115,'HIDDEN import'!A:G,5,FALSE)="M",TRUE,IFERROR(VLOOKUP(E115,'Optional features'!B:E,3,FALSE)="Yes",IFERROR(VLOOKUP(E115,'HIDDEN calc sheet'!A:B,2,FALSE),VLOOKUP(E115,'Additional questions'!B:D,3,FALSE)="Yes")))</f>
        <v>1</v>
      </c>
      <c r="J115" t="b">
        <f>IF(VLOOKUP(B115,'Profile selection'!B:C,2,FALSE)="Yes",TRUE,FALSE)</f>
        <v>1</v>
      </c>
      <c r="K115" s="22" t="b">
        <f>IF(AND(D115=MD!$A$1,M115),TRUE,(IF(AND(D115=MD!$A$3,M115),(IF(L115=TRUE,TRUE,FALSE)),(IF(AND(D115=MD!$A$2,M115),(IF(N115=TRUE,TRUE,FALSE)),FALSE)))))</f>
        <v>1</v>
      </c>
      <c r="M115" t="b">
        <f>IF(VLOOKUP(B115,'Profile selection'!B:C,2,FALSE)="Yes",TRUE,FALSE)</f>
        <v>1</v>
      </c>
      <c r="P115" s="73"/>
      <c r="Q115" s="73"/>
    </row>
    <row r="116" spans="1:17" x14ac:dyDescent="0.25">
      <c r="A116" t="str">
        <f>'HIDDEN import'!B116</f>
        <v>TC_M_21_CSMS</v>
      </c>
      <c r="B116" t="str">
        <f>'HIDDEN import'!C116</f>
        <v>Core</v>
      </c>
      <c r="C116" t="str">
        <f>'HIDDEN import'!D116</f>
        <v>Delete a certificate from a Charging Station - Failed</v>
      </c>
      <c r="D116" t="str">
        <f>IF(VLOOKUP(A116&amp;" "&amp;B116,'HIDDEN import'!A:G,5,FALSE)="M",MD!$A$1,(IF(AND(VLOOKUP(A116,'HIDDEN import'!B:E,4,FALSE)="C",OR(NOT(ISERROR(VLOOKUP(E116,'Optional features'!B:E,1,FALSE)=E116)),NOT(ISERROR(VLOOKUP(E116,'HIDDEN calc sheet'!A:C,1,FALSE)=E116)))),MD!$A$3,MD!$A$2)))</f>
        <v>Mandatory test for a mandatory feature</v>
      </c>
      <c r="E116" t="str">
        <f>IF('HIDDEN import'!F116=0,"",'HIDDEN import'!F116)</f>
        <v/>
      </c>
      <c r="F116" t="str">
        <f>IF('HIDDEN import'!G116=0,"",'HIDDEN import'!G116)</f>
        <v/>
      </c>
      <c r="G116" s="49" t="str">
        <f>IFERROR(VLOOKUP($A116,'HIDDEN Testrun Results'!$A:$B,2,FALSE),"")</f>
        <v/>
      </c>
      <c r="H116" s="49" t="b">
        <f t="shared" si="1"/>
        <v>1</v>
      </c>
      <c r="I116" s="49" t="b">
        <f>IF(VLOOKUP(A116&amp;" "&amp;B116,'HIDDEN import'!A:G,5,FALSE)="M",TRUE,IFERROR(VLOOKUP(E116,'Optional features'!B:E,3,FALSE)="Yes",IFERROR(VLOOKUP(E116,'HIDDEN calc sheet'!A:B,2,FALSE),VLOOKUP(E116,'Additional questions'!B:D,3,FALSE)="Yes")))</f>
        <v>1</v>
      </c>
      <c r="J116" t="b">
        <f>IF(VLOOKUP(B116,'Profile selection'!B:C,2,FALSE)="Yes",TRUE,FALSE)</f>
        <v>1</v>
      </c>
      <c r="K116" s="22" t="b">
        <f>IF(AND(D116=MD!$A$1,M116),TRUE,(IF(AND(D116=MD!$A$3,M116),(IF(L116=TRUE,TRUE,FALSE)),(IF(AND(D116=MD!$A$2,M116),(IF(N116=TRUE,TRUE,FALSE)),FALSE)))))</f>
        <v>1</v>
      </c>
      <c r="M116" t="b">
        <f>IF(VLOOKUP(B116,'Profile selection'!B:C,2,FALSE)="Yes",TRUE,FALSE)</f>
        <v>1</v>
      </c>
      <c r="P116" s="73"/>
      <c r="Q116" s="73"/>
    </row>
    <row r="117" spans="1:17" x14ac:dyDescent="0.25">
      <c r="A117" t="str">
        <f>'HIDDEN import'!B117</f>
        <v>TC_M_01_CSMS</v>
      </c>
      <c r="B117" t="str">
        <f>'HIDDEN import'!C117</f>
        <v>Core</v>
      </c>
      <c r="C117" t="str">
        <f>'HIDDEN import'!D117</f>
        <v>Install CA certificate - CSMSRootCertificate</v>
      </c>
      <c r="D117" t="str">
        <f>IF(VLOOKUP(A117&amp;" "&amp;B117,'HIDDEN import'!A:G,5,FALSE)="M",MD!$A$1,(IF(AND(VLOOKUP(A117,'HIDDEN import'!B:E,4,FALSE)="C",OR(NOT(ISERROR(VLOOKUP(E117,'Optional features'!B:E,1,FALSE)=E117)),NOT(ISERROR(VLOOKUP(E117,'HIDDEN calc sheet'!A:C,1,FALSE)=E117)))),MD!$A$3,MD!$A$2)))</f>
        <v>Mandatory test for a mandatory feature</v>
      </c>
      <c r="E117" t="str">
        <f>IF('HIDDEN import'!F117=0,"",'HIDDEN import'!F117)</f>
        <v/>
      </c>
      <c r="F117" t="str">
        <f>IF('HIDDEN import'!G117=0,"",'HIDDEN import'!G117)</f>
        <v/>
      </c>
      <c r="G117" s="49" t="str">
        <f>IFERROR(VLOOKUP($A117,'HIDDEN Testrun Results'!$A:$B,2,FALSE),"")</f>
        <v/>
      </c>
      <c r="H117" s="49" t="b">
        <f t="shared" si="1"/>
        <v>1</v>
      </c>
      <c r="I117" s="49" t="b">
        <f>IF(VLOOKUP(A117&amp;" "&amp;B117,'HIDDEN import'!A:G,5,FALSE)="M",TRUE,IFERROR(VLOOKUP(E117,'Optional features'!B:E,3,FALSE)="Yes",IFERROR(VLOOKUP(E117,'HIDDEN calc sheet'!A:B,2,FALSE),VLOOKUP(E117,'Additional questions'!B:D,3,FALSE)="Yes")))</f>
        <v>1</v>
      </c>
      <c r="J117" t="b">
        <f>IF(VLOOKUP(B117,'Profile selection'!B:C,2,FALSE)="Yes",TRUE,FALSE)</f>
        <v>1</v>
      </c>
      <c r="K117" s="22" t="b">
        <f>IF(AND(D117=MD!$A$1,M117),TRUE,(IF(AND(D117=MD!$A$3,M117),(IF(L117=TRUE,TRUE,FALSE)),(IF(AND(D117=MD!$A$2,M117),(IF(N117=TRUE,TRUE,FALSE)),FALSE)))))</f>
        <v>1</v>
      </c>
      <c r="M117" t="b">
        <f>IF(VLOOKUP(B117,'Profile selection'!B:C,2,FALSE)="Yes",TRUE,FALSE)</f>
        <v>1</v>
      </c>
      <c r="P117" s="73"/>
      <c r="Q117" s="73"/>
    </row>
    <row r="118" spans="1:17" x14ac:dyDescent="0.25">
      <c r="A118" t="str">
        <f>'HIDDEN import'!B118</f>
        <v>TC_M_02_CSMS</v>
      </c>
      <c r="B118" t="str">
        <f>'HIDDEN import'!C118</f>
        <v>Core</v>
      </c>
      <c r="C118" t="str">
        <f>'HIDDEN import'!D118</f>
        <v>Install CA certificate - ManufacturerRootCertificate</v>
      </c>
      <c r="D118" t="str">
        <f>IF(VLOOKUP(A118&amp;" "&amp;B118,'HIDDEN import'!A:G,5,FALSE)="M",MD!$A$1,(IF(AND(VLOOKUP(A118,'HIDDEN import'!B:E,4,FALSE)="C",OR(NOT(ISERROR(VLOOKUP(E118,'Optional features'!B:E,1,FALSE)=E118)),NOT(ISERROR(VLOOKUP(E118,'HIDDEN calc sheet'!A:C,1,FALSE)=E118)))),MD!$A$3,MD!$A$2)))</f>
        <v>Mandatory test for a mandatory feature</v>
      </c>
      <c r="E118" t="str">
        <f>IF('HIDDEN import'!F118=0,"",'HIDDEN import'!F118)</f>
        <v/>
      </c>
      <c r="F118" t="str">
        <f>IF('HIDDEN import'!G118=0,"",'HIDDEN import'!G118)</f>
        <v/>
      </c>
      <c r="G118" s="49" t="str">
        <f>IFERROR(VLOOKUP($A118,'HIDDEN Testrun Results'!$A:$B,2,FALSE),"")</f>
        <v/>
      </c>
      <c r="H118" s="49" t="b">
        <f t="shared" si="1"/>
        <v>1</v>
      </c>
      <c r="I118" s="49" t="b">
        <f>IF(VLOOKUP(A118&amp;" "&amp;B118,'HIDDEN import'!A:G,5,FALSE)="M",TRUE,IFERROR(VLOOKUP(E118,'Optional features'!B:E,3,FALSE)="Yes",IFERROR(VLOOKUP(E118,'HIDDEN calc sheet'!A:B,2,FALSE),VLOOKUP(E118,'Additional questions'!B:D,3,FALSE)="Yes")))</f>
        <v>1</v>
      </c>
      <c r="J118" t="b">
        <f>IF(VLOOKUP(B118,'Profile selection'!B:C,2,FALSE)="Yes",TRUE,FALSE)</f>
        <v>1</v>
      </c>
      <c r="K118" s="22" t="b">
        <f>IF(AND(D118=MD!$A$1,M118),TRUE,(IF(AND(D118=MD!$A$3,M118),(IF(L118=TRUE,TRUE,FALSE)),(IF(AND(D118=MD!$A$2,M118),(IF(N118=TRUE,TRUE,FALSE)),FALSE)))))</f>
        <v>1</v>
      </c>
      <c r="M118" t="b">
        <f>IF(VLOOKUP(B118,'Profile selection'!B:C,2,FALSE)="Yes",TRUE,FALSE)</f>
        <v>1</v>
      </c>
      <c r="P118" s="73"/>
      <c r="Q118" s="73"/>
    </row>
    <row r="119" spans="1:17" x14ac:dyDescent="0.25">
      <c r="A119" t="str">
        <f>'HIDDEN import'!B119</f>
        <v>TC_M_05_CSMS</v>
      </c>
      <c r="B119" t="str">
        <f>'HIDDEN import'!C119</f>
        <v>Core</v>
      </c>
      <c r="C119" t="str">
        <f>'HIDDEN import'!D119</f>
        <v>Install CA certificate - Failed</v>
      </c>
      <c r="D119" t="str">
        <f>IF(VLOOKUP(A119&amp;" "&amp;B119,'HIDDEN import'!A:G,5,FALSE)="M",MD!$A$1,(IF(AND(VLOOKUP(A119,'HIDDEN import'!B:E,4,FALSE)="C",OR(NOT(ISERROR(VLOOKUP(E119,'Optional features'!B:E,1,FALSE)=E119)),NOT(ISERROR(VLOOKUP(E119,'HIDDEN calc sheet'!A:C,1,FALSE)=E119)))),MD!$A$3,MD!$A$2)))</f>
        <v>Mandatory test for a mandatory feature</v>
      </c>
      <c r="E119" t="str">
        <f>IF('HIDDEN import'!F119=0,"",'HIDDEN import'!F119)</f>
        <v/>
      </c>
      <c r="F119" t="str">
        <f>IF('HIDDEN import'!G119=0,"",'HIDDEN import'!G119)</f>
        <v/>
      </c>
      <c r="G119" s="49" t="str">
        <f>IFERROR(VLOOKUP($A119,'HIDDEN Testrun Results'!$A:$B,2,FALSE),"")</f>
        <v/>
      </c>
      <c r="H119" s="49" t="b">
        <f t="shared" si="1"/>
        <v>1</v>
      </c>
      <c r="I119" s="49" t="b">
        <f>IF(VLOOKUP(A119&amp;" "&amp;B119,'HIDDEN import'!A:G,5,FALSE)="M",TRUE,IFERROR(VLOOKUP(E119,'Optional features'!B:E,3,FALSE)="Yes",IFERROR(VLOOKUP(E119,'HIDDEN calc sheet'!A:B,2,FALSE),VLOOKUP(E119,'Additional questions'!B:D,3,FALSE)="Yes")))</f>
        <v>1</v>
      </c>
      <c r="J119" t="b">
        <f>IF(VLOOKUP(B119,'Profile selection'!B:C,2,FALSE)="Yes",TRUE,FALSE)</f>
        <v>1</v>
      </c>
      <c r="K119" s="22" t="b">
        <f>IF(AND(D119=MD!$A$1,M119),TRUE,(IF(AND(D119=MD!$A$3,M119),(IF(L119=TRUE,TRUE,FALSE)),(IF(AND(D119=MD!$A$2,M119),(IF(N119=TRUE,TRUE,FALSE)),FALSE)))))</f>
        <v>1</v>
      </c>
      <c r="M119" t="b">
        <f>IF(VLOOKUP(B119,'Profile selection'!B:C,2,FALSE)="Yes",TRUE,FALSE)</f>
        <v>1</v>
      </c>
      <c r="P119" s="73"/>
      <c r="Q119" s="73"/>
    </row>
    <row r="120" spans="1:17" x14ac:dyDescent="0.25">
      <c r="A120" t="str">
        <f>'HIDDEN import'!B120</f>
        <v>TC_N_25_CSMS</v>
      </c>
      <c r="B120" t="str">
        <f>'HIDDEN import'!C120</f>
        <v>Core</v>
      </c>
      <c r="C120" t="str">
        <f>'HIDDEN import'!D120</f>
        <v>Retrieve Log Information - Diagnostics Log - Success</v>
      </c>
      <c r="D120" t="str">
        <f>IF(VLOOKUP(A120&amp;" "&amp;B120,'HIDDEN import'!A:G,5,FALSE)="M",MD!$A$1,(IF(AND(VLOOKUP(A120,'HIDDEN import'!B:E,4,FALSE)="C",OR(NOT(ISERROR(VLOOKUP(E120,'Optional features'!B:E,1,FALSE)=E120)),NOT(ISERROR(VLOOKUP(E120,'HIDDEN calc sheet'!A:C,1,FALSE)=E120)))),MD!$A$3,MD!$A$2)))</f>
        <v>Mandatory test for a mandatory feature</v>
      </c>
      <c r="E120" t="str">
        <f>IF('HIDDEN import'!F120=0,"",'HIDDEN import'!F120)</f>
        <v/>
      </c>
      <c r="F120" t="str">
        <f>IF('HIDDEN import'!G120=0,"",'HIDDEN import'!G120)</f>
        <v/>
      </c>
      <c r="G120" s="49" t="str">
        <f>IFERROR(VLOOKUP($A120,'HIDDEN Testrun Results'!$A:$B,2,FALSE),"")</f>
        <v/>
      </c>
      <c r="H120" s="49" t="b">
        <f t="shared" si="1"/>
        <v>1</v>
      </c>
      <c r="I120" s="49" t="b">
        <f>IF(VLOOKUP(A120&amp;" "&amp;B120,'HIDDEN import'!A:G,5,FALSE)="M",TRUE,IFERROR(VLOOKUP(E120,'Optional features'!B:E,3,FALSE)="Yes",IFERROR(VLOOKUP(E120,'HIDDEN calc sheet'!A:B,2,FALSE),VLOOKUP(E120,'Additional questions'!B:D,3,FALSE)="Yes")))</f>
        <v>1</v>
      </c>
      <c r="J120" t="b">
        <f>IF(VLOOKUP(B120,'Profile selection'!B:C,2,FALSE)="Yes",TRUE,FALSE)</f>
        <v>1</v>
      </c>
      <c r="K120" s="22" t="b">
        <f>IF(AND(D120=MD!$A$1,M120),TRUE,(IF(AND(D120=MD!$A$3,M120),(IF(L120=TRUE,TRUE,FALSE)),(IF(AND(D120=MD!$A$2,M120),(IF(N120=TRUE,TRUE,FALSE)),FALSE)))))</f>
        <v>1</v>
      </c>
      <c r="M120" t="b">
        <f>IF(VLOOKUP(B120,'Profile selection'!B:C,2,FALSE)="Yes",TRUE,FALSE)</f>
        <v>1</v>
      </c>
      <c r="P120" s="73"/>
      <c r="Q120" s="73"/>
    </row>
    <row r="121" spans="1:17" x14ac:dyDescent="0.25">
      <c r="A121" t="str">
        <f>'HIDDEN import'!B121</f>
        <v>TC_N_34_CSMS</v>
      </c>
      <c r="B121" t="str">
        <f>'HIDDEN import'!C121</f>
        <v>Core</v>
      </c>
      <c r="C121" t="str">
        <f>'HIDDEN import'!D121</f>
        <v>Retrieve Log Information - Rejected</v>
      </c>
      <c r="D121" t="str">
        <f>IF(VLOOKUP(A121&amp;" "&amp;B121,'HIDDEN import'!A:G,5,FALSE)="M",MD!$A$1,(IF(AND(VLOOKUP(A121,'HIDDEN import'!B:E,4,FALSE)="C",OR(NOT(ISERROR(VLOOKUP(E121,'Optional features'!B:E,1,FALSE)=E121)),NOT(ISERROR(VLOOKUP(E121,'HIDDEN calc sheet'!A:C,1,FALSE)=E121)))),MD!$A$3,MD!$A$2)))</f>
        <v>Mandatory test for a mandatory feature</v>
      </c>
      <c r="E121" t="str">
        <f>IF('HIDDEN import'!F121=0,"",'HIDDEN import'!F121)</f>
        <v/>
      </c>
      <c r="F121" t="str">
        <f>IF('HIDDEN import'!G121=0,"",'HIDDEN import'!G121)</f>
        <v/>
      </c>
      <c r="G121" s="49" t="str">
        <f>IFERROR(VLOOKUP($A121,'HIDDEN Testrun Results'!$A:$B,2,FALSE),"")</f>
        <v/>
      </c>
      <c r="H121" s="49" t="b">
        <f t="shared" si="1"/>
        <v>1</v>
      </c>
      <c r="I121" s="49" t="b">
        <f>IF(VLOOKUP(A121&amp;" "&amp;B121,'HIDDEN import'!A:G,5,FALSE)="M",TRUE,IFERROR(VLOOKUP(E121,'Optional features'!B:E,3,FALSE)="Yes",IFERROR(VLOOKUP(E121,'HIDDEN calc sheet'!A:B,2,FALSE),VLOOKUP(E121,'Additional questions'!B:D,3,FALSE)="Yes")))</f>
        <v>1</v>
      </c>
      <c r="J121" t="b">
        <f>IF(VLOOKUP(B121,'Profile selection'!B:C,2,FALSE)="Yes",TRUE,FALSE)</f>
        <v>1</v>
      </c>
      <c r="K121" s="22" t="b">
        <f>IF(AND(D121=MD!$A$1,M121),TRUE,(IF(AND(D121=MD!$A$3,M121),(IF(L121=TRUE,TRUE,FALSE)),(IF(AND(D121=MD!$A$2,M121),(IF(N121=TRUE,TRUE,FALSE)),FALSE)))))</f>
        <v>1</v>
      </c>
      <c r="M121" t="b">
        <f>IF(VLOOKUP(B121,'Profile selection'!B:C,2,FALSE)="Yes",TRUE,FALSE)</f>
        <v>1</v>
      </c>
      <c r="P121" s="73"/>
      <c r="Q121" s="73"/>
    </row>
    <row r="122" spans="1:17" x14ac:dyDescent="0.25">
      <c r="A122" t="str">
        <f>'HIDDEN import'!B122</f>
        <v>TC_N_35_CSMS</v>
      </c>
      <c r="B122" t="str">
        <f>'HIDDEN import'!C122</f>
        <v>Core</v>
      </c>
      <c r="C122" t="str">
        <f>'HIDDEN import'!D122</f>
        <v>Retrieve Log Information - Security Log - Success</v>
      </c>
      <c r="D122" t="str">
        <f>IF(VLOOKUP(A122&amp;" "&amp;B122,'HIDDEN import'!A:G,5,FALSE)="M",MD!$A$1,(IF(AND(VLOOKUP(A122,'HIDDEN import'!B:E,4,FALSE)="C",OR(NOT(ISERROR(VLOOKUP(E122,'Optional features'!B:E,1,FALSE)=E122)),NOT(ISERROR(VLOOKUP(E122,'HIDDEN calc sheet'!A:C,1,FALSE)=E122)))),MD!$A$3,MD!$A$2)))</f>
        <v>Mandatory test for a mandatory feature</v>
      </c>
      <c r="E122" t="str">
        <f>IF('HIDDEN import'!F122=0,"",'HIDDEN import'!F122)</f>
        <v/>
      </c>
      <c r="F122" t="str">
        <f>IF('HIDDEN import'!G122=0,"",'HIDDEN import'!G122)</f>
        <v/>
      </c>
      <c r="G122" s="49" t="str">
        <f>IFERROR(VLOOKUP($A122,'HIDDEN Testrun Results'!$A:$B,2,FALSE),"")</f>
        <v/>
      </c>
      <c r="H122" s="49" t="b">
        <f t="shared" si="1"/>
        <v>1</v>
      </c>
      <c r="I122" s="49" t="b">
        <f>IF(VLOOKUP(A122&amp;" "&amp;B122,'HIDDEN import'!A:G,5,FALSE)="M",TRUE,IFERROR(VLOOKUP(E122,'Optional features'!B:E,3,FALSE)="Yes",IFERROR(VLOOKUP(E122,'HIDDEN calc sheet'!A:B,2,FALSE),VLOOKUP(E122,'Additional questions'!B:D,3,FALSE)="Yes")))</f>
        <v>1</v>
      </c>
      <c r="J122" t="b">
        <f>IF(VLOOKUP(B122,'Profile selection'!B:C,2,FALSE)="Yes",TRUE,FALSE)</f>
        <v>1</v>
      </c>
      <c r="K122" s="22" t="b">
        <f>IF(AND(D122=MD!$A$1,M122),TRUE,(IF(AND(D122=MD!$A$3,M122),(IF(L122=TRUE,TRUE,FALSE)),(IF(AND(D122=MD!$A$2,M122),(IF(N122=TRUE,TRUE,FALSE)),FALSE)))))</f>
        <v>1</v>
      </c>
      <c r="M122" t="b">
        <f>IF(VLOOKUP(B122,'Profile selection'!B:C,2,FALSE)="Yes",TRUE,FALSE)</f>
        <v>1</v>
      </c>
      <c r="P122" s="73"/>
      <c r="Q122" s="73"/>
    </row>
    <row r="123" spans="1:17" x14ac:dyDescent="0.25">
      <c r="A123" t="str">
        <f>'HIDDEN import'!B123</f>
        <v>TC_N_36_CSMS</v>
      </c>
      <c r="B123" t="str">
        <f>'HIDDEN import'!C123</f>
        <v>Core</v>
      </c>
      <c r="C123" t="str">
        <f>'HIDDEN import'!D123</f>
        <v>Retrieve Log Information - Second Request</v>
      </c>
      <c r="D123" t="str">
        <f>IF(VLOOKUP(A123&amp;" "&amp;B123,'HIDDEN import'!A:G,5,FALSE)="M",MD!$A$1,(IF(AND(VLOOKUP(A123,'HIDDEN import'!B:E,4,FALSE)="C",OR(NOT(ISERROR(VLOOKUP(E123,'Optional features'!B:E,1,FALSE)=E123)),NOT(ISERROR(VLOOKUP(E123,'HIDDEN calc sheet'!A:C,1,FALSE)=E123)))),MD!$A$3,MD!$A$2)))</f>
        <v>Mandatory test for a mandatory feature</v>
      </c>
      <c r="E123" t="str">
        <f>IF('HIDDEN import'!F123=0,"",'HIDDEN import'!F123)</f>
        <v>C-57</v>
      </c>
      <c r="F123" t="str">
        <f>IF('HIDDEN import'!G123=0,"",'HIDDEN import'!G123)</f>
        <v/>
      </c>
      <c r="G123" s="49" t="str">
        <f>IFERROR(VLOOKUP($A123,'HIDDEN Testrun Results'!$A:$B,2,FALSE),"")</f>
        <v/>
      </c>
      <c r="H123" s="49" t="b">
        <f t="shared" si="1"/>
        <v>1</v>
      </c>
      <c r="I123" s="49" t="b">
        <f>IF(VLOOKUP(A123&amp;" "&amp;B123,'HIDDEN import'!A:G,5,FALSE)="M",TRUE,IFERROR(VLOOKUP(E123,'Optional features'!B:E,3,FALSE)="Yes",IFERROR(VLOOKUP(E123,'HIDDEN calc sheet'!A:B,2,FALSE),VLOOKUP(E123,'Additional questions'!B:D,3,FALSE)="Yes")))</f>
        <v>1</v>
      </c>
      <c r="J123" t="b">
        <f>IF(VLOOKUP(B123,'Profile selection'!B:C,2,FALSE)="Yes",TRUE,FALSE)</f>
        <v>1</v>
      </c>
      <c r="K123" s="22" t="b">
        <f>IF(AND(D123=MD!$A$1,M123),TRUE,(IF(AND(D123=MD!$A$3,M123),(IF(L123=TRUE,TRUE,FALSE)),(IF(AND(D123=MD!$A$2,M123),(IF(N123=TRUE,TRUE,FALSE)),FALSE)))))</f>
        <v>1</v>
      </c>
      <c r="M123" t="b">
        <f>IF(VLOOKUP(B123,'Profile selection'!B:C,2,FALSE)="Yes",TRUE,FALSE)</f>
        <v>1</v>
      </c>
      <c r="P123" s="73"/>
      <c r="Q123" s="73"/>
    </row>
    <row r="124" spans="1:17" x14ac:dyDescent="0.25">
      <c r="A124" t="str">
        <f>'HIDDEN import'!B124</f>
        <v>TC_N_27_CSMS</v>
      </c>
      <c r="B124" t="str">
        <f>'HIDDEN import'!C124</f>
        <v>Core</v>
      </c>
      <c r="C124" t="str">
        <f>'HIDDEN import'!D124</f>
        <v>Get Customer Information - Accepted + data</v>
      </c>
      <c r="D124" t="str">
        <f>IF(VLOOKUP(A124&amp;" "&amp;B124,'HIDDEN import'!A:G,5,FALSE)="M",MD!$A$1,(IF(AND(VLOOKUP(A124,'HIDDEN import'!B:E,4,FALSE)="C",OR(NOT(ISERROR(VLOOKUP(E124,'Optional features'!B:E,1,FALSE)=E124)),NOT(ISERROR(VLOOKUP(E124,'HIDDEN calc sheet'!A:C,1,FALSE)=E124)))),MD!$A$3,MD!$A$2)))</f>
        <v>Mandatory test for a mandatory feature</v>
      </c>
      <c r="E124" t="str">
        <f>IF('HIDDEN import'!F124=0,"",'HIDDEN import'!F124)</f>
        <v>(C-30 or C-31 or C-34) and (Local Authorization List Management or C-49)</v>
      </c>
      <c r="F124" t="str">
        <f>IF('HIDDEN import'!G124=0,"",'HIDDEN import'!G124)</f>
        <v/>
      </c>
      <c r="G124" s="49" t="str">
        <f>IFERROR(VLOOKUP($A124,'HIDDEN Testrun Results'!$A:$B,2,FALSE),"")</f>
        <v/>
      </c>
      <c r="H124" s="49" t="b">
        <f t="shared" si="1"/>
        <v>1</v>
      </c>
      <c r="I124" s="49" t="b">
        <f>IF(VLOOKUP(A124&amp;" "&amp;B124,'HIDDEN import'!A:G,5,FALSE)="M",TRUE,IFERROR(VLOOKUP(E124,'Optional features'!B:E,3,FALSE)="Yes",IFERROR(VLOOKUP(E124,'HIDDEN calc sheet'!A:B,2,FALSE),VLOOKUP(E124,'Additional questions'!B:D,3,FALSE)="Yes")))</f>
        <v>1</v>
      </c>
      <c r="J124" t="b">
        <f>IF(VLOOKUP(B124,'Profile selection'!B:C,2,FALSE)="Yes",TRUE,FALSE)</f>
        <v>1</v>
      </c>
      <c r="K124" s="22" t="b">
        <f>IF(AND(D124=MD!$A$1,M124),TRUE,(IF(AND(D124=MD!$A$3,M124),(IF(L124=TRUE,TRUE,FALSE)),(IF(AND(D124=MD!$A$2,M124),(IF(N124=TRUE,TRUE,FALSE)),FALSE)))))</f>
        <v>1</v>
      </c>
      <c r="M124" t="b">
        <f>IF(VLOOKUP(B124,'Profile selection'!B:C,2,FALSE)="Yes",TRUE,FALSE)</f>
        <v>1</v>
      </c>
      <c r="P124" s="73"/>
      <c r="Q124" s="73"/>
    </row>
    <row r="125" spans="1:17" x14ac:dyDescent="0.25">
      <c r="A125" t="str">
        <f>'HIDDEN import'!B125</f>
        <v>TC_N_28_CSMS</v>
      </c>
      <c r="B125" t="str">
        <f>'HIDDEN import'!C125</f>
        <v>Core</v>
      </c>
      <c r="C125" t="str">
        <f>'HIDDEN import'!D125</f>
        <v>Get Customer Information - Accepted + no data</v>
      </c>
      <c r="D125" t="str">
        <f>IF(VLOOKUP(A125&amp;" "&amp;B125,'HIDDEN import'!A:G,5,FALSE)="M",MD!$A$1,(IF(AND(VLOOKUP(A125,'HIDDEN import'!B:E,4,FALSE)="C",OR(NOT(ISERROR(VLOOKUP(E125,'Optional features'!B:E,1,FALSE)=E125)),NOT(ISERROR(VLOOKUP(E125,'HIDDEN calc sheet'!A:C,1,FALSE)=E125)))),MD!$A$3,MD!$A$2)))</f>
        <v>Mandatory test for a mandatory feature</v>
      </c>
      <c r="E125" t="str">
        <f>IF('HIDDEN import'!F125=0,"",'HIDDEN import'!F125)</f>
        <v>(C-30 or C-31 or C-34) and (Local Authorization List Management or C-49)</v>
      </c>
      <c r="F125" t="str">
        <f>IF('HIDDEN import'!G125=0,"",'HIDDEN import'!G125)</f>
        <v/>
      </c>
      <c r="G125" s="49" t="str">
        <f>IFERROR(VLOOKUP($A125,'HIDDEN Testrun Results'!$A:$B,2,FALSE),"")</f>
        <v/>
      </c>
      <c r="H125" s="49" t="b">
        <f t="shared" si="1"/>
        <v>1</v>
      </c>
      <c r="I125" s="49" t="b">
        <f>IF(VLOOKUP(A125&amp;" "&amp;B125,'HIDDEN import'!A:G,5,FALSE)="M",TRUE,IFERROR(VLOOKUP(E125,'Optional features'!B:E,3,FALSE)="Yes",IFERROR(VLOOKUP(E125,'HIDDEN calc sheet'!A:B,2,FALSE),VLOOKUP(E125,'Additional questions'!B:D,3,FALSE)="Yes")))</f>
        <v>1</v>
      </c>
      <c r="J125" t="b">
        <f>IF(VLOOKUP(B125,'Profile selection'!B:C,2,FALSE)="Yes",TRUE,FALSE)</f>
        <v>1</v>
      </c>
      <c r="K125" s="22" t="b">
        <f>IF(AND(D125=MD!$A$1,M125),TRUE,(IF(AND(D125=MD!$A$3,M125),(IF(L125=TRUE,TRUE,FALSE)),(IF(AND(D125=MD!$A$2,M125),(IF(N125=TRUE,TRUE,FALSE)),FALSE)))))</f>
        <v>1</v>
      </c>
      <c r="M125" t="b">
        <f>IF(VLOOKUP(B125,'Profile selection'!B:C,2,FALSE)="Yes",TRUE,FALSE)</f>
        <v>1</v>
      </c>
      <c r="P125" s="73"/>
      <c r="Q125" s="73"/>
    </row>
    <row r="126" spans="1:17" x14ac:dyDescent="0.25">
      <c r="A126" t="str">
        <f>'HIDDEN import'!B126</f>
        <v>TC_N_29_CSMS</v>
      </c>
      <c r="B126" t="str">
        <f>'HIDDEN import'!C126</f>
        <v>Core</v>
      </c>
      <c r="C126" t="str">
        <f>'HIDDEN import'!D126</f>
        <v>Get Customer Information - Not Accepted</v>
      </c>
      <c r="D126" t="str">
        <f>IF(VLOOKUP(A126&amp;" "&amp;B126,'HIDDEN import'!A:G,5,FALSE)="M",MD!$A$1,(IF(AND(VLOOKUP(A126,'HIDDEN import'!B:E,4,FALSE)="C",OR(NOT(ISERROR(VLOOKUP(E126,'Optional features'!B:E,1,FALSE)=E126)),NOT(ISERROR(VLOOKUP(E126,'HIDDEN calc sheet'!A:C,1,FALSE)=E126)))),MD!$A$3,MD!$A$2)))</f>
        <v>Mandatory test for a mandatory feature</v>
      </c>
      <c r="E126" t="str">
        <f>IF('HIDDEN import'!F126=0,"",'HIDDEN import'!F126)</f>
        <v/>
      </c>
      <c r="F126" t="str">
        <f>IF('HIDDEN import'!G126=0,"",'HIDDEN import'!G126)</f>
        <v/>
      </c>
      <c r="G126" s="49" t="str">
        <f>IFERROR(VLOOKUP($A126,'HIDDEN Testrun Results'!$A:$B,2,FALSE),"")</f>
        <v/>
      </c>
      <c r="H126" s="49" t="b">
        <f t="shared" si="1"/>
        <v>1</v>
      </c>
      <c r="I126" s="49" t="b">
        <f>IF(VLOOKUP(A126&amp;" "&amp;B126,'HIDDEN import'!A:G,5,FALSE)="M",TRUE,IFERROR(VLOOKUP(E126,'Optional features'!B:E,3,FALSE)="Yes",IFERROR(VLOOKUP(E126,'HIDDEN calc sheet'!A:B,2,FALSE),VLOOKUP(E126,'Additional questions'!B:D,3,FALSE)="Yes")))</f>
        <v>1</v>
      </c>
      <c r="J126" t="b">
        <f>IF(VLOOKUP(B126,'Profile selection'!B:C,2,FALSE)="Yes",TRUE,FALSE)</f>
        <v>1</v>
      </c>
      <c r="K126" s="22" t="b">
        <f>IF(AND(D126=MD!$A$1,M126),TRUE,(IF(AND(D126=MD!$A$3,M126),(IF(L126=TRUE,TRUE,FALSE)),(IF(AND(D126=MD!$A$2,M126),(IF(N126=TRUE,TRUE,FALSE)),FALSE)))))</f>
        <v>1</v>
      </c>
      <c r="M126" t="b">
        <f>IF(VLOOKUP(B126,'Profile selection'!B:C,2,FALSE)="Yes",TRUE,FALSE)</f>
        <v>1</v>
      </c>
      <c r="P126" s="73"/>
      <c r="Q126" s="73"/>
    </row>
    <row r="127" spans="1:17" x14ac:dyDescent="0.25">
      <c r="A127" t="str">
        <f>'HIDDEN import'!B127</f>
        <v>TC_N_30_CSMS</v>
      </c>
      <c r="B127" t="str">
        <f>'HIDDEN import'!C127</f>
        <v>Core</v>
      </c>
      <c r="C127" t="str">
        <f>'HIDDEN import'!D127</f>
        <v>Clear Customer Information - Clear and report + data</v>
      </c>
      <c r="D127" t="str">
        <f>IF(VLOOKUP(A127&amp;" "&amp;B127,'HIDDEN import'!A:G,5,FALSE)="M",MD!$A$1,(IF(AND(VLOOKUP(A127,'HIDDEN import'!B:E,4,FALSE)="C",OR(NOT(ISERROR(VLOOKUP(E127,'Optional features'!B:E,1,FALSE)=E127)),NOT(ISERROR(VLOOKUP(E127,'HIDDEN calc sheet'!A:C,1,FALSE)=E127)))),MD!$A$3,MD!$A$2)))</f>
        <v>Mandatory test for a mandatory feature</v>
      </c>
      <c r="E127" t="str">
        <f>IF('HIDDEN import'!F127=0,"",'HIDDEN import'!F127)</f>
        <v>(C-30 or C-31 or C-34) and (Local Authorization List Management or C-49)</v>
      </c>
      <c r="F127" t="str">
        <f>IF('HIDDEN import'!G127=0,"",'HIDDEN import'!G127)</f>
        <v/>
      </c>
      <c r="G127" s="49" t="str">
        <f>IFERROR(VLOOKUP($A127,'HIDDEN Testrun Results'!$A:$B,2,FALSE),"")</f>
        <v/>
      </c>
      <c r="H127" s="49" t="b">
        <f t="shared" si="1"/>
        <v>1</v>
      </c>
      <c r="I127" s="49" t="b">
        <f>IF(VLOOKUP(A127&amp;" "&amp;B127,'HIDDEN import'!A:G,5,FALSE)="M",TRUE,IFERROR(VLOOKUP(E127,'Optional features'!B:E,3,FALSE)="Yes",IFERROR(VLOOKUP(E127,'HIDDEN calc sheet'!A:B,2,FALSE),VLOOKUP(E127,'Additional questions'!B:D,3,FALSE)="Yes")))</f>
        <v>1</v>
      </c>
      <c r="J127" t="b">
        <f>IF(VLOOKUP(B127,'Profile selection'!B:C,2,FALSE)="Yes",TRUE,FALSE)</f>
        <v>1</v>
      </c>
      <c r="K127" s="22" t="b">
        <f>IF(AND(D127=MD!$A$1,M127),TRUE,(IF(AND(D127=MD!$A$3,M127),(IF(L127=TRUE,TRUE,FALSE)),(IF(AND(D127=MD!$A$2,M127),(IF(N127=TRUE,TRUE,FALSE)),FALSE)))))</f>
        <v>1</v>
      </c>
      <c r="M127" t="b">
        <f>IF(VLOOKUP(B127,'Profile selection'!B:C,2,FALSE)="Yes",TRUE,FALSE)</f>
        <v>1</v>
      </c>
      <c r="P127" s="73"/>
      <c r="Q127" s="73"/>
    </row>
    <row r="128" spans="1:17" x14ac:dyDescent="0.25">
      <c r="A128" t="str">
        <f>'HIDDEN import'!B128</f>
        <v>TC_N_31_CSMS</v>
      </c>
      <c r="B128" t="str">
        <f>'HIDDEN import'!C128</f>
        <v>Core</v>
      </c>
      <c r="C128" t="str">
        <f>'HIDDEN import'!D128</f>
        <v>Clear Customer Information - Clear and report + no data</v>
      </c>
      <c r="D128" t="str">
        <f>IF(VLOOKUP(A128&amp;" "&amp;B128,'HIDDEN import'!A:G,5,FALSE)="M",MD!$A$1,(IF(AND(VLOOKUP(A128,'HIDDEN import'!B:E,4,FALSE)="C",OR(NOT(ISERROR(VLOOKUP(E128,'Optional features'!B:E,1,FALSE)=E128)),NOT(ISERROR(VLOOKUP(E128,'HIDDEN calc sheet'!A:C,1,FALSE)=E128)))),MD!$A$3,MD!$A$2)))</f>
        <v>Mandatory test for a mandatory feature</v>
      </c>
      <c r="E128" t="str">
        <f>IF('HIDDEN import'!F128=0,"",'HIDDEN import'!F128)</f>
        <v>(C-30 or C-31 or C-34) and (Local Authorization List Management or C-49)</v>
      </c>
      <c r="F128" t="str">
        <f>IF('HIDDEN import'!G128=0,"",'HIDDEN import'!G128)</f>
        <v/>
      </c>
      <c r="G128" s="49" t="str">
        <f>IFERROR(VLOOKUP($A128,'HIDDEN Testrun Results'!$A:$B,2,FALSE),"")</f>
        <v/>
      </c>
      <c r="H128" s="49" t="b">
        <f t="shared" si="1"/>
        <v>1</v>
      </c>
      <c r="I128" s="49" t="b">
        <f>IF(VLOOKUP(A128&amp;" "&amp;B128,'HIDDEN import'!A:G,5,FALSE)="M",TRUE,IFERROR(VLOOKUP(E128,'Optional features'!B:E,3,FALSE)="Yes",IFERROR(VLOOKUP(E128,'HIDDEN calc sheet'!A:B,2,FALSE),VLOOKUP(E128,'Additional questions'!B:D,3,FALSE)="Yes")))</f>
        <v>1</v>
      </c>
      <c r="J128" t="b">
        <f>IF(VLOOKUP(B128,'Profile selection'!B:C,2,FALSE)="Yes",TRUE,FALSE)</f>
        <v>1</v>
      </c>
      <c r="K128" s="22" t="b">
        <f>IF(AND(D128=MD!$A$1,M128),TRUE,(IF(AND(D128=MD!$A$3,M128),(IF(L128=TRUE,TRUE,FALSE)),(IF(AND(D128=MD!$A$2,M128),(IF(N128=TRUE,TRUE,FALSE)),FALSE)))))</f>
        <v>1</v>
      </c>
      <c r="M128" t="b">
        <f>IF(VLOOKUP(B128,'Profile selection'!B:C,2,FALSE)="Yes",TRUE,FALSE)</f>
        <v>1</v>
      </c>
      <c r="P128" s="73"/>
      <c r="Q128" s="73"/>
    </row>
    <row r="129" spans="1:17" x14ac:dyDescent="0.25">
      <c r="A129" t="str">
        <f>'HIDDEN import'!B129</f>
        <v>TC_N_32_CSMS</v>
      </c>
      <c r="B129" t="str">
        <f>'HIDDEN import'!C129</f>
        <v>Core</v>
      </c>
      <c r="C129" t="str">
        <f>'HIDDEN import'!D129</f>
        <v>Clear Customer Information - Clear and no report</v>
      </c>
      <c r="D129" t="str">
        <f>IF(VLOOKUP(A129&amp;" "&amp;B129,'HIDDEN import'!A:G,5,FALSE)="M",MD!$A$1,(IF(AND(VLOOKUP(A129,'HIDDEN import'!B:E,4,FALSE)="C",OR(NOT(ISERROR(VLOOKUP(E129,'Optional features'!B:E,1,FALSE)=E129)),NOT(ISERROR(VLOOKUP(E129,'HIDDEN calc sheet'!A:C,1,FALSE)=E129)))),MD!$A$3,MD!$A$2)))</f>
        <v>Mandatory test for a mandatory feature</v>
      </c>
      <c r="E129" t="str">
        <f>IF('HIDDEN import'!F129=0,"",'HIDDEN import'!F129)</f>
        <v/>
      </c>
      <c r="F129" t="str">
        <f>IF('HIDDEN import'!G129=0,"",'HIDDEN import'!G129)</f>
        <v/>
      </c>
      <c r="G129" s="49" t="str">
        <f>IFERROR(VLOOKUP($A129,'HIDDEN Testrun Results'!$A:$B,2,FALSE),"")</f>
        <v/>
      </c>
      <c r="H129" s="49" t="b">
        <f t="shared" si="1"/>
        <v>1</v>
      </c>
      <c r="I129" s="49" t="b">
        <f>IF(VLOOKUP(A129&amp;" "&amp;B129,'HIDDEN import'!A:G,5,FALSE)="M",TRUE,IFERROR(VLOOKUP(E129,'Optional features'!B:E,3,FALSE)="Yes",IFERROR(VLOOKUP(E129,'HIDDEN calc sheet'!A:B,2,FALSE),VLOOKUP(E129,'Additional questions'!B:D,3,FALSE)="Yes")))</f>
        <v>1</v>
      </c>
      <c r="J129" t="b">
        <f>IF(VLOOKUP(B129,'Profile selection'!B:C,2,FALSE)="Yes",TRUE,FALSE)</f>
        <v>1</v>
      </c>
      <c r="K129" s="22" t="b">
        <f>IF(AND(D129=MD!$A$1,M129),TRUE,(IF(AND(D129=MD!$A$3,M129),(IF(L129=TRUE,TRUE,FALSE)),(IF(AND(D129=MD!$A$2,M129),(IF(N129=TRUE,TRUE,FALSE)),FALSE)))))</f>
        <v>1</v>
      </c>
      <c r="M129" t="b">
        <f>IF(VLOOKUP(B129,'Profile selection'!B:C,2,FALSE)="Yes",TRUE,FALSE)</f>
        <v>1</v>
      </c>
      <c r="P129" s="73"/>
      <c r="Q129" s="73"/>
    </row>
    <row r="130" spans="1:17" x14ac:dyDescent="0.25">
      <c r="A130" t="str">
        <f>'HIDDEN import'!B130</f>
        <v>TC_N_62_CSMS</v>
      </c>
      <c r="B130" t="str">
        <f>'HIDDEN import'!C130</f>
        <v>Core</v>
      </c>
      <c r="C130" t="str">
        <f>'HIDDEN import'!D130</f>
        <v>Clear Customer Information - Clear and report - customerIdentifier</v>
      </c>
      <c r="D130" t="str">
        <f>IF(VLOOKUP(A130&amp;" "&amp;B130,'HIDDEN import'!A:G,5,FALSE)="M",MD!$A$1,(IF(AND(VLOOKUP(A130,'HIDDEN import'!B:E,4,FALSE)="C",OR(NOT(ISERROR(VLOOKUP(E130,'Optional features'!B:E,1,FALSE)=E130)),NOT(ISERROR(VLOOKUP(E130,'HIDDEN calc sheet'!A:C,1,FALSE)=E130)))),MD!$A$3,MD!$A$2)))</f>
        <v>Mandatory for optional feature</v>
      </c>
      <c r="E130" t="str">
        <f>IF('HIDDEN import'!F130=0,"",'HIDDEN import'!F130)</f>
        <v>C-14</v>
      </c>
      <c r="F130" t="str">
        <f>IF('HIDDEN import'!G130=0,"",'HIDDEN import'!G130)</f>
        <v/>
      </c>
      <c r="G130" s="49" t="str">
        <f>IFERROR(VLOOKUP($A130,'HIDDEN Testrun Results'!$A:$B,2,FALSE),"")</f>
        <v/>
      </c>
      <c r="H130" s="49" t="b">
        <f t="shared" si="1"/>
        <v>0</v>
      </c>
      <c r="I130" s="49" t="b">
        <f>IF(VLOOKUP(A130&amp;" "&amp;B130,'HIDDEN import'!A:G,5,FALSE)="M",TRUE,IFERROR(VLOOKUP(E130,'Optional features'!B:E,3,FALSE)="Yes",IFERROR(VLOOKUP(E130,'HIDDEN calc sheet'!A:B,2,FALSE),VLOOKUP(E130,'Additional questions'!B:D,3,FALSE)="Yes")))</f>
        <v>0</v>
      </c>
      <c r="J130" t="b">
        <f>IF(VLOOKUP(B130,'Profile selection'!B:C,2,FALSE)="Yes",TRUE,FALSE)</f>
        <v>1</v>
      </c>
      <c r="K130" s="22" t="b">
        <f>IF(AND(D130=MD!$A$1,M130),TRUE,(IF(AND(D130=MD!$A$3,M130),(IF(L130=TRUE,TRUE,FALSE)),(IF(AND(D130=MD!$A$2,M130),(IF(N130=TRUE,TRUE,FALSE)),FALSE)))))</f>
        <v>0</v>
      </c>
      <c r="M130" t="b">
        <f>IF(VLOOKUP(B130,'Profile selection'!B:C,2,FALSE)="Yes",TRUE,FALSE)</f>
        <v>1</v>
      </c>
      <c r="P130" s="73"/>
      <c r="Q130" s="73"/>
    </row>
    <row r="131" spans="1:17" x14ac:dyDescent="0.25">
      <c r="A131" t="str">
        <f>'HIDDEN import'!B131</f>
        <v>TC_P_02_CSMS</v>
      </c>
      <c r="B131" t="str">
        <f>'HIDDEN import'!C131</f>
        <v>Core</v>
      </c>
      <c r="C131" t="str">
        <f>'HIDDEN import'!D131</f>
        <v>Data Transfer to the CSMS - Rejected / Unknown VendorId / Unknown MessageId</v>
      </c>
      <c r="D131" t="str">
        <f>IF(VLOOKUP(A131&amp;" "&amp;B131,'HIDDEN import'!A:G,5,FALSE)="M",MD!$A$1,(IF(AND(VLOOKUP(A131,'HIDDEN import'!B:E,4,FALSE)="C",OR(NOT(ISERROR(VLOOKUP(E131,'Optional features'!B:E,1,FALSE)=E131)),NOT(ISERROR(VLOOKUP(E131,'HIDDEN calc sheet'!A:C,1,FALSE)=E131)))),MD!$A$3,MD!$A$2)))</f>
        <v>Mandatory test for a mandatory feature</v>
      </c>
      <c r="E131" t="str">
        <f>IF('HIDDEN import'!F131=0,"",'HIDDEN import'!F131)</f>
        <v/>
      </c>
      <c r="F131" t="str">
        <f>IF('HIDDEN import'!G131=0,"",'HIDDEN import'!G131)</f>
        <v/>
      </c>
      <c r="G131" s="49" t="str">
        <f>IFERROR(VLOOKUP($A131,'HIDDEN Testrun Results'!$A:$B,2,FALSE),"")</f>
        <v/>
      </c>
      <c r="H131" s="49" t="b">
        <f t="shared" ref="H131:H194" si="2">IF(NOT(ISLOGICAL(I131)),I131,AND(I131,J131))</f>
        <v>1</v>
      </c>
      <c r="I131" s="49" t="b">
        <f>IF(VLOOKUP(A131&amp;" "&amp;B131,'HIDDEN import'!A:G,5,FALSE)="M",TRUE,IFERROR(VLOOKUP(E131,'Optional features'!B:E,3,FALSE)="Yes",IFERROR(VLOOKUP(E131,'HIDDEN calc sheet'!A:B,2,FALSE),VLOOKUP(E131,'Additional questions'!B:D,3,FALSE)="Yes")))</f>
        <v>1</v>
      </c>
      <c r="J131" t="b">
        <f>IF(VLOOKUP(B131,'Profile selection'!B:C,2,FALSE)="Yes",TRUE,FALSE)</f>
        <v>1</v>
      </c>
      <c r="K131" s="22" t="b">
        <f>IF(AND(D131=MD!$A$1,M131),TRUE,(IF(AND(D131=MD!$A$3,M131),(IF(L131=TRUE,TRUE,FALSE)),(IF(AND(D131=MD!$A$2,M131),(IF(N131=TRUE,TRUE,FALSE)),FALSE)))))</f>
        <v>1</v>
      </c>
      <c r="M131" t="b">
        <f>IF(VLOOKUP(B131,'Profile selection'!B:C,2,FALSE)="Yes",TRUE,FALSE)</f>
        <v>1</v>
      </c>
      <c r="P131" s="73"/>
      <c r="Q131" s="73"/>
    </row>
    <row r="132" spans="1:17" x14ac:dyDescent="0.25">
      <c r="A132" t="str">
        <f>'HIDDEN import'!B132</f>
        <v>TC_P_03_CSMS</v>
      </c>
      <c r="B132" t="str">
        <f>'HIDDEN import'!C132</f>
        <v>Core</v>
      </c>
      <c r="C132" t="str">
        <f>'HIDDEN import'!D132</f>
        <v>CustomData - Receive custom data</v>
      </c>
      <c r="D132" t="str">
        <f>IF(VLOOKUP(A132&amp;" "&amp;B132,'HIDDEN import'!A:G,5,FALSE)="M",MD!$A$1,(IF(AND(VLOOKUP(A132,'HIDDEN import'!B:E,4,FALSE)="C",OR(NOT(ISERROR(VLOOKUP(E132,'Optional features'!B:E,1,FALSE)=E132)),NOT(ISERROR(VLOOKUP(E132,'HIDDEN calc sheet'!A:C,1,FALSE)=E132)))),MD!$A$3,MD!$A$2)))</f>
        <v>Mandatory test for a mandatory feature</v>
      </c>
      <c r="E132" t="str">
        <f>IF('HIDDEN import'!F132=0,"",'HIDDEN import'!F132)</f>
        <v/>
      </c>
      <c r="F132" t="str">
        <f>IF('HIDDEN import'!G132=0,"",'HIDDEN import'!G132)</f>
        <v/>
      </c>
      <c r="G132" s="49" t="str">
        <f>IFERROR(VLOOKUP($A132,'HIDDEN Testrun Results'!$A:$B,2,FALSE),"")</f>
        <v/>
      </c>
      <c r="H132" s="49" t="b">
        <f t="shared" si="2"/>
        <v>1</v>
      </c>
      <c r="I132" s="49" t="b">
        <f>IF(VLOOKUP(A132&amp;" "&amp;B132,'HIDDEN import'!A:G,5,FALSE)="M",TRUE,IFERROR(VLOOKUP(E132,'Optional features'!B:E,3,FALSE)="Yes",IFERROR(VLOOKUP(E132,'HIDDEN calc sheet'!A:B,2,FALSE),VLOOKUP(E132,'Additional questions'!B:D,3,FALSE)="Yes")))</f>
        <v>1</v>
      </c>
      <c r="J132" t="b">
        <f>IF(VLOOKUP(B132,'Profile selection'!B:C,2,FALSE)="Yes",TRUE,FALSE)</f>
        <v>1</v>
      </c>
      <c r="K132" s="22" t="b">
        <f>IF(AND(D132=MD!$A$1,M132),TRUE,(IF(AND(D132=MD!$A$3,M132),(IF(L132=TRUE,TRUE,FALSE)),(IF(AND(D132=MD!$A$2,M132),(IF(N132=TRUE,TRUE,FALSE)),FALSE)))))</f>
        <v>1</v>
      </c>
      <c r="M132" t="b">
        <f>IF(VLOOKUP(B132,'Profile selection'!B:C,2,FALSE)="Yes",TRUE,FALSE)</f>
        <v>1</v>
      </c>
      <c r="P132" s="73"/>
      <c r="Q132" s="73"/>
    </row>
    <row r="133" spans="1:17" x14ac:dyDescent="0.25">
      <c r="A133" t="str">
        <f>'HIDDEN import'!B133</f>
        <v>TC_A_07_CSMS</v>
      </c>
      <c r="B133" t="str">
        <f>'HIDDEN import'!C133</f>
        <v>Advanced Security</v>
      </c>
      <c r="C133" t="str">
        <f>'HIDDEN import'!D133</f>
        <v>TLS - Client-side certificate - valid certificate</v>
      </c>
      <c r="D133" t="str">
        <f>IF(VLOOKUP(A133&amp;" "&amp;B133,'HIDDEN import'!A:G,5,FALSE)="M",MD!$A$1,(IF(AND(VLOOKUP(A133,'HIDDEN import'!B:E,4,FALSE)="C",OR(NOT(ISERROR(VLOOKUP(E133,'Optional features'!B:E,1,FALSE)=E133)),NOT(ISERROR(VLOOKUP(E133,'HIDDEN calc sheet'!A:C,1,FALSE)=E133)))),MD!$A$3,MD!$A$2)))</f>
        <v>Mandatory test for a mandatory feature</v>
      </c>
      <c r="E133" t="str">
        <f>IF('HIDDEN import'!F133=0,"",'HIDDEN import'!F133)</f>
        <v/>
      </c>
      <c r="F133" t="str">
        <f>IF('HIDDEN import'!G133=0,"",'HIDDEN import'!G133)</f>
        <v/>
      </c>
      <c r="G133" s="49" t="str">
        <f>IFERROR(VLOOKUP($A133,'HIDDEN Testrun Results'!$A:$B,2,FALSE),"")</f>
        <v/>
      </c>
      <c r="H133" s="49" t="b">
        <f t="shared" si="2"/>
        <v>1</v>
      </c>
      <c r="I133" s="49" t="b">
        <f>IF(VLOOKUP(A133&amp;" "&amp;B133,'HIDDEN import'!A:G,5,FALSE)="M",TRUE,IFERROR(VLOOKUP(E133,'Optional features'!B:E,3,FALSE)="Yes",IFERROR(VLOOKUP(E133,'HIDDEN calc sheet'!A:B,2,FALSE),VLOOKUP(E133,'Additional questions'!B:D,3,FALSE)="Yes")))</f>
        <v>1</v>
      </c>
      <c r="J133" t="b">
        <f>IF(VLOOKUP(B133,'Profile selection'!B:C,2,FALSE)="Yes",TRUE,FALSE)</f>
        <v>1</v>
      </c>
      <c r="K133" s="22" t="b">
        <f>IF(AND(D133=MD!$A$1,M133),TRUE,(IF(AND(D133=MD!$A$3,M133),(IF(L133=TRUE,TRUE,FALSE)),(IF(AND(D133=MD!$A$2,M133),(IF(N133=TRUE,TRUE,FALSE)),FALSE)))))</f>
        <v>1</v>
      </c>
      <c r="M133" t="b">
        <f>IF(VLOOKUP(B133,'Profile selection'!B:C,2,FALSE)="Yes",TRUE,FALSE)</f>
        <v>1</v>
      </c>
      <c r="P133" s="73"/>
      <c r="Q133" s="73"/>
    </row>
    <row r="134" spans="1:17" x14ac:dyDescent="0.25">
      <c r="A134" t="str">
        <f>'HIDDEN import'!B134</f>
        <v>TC_A_08_CSMS</v>
      </c>
      <c r="B134" t="str">
        <f>'HIDDEN import'!C134</f>
        <v>Advanced Security</v>
      </c>
      <c r="C134" t="str">
        <f>'HIDDEN import'!D134</f>
        <v>TLS - Client-side certificate - Invalid certificate</v>
      </c>
      <c r="D134" t="str">
        <f>IF(VLOOKUP(A134&amp;" "&amp;B134,'HIDDEN import'!A:G,5,FALSE)="M",MD!$A$1,(IF(AND(VLOOKUP(A134,'HIDDEN import'!B:E,4,FALSE)="C",OR(NOT(ISERROR(VLOOKUP(E134,'Optional features'!B:E,1,FALSE)=E134)),NOT(ISERROR(VLOOKUP(E134,'HIDDEN calc sheet'!A:C,1,FALSE)=E134)))),MD!$A$3,MD!$A$2)))</f>
        <v>Mandatory test for a mandatory feature</v>
      </c>
      <c r="E134" t="str">
        <f>IF('HIDDEN import'!F134=0,"",'HIDDEN import'!F134)</f>
        <v/>
      </c>
      <c r="F134" t="str">
        <f>IF('HIDDEN import'!G134=0,"",'HIDDEN import'!G134)</f>
        <v/>
      </c>
      <c r="G134" s="49" t="str">
        <f>IFERROR(VLOOKUP($A134,'HIDDEN Testrun Results'!$A:$B,2,FALSE),"")</f>
        <v/>
      </c>
      <c r="H134" s="49" t="b">
        <f t="shared" si="2"/>
        <v>1</v>
      </c>
      <c r="I134" s="49" t="b">
        <f>IF(VLOOKUP(A134&amp;" "&amp;B134,'HIDDEN import'!A:G,5,FALSE)="M",TRUE,IFERROR(VLOOKUP(E134,'Optional features'!B:E,3,FALSE)="Yes",IFERROR(VLOOKUP(E134,'HIDDEN calc sheet'!A:B,2,FALSE),VLOOKUP(E134,'Additional questions'!B:D,3,FALSE)="Yes")))</f>
        <v>1</v>
      </c>
      <c r="J134" t="b">
        <f>IF(VLOOKUP(B134,'Profile selection'!B:C,2,FALSE)="Yes",TRUE,FALSE)</f>
        <v>1</v>
      </c>
      <c r="K134" s="22" t="b">
        <f>IF(AND(D134=MD!$A$1,M134),TRUE,(IF(AND(D134=MD!$A$3,M134),(IF(L134=TRUE,TRUE,FALSE)),(IF(AND(D134=MD!$A$2,M134),(IF(N134=TRUE,TRUE,FALSE)),FALSE)))))</f>
        <v>1</v>
      </c>
      <c r="M134" t="b">
        <f>IF(VLOOKUP(B134,'Profile selection'!B:C,2,FALSE)="Yes",TRUE,FALSE)</f>
        <v>1</v>
      </c>
      <c r="P134" s="73"/>
      <c r="Q134" s="73"/>
    </row>
    <row r="135" spans="1:17" x14ac:dyDescent="0.25">
      <c r="A135" t="str">
        <f>'HIDDEN import'!B135</f>
        <v>TC_A_11_CSMS</v>
      </c>
      <c r="B135" t="str">
        <f>'HIDDEN import'!C135</f>
        <v>Advanced Security</v>
      </c>
      <c r="C135" t="str">
        <f>'HIDDEN import'!D135</f>
        <v>Update Charging Station Certificate by request of CSMS - Success - Charging Station Certificate</v>
      </c>
      <c r="D135" t="str">
        <f>IF(VLOOKUP(A135&amp;" "&amp;B135,'HIDDEN import'!A:G,5,FALSE)="M",MD!$A$1,(IF(AND(VLOOKUP(A135,'HIDDEN import'!B:E,4,FALSE)="C",OR(NOT(ISERROR(VLOOKUP(E135,'Optional features'!B:E,1,FALSE)=E135)),NOT(ISERROR(VLOOKUP(E135,'HIDDEN calc sheet'!A:C,1,FALSE)=E135)))),MD!$A$3,MD!$A$2)))</f>
        <v>Mandatory test for a mandatory feature</v>
      </c>
      <c r="E135" t="str">
        <f>IF('HIDDEN import'!F135=0,"",'HIDDEN import'!F135)</f>
        <v/>
      </c>
      <c r="F135" t="str">
        <f>IF('HIDDEN import'!G135=0,"",'HIDDEN import'!G135)</f>
        <v/>
      </c>
      <c r="G135" s="49" t="str">
        <f>IFERROR(VLOOKUP($A135,'HIDDEN Testrun Results'!$A:$B,2,FALSE),"")</f>
        <v/>
      </c>
      <c r="H135" s="49" t="b">
        <f t="shared" si="2"/>
        <v>1</v>
      </c>
      <c r="I135" s="49" t="b">
        <f>IF(VLOOKUP(A135&amp;" "&amp;B135,'HIDDEN import'!A:G,5,FALSE)="M",TRUE,IFERROR(VLOOKUP(E135,'Optional features'!B:E,3,FALSE)="Yes",IFERROR(VLOOKUP(E135,'HIDDEN calc sheet'!A:B,2,FALSE),VLOOKUP(E135,'Additional questions'!B:D,3,FALSE)="Yes")))</f>
        <v>1</v>
      </c>
      <c r="J135" t="b">
        <f>IF(VLOOKUP(B135,'Profile selection'!B:C,2,FALSE)="Yes",TRUE,FALSE)</f>
        <v>1</v>
      </c>
      <c r="K135" s="22" t="b">
        <f>IF(AND(D135=MD!$A$1,M135),TRUE,(IF(AND(D135=MD!$A$3,M135),(IF(L135=TRUE,TRUE,FALSE)),(IF(AND(D135=MD!$A$2,M135),(IF(N135=TRUE,TRUE,FALSE)),FALSE)))))</f>
        <v>1</v>
      </c>
      <c r="M135" t="b">
        <f>IF(VLOOKUP(B135,'Profile selection'!B:C,2,FALSE)="Yes",TRUE,FALSE)</f>
        <v>1</v>
      </c>
      <c r="P135" s="73"/>
      <c r="Q135" s="73"/>
    </row>
    <row r="136" spans="1:17" x14ac:dyDescent="0.25">
      <c r="A136" t="str">
        <f>'HIDDEN import'!B136</f>
        <v>TC_A_14_CSMS</v>
      </c>
      <c r="B136" t="str">
        <f>'HIDDEN import'!C136</f>
        <v>Advanced Security</v>
      </c>
      <c r="C136" t="str">
        <f>'HIDDEN import'!D136</f>
        <v>Update Charging Station Certificate by request of CSMS - Invalid certificate</v>
      </c>
      <c r="D136" t="str">
        <f>IF(VLOOKUP(A136&amp;" "&amp;B136,'HIDDEN import'!A:G,5,FALSE)="M",MD!$A$1,(IF(AND(VLOOKUP(A136,'HIDDEN import'!B:E,4,FALSE)="C",OR(NOT(ISERROR(VLOOKUP(E136,'Optional features'!B:E,1,FALSE)=E136)),NOT(ISERROR(VLOOKUP(E136,'HIDDEN calc sheet'!A:C,1,FALSE)=E136)))),MD!$A$3,MD!$A$2)))</f>
        <v>Mandatory test for a mandatory feature</v>
      </c>
      <c r="E136" t="str">
        <f>IF('HIDDEN import'!F136=0,"",'HIDDEN import'!F136)</f>
        <v/>
      </c>
      <c r="F136" t="str">
        <f>IF('HIDDEN import'!G136=0,"",'HIDDEN import'!G136)</f>
        <v/>
      </c>
      <c r="G136" s="49" t="str">
        <f>IFERROR(VLOOKUP($A136,'HIDDEN Testrun Results'!$A:$B,2,FALSE),"")</f>
        <v/>
      </c>
      <c r="H136" s="49" t="b">
        <f t="shared" si="2"/>
        <v>1</v>
      </c>
      <c r="I136" s="49" t="b">
        <f>IF(VLOOKUP(A136&amp;" "&amp;B136,'HIDDEN import'!A:G,5,FALSE)="M",TRUE,IFERROR(VLOOKUP(E136,'Optional features'!B:E,3,FALSE)="Yes",IFERROR(VLOOKUP(E136,'HIDDEN calc sheet'!A:B,2,FALSE),VLOOKUP(E136,'Additional questions'!B:D,3,FALSE)="Yes")))</f>
        <v>1</v>
      </c>
      <c r="J136" t="b">
        <f>IF(VLOOKUP(B136,'Profile selection'!B:C,2,FALSE)="Yes",TRUE,FALSE)</f>
        <v>1</v>
      </c>
      <c r="K136" s="22" t="b">
        <f>IF(AND(D136=MD!$A$1,M136),TRUE,(IF(AND(D136=MD!$A$3,M136),(IF(L136=TRUE,TRUE,FALSE)),(IF(AND(D136=MD!$A$2,M136),(IF(N136=TRUE,TRUE,FALSE)),FALSE)))))</f>
        <v>1</v>
      </c>
      <c r="M136" t="b">
        <f>IF(VLOOKUP(B136,'Profile selection'!B:C,2,FALSE)="Yes",TRUE,FALSE)</f>
        <v>1</v>
      </c>
      <c r="P136" s="73"/>
      <c r="Q136" s="73"/>
    </row>
    <row r="137" spans="1:17" x14ac:dyDescent="0.25">
      <c r="A137" t="str">
        <f>'HIDDEN import'!B137</f>
        <v>TC_C_40_CSMS</v>
      </c>
      <c r="B137" t="str">
        <f>'HIDDEN import'!C137</f>
        <v>Local Authorization List Management</v>
      </c>
      <c r="C137" t="str">
        <f>'HIDDEN import'!D137</f>
        <v>Authorization by GroupId - Success with Local Authorization List</v>
      </c>
      <c r="D137" t="str">
        <f>IF(VLOOKUP(A137&amp;" "&amp;B137,'HIDDEN import'!A:G,5,FALSE)="M",MD!$A$1,(IF(AND(VLOOKUP(A137,'HIDDEN import'!B:E,4,FALSE)="C",OR(NOT(ISERROR(VLOOKUP(E137,'Optional features'!B:E,1,FALSE)=E137)),NOT(ISERROR(VLOOKUP(E137,'HIDDEN calc sheet'!A:C,1,FALSE)=E137)))),MD!$A$3,MD!$A$2)))</f>
        <v>Mandatory test for a mandatory feature</v>
      </c>
      <c r="E137" t="str">
        <f>IF('HIDDEN import'!F137=0,"",'HIDDEN import'!F137)</f>
        <v>C-30 or C-31 or C-32</v>
      </c>
      <c r="F137" t="str">
        <f>IF('HIDDEN import'!G137=0,"",'HIDDEN import'!G137)</f>
        <v/>
      </c>
      <c r="G137" s="49" t="str">
        <f>IFERROR(VLOOKUP($A137,'HIDDEN Testrun Results'!$A:$B,2,FALSE),"")</f>
        <v/>
      </c>
      <c r="H137" s="49" t="b">
        <f t="shared" si="2"/>
        <v>0</v>
      </c>
      <c r="I137" s="49" t="b">
        <f>IF(VLOOKUP(A137&amp;" "&amp;B137,'HIDDEN import'!A:G,5,FALSE)="M",TRUE,IFERROR(VLOOKUP(E137,'Optional features'!B:E,3,FALSE)="Yes",IFERROR(VLOOKUP(E137,'HIDDEN calc sheet'!A:B,2,FALSE),VLOOKUP(E137,'Additional questions'!B:D,3,FALSE)="Yes")))</f>
        <v>1</v>
      </c>
      <c r="J137" t="b">
        <f>IF(VLOOKUP(B137,'Profile selection'!B:C,2,FALSE)="Yes",TRUE,FALSE)</f>
        <v>0</v>
      </c>
      <c r="K137" s="22" t="b">
        <f>IF(AND(D137=MD!$A$1,M137),TRUE,(IF(AND(D137=MD!$A$3,M137),(IF(L137=TRUE,TRUE,FALSE)),(IF(AND(D137=MD!$A$2,M137),(IF(N137=TRUE,TRUE,FALSE)),FALSE)))))</f>
        <v>0</v>
      </c>
      <c r="M137" t="b">
        <f>IF(VLOOKUP(B137,'Profile selection'!B:C,2,FALSE)="Yes",TRUE,FALSE)</f>
        <v>0</v>
      </c>
      <c r="P137" s="73"/>
      <c r="Q137" s="73"/>
    </row>
    <row r="138" spans="1:17" x14ac:dyDescent="0.25">
      <c r="A138" t="str">
        <f>'HIDDEN import'!B138</f>
        <v>TC_C_43_CSMS</v>
      </c>
      <c r="B138" t="str">
        <f>'HIDDEN import'!C138</f>
        <v>Local Authorization List Management</v>
      </c>
      <c r="C138" t="str">
        <f>'HIDDEN import'!D138</f>
        <v>Authorization by GroupId - Invalid status with Local Authorization List</v>
      </c>
      <c r="D138" t="str">
        <f>IF(VLOOKUP(A138&amp;" "&amp;B138,'HIDDEN import'!A:G,5,FALSE)="M",MD!$A$1,(IF(AND(VLOOKUP(A138,'HIDDEN import'!B:E,4,FALSE)="C",OR(NOT(ISERROR(VLOOKUP(E138,'Optional features'!B:E,1,FALSE)=E138)),NOT(ISERROR(VLOOKUP(E138,'HIDDEN calc sheet'!A:C,1,FALSE)=E138)))),MD!$A$3,MD!$A$2)))</f>
        <v>Mandatory test for a mandatory feature</v>
      </c>
      <c r="E138" t="str">
        <f>IF('HIDDEN import'!F138=0,"",'HIDDEN import'!F138)</f>
        <v>C-30 or C-31 or C-32</v>
      </c>
      <c r="F138" t="str">
        <f>IF('HIDDEN import'!G138=0,"",'HIDDEN import'!G138)</f>
        <v/>
      </c>
      <c r="G138" s="49" t="str">
        <f>IFERROR(VLOOKUP($A138,'HIDDEN Testrun Results'!$A:$B,2,FALSE),"")</f>
        <v/>
      </c>
      <c r="H138" s="49" t="b">
        <f t="shared" si="2"/>
        <v>0</v>
      </c>
      <c r="I138" s="49" t="b">
        <f>IF(VLOOKUP(A138&amp;" "&amp;B138,'HIDDEN import'!A:G,5,FALSE)="M",TRUE,IFERROR(VLOOKUP(E138,'Optional features'!B:E,3,FALSE)="Yes",IFERROR(VLOOKUP(E138,'HIDDEN calc sheet'!A:B,2,FALSE),VLOOKUP(E138,'Additional questions'!B:D,3,FALSE)="Yes")))</f>
        <v>1</v>
      </c>
      <c r="J138" t="b">
        <f>IF(VLOOKUP(B138,'Profile selection'!B:C,2,FALSE)="Yes",TRUE,FALSE)</f>
        <v>0</v>
      </c>
      <c r="K138" s="22" t="b">
        <f>IF(AND(D138=MD!$A$1,M138),TRUE,(IF(AND(D138=MD!$A$3,M138),(IF(L138=TRUE,TRUE,FALSE)),(IF(AND(D138=MD!$A$2,M138),(IF(N138=TRUE,TRUE,FALSE)),FALSE)))))</f>
        <v>0</v>
      </c>
      <c r="M138" t="b">
        <f>IF(VLOOKUP(B138,'Profile selection'!B:C,2,FALSE)="Yes",TRUE,FALSE)</f>
        <v>0</v>
      </c>
      <c r="P138" s="73"/>
      <c r="Q138" s="73"/>
    </row>
    <row r="139" spans="1:17" x14ac:dyDescent="0.25">
      <c r="A139" t="str">
        <f>'HIDDEN import'!B139</f>
        <v>TC_D_01_CSMS</v>
      </c>
      <c r="B139" t="str">
        <f>'HIDDEN import'!C139</f>
        <v>Local Authorization List Management</v>
      </c>
      <c r="C139" t="str">
        <f>'HIDDEN import'!D139</f>
        <v>Send Local Authorization List - Full</v>
      </c>
      <c r="D139" t="str">
        <f>IF(VLOOKUP(A139&amp;" "&amp;B139,'HIDDEN import'!A:G,5,FALSE)="M",MD!$A$1,(IF(AND(VLOOKUP(A139,'HIDDEN import'!B:E,4,FALSE)="C",OR(NOT(ISERROR(VLOOKUP(E139,'Optional features'!B:E,1,FALSE)=E139)),NOT(ISERROR(VLOOKUP(E139,'HIDDEN calc sheet'!A:C,1,FALSE)=E139)))),MD!$A$3,MD!$A$2)))</f>
        <v>Mandatory test for a mandatory feature</v>
      </c>
      <c r="E139" t="str">
        <f>IF('HIDDEN import'!F139=0,"",'HIDDEN import'!F139)</f>
        <v/>
      </c>
      <c r="F139" t="str">
        <f>IF('HIDDEN import'!G139=0,"",'HIDDEN import'!G139)</f>
        <v/>
      </c>
      <c r="G139" s="49" t="str">
        <f>IFERROR(VLOOKUP($A139,'HIDDEN Testrun Results'!$A:$B,2,FALSE),"")</f>
        <v/>
      </c>
      <c r="H139" s="49" t="b">
        <f t="shared" si="2"/>
        <v>0</v>
      </c>
      <c r="I139" s="49" t="b">
        <f>IF(VLOOKUP(A139&amp;" "&amp;B139,'HIDDEN import'!A:G,5,FALSE)="M",TRUE,IFERROR(VLOOKUP(E139,'Optional features'!B:E,3,FALSE)="Yes",IFERROR(VLOOKUP(E139,'HIDDEN calc sheet'!A:B,2,FALSE),VLOOKUP(E139,'Additional questions'!B:D,3,FALSE)="Yes")))</f>
        <v>1</v>
      </c>
      <c r="J139" t="b">
        <f>IF(VLOOKUP(B139,'Profile selection'!B:C,2,FALSE)="Yes",TRUE,FALSE)</f>
        <v>0</v>
      </c>
      <c r="K139" s="22" t="b">
        <f>IF(AND(D139=MD!$A$1,M139),TRUE,(IF(AND(D139=MD!$A$3,M139),(IF(L139=TRUE,TRUE,FALSE)),(IF(AND(D139=MD!$A$2,M139),(IF(N139=TRUE,TRUE,FALSE)),FALSE)))))</f>
        <v>0</v>
      </c>
      <c r="M139" t="b">
        <f>IF(VLOOKUP(B139,'Profile selection'!B:C,2,FALSE)="Yes",TRUE,FALSE)</f>
        <v>0</v>
      </c>
      <c r="P139" s="73"/>
      <c r="Q139" s="73"/>
    </row>
    <row r="140" spans="1:17" x14ac:dyDescent="0.25">
      <c r="A140" t="str">
        <f>'HIDDEN import'!B140</f>
        <v>TC_D_02_CSMS</v>
      </c>
      <c r="B140" t="str">
        <f>'HIDDEN import'!C140</f>
        <v>Local Authorization List Management</v>
      </c>
      <c r="C140" t="str">
        <f>'HIDDEN import'!D140</f>
        <v>Send Local Authorization List - Differential Update</v>
      </c>
      <c r="D140" t="str">
        <f>IF(VLOOKUP(A140&amp;" "&amp;B140,'HIDDEN import'!A:G,5,FALSE)="M",MD!$A$1,(IF(AND(VLOOKUP(A140,'HIDDEN import'!B:E,4,FALSE)="C",OR(NOT(ISERROR(VLOOKUP(E140,'Optional features'!B:E,1,FALSE)=E140)),NOT(ISERROR(VLOOKUP(E140,'HIDDEN calc sheet'!A:C,1,FALSE)=E140)))),MD!$A$3,MD!$A$2)))</f>
        <v>Mandatory test for a mandatory feature</v>
      </c>
      <c r="E140" t="str">
        <f>IF('HIDDEN import'!F140=0,"",'HIDDEN import'!F140)</f>
        <v/>
      </c>
      <c r="F140" t="str">
        <f>IF('HIDDEN import'!G140=0,"",'HIDDEN import'!G140)</f>
        <v/>
      </c>
      <c r="G140" s="49" t="str">
        <f>IFERROR(VLOOKUP($A140,'HIDDEN Testrun Results'!$A:$B,2,FALSE),"")</f>
        <v/>
      </c>
      <c r="H140" s="49" t="b">
        <f t="shared" si="2"/>
        <v>0</v>
      </c>
      <c r="I140" s="49" t="b">
        <f>IF(VLOOKUP(A140&amp;" "&amp;B140,'HIDDEN import'!A:G,5,FALSE)="M",TRUE,IFERROR(VLOOKUP(E140,'Optional features'!B:E,3,FALSE)="Yes",IFERROR(VLOOKUP(E140,'HIDDEN calc sheet'!A:B,2,FALSE),VLOOKUP(E140,'Additional questions'!B:D,3,FALSE)="Yes")))</f>
        <v>1</v>
      </c>
      <c r="J140" t="b">
        <f>IF(VLOOKUP(B140,'Profile selection'!B:C,2,FALSE)="Yes",TRUE,FALSE)</f>
        <v>0</v>
      </c>
      <c r="K140" s="22" t="b">
        <f>IF(AND(D140=MD!$A$1,M140),TRUE,(IF(AND(D140=MD!$A$3,M140),(IF(L140=TRUE,TRUE,FALSE)),(IF(AND(D140=MD!$A$2,M140),(IF(N140=TRUE,TRUE,FALSE)),FALSE)))))</f>
        <v>0</v>
      </c>
      <c r="M140" t="b">
        <f>IF(VLOOKUP(B140,'Profile selection'!B:C,2,FALSE)="Yes",TRUE,FALSE)</f>
        <v>0</v>
      </c>
      <c r="P140" s="73"/>
      <c r="Q140" s="73"/>
    </row>
    <row r="141" spans="1:17" x14ac:dyDescent="0.25">
      <c r="A141" t="str">
        <f>'HIDDEN import'!B141</f>
        <v>TC_D_03_CSMS</v>
      </c>
      <c r="B141" t="str">
        <f>'HIDDEN import'!C141</f>
        <v>Local Authorization List Management</v>
      </c>
      <c r="C141" t="str">
        <f>'HIDDEN import'!D141</f>
        <v>Send Local Authorization List - Differential Remove</v>
      </c>
      <c r="D141" t="str">
        <f>IF(VLOOKUP(A141&amp;" "&amp;B141,'HIDDEN import'!A:G,5,FALSE)="M",MD!$A$1,(IF(AND(VLOOKUP(A141,'HIDDEN import'!B:E,4,FALSE)="C",OR(NOT(ISERROR(VLOOKUP(E141,'Optional features'!B:E,1,FALSE)=E141)),NOT(ISERROR(VLOOKUP(E141,'HIDDEN calc sheet'!A:C,1,FALSE)=E141)))),MD!$A$3,MD!$A$2)))</f>
        <v>Mandatory test for a mandatory feature</v>
      </c>
      <c r="E141" t="str">
        <f>IF('HIDDEN import'!F141=0,"",'HIDDEN import'!F141)</f>
        <v/>
      </c>
      <c r="F141" t="str">
        <f>IF('HIDDEN import'!G141=0,"",'HIDDEN import'!G141)</f>
        <v/>
      </c>
      <c r="G141" s="49" t="str">
        <f>IFERROR(VLOOKUP($A141,'HIDDEN Testrun Results'!$A:$B,2,FALSE),"")</f>
        <v/>
      </c>
      <c r="H141" s="49" t="b">
        <f t="shared" si="2"/>
        <v>0</v>
      </c>
      <c r="I141" s="49" t="b">
        <f>IF(VLOOKUP(A141&amp;" "&amp;B141,'HIDDEN import'!A:G,5,FALSE)="M",TRUE,IFERROR(VLOOKUP(E141,'Optional features'!B:E,3,FALSE)="Yes",IFERROR(VLOOKUP(E141,'HIDDEN calc sheet'!A:B,2,FALSE),VLOOKUP(E141,'Additional questions'!B:D,3,FALSE)="Yes")))</f>
        <v>1</v>
      </c>
      <c r="J141" t="b">
        <f>IF(VLOOKUP(B141,'Profile selection'!B:C,2,FALSE)="Yes",TRUE,FALSE)</f>
        <v>0</v>
      </c>
      <c r="K141" s="22" t="b">
        <f>IF(AND(D141=MD!$A$1,M141),TRUE,(IF(AND(D141=MD!$A$3,M141),(IF(L141=TRUE,TRUE,FALSE)),(IF(AND(D141=MD!$A$2,M141),(IF(N141=TRUE,TRUE,FALSE)),FALSE)))))</f>
        <v>0</v>
      </c>
      <c r="M141" t="b">
        <f>IF(VLOOKUP(B141,'Profile selection'!B:C,2,FALSE)="Yes",TRUE,FALSE)</f>
        <v>0</v>
      </c>
      <c r="P141" s="73"/>
      <c r="Q141" s="73"/>
    </row>
    <row r="142" spans="1:17" x14ac:dyDescent="0.25">
      <c r="A142" t="str">
        <f>'HIDDEN import'!B142</f>
        <v>TC_D_04_CSMS</v>
      </c>
      <c r="B142" t="str">
        <f>'HIDDEN import'!C142</f>
        <v>Local Authorization List Management</v>
      </c>
      <c r="C142" t="str">
        <f>'HIDDEN import'!D142</f>
        <v>Send Local Authorization List - Full with empy list</v>
      </c>
      <c r="D142" t="str">
        <f>IF(VLOOKUP(A142&amp;" "&amp;B142,'HIDDEN import'!A:G,5,FALSE)="M",MD!$A$1,(IF(AND(VLOOKUP(A142,'HIDDEN import'!B:E,4,FALSE)="C",OR(NOT(ISERROR(VLOOKUP(E142,'Optional features'!B:E,1,FALSE)=E142)),NOT(ISERROR(VLOOKUP(E142,'HIDDEN calc sheet'!A:C,1,FALSE)=E142)))),MD!$A$3,MD!$A$2)))</f>
        <v>Mandatory test for a mandatory feature</v>
      </c>
      <c r="E142" t="str">
        <f>IF('HIDDEN import'!F142=0,"",'HIDDEN import'!F142)</f>
        <v/>
      </c>
      <c r="F142" t="str">
        <f>IF('HIDDEN import'!G142=0,"",'HIDDEN import'!G142)</f>
        <v/>
      </c>
      <c r="G142" s="49" t="str">
        <f>IFERROR(VLOOKUP($A142,'HIDDEN Testrun Results'!$A:$B,2,FALSE),"")</f>
        <v/>
      </c>
      <c r="H142" s="49" t="b">
        <f t="shared" si="2"/>
        <v>0</v>
      </c>
      <c r="I142" s="49" t="b">
        <f>IF(VLOOKUP(A142&amp;" "&amp;B142,'HIDDEN import'!A:G,5,FALSE)="M",TRUE,IFERROR(VLOOKUP(E142,'Optional features'!B:E,3,FALSE)="Yes",IFERROR(VLOOKUP(E142,'HIDDEN calc sheet'!A:B,2,FALSE),VLOOKUP(E142,'Additional questions'!B:D,3,FALSE)="Yes")))</f>
        <v>1</v>
      </c>
      <c r="J142" t="b">
        <f>IF(VLOOKUP(B142,'Profile selection'!B:C,2,FALSE)="Yes",TRUE,FALSE)</f>
        <v>0</v>
      </c>
      <c r="K142" s="22" t="b">
        <f>IF(AND(D142=MD!$A$1,M142),TRUE,(IF(AND(D142=MD!$A$3,M142),(IF(L142=TRUE,TRUE,FALSE)),(IF(AND(D142=MD!$A$2,M142),(IF(N142=TRUE,TRUE,FALSE)),FALSE)))))</f>
        <v>0</v>
      </c>
      <c r="M142" t="b">
        <f>IF(VLOOKUP(B142,'Profile selection'!B:C,2,FALSE)="Yes",TRUE,FALSE)</f>
        <v>0</v>
      </c>
      <c r="P142" s="73"/>
      <c r="Q142" s="73"/>
    </row>
    <row r="143" spans="1:17" x14ac:dyDescent="0.25">
      <c r="A143" t="str">
        <f>'HIDDEN import'!B143</f>
        <v>TC_D_08_CSMS</v>
      </c>
      <c r="B143" t="str">
        <f>'HIDDEN import'!C143</f>
        <v>Local Authorization List Management</v>
      </c>
      <c r="C143" t="str">
        <f>'HIDDEN import'!D143</f>
        <v>Get Local List Version - Success</v>
      </c>
      <c r="D143" t="str">
        <f>IF(VLOOKUP(A143&amp;" "&amp;B143,'HIDDEN import'!A:G,5,FALSE)="M",MD!$A$1,(IF(AND(VLOOKUP(A143,'HIDDEN import'!B:E,4,FALSE)="C",OR(NOT(ISERROR(VLOOKUP(E143,'Optional features'!B:E,1,FALSE)=E143)),NOT(ISERROR(VLOOKUP(E143,'HIDDEN calc sheet'!A:C,1,FALSE)=E143)))),MD!$A$3,MD!$A$2)))</f>
        <v>Mandatory for optional feature</v>
      </c>
      <c r="E143" t="str">
        <f>IF('HIDDEN import'!F143=0,"",'HIDDEN import'!F143)</f>
        <v>LA-2</v>
      </c>
      <c r="F143" t="str">
        <f>IF('HIDDEN import'!G143=0,"",'HIDDEN import'!G143)</f>
        <v>GetLocalListVersion</v>
      </c>
      <c r="G143" s="49" t="str">
        <f>IFERROR(VLOOKUP($A143,'HIDDEN Testrun Results'!$A:$B,2,FALSE),"")</f>
        <v/>
      </c>
      <c r="H143" s="49" t="b">
        <f t="shared" si="2"/>
        <v>0</v>
      </c>
      <c r="I143" s="49" t="b">
        <f>IF(VLOOKUP(A143&amp;" "&amp;B143,'HIDDEN import'!A:G,5,FALSE)="M",TRUE,IFERROR(VLOOKUP(E143,'Optional features'!B:E,3,FALSE)="Yes",IFERROR(VLOOKUP(E143,'HIDDEN calc sheet'!A:B,2,FALSE),VLOOKUP(E143,'Additional questions'!B:D,3,FALSE)="Yes")))</f>
        <v>0</v>
      </c>
      <c r="J143" t="b">
        <f>IF(VLOOKUP(B143,'Profile selection'!B:C,2,FALSE)="Yes",TRUE,FALSE)</f>
        <v>0</v>
      </c>
      <c r="K143" s="22" t="b">
        <f>IF(AND(D143=MD!$A$1,M143),TRUE,(IF(AND(D143=MD!$A$3,M143),(IF(L143=TRUE,TRUE,FALSE)),(IF(AND(D143=MD!$A$2,M143),(IF(N143=TRUE,TRUE,FALSE)),FALSE)))))</f>
        <v>0</v>
      </c>
      <c r="M143" t="b">
        <f>IF(VLOOKUP(B143,'Profile selection'!B:C,2,FALSE)="Yes",TRUE,FALSE)</f>
        <v>0</v>
      </c>
      <c r="P143" s="73"/>
      <c r="Q143" s="73"/>
    </row>
    <row r="144" spans="1:17" x14ac:dyDescent="0.25">
      <c r="A144" t="str">
        <f>'HIDDEN import'!B144</f>
        <v>TC_D_09_CSMS</v>
      </c>
      <c r="B144" t="str">
        <f>'HIDDEN import'!C144</f>
        <v>Local Authorization List Management</v>
      </c>
      <c r="C144" t="str">
        <f>'HIDDEN import'!D144</f>
        <v>Get Local List Version - No list available</v>
      </c>
      <c r="D144" t="str">
        <f>IF(VLOOKUP(A144&amp;" "&amp;B144,'HIDDEN import'!A:G,5,FALSE)="M",MD!$A$1,(IF(AND(VLOOKUP(A144,'HIDDEN import'!B:E,4,FALSE)="C",OR(NOT(ISERROR(VLOOKUP(E144,'Optional features'!B:E,1,FALSE)=E144)),NOT(ISERROR(VLOOKUP(E144,'HIDDEN calc sheet'!A:C,1,FALSE)=E144)))),MD!$A$3,MD!$A$2)))</f>
        <v>Mandatory test for a mandatory feature</v>
      </c>
      <c r="E144" t="str">
        <f>IF('HIDDEN import'!F144=0,"",'HIDDEN import'!F144)</f>
        <v/>
      </c>
      <c r="F144" t="str">
        <f>IF('HIDDEN import'!G144=0,"",'HIDDEN import'!G144)</f>
        <v/>
      </c>
      <c r="G144" s="49" t="str">
        <f>IFERROR(VLOOKUP($A144,'HIDDEN Testrun Results'!$A:$B,2,FALSE),"")</f>
        <v/>
      </c>
      <c r="H144" s="49" t="b">
        <f t="shared" si="2"/>
        <v>0</v>
      </c>
      <c r="I144" s="49" t="b">
        <f>IF(VLOOKUP(A144&amp;" "&amp;B144,'HIDDEN import'!A:G,5,FALSE)="M",TRUE,IFERROR(VLOOKUP(E144,'Optional features'!B:E,3,FALSE)="Yes",IFERROR(VLOOKUP(E144,'HIDDEN calc sheet'!A:B,2,FALSE),VLOOKUP(E144,'Additional questions'!B:D,3,FALSE)="Yes")))</f>
        <v>1</v>
      </c>
      <c r="J144" t="b">
        <f>IF(VLOOKUP(B144,'Profile selection'!B:C,2,FALSE)="Yes",TRUE,FALSE)</f>
        <v>0</v>
      </c>
      <c r="K144" s="22" t="b">
        <f>IF(AND(D144=MD!$A$1,M144),TRUE,(IF(AND(D144=MD!$A$3,M144),(IF(L144=TRUE,TRUE,FALSE)),(IF(AND(D144=MD!$A$2,M144),(IF(N144=TRUE,TRUE,FALSE)),FALSE)))))</f>
        <v>0</v>
      </c>
      <c r="M144" t="b">
        <f>IF(VLOOKUP(B144,'Profile selection'!B:C,2,FALSE)="Yes",TRUE,FALSE)</f>
        <v>0</v>
      </c>
      <c r="P144" s="73"/>
      <c r="Q144" s="73"/>
    </row>
    <row r="145" spans="1:17" x14ac:dyDescent="0.25">
      <c r="A145" t="str">
        <f>'HIDDEN import'!B145</f>
        <v>TC_N_46_CSMS</v>
      </c>
      <c r="B145" t="str">
        <f>'HIDDEN import'!C145</f>
        <v>Local Authorization List Management</v>
      </c>
      <c r="C145" t="str">
        <f>'HIDDEN import'!D145</f>
        <v>Clear Customer Information - Update Local Authorization List</v>
      </c>
      <c r="D145" t="str">
        <f>IF(VLOOKUP(A145&amp;" "&amp;B145,'HIDDEN import'!A:G,5,FALSE)="M",MD!$A$1,(IF(AND(VLOOKUP(A145,'HIDDEN import'!B:E,4,FALSE)="C",OR(NOT(ISERROR(VLOOKUP(E145,'Optional features'!B:E,1,FALSE)=E145)),NOT(ISERROR(VLOOKUP(E145,'HIDDEN calc sheet'!A:C,1,FALSE)=E145)))),MD!$A$3,MD!$A$2)))</f>
        <v>Mandatory test for a mandatory feature</v>
      </c>
      <c r="E145" t="str">
        <f>IF('HIDDEN import'!F145=0,"",'HIDDEN import'!F145)</f>
        <v/>
      </c>
      <c r="F145" t="str">
        <f>IF('HIDDEN import'!G145=0,"",'HIDDEN import'!G145)</f>
        <v/>
      </c>
      <c r="G145" s="49" t="str">
        <f>IFERROR(VLOOKUP($A145,'HIDDEN Testrun Results'!$A:$B,2,FALSE),"")</f>
        <v/>
      </c>
      <c r="H145" s="49" t="b">
        <f t="shared" si="2"/>
        <v>0</v>
      </c>
      <c r="I145" s="49" t="b">
        <f>IF(VLOOKUP(A145&amp;" "&amp;B145,'HIDDEN import'!A:G,5,FALSE)="M",TRUE,IFERROR(VLOOKUP(E145,'Optional features'!B:E,3,FALSE)="Yes",IFERROR(VLOOKUP(E145,'HIDDEN calc sheet'!A:B,2,FALSE),VLOOKUP(E145,'Additional questions'!B:D,3,FALSE)="Yes")))</f>
        <v>1</v>
      </c>
      <c r="J145" t="b">
        <f>IF(VLOOKUP(B145,'Profile selection'!B:C,2,FALSE)="Yes",TRUE,FALSE)</f>
        <v>0</v>
      </c>
      <c r="K145" s="22" t="b">
        <f>IF(AND(D145=MD!$A$1,M145),TRUE,(IF(AND(D145=MD!$A$3,M145),(IF(L145=TRUE,TRUE,FALSE)),(IF(AND(D145=MD!$A$2,M145),(IF(N145=TRUE,TRUE,FALSE)),FALSE)))))</f>
        <v>0</v>
      </c>
      <c r="M145" t="b">
        <f>IF(VLOOKUP(B145,'Profile selection'!B:C,2,FALSE)="Yes",TRUE,FALSE)</f>
        <v>0</v>
      </c>
      <c r="P145" s="73"/>
      <c r="Q145" s="73"/>
    </row>
    <row r="146" spans="1:17" x14ac:dyDescent="0.25">
      <c r="A146" t="str">
        <f>'HIDDEN import'!B146</f>
        <v>TC_K_01_CSMS</v>
      </c>
      <c r="B146" t="str">
        <f>'HIDDEN import'!C146</f>
        <v>Smart Charging</v>
      </c>
      <c r="C146" t="str">
        <f>'HIDDEN import'!D146</f>
        <v>Set Charging Profile - TxDefaultProfile - Specific EVSE</v>
      </c>
      <c r="D146" t="str">
        <f>IF(VLOOKUP(A146&amp;" "&amp;B146,'HIDDEN import'!A:G,5,FALSE)="M",MD!$A$1,(IF(AND(VLOOKUP(A146,'HIDDEN import'!B:E,4,FALSE)="C",OR(NOT(ISERROR(VLOOKUP(E146,'Optional features'!B:E,1,FALSE)=E146)),NOT(ISERROR(VLOOKUP(E146,'HIDDEN calc sheet'!A:C,1,FALSE)=E146)))),MD!$A$3,MD!$A$2)))</f>
        <v>Mandatory test for a mandatory feature</v>
      </c>
      <c r="E146" t="str">
        <f>IF('HIDDEN import'!F146=0,"",'HIDDEN import'!F146)</f>
        <v/>
      </c>
      <c r="F146" t="str">
        <f>IF('HIDDEN import'!G146=0,"",'HIDDEN import'!G146)</f>
        <v/>
      </c>
      <c r="G146" s="49" t="str">
        <f>IFERROR(VLOOKUP($A146,'HIDDEN Testrun Results'!$A:$B,2,FALSE),"")</f>
        <v/>
      </c>
      <c r="H146" s="49" t="b">
        <f t="shared" si="2"/>
        <v>0</v>
      </c>
      <c r="I146" s="49" t="b">
        <f>IF(VLOOKUP(A146&amp;" "&amp;B146,'HIDDEN import'!A:G,5,FALSE)="M",TRUE,IFERROR(VLOOKUP(E146,'Optional features'!B:E,3,FALSE)="Yes",IFERROR(VLOOKUP(E146,'HIDDEN calc sheet'!A:B,2,FALSE),VLOOKUP(E146,'Additional questions'!B:D,3,FALSE)="Yes")))</f>
        <v>1</v>
      </c>
      <c r="J146" t="b">
        <f>IF(VLOOKUP(B146,'Profile selection'!B:C,2,FALSE)="Yes",TRUE,FALSE)</f>
        <v>0</v>
      </c>
      <c r="K146" s="22" t="b">
        <f>IF(AND(D146=MD!$A$1,M146),TRUE,(IF(AND(D146=MD!$A$3,M146),(IF(L146=TRUE,TRUE,FALSE)),(IF(AND(D146=MD!$A$2,M146),(IF(N146=TRUE,TRUE,FALSE)),FALSE)))))</f>
        <v>0</v>
      </c>
      <c r="M146" t="b">
        <f>IF(VLOOKUP(B146,'Profile selection'!B:C,2,FALSE)="Yes",TRUE,FALSE)</f>
        <v>0</v>
      </c>
      <c r="P146" s="73"/>
      <c r="Q146" s="73"/>
    </row>
    <row r="147" spans="1:17" x14ac:dyDescent="0.25">
      <c r="A147" t="str">
        <f>'HIDDEN import'!B147</f>
        <v>TC_K_10_CSMS</v>
      </c>
      <c r="B147" t="str">
        <f>'HIDDEN import'!C147</f>
        <v>Smart Charging</v>
      </c>
      <c r="C147" t="str">
        <f>'HIDDEN import'!D147</f>
        <v>Set Charging Profile - TxDefaultProfile - All EVSE</v>
      </c>
      <c r="D147" t="str">
        <f>IF(VLOOKUP(A147&amp;" "&amp;B147,'HIDDEN import'!A:G,5,FALSE)="M",MD!$A$1,(IF(AND(VLOOKUP(A147,'HIDDEN import'!B:E,4,FALSE)="C",OR(NOT(ISERROR(VLOOKUP(E147,'Optional features'!B:E,1,FALSE)=E147)),NOT(ISERROR(VLOOKUP(E147,'HIDDEN calc sheet'!A:C,1,FALSE)=E147)))),MD!$A$3,MD!$A$2)))</f>
        <v>Mandatory for optional feature</v>
      </c>
      <c r="E147" t="str">
        <f>IF('HIDDEN import'!F147=0,"",'HIDDEN import'!F147)</f>
        <v>SC-4</v>
      </c>
      <c r="F147" t="str">
        <f>IF('HIDDEN import'!G147=0,"",'HIDDEN import'!G147)</f>
        <v>Support for TxDefaultProfile on EVSEID #0</v>
      </c>
      <c r="G147" s="49" t="str">
        <f>IFERROR(VLOOKUP($A147,'HIDDEN Testrun Results'!$A:$B,2,FALSE),"")</f>
        <v/>
      </c>
      <c r="H147" s="49" t="b">
        <f t="shared" si="2"/>
        <v>0</v>
      </c>
      <c r="I147" s="49" t="b">
        <f>IF(VLOOKUP(A147&amp;" "&amp;B147,'HIDDEN import'!A:G,5,FALSE)="M",TRUE,IFERROR(VLOOKUP(E147,'Optional features'!B:E,3,FALSE)="Yes",IFERROR(VLOOKUP(E147,'HIDDEN calc sheet'!A:B,2,FALSE),VLOOKUP(E147,'Additional questions'!B:D,3,FALSE)="Yes")))</f>
        <v>0</v>
      </c>
      <c r="J147" t="b">
        <f>IF(VLOOKUP(B147,'Profile selection'!B:C,2,FALSE)="Yes",TRUE,FALSE)</f>
        <v>0</v>
      </c>
      <c r="K147" s="22" t="b">
        <f>IF(AND(D147=MD!$A$1,M147),TRUE,(IF(AND(D147=MD!$A$3,M147),(IF(L147=TRUE,TRUE,FALSE)),(IF(AND(D147=MD!$A$2,M147),(IF(N147=TRUE,TRUE,FALSE)),FALSE)))))</f>
        <v>0</v>
      </c>
      <c r="L147" t="b">
        <f>IF(ISNA(VLOOKUP(E147,'Optional features'!B:D,3,FALSE)),FALSE,IF(VLOOKUP(E147,'Optional features'!B:D,3,FALSE)="Yes",TRUE,FALSE))</f>
        <v>0</v>
      </c>
      <c r="M147" t="b">
        <f>IF(VLOOKUP(B147,'Profile selection'!B:C,2,FALSE)="Yes",TRUE,FALSE)</f>
        <v>0</v>
      </c>
      <c r="P147" s="73"/>
      <c r="Q147" s="73"/>
    </row>
    <row r="148" spans="1:17" x14ac:dyDescent="0.25">
      <c r="A148" t="str">
        <f>'HIDDEN import'!B148</f>
        <v>TC_K_60_CSMS</v>
      </c>
      <c r="B148" t="str">
        <f>'HIDDEN import'!C148</f>
        <v>Smart Charging</v>
      </c>
      <c r="C148" t="str">
        <f>'HIDDEN import'!D148</f>
        <v>Set Charging Profile - TxProfile with ongoing transaction on the specified EVSE</v>
      </c>
      <c r="D148" t="str">
        <f>IF(VLOOKUP(A148&amp;" "&amp;B148,'HIDDEN import'!A:G,5,FALSE)="M",MD!$A$1,(IF(AND(VLOOKUP(A148,'HIDDEN import'!B:E,4,FALSE)="C",OR(NOT(ISERROR(VLOOKUP(E148,'Optional features'!B:E,1,FALSE)=E148)),NOT(ISERROR(VLOOKUP(E148,'HIDDEN calc sheet'!A:C,1,FALSE)=E148)))),MD!$A$3,MD!$A$2)))</f>
        <v>Mandatory test for a mandatory feature</v>
      </c>
      <c r="E148" t="str">
        <f>IF('HIDDEN import'!F148=0,"",'HIDDEN import'!F148)</f>
        <v/>
      </c>
      <c r="F148" t="str">
        <f>IF('HIDDEN import'!G148=0,"",'HIDDEN import'!G148)</f>
        <v/>
      </c>
      <c r="G148" s="49" t="str">
        <f>IFERROR(VLOOKUP($A148,'HIDDEN Testrun Results'!$A:$B,2,FALSE),"")</f>
        <v/>
      </c>
      <c r="H148" s="49" t="b">
        <f t="shared" si="2"/>
        <v>0</v>
      </c>
      <c r="I148" s="49" t="b">
        <f>IF(VLOOKUP(A148&amp;" "&amp;B148,'HIDDEN import'!A:G,5,FALSE)="M",TRUE,IFERROR(VLOOKUP(E148,'Optional features'!B:E,3,FALSE)="Yes",IFERROR(VLOOKUP(E148,'HIDDEN calc sheet'!A:B,2,FALSE),VLOOKUP(E148,'Additional questions'!B:D,3,FALSE)="Yes")))</f>
        <v>1</v>
      </c>
      <c r="J148" t="b">
        <f>IF(VLOOKUP(B148,'Profile selection'!B:C,2,FALSE)="Yes",TRUE,FALSE)</f>
        <v>0</v>
      </c>
      <c r="K148" s="22" t="b">
        <f>IF(AND(D148=MD!$A$1,M148),TRUE,(IF(AND(D148=MD!$A$3,M148),(IF(L148=TRUE,TRUE,FALSE)),(IF(AND(D148=MD!$A$2,M148),(IF(N148=TRUE,TRUE,FALSE)),FALSE)))))</f>
        <v>0</v>
      </c>
      <c r="M148" t="b">
        <f>IF(VLOOKUP(B148,'Profile selection'!B:C,2,FALSE)="Yes",TRUE,FALSE)</f>
        <v>0</v>
      </c>
      <c r="P148" s="73"/>
      <c r="Q148" s="73"/>
    </row>
    <row r="149" spans="1:17" x14ac:dyDescent="0.25">
      <c r="A149" t="str">
        <f>'HIDDEN import'!B149</f>
        <v>TC_K_03_CSMS</v>
      </c>
      <c r="B149" t="str">
        <f>'HIDDEN import'!C149</f>
        <v>Smart Charging</v>
      </c>
      <c r="C149" t="str">
        <f>'HIDDEN import'!D149</f>
        <v>Set Charging Profile - ChargingStationMaxProfile</v>
      </c>
      <c r="D149" t="str">
        <f>IF(VLOOKUP(A149&amp;" "&amp;B149,'HIDDEN import'!A:G,5,FALSE)="M",MD!$A$1,(IF(AND(VLOOKUP(A149,'HIDDEN import'!B:E,4,FALSE)="C",OR(NOT(ISERROR(VLOOKUP(E149,'Optional features'!B:E,1,FALSE)=E149)),NOT(ISERROR(VLOOKUP(E149,'HIDDEN calc sheet'!A:C,1,FALSE)=E149)))),MD!$A$3,MD!$A$2)))</f>
        <v>Mandatory test for a mandatory feature</v>
      </c>
      <c r="E149" t="str">
        <f>IF('HIDDEN import'!F149=0,"",'HIDDEN import'!F149)</f>
        <v/>
      </c>
      <c r="F149" t="str">
        <f>IF('HIDDEN import'!G149=0,"",'HIDDEN import'!G149)</f>
        <v/>
      </c>
      <c r="G149" s="49" t="str">
        <f>IFERROR(VLOOKUP($A149,'HIDDEN Testrun Results'!$A:$B,2,FALSE),"")</f>
        <v/>
      </c>
      <c r="H149" s="49" t="b">
        <f t="shared" si="2"/>
        <v>0</v>
      </c>
      <c r="I149" s="49" t="b">
        <f>IF(VLOOKUP(A149&amp;" "&amp;B149,'HIDDEN import'!A:G,5,FALSE)="M",TRUE,IFERROR(VLOOKUP(E149,'Optional features'!B:E,3,FALSE)="Yes",IFERROR(VLOOKUP(E149,'HIDDEN calc sheet'!A:B,2,FALSE),VLOOKUP(E149,'Additional questions'!B:D,3,FALSE)="Yes")))</f>
        <v>1</v>
      </c>
      <c r="J149" t="b">
        <f>IF(VLOOKUP(B149,'Profile selection'!B:C,2,FALSE)="Yes",TRUE,FALSE)</f>
        <v>0</v>
      </c>
      <c r="K149" s="22" t="b">
        <f>IF(AND(D149=MD!$A$1,M149),TRUE,(IF(AND(D149=MD!$A$3,M149),(IF(L149=TRUE,TRUE,FALSE)),(IF(AND(D149=MD!$A$2,M149),(IF(N149=TRUE,TRUE,FALSE)),FALSE)))))</f>
        <v>0</v>
      </c>
      <c r="M149" t="b">
        <f>IF(VLOOKUP(B149,'Profile selection'!B:C,2,FALSE)="Yes",TRUE,FALSE)</f>
        <v>0</v>
      </c>
      <c r="P149" s="73"/>
      <c r="Q149" s="73"/>
    </row>
    <row r="150" spans="1:17" x14ac:dyDescent="0.25">
      <c r="A150" t="str">
        <f>'HIDDEN import'!B150</f>
        <v>TC_K_19_CSMS</v>
      </c>
      <c r="B150" t="str">
        <f>'HIDDEN import'!C150</f>
        <v>Smart Charging</v>
      </c>
      <c r="C150" t="str">
        <f>'HIDDEN import'!D150</f>
        <v>Set Charging Profile - ChargingProfileKind is Recurring</v>
      </c>
      <c r="D150" t="str">
        <f>IF(VLOOKUP(A150&amp;" "&amp;B150,'HIDDEN import'!A:G,5,FALSE)="M",MD!$A$1,(IF(AND(VLOOKUP(A150,'HIDDEN import'!B:E,4,FALSE)="C",OR(NOT(ISERROR(VLOOKUP(E150,'Optional features'!B:E,1,FALSE)=E150)),NOT(ISERROR(VLOOKUP(E150,'HIDDEN calc sheet'!A:C,1,FALSE)=E150)))),MD!$A$3,MD!$A$2)))</f>
        <v>Mandatory test for a mandatory feature</v>
      </c>
      <c r="E150" t="str">
        <f>IF('HIDDEN import'!F150=0,"",'HIDDEN import'!F150)</f>
        <v/>
      </c>
      <c r="F150" t="str">
        <f>IF('HIDDEN import'!G150=0,"",'HIDDEN import'!G150)</f>
        <v/>
      </c>
      <c r="G150" s="49" t="str">
        <f>IFERROR(VLOOKUP($A150,'HIDDEN Testrun Results'!$A:$B,2,FALSE),"")</f>
        <v/>
      </c>
      <c r="H150" s="49" t="b">
        <f t="shared" si="2"/>
        <v>0</v>
      </c>
      <c r="I150" s="49" t="b">
        <f>IF(VLOOKUP(A150&amp;" "&amp;B150,'HIDDEN import'!A:G,5,FALSE)="M",TRUE,IFERROR(VLOOKUP(E150,'Optional features'!B:E,3,FALSE)="Yes",IFERROR(VLOOKUP(E150,'HIDDEN calc sheet'!A:B,2,FALSE),VLOOKUP(E150,'Additional questions'!B:D,3,FALSE)="Yes")))</f>
        <v>1</v>
      </c>
      <c r="J150" t="b">
        <f>IF(VLOOKUP(B150,'Profile selection'!B:C,2,FALSE)="Yes",TRUE,FALSE)</f>
        <v>0</v>
      </c>
      <c r="K150" s="22" t="b">
        <f>IF(AND(D150=MD!$A$1,M150),TRUE,(IF(AND(D150=MD!$A$3,M150),(IF(L150=TRUE,TRUE,FALSE)),(IF(AND(D150=MD!$A$2,M150),(IF(N150=TRUE,TRUE,FALSE)),FALSE)))))</f>
        <v>0</v>
      </c>
      <c r="M150" t="b">
        <f>IF(VLOOKUP(B150,'Profile selection'!B:C,2,FALSE)="Yes",TRUE,FALSE)</f>
        <v>0</v>
      </c>
      <c r="P150" s="73"/>
      <c r="Q150" s="73"/>
    </row>
    <row r="151" spans="1:17" x14ac:dyDescent="0.25">
      <c r="A151" t="str">
        <f>'HIDDEN import'!B151</f>
        <v>TC_K_15_CSMS</v>
      </c>
      <c r="B151" t="str">
        <f>'HIDDEN import'!C151</f>
        <v>Smart Charging</v>
      </c>
      <c r="C151" t="str">
        <f>'HIDDEN import'!D151</f>
        <v>Set Charging Profile - Not Supported</v>
      </c>
      <c r="D151" t="str">
        <f>IF(VLOOKUP(A151&amp;" "&amp;B151,'HIDDEN import'!A:G,5,FALSE)="M",MD!$A$1,(IF(AND(VLOOKUP(A151,'HIDDEN import'!B:E,4,FALSE)="C",OR(NOT(ISERROR(VLOOKUP(E151,'Optional features'!B:E,1,FALSE)=E151)),NOT(ISERROR(VLOOKUP(E151,'HIDDEN calc sheet'!A:C,1,FALSE)=E151)))),MD!$A$3,MD!$A$2)))</f>
        <v>Mandatory test for a mandatory feature</v>
      </c>
      <c r="E151" t="str">
        <f>IF('HIDDEN import'!F151=0,"",'HIDDEN import'!F151)</f>
        <v/>
      </c>
      <c r="F151" t="str">
        <f>IF('HIDDEN import'!G151=0,"",'HIDDEN import'!G151)</f>
        <v/>
      </c>
      <c r="G151" s="49" t="str">
        <f>IFERROR(VLOOKUP($A151,'HIDDEN Testrun Results'!$A:$B,2,FALSE),"")</f>
        <v/>
      </c>
      <c r="H151" s="49" t="b">
        <f t="shared" si="2"/>
        <v>0</v>
      </c>
      <c r="I151" s="49" t="b">
        <f>IF(VLOOKUP(A151&amp;" "&amp;B151,'HIDDEN import'!A:G,5,FALSE)="M",TRUE,IFERROR(VLOOKUP(E151,'Optional features'!B:E,3,FALSE)="Yes",IFERROR(VLOOKUP(E151,'HIDDEN calc sheet'!A:B,2,FALSE),VLOOKUP(E151,'Additional questions'!B:D,3,FALSE)="Yes")))</f>
        <v>1</v>
      </c>
      <c r="J151" t="b">
        <f>IF(VLOOKUP(B151,'Profile selection'!B:C,2,FALSE)="Yes",TRUE,FALSE)</f>
        <v>0</v>
      </c>
      <c r="K151" s="22" t="b">
        <f>IF(AND(D151=MD!$A$1,M151),TRUE,(IF(AND(D151=MD!$A$3,M151),(IF(L151=TRUE,TRUE,FALSE)),(IF(AND(D151=MD!$A$2,M151),(IF(N151=TRUE,TRUE,FALSE)),FALSE)))))</f>
        <v>0</v>
      </c>
      <c r="M151" t="b">
        <f>IF(VLOOKUP(B151,'Profile selection'!B:C,2,FALSE)="Yes",TRUE,FALSE)</f>
        <v>0</v>
      </c>
      <c r="P151" s="73"/>
      <c r="Q151" s="73"/>
    </row>
    <row r="152" spans="1:17" x14ac:dyDescent="0.25">
      <c r="A152" t="str">
        <f>'HIDDEN import'!B152</f>
        <v>TC_K_70_CSMS</v>
      </c>
      <c r="B152" t="str">
        <f>'HIDDEN import'!C152</f>
        <v>Smart Charging</v>
      </c>
      <c r="C152" t="str">
        <f>'HIDDEN import'!D152</f>
        <v>Set Charging Profile - Multiple Profiles</v>
      </c>
      <c r="D152" t="str">
        <f>IF(VLOOKUP(A152&amp;" "&amp;B152,'HIDDEN import'!A:G,5,FALSE)="M",MD!$A$1,(IF(AND(VLOOKUP(A152,'HIDDEN import'!B:E,4,FALSE)="C",OR(NOT(ISERROR(VLOOKUP(E152,'Optional features'!B:E,1,FALSE)=E152)),NOT(ISERROR(VLOOKUP(E152,'HIDDEN calc sheet'!A:C,1,FALSE)=E152)))),MD!$A$3,MD!$A$2)))</f>
        <v>Mandatory test for a mandatory feature</v>
      </c>
      <c r="E152" t="str">
        <f>IF('HIDDEN import'!F152=0,"",'HIDDEN import'!F152)</f>
        <v/>
      </c>
      <c r="F152" t="str">
        <f>IF('HIDDEN import'!G152=0,"",'HIDDEN import'!G152)</f>
        <v/>
      </c>
      <c r="G152" s="49" t="str">
        <f>IFERROR(VLOOKUP($A152,'HIDDEN Testrun Results'!$A:$B,2,FALSE),"")</f>
        <v/>
      </c>
      <c r="H152" s="49" t="b">
        <f t="shared" si="2"/>
        <v>0</v>
      </c>
      <c r="I152" s="49" t="b">
        <f>IF(VLOOKUP(A152&amp;" "&amp;B152,'HIDDEN import'!A:G,5,FALSE)="M",TRUE,IFERROR(VLOOKUP(E152,'Optional features'!B:E,3,FALSE)="Yes",IFERROR(VLOOKUP(E152,'HIDDEN calc sheet'!A:B,2,FALSE),VLOOKUP(E152,'Additional questions'!B:D,3,FALSE)="Yes")))</f>
        <v>1</v>
      </c>
      <c r="J152" t="b">
        <f>IF(VLOOKUP(B152,'Profile selection'!B:C,2,FALSE)="Yes",TRUE,FALSE)</f>
        <v>0</v>
      </c>
      <c r="K152" s="22" t="b">
        <f>IF(AND(D152=MD!$A$1,M152),TRUE,(IF(AND(D152=MD!$A$3,M152),(IF(L152=TRUE,TRUE,FALSE)),(IF(AND(D152=MD!$A$2,M152),(IF(N152=TRUE,TRUE,FALSE)),FALSE)))))</f>
        <v>0</v>
      </c>
      <c r="M152" t="b">
        <f>IF(VLOOKUP(B152,'Profile selection'!B:C,2,FALSE)="Yes",TRUE,FALSE)</f>
        <v>0</v>
      </c>
      <c r="P152" s="73"/>
      <c r="Q152" s="73"/>
    </row>
    <row r="153" spans="1:17" x14ac:dyDescent="0.25">
      <c r="A153" t="str">
        <f>'HIDDEN import'!B153</f>
        <v>TC_K_04_CSMS</v>
      </c>
      <c r="B153" t="str">
        <f>'HIDDEN import'!C153</f>
        <v>Smart Charging</v>
      </c>
      <c r="C153" t="str">
        <f>'HIDDEN import'!D153</f>
        <v>Replace charging profile - With chargingProfileId</v>
      </c>
      <c r="D153" t="str">
        <f>IF(VLOOKUP(A153&amp;" "&amp;B153,'HIDDEN import'!A:G,5,FALSE)="M",MD!$A$1,(IF(AND(VLOOKUP(A153,'HIDDEN import'!B:E,4,FALSE)="C",OR(NOT(ISERROR(VLOOKUP(E153,'Optional features'!B:E,1,FALSE)=E153)),NOT(ISERROR(VLOOKUP(E153,'HIDDEN calc sheet'!A:C,1,FALSE)=E153)))),MD!$A$3,MD!$A$2)))</f>
        <v>Mandatory test for a mandatory feature</v>
      </c>
      <c r="E153" t="str">
        <f>IF('HIDDEN import'!F153=0,"",'HIDDEN import'!F153)</f>
        <v/>
      </c>
      <c r="F153" t="str">
        <f>IF('HIDDEN import'!G153=0,"",'HIDDEN import'!G153)</f>
        <v/>
      </c>
      <c r="G153" s="49" t="str">
        <f>IFERROR(VLOOKUP($A153,'HIDDEN Testrun Results'!$A:$B,2,FALSE),"")</f>
        <v/>
      </c>
      <c r="H153" s="49" t="b">
        <f t="shared" si="2"/>
        <v>0</v>
      </c>
      <c r="I153" s="49" t="b">
        <f>IF(VLOOKUP(A153&amp;" "&amp;B153,'HIDDEN import'!A:G,5,FALSE)="M",TRUE,IFERROR(VLOOKUP(E153,'Optional features'!B:E,3,FALSE)="Yes",IFERROR(VLOOKUP(E153,'HIDDEN calc sheet'!A:B,2,FALSE),VLOOKUP(E153,'Additional questions'!B:D,3,FALSE)="Yes")))</f>
        <v>1</v>
      </c>
      <c r="J153" t="b">
        <f>IF(VLOOKUP(B153,'Profile selection'!B:C,2,FALSE)="Yes",TRUE,FALSE)</f>
        <v>0</v>
      </c>
      <c r="K153" s="22" t="b">
        <f>IF(AND(D153=MD!$A$1,M153),TRUE,(IF(AND(D153=MD!$A$3,M153),(IF(L153=TRUE,TRUE,FALSE)),(IF(AND(D153=MD!$A$2,M153),(IF(N153=TRUE,TRUE,FALSE)),FALSE)))))</f>
        <v>0</v>
      </c>
      <c r="M153" t="b">
        <f>IF(VLOOKUP(B153,'Profile selection'!B:C,2,FALSE)="Yes",TRUE,FALSE)</f>
        <v>0</v>
      </c>
      <c r="P153" s="73"/>
      <c r="Q153" s="73"/>
    </row>
    <row r="154" spans="1:17" x14ac:dyDescent="0.25">
      <c r="A154" t="str">
        <f>'HIDDEN import'!B154</f>
        <v>TC_K_37_CSMS</v>
      </c>
      <c r="B154" t="str">
        <f>'HIDDEN import'!C154</f>
        <v>Smart Charging</v>
      </c>
      <c r="C154" t="str">
        <f>'HIDDEN import'!D154</f>
        <v>Remote start transaction with charging profile - Success</v>
      </c>
      <c r="D154" t="str">
        <f>IF(VLOOKUP(A154&amp;" "&amp;B154,'HIDDEN import'!A:G,5,FALSE)="M",MD!$A$1,(IF(AND(VLOOKUP(A154,'HIDDEN import'!B:E,4,FALSE)="C",OR(NOT(ISERROR(VLOOKUP(E154,'Optional features'!B:E,1,FALSE)=E154)),NOT(ISERROR(VLOOKUP(E154,'HIDDEN calc sheet'!A:C,1,FALSE)=E154)))),MD!$A$3,MD!$A$2)))</f>
        <v>Mandatory test for a mandatory feature</v>
      </c>
      <c r="E154" t="str">
        <f>IF('HIDDEN import'!F154=0,"",'HIDDEN import'!F154)</f>
        <v/>
      </c>
      <c r="F154" t="str">
        <f>IF('HIDDEN import'!G154=0,"",'HIDDEN import'!G154)</f>
        <v/>
      </c>
      <c r="G154" s="49" t="str">
        <f>IFERROR(VLOOKUP($A154,'HIDDEN Testrun Results'!$A:$B,2,FALSE),"")</f>
        <v/>
      </c>
      <c r="H154" s="49" t="b">
        <f t="shared" si="2"/>
        <v>0</v>
      </c>
      <c r="I154" s="49" t="b">
        <f>IF(VLOOKUP(A154&amp;" "&amp;B154,'HIDDEN import'!A:G,5,FALSE)="M",TRUE,IFERROR(VLOOKUP(E154,'Optional features'!B:E,3,FALSE)="Yes",IFERROR(VLOOKUP(E154,'HIDDEN calc sheet'!A:B,2,FALSE),VLOOKUP(E154,'Additional questions'!B:D,3,FALSE)="Yes")))</f>
        <v>1</v>
      </c>
      <c r="J154" t="b">
        <f>IF(VLOOKUP(B154,'Profile selection'!B:C,2,FALSE)="Yes",TRUE,FALSE)</f>
        <v>0</v>
      </c>
      <c r="K154" s="22" t="b">
        <f>IF(AND(D154=MD!$A$1,M154),TRUE,(IF(AND(D154=MD!$A$3,M154),(IF(L154=TRUE,TRUE,FALSE)),(IF(AND(D154=MD!$A$2,M154),(IF(N154=TRUE,TRUE,FALSE)),FALSE)))))</f>
        <v>0</v>
      </c>
      <c r="M154" t="b">
        <f>IF(VLOOKUP(B154,'Profile selection'!B:C,2,FALSE)="Yes",TRUE,FALSE)</f>
        <v>0</v>
      </c>
      <c r="P154" s="73"/>
      <c r="Q154" s="73"/>
    </row>
    <row r="155" spans="1:17" x14ac:dyDescent="0.25">
      <c r="A155" t="str">
        <f>'HIDDEN import'!B155</f>
        <v>TC_K_43_CSMS</v>
      </c>
      <c r="B155" t="str">
        <f>'HIDDEN import'!C155</f>
        <v>Smart Charging</v>
      </c>
      <c r="C155" t="str">
        <f>'HIDDEN import'!D155</f>
        <v>Get Composite Schedule - Specific EVSE</v>
      </c>
      <c r="D155" t="str">
        <f>IF(VLOOKUP(A155&amp;" "&amp;B155,'HIDDEN import'!A:G,5,FALSE)="M",MD!$A$1,(IF(AND(VLOOKUP(A155,'HIDDEN import'!B:E,4,FALSE)="C",OR(NOT(ISERROR(VLOOKUP(E155,'Optional features'!B:E,1,FALSE)=E155)),NOT(ISERROR(VLOOKUP(E155,'HIDDEN calc sheet'!A:C,1,FALSE)=E155)))),MD!$A$3,MD!$A$2)))</f>
        <v>Mandatory test for a mandatory feature</v>
      </c>
      <c r="E155" t="str">
        <f>IF('HIDDEN import'!F155=0,"",'HIDDEN import'!F155)</f>
        <v/>
      </c>
      <c r="F155" t="str">
        <f>IF('HIDDEN import'!G155=0,"",'HIDDEN import'!G155)</f>
        <v/>
      </c>
      <c r="G155" s="49" t="str">
        <f>IFERROR(VLOOKUP($A155,'HIDDEN Testrun Results'!$A:$B,2,FALSE),"")</f>
        <v/>
      </c>
      <c r="H155" s="49" t="b">
        <f t="shared" si="2"/>
        <v>0</v>
      </c>
      <c r="I155" s="49" t="b">
        <f>IF(VLOOKUP(A155&amp;" "&amp;B155,'HIDDEN import'!A:G,5,FALSE)="M",TRUE,IFERROR(VLOOKUP(E155,'Optional features'!B:E,3,FALSE)="Yes",IFERROR(VLOOKUP(E155,'HIDDEN calc sheet'!A:B,2,FALSE),VLOOKUP(E155,'Additional questions'!B:D,3,FALSE)="Yes")))</f>
        <v>1</v>
      </c>
      <c r="J155" t="b">
        <f>IF(VLOOKUP(B155,'Profile selection'!B:C,2,FALSE)="Yes",TRUE,FALSE)</f>
        <v>0</v>
      </c>
      <c r="K155" s="22" t="b">
        <f>IF(AND(D155=MD!$A$1,M155),TRUE,(IF(AND(D155=MD!$A$3,M155),(IF(L155=TRUE,TRUE,FALSE)),(IF(AND(D155=MD!$A$2,M155),(IF(N155=TRUE,TRUE,FALSE)),FALSE)))))</f>
        <v>0</v>
      </c>
      <c r="M155" t="b">
        <f>IF(VLOOKUP(B155,'Profile selection'!B:C,2,FALSE)="Yes",TRUE,FALSE)</f>
        <v>0</v>
      </c>
      <c r="P155" s="73"/>
      <c r="Q155" s="73"/>
    </row>
    <row r="156" spans="1:17" x14ac:dyDescent="0.25">
      <c r="A156" t="str">
        <f>'HIDDEN import'!B156</f>
        <v>TC_K_44_CSMS</v>
      </c>
      <c r="B156" t="str">
        <f>'HIDDEN import'!C156</f>
        <v>Smart Charging</v>
      </c>
      <c r="C156" t="str">
        <f>'HIDDEN import'!D156</f>
        <v>Get Composite Schedule - Charging Station</v>
      </c>
      <c r="D156" t="str">
        <f>IF(VLOOKUP(A156&amp;" "&amp;B156,'HIDDEN import'!A:G,5,FALSE)="M",MD!$A$1,(IF(AND(VLOOKUP(A156,'HIDDEN import'!B:E,4,FALSE)="C",OR(NOT(ISERROR(VLOOKUP(E156,'Optional features'!B:E,1,FALSE)=E156)),NOT(ISERROR(VLOOKUP(E156,'HIDDEN calc sheet'!A:C,1,FALSE)=E156)))),MD!$A$3,MD!$A$2)))</f>
        <v>Mandatory test for a mandatory feature</v>
      </c>
      <c r="E156" t="str">
        <f>IF('HIDDEN import'!F156=0,"",'HIDDEN import'!F156)</f>
        <v/>
      </c>
      <c r="F156" t="str">
        <f>IF('HIDDEN import'!G156=0,"",'HIDDEN import'!G156)</f>
        <v/>
      </c>
      <c r="G156" s="49" t="str">
        <f>IFERROR(VLOOKUP($A156,'HIDDEN Testrun Results'!$A:$B,2,FALSE),"")</f>
        <v/>
      </c>
      <c r="H156" s="49" t="b">
        <f t="shared" si="2"/>
        <v>0</v>
      </c>
      <c r="I156" s="49" t="b">
        <f>IF(VLOOKUP(A156&amp;" "&amp;B156,'HIDDEN import'!A:G,5,FALSE)="M",TRUE,IFERROR(VLOOKUP(E156,'Optional features'!B:E,3,FALSE)="Yes",IFERROR(VLOOKUP(E156,'HIDDEN calc sheet'!A:B,2,FALSE),VLOOKUP(E156,'Additional questions'!B:D,3,FALSE)="Yes")))</f>
        <v>1</v>
      </c>
      <c r="J156" t="b">
        <f>IF(VLOOKUP(B156,'Profile selection'!B:C,2,FALSE)="Yes",TRUE,FALSE)</f>
        <v>0</v>
      </c>
      <c r="K156" s="22" t="b">
        <f>IF(AND(D156=MD!$A$1,M156),TRUE,(IF(AND(D156=MD!$A$3,M156),(IF(L156=TRUE,TRUE,FALSE)),(IF(AND(D156=MD!$A$2,M156),(IF(N156=TRUE,TRUE,FALSE)),FALSE)))))</f>
        <v>0</v>
      </c>
      <c r="M156" t="b">
        <f>IF(VLOOKUP(B156,'Profile selection'!B:C,2,FALSE)="Yes",TRUE,FALSE)</f>
        <v>0</v>
      </c>
      <c r="P156" s="73"/>
      <c r="Q156" s="73"/>
    </row>
    <row r="157" spans="1:17" x14ac:dyDescent="0.25">
      <c r="A157" t="str">
        <f>'HIDDEN import'!B157</f>
        <v>TC_K_29_CSMS</v>
      </c>
      <c r="B157" t="str">
        <f>'HIDDEN import'!C157</f>
        <v>Smart Charging</v>
      </c>
      <c r="C157" t="str">
        <f>'HIDDEN import'!D157</f>
        <v>Get Charging Profile - EvseId 0</v>
      </c>
      <c r="D157" t="str">
        <f>IF(VLOOKUP(A157&amp;" "&amp;B157,'HIDDEN import'!A:G,5,FALSE)="M",MD!$A$1,(IF(AND(VLOOKUP(A157,'HIDDEN import'!B:E,4,FALSE)="C",OR(NOT(ISERROR(VLOOKUP(E157,'Optional features'!B:E,1,FALSE)=E157)),NOT(ISERROR(VLOOKUP(E157,'HIDDEN calc sheet'!A:C,1,FALSE)=E157)))),MD!$A$3,MD!$A$2)))</f>
        <v>Mandatory test for a mandatory feature</v>
      </c>
      <c r="E157" t="str">
        <f>IF('HIDDEN import'!F157=0,"",'HIDDEN import'!F157)</f>
        <v/>
      </c>
      <c r="F157" t="str">
        <f>IF('HIDDEN import'!G157=0,"",'HIDDEN import'!G157)</f>
        <v/>
      </c>
      <c r="G157" s="49" t="str">
        <f>IFERROR(VLOOKUP($A157,'HIDDEN Testrun Results'!$A:$B,2,FALSE),"")</f>
        <v/>
      </c>
      <c r="H157" s="49" t="b">
        <f t="shared" si="2"/>
        <v>0</v>
      </c>
      <c r="I157" s="49" t="b">
        <f>IF(VLOOKUP(A157&amp;" "&amp;B157,'HIDDEN import'!A:G,5,FALSE)="M",TRUE,IFERROR(VLOOKUP(E157,'Optional features'!B:E,3,FALSE)="Yes",IFERROR(VLOOKUP(E157,'HIDDEN calc sheet'!A:B,2,FALSE),VLOOKUP(E157,'Additional questions'!B:D,3,FALSE)="Yes")))</f>
        <v>1</v>
      </c>
      <c r="J157" t="b">
        <f>IF(VLOOKUP(B157,'Profile selection'!B:C,2,FALSE)="Yes",TRUE,FALSE)</f>
        <v>0</v>
      </c>
      <c r="K157" s="22" t="b">
        <f>IF(AND(D157=MD!$A$1,M157),TRUE,(IF(AND(D157=MD!$A$3,M157),(IF(L157=TRUE,TRUE,FALSE)),(IF(AND(D157=MD!$A$2,M157),(IF(N157=TRUE,TRUE,FALSE)),FALSE)))))</f>
        <v>0</v>
      </c>
      <c r="M157" t="b">
        <f>IF(VLOOKUP(B157,'Profile selection'!B:C,2,FALSE)="Yes",TRUE,FALSE)</f>
        <v>0</v>
      </c>
      <c r="P157" s="73"/>
      <c r="Q157" s="73"/>
    </row>
    <row r="158" spans="1:17" x14ac:dyDescent="0.25">
      <c r="A158" t="str">
        <f>'HIDDEN import'!B158</f>
        <v>TC_K_30_CSMS</v>
      </c>
      <c r="B158" t="str">
        <f>'HIDDEN import'!C158</f>
        <v>Smart Charging</v>
      </c>
      <c r="C158" t="str">
        <f>'HIDDEN import'!D158</f>
        <v>Get Charging Profile - EvseId &gt; 0</v>
      </c>
      <c r="D158" t="str">
        <f>IF(VLOOKUP(A158&amp;" "&amp;B158,'HIDDEN import'!A:G,5,FALSE)="M",MD!$A$1,(IF(AND(VLOOKUP(A158,'HIDDEN import'!B:E,4,FALSE)="C",OR(NOT(ISERROR(VLOOKUP(E158,'Optional features'!B:E,1,FALSE)=E158)),NOT(ISERROR(VLOOKUP(E158,'HIDDEN calc sheet'!A:C,1,FALSE)=E158)))),MD!$A$3,MD!$A$2)))</f>
        <v>Mandatory test for a mandatory feature</v>
      </c>
      <c r="E158" t="str">
        <f>IF('HIDDEN import'!F158=0,"",'HIDDEN import'!F158)</f>
        <v/>
      </c>
      <c r="F158" t="str">
        <f>IF('HIDDEN import'!G158=0,"",'HIDDEN import'!G158)</f>
        <v/>
      </c>
      <c r="G158" s="49" t="str">
        <f>IFERROR(VLOOKUP($A158,'HIDDEN Testrun Results'!$A:$B,2,FALSE),"")</f>
        <v/>
      </c>
      <c r="H158" s="49" t="b">
        <f t="shared" si="2"/>
        <v>0</v>
      </c>
      <c r="I158" s="49" t="b">
        <f>IF(VLOOKUP(A158&amp;" "&amp;B158,'HIDDEN import'!A:G,5,FALSE)="M",TRUE,IFERROR(VLOOKUP(E158,'Optional features'!B:E,3,FALSE)="Yes",IFERROR(VLOOKUP(E158,'HIDDEN calc sheet'!A:B,2,FALSE),VLOOKUP(E158,'Additional questions'!B:D,3,FALSE)="Yes")))</f>
        <v>1</v>
      </c>
      <c r="J158" t="b">
        <f>IF(VLOOKUP(B158,'Profile selection'!B:C,2,FALSE)="Yes",TRUE,FALSE)</f>
        <v>0</v>
      </c>
      <c r="K158" s="22" t="b">
        <f>IF(AND(D158=MD!$A$1,M158),TRUE,(IF(AND(D158=MD!$A$3,M158),(IF(L158=TRUE,TRUE,FALSE)),(IF(AND(D158=MD!$A$2,M158),(IF(N158=TRUE,TRUE,FALSE)),FALSE)))))</f>
        <v>0</v>
      </c>
      <c r="M158" t="b">
        <f>IF(VLOOKUP(B158,'Profile selection'!B:C,2,FALSE)="Yes",TRUE,FALSE)</f>
        <v>0</v>
      </c>
      <c r="P158" s="73"/>
      <c r="Q158" s="73"/>
    </row>
    <row r="159" spans="1:17" x14ac:dyDescent="0.25">
      <c r="A159" t="str">
        <f>'HIDDEN import'!B159</f>
        <v>TC_K_31_CSMS</v>
      </c>
      <c r="B159" t="str">
        <f>'HIDDEN import'!C159</f>
        <v>Smart Charging</v>
      </c>
      <c r="C159" t="str">
        <f>'HIDDEN import'!D159</f>
        <v>Get Charging Profile - No EvseId</v>
      </c>
      <c r="D159" t="str">
        <f>IF(VLOOKUP(A159&amp;" "&amp;B159,'HIDDEN import'!A:G,5,FALSE)="M",MD!$A$1,(IF(AND(VLOOKUP(A159,'HIDDEN import'!B:E,4,FALSE)="C",OR(NOT(ISERROR(VLOOKUP(E159,'Optional features'!B:E,1,FALSE)=E159)),NOT(ISERROR(VLOOKUP(E159,'HIDDEN calc sheet'!A:C,1,FALSE)=E159)))),MD!$A$3,MD!$A$2)))</f>
        <v>Mandatory test for a mandatory feature</v>
      </c>
      <c r="E159" t="str">
        <f>IF('HIDDEN import'!F159=0,"",'HIDDEN import'!F159)</f>
        <v/>
      </c>
      <c r="F159" t="str">
        <f>IF('HIDDEN import'!G159=0,"",'HIDDEN import'!G159)</f>
        <v/>
      </c>
      <c r="G159" s="49" t="str">
        <f>IFERROR(VLOOKUP($A159,'HIDDEN Testrun Results'!$A:$B,2,FALSE),"")</f>
        <v/>
      </c>
      <c r="H159" s="49" t="b">
        <f t="shared" si="2"/>
        <v>0</v>
      </c>
      <c r="I159" s="49" t="b">
        <f>IF(VLOOKUP(A159&amp;" "&amp;B159,'HIDDEN import'!A:G,5,FALSE)="M",TRUE,IFERROR(VLOOKUP(E159,'Optional features'!B:E,3,FALSE)="Yes",IFERROR(VLOOKUP(E159,'HIDDEN calc sheet'!A:B,2,FALSE),VLOOKUP(E159,'Additional questions'!B:D,3,FALSE)="Yes")))</f>
        <v>1</v>
      </c>
      <c r="J159" t="b">
        <f>IF(VLOOKUP(B159,'Profile selection'!B:C,2,FALSE)="Yes",TRUE,FALSE)</f>
        <v>0</v>
      </c>
      <c r="K159" s="22" t="b">
        <f>IF(AND(D159=MD!$A$1,M159),TRUE,(IF(AND(D159=MD!$A$3,M159),(IF(L159=TRUE,TRUE,FALSE)),(IF(AND(D159=MD!$A$2,M159),(IF(N159=TRUE,TRUE,FALSE)),FALSE)))))</f>
        <v>0</v>
      </c>
      <c r="M159" t="b">
        <f>IF(VLOOKUP(B159,'Profile selection'!B:C,2,FALSE)="Yes",TRUE,FALSE)</f>
        <v>0</v>
      </c>
      <c r="P159" s="73"/>
      <c r="Q159" s="73"/>
    </row>
    <row r="160" spans="1:17" x14ac:dyDescent="0.25">
      <c r="A160" t="str">
        <f>'HIDDEN import'!B160</f>
        <v>TC_K_32_CSMS</v>
      </c>
      <c r="B160" t="str">
        <f>'HIDDEN import'!C160</f>
        <v>Smart Charging</v>
      </c>
      <c r="C160" t="str">
        <f>'HIDDEN import'!D160</f>
        <v>Get Charging Profile - chargingProfileId</v>
      </c>
      <c r="D160" t="str">
        <f>IF(VLOOKUP(A160&amp;" "&amp;B160,'HIDDEN import'!A:G,5,FALSE)="M",MD!$A$1,(IF(AND(VLOOKUP(A160,'HIDDEN import'!B:E,4,FALSE)="C",OR(NOT(ISERROR(VLOOKUP(E160,'Optional features'!B:E,1,FALSE)=E160)),NOT(ISERROR(VLOOKUP(E160,'HIDDEN calc sheet'!A:C,1,FALSE)=E160)))),MD!$A$3,MD!$A$2)))</f>
        <v>Mandatory test for a mandatory feature</v>
      </c>
      <c r="E160" t="str">
        <f>IF('HIDDEN import'!F160=0,"",'HIDDEN import'!F160)</f>
        <v/>
      </c>
      <c r="F160" t="str">
        <f>IF('HIDDEN import'!G160=0,"",'HIDDEN import'!G160)</f>
        <v/>
      </c>
      <c r="G160" s="49" t="str">
        <f>IFERROR(VLOOKUP($A160,'HIDDEN Testrun Results'!$A:$B,2,FALSE),"")</f>
        <v/>
      </c>
      <c r="H160" s="49" t="b">
        <f t="shared" si="2"/>
        <v>0</v>
      </c>
      <c r="I160" s="49" t="b">
        <f>IF(VLOOKUP(A160&amp;" "&amp;B160,'HIDDEN import'!A:G,5,FALSE)="M",TRUE,IFERROR(VLOOKUP(E160,'Optional features'!B:E,3,FALSE)="Yes",IFERROR(VLOOKUP(E160,'HIDDEN calc sheet'!A:B,2,FALSE),VLOOKUP(E160,'Additional questions'!B:D,3,FALSE)="Yes")))</f>
        <v>1</v>
      </c>
      <c r="J160" t="b">
        <f>IF(VLOOKUP(B160,'Profile selection'!B:C,2,FALSE)="Yes",TRUE,FALSE)</f>
        <v>0</v>
      </c>
      <c r="K160" s="22" t="b">
        <f>IF(AND(D160=MD!$A$1,M160),TRUE,(IF(AND(D160=MD!$A$3,M160),(IF(L160=TRUE,TRUE,FALSE)),(IF(AND(D160=MD!$A$2,M160),(IF(N160=TRUE,TRUE,FALSE)),FALSE)))))</f>
        <v>0</v>
      </c>
      <c r="L160" t="b">
        <f>IF(ISNA(VLOOKUP(E160,'Optional features'!B:D,3,FALSE)),FALSE,IF(VLOOKUP(E160,'Optional features'!B:D,3,FALSE)="Yes",TRUE,FALSE))</f>
        <v>0</v>
      </c>
      <c r="M160" t="b">
        <f>IF(VLOOKUP(B160,'Profile selection'!B:C,2,FALSE)="Yes",TRUE,FALSE)</f>
        <v>0</v>
      </c>
      <c r="P160" s="73"/>
      <c r="Q160" s="73"/>
    </row>
    <row r="161" spans="1:17" x14ac:dyDescent="0.25">
      <c r="A161" t="str">
        <f>'HIDDEN import'!B161</f>
        <v>TC_K_33_CSMS</v>
      </c>
      <c r="B161" t="str">
        <f>'HIDDEN import'!C161</f>
        <v>Smart Charging</v>
      </c>
      <c r="C161" t="str">
        <f>'HIDDEN import'!D161</f>
        <v>Get Charging Profile - EvseId &gt; 0 + stackLevel</v>
      </c>
      <c r="D161" t="str">
        <f>IF(VLOOKUP(A161&amp;" "&amp;B161,'HIDDEN import'!A:G,5,FALSE)="M",MD!$A$1,(IF(AND(VLOOKUP(A161,'HIDDEN import'!B:E,4,FALSE)="C",OR(NOT(ISERROR(VLOOKUP(E161,'Optional features'!B:E,1,FALSE)=E161)),NOT(ISERROR(VLOOKUP(E161,'HIDDEN calc sheet'!A:C,1,FALSE)=E161)))),MD!$A$3,MD!$A$2)))</f>
        <v>Mandatory test for a mandatory feature</v>
      </c>
      <c r="E161" t="str">
        <f>IF('HIDDEN import'!F161=0,"",'HIDDEN import'!F161)</f>
        <v/>
      </c>
      <c r="F161" t="str">
        <f>IF('HIDDEN import'!G161=0,"",'HIDDEN import'!G161)</f>
        <v/>
      </c>
      <c r="G161" s="49" t="str">
        <f>IFERROR(VLOOKUP($A161,'HIDDEN Testrun Results'!$A:$B,2,FALSE),"")</f>
        <v/>
      </c>
      <c r="H161" s="49" t="b">
        <f t="shared" si="2"/>
        <v>0</v>
      </c>
      <c r="I161" s="49" t="b">
        <f>IF(VLOOKUP(A161&amp;" "&amp;B161,'HIDDEN import'!A:G,5,FALSE)="M",TRUE,IFERROR(VLOOKUP(E161,'Optional features'!B:E,3,FALSE)="Yes",IFERROR(VLOOKUP(E161,'HIDDEN calc sheet'!A:B,2,FALSE),VLOOKUP(E161,'Additional questions'!B:D,3,FALSE)="Yes")))</f>
        <v>1</v>
      </c>
      <c r="J161" t="b">
        <f>IF(VLOOKUP(B161,'Profile selection'!B:C,2,FALSE)="Yes",TRUE,FALSE)</f>
        <v>0</v>
      </c>
      <c r="K161" s="22" t="b">
        <f>IF(AND(D161=MD!$A$1,M161),TRUE,(IF(AND(D161=MD!$A$3,M161),(IF(L161=TRUE,TRUE,FALSE)),(IF(AND(D161=MD!$A$2,M161),(IF(N161=TRUE,TRUE,FALSE)),FALSE)))))</f>
        <v>0</v>
      </c>
      <c r="L161" t="b">
        <f>IF(ISNA(VLOOKUP(E161,'Optional features'!B:D,3,FALSE)),FALSE,IF(VLOOKUP(E161,'Optional features'!B:D,3,FALSE)="Yes",TRUE,FALSE))</f>
        <v>0</v>
      </c>
      <c r="M161" t="b">
        <f>IF(VLOOKUP(B161,'Profile selection'!B:C,2,FALSE)="Yes",TRUE,FALSE)</f>
        <v>0</v>
      </c>
      <c r="P161" s="73"/>
      <c r="Q161" s="73"/>
    </row>
    <row r="162" spans="1:17" x14ac:dyDescent="0.25">
      <c r="A162" t="str">
        <f>'HIDDEN import'!B162</f>
        <v>TC_K_34_CSMS</v>
      </c>
      <c r="B162" t="str">
        <f>'HIDDEN import'!C162</f>
        <v>Smart Charging</v>
      </c>
      <c r="C162" t="str">
        <f>'HIDDEN import'!D162</f>
        <v>Get Charging Profile - EvseId &gt; 0 + chargingLimitSource</v>
      </c>
      <c r="D162" t="str">
        <f>IF(VLOOKUP(A162&amp;" "&amp;B162,'HIDDEN import'!A:G,5,FALSE)="M",MD!$A$1,(IF(AND(VLOOKUP(A162,'HIDDEN import'!B:E,4,FALSE)="C",OR(NOT(ISERROR(VLOOKUP(E162,'Optional features'!B:E,1,FALSE)=E162)),NOT(ISERROR(VLOOKUP(E162,'HIDDEN calc sheet'!A:C,1,FALSE)=E162)))),MD!$A$3,MD!$A$2)))</f>
        <v>Mandatory test for a mandatory feature</v>
      </c>
      <c r="E162" t="str">
        <f>IF('HIDDEN import'!F162=0,"",'HIDDEN import'!F162)</f>
        <v/>
      </c>
      <c r="F162" t="str">
        <f>IF('HIDDEN import'!G162=0,"",'HIDDEN import'!G162)</f>
        <v/>
      </c>
      <c r="G162" s="49" t="str">
        <f>IFERROR(VLOOKUP($A162,'HIDDEN Testrun Results'!$A:$B,2,FALSE),"")</f>
        <v/>
      </c>
      <c r="H162" s="49" t="b">
        <f t="shared" si="2"/>
        <v>0</v>
      </c>
      <c r="I162" s="49" t="b">
        <f>IF(VLOOKUP(A162&amp;" "&amp;B162,'HIDDEN import'!A:G,5,FALSE)="M",TRUE,IFERROR(VLOOKUP(E162,'Optional features'!B:E,3,FALSE)="Yes",IFERROR(VLOOKUP(E162,'HIDDEN calc sheet'!A:B,2,FALSE),VLOOKUP(E162,'Additional questions'!B:D,3,FALSE)="Yes")))</f>
        <v>1</v>
      </c>
      <c r="J162" t="b">
        <f>IF(VLOOKUP(B162,'Profile selection'!B:C,2,FALSE)="Yes",TRUE,FALSE)</f>
        <v>0</v>
      </c>
      <c r="K162" s="22" t="b">
        <f>IF(AND(D162=MD!$A$1,M162),TRUE,(IF(AND(D162=MD!$A$3,M162),(IF(L162=TRUE,TRUE,FALSE)),(IF(AND(D162=MD!$A$2,M162),(IF(N162=TRUE,TRUE,FALSE)),FALSE)))))</f>
        <v>0</v>
      </c>
      <c r="L162" t="b">
        <f>IF(ISNA(VLOOKUP(E162,'Optional features'!B:D,3,FALSE)),FALSE,IF(VLOOKUP(E162,'Optional features'!B:D,3,FALSE)="Yes",TRUE,FALSE))</f>
        <v>0</v>
      </c>
      <c r="M162" t="b">
        <f>IF(VLOOKUP(B162,'Profile selection'!B:C,2,FALSE)="Yes",TRUE,FALSE)</f>
        <v>0</v>
      </c>
      <c r="P162" s="73"/>
      <c r="Q162" s="73"/>
    </row>
    <row r="163" spans="1:17" x14ac:dyDescent="0.25">
      <c r="A163" t="str">
        <f>'HIDDEN import'!B163</f>
        <v>TC_K_35_CSMS</v>
      </c>
      <c r="B163" t="str">
        <f>'HIDDEN import'!C163</f>
        <v>Smart Charging</v>
      </c>
      <c r="C163" t="str">
        <f>'HIDDEN import'!D163</f>
        <v>Get Charging Profile - EvseId &gt; 0 + chargingProfilePurpose</v>
      </c>
      <c r="D163" t="str">
        <f>IF(VLOOKUP(A163&amp;" "&amp;B163,'HIDDEN import'!A:G,5,FALSE)="M",MD!$A$1,(IF(AND(VLOOKUP(A163,'HIDDEN import'!B:E,4,FALSE)="C",OR(NOT(ISERROR(VLOOKUP(E163,'Optional features'!B:E,1,FALSE)=E163)),NOT(ISERROR(VLOOKUP(E163,'HIDDEN calc sheet'!A:C,1,FALSE)=E163)))),MD!$A$3,MD!$A$2)))</f>
        <v>Mandatory test for a mandatory feature</v>
      </c>
      <c r="E163" t="str">
        <f>IF('HIDDEN import'!F163=0,"",'HIDDEN import'!F163)</f>
        <v/>
      </c>
      <c r="F163" t="str">
        <f>IF('HIDDEN import'!G163=0,"",'HIDDEN import'!G163)</f>
        <v/>
      </c>
      <c r="G163" s="49" t="str">
        <f>IFERROR(VLOOKUP($A163,'HIDDEN Testrun Results'!$A:$B,2,FALSE),"")</f>
        <v/>
      </c>
      <c r="H163" s="49" t="b">
        <f t="shared" si="2"/>
        <v>0</v>
      </c>
      <c r="I163" s="49" t="b">
        <f>IF(VLOOKUP(A163&amp;" "&amp;B163,'HIDDEN import'!A:G,5,FALSE)="M",TRUE,IFERROR(VLOOKUP(E163,'Optional features'!B:E,3,FALSE)="Yes",IFERROR(VLOOKUP(E163,'HIDDEN calc sheet'!A:B,2,FALSE),VLOOKUP(E163,'Additional questions'!B:D,3,FALSE)="Yes")))</f>
        <v>1</v>
      </c>
      <c r="J163" t="b">
        <f>IF(VLOOKUP(B163,'Profile selection'!B:C,2,FALSE)="Yes",TRUE,FALSE)</f>
        <v>0</v>
      </c>
      <c r="K163" s="22" t="b">
        <f>IF(AND(D163=MD!$A$1,M163),TRUE,(IF(AND(D163=MD!$A$3,M163),(IF(L163=TRUE,TRUE,FALSE)),(IF(AND(D163=MD!$A$2,M163),(IF(N163=TRUE,TRUE,FALSE)),FALSE)))))</f>
        <v>0</v>
      </c>
      <c r="L163" t="b">
        <f>IF(ISNA(VLOOKUP(E163,'Optional features'!B:D,3,FALSE)),FALSE,IF(VLOOKUP(E163,'Optional features'!B:D,3,FALSE)="Yes",TRUE,FALSE))</f>
        <v>0</v>
      </c>
      <c r="M163" t="b">
        <f>IF(VLOOKUP(B163,'Profile selection'!B:C,2,FALSE)="Yes",TRUE,FALSE)</f>
        <v>0</v>
      </c>
      <c r="P163" s="73"/>
      <c r="Q163" s="73"/>
    </row>
    <row r="164" spans="1:17" x14ac:dyDescent="0.25">
      <c r="A164" t="str">
        <f>'HIDDEN import'!B164</f>
        <v>TC_K_36_CSMS</v>
      </c>
      <c r="B164" t="str">
        <f>'HIDDEN import'!C164</f>
        <v>Smart Charging</v>
      </c>
      <c r="C164" t="str">
        <f>'HIDDEN import'!D164</f>
        <v>Get Charging Profile - EvseId &gt; 0 + chargingProfilePurpose + stackLevel</v>
      </c>
      <c r="D164" t="str">
        <f>IF(VLOOKUP(A164&amp;" "&amp;B164,'HIDDEN import'!A:G,5,FALSE)="M",MD!$A$1,(IF(AND(VLOOKUP(A164,'HIDDEN import'!B:E,4,FALSE)="C",OR(NOT(ISERROR(VLOOKUP(E164,'Optional features'!B:E,1,FALSE)=E164)),NOT(ISERROR(VLOOKUP(E164,'HIDDEN calc sheet'!A:C,1,FALSE)=E164)))),MD!$A$3,MD!$A$2)))</f>
        <v>Mandatory test for a mandatory feature</v>
      </c>
      <c r="E164" t="str">
        <f>IF('HIDDEN import'!F164=0,"",'HIDDEN import'!F164)</f>
        <v/>
      </c>
      <c r="F164" t="str">
        <f>IF('HIDDEN import'!G164=0,"",'HIDDEN import'!G164)</f>
        <v/>
      </c>
      <c r="G164" s="49" t="str">
        <f>IFERROR(VLOOKUP($A164,'HIDDEN Testrun Results'!$A:$B,2,FALSE),"")</f>
        <v/>
      </c>
      <c r="H164" s="49" t="b">
        <f t="shared" si="2"/>
        <v>0</v>
      </c>
      <c r="I164" s="49" t="b">
        <f>IF(VLOOKUP(A164&amp;" "&amp;B164,'HIDDEN import'!A:G,5,FALSE)="M",TRUE,IFERROR(VLOOKUP(E164,'Optional features'!B:E,3,FALSE)="Yes",IFERROR(VLOOKUP(E164,'HIDDEN calc sheet'!A:B,2,FALSE),VLOOKUP(E164,'Additional questions'!B:D,3,FALSE)="Yes")))</f>
        <v>1</v>
      </c>
      <c r="J164" t="b">
        <f>IF(VLOOKUP(B164,'Profile selection'!B:C,2,FALSE)="Yes",TRUE,FALSE)</f>
        <v>0</v>
      </c>
      <c r="K164" s="22" t="b">
        <f>IF(AND(D164=MD!$A$1,M164),TRUE,(IF(AND(D164=MD!$A$3,M164),(IF(L164=TRUE,TRUE,FALSE)),(IF(AND(D164=MD!$A$2,M164),(IF(N164=TRUE,TRUE,FALSE)),FALSE)))))</f>
        <v>0</v>
      </c>
      <c r="L164" t="b">
        <f>IF(ISNA(VLOOKUP(E164,'Optional features'!B:D,3,FALSE)),FALSE,IF(VLOOKUP(E164,'Optional features'!B:D,3,FALSE)="Yes",TRUE,FALSE))</f>
        <v>0</v>
      </c>
      <c r="M164" t="b">
        <f>IF(VLOOKUP(B164,'Profile selection'!B:C,2,FALSE)="Yes",TRUE,FALSE)</f>
        <v>0</v>
      </c>
      <c r="P164" s="73"/>
      <c r="Q164" s="73"/>
    </row>
    <row r="165" spans="1:17" x14ac:dyDescent="0.25">
      <c r="A165" t="str">
        <f>'HIDDEN import'!B165</f>
        <v>TC_K_05_CSMS</v>
      </c>
      <c r="B165" t="str">
        <f>'HIDDEN import'!C165</f>
        <v>Smart Charging</v>
      </c>
      <c r="C165" t="str">
        <f>'HIDDEN import'!D165</f>
        <v>Clear Charging Profile - With chargingProfileId</v>
      </c>
      <c r="D165" t="str">
        <f>IF(VLOOKUP(A165&amp;" "&amp;B165,'HIDDEN import'!A:G,5,FALSE)="M",MD!$A$1,(IF(AND(VLOOKUP(A165,'HIDDEN import'!B:E,4,FALSE)="C",OR(NOT(ISERROR(VLOOKUP(E165,'Optional features'!B:E,1,FALSE)=E165)),NOT(ISERROR(VLOOKUP(E165,'HIDDEN calc sheet'!A:C,1,FALSE)=E165)))),MD!$A$3,MD!$A$2)))</f>
        <v>Mandatory test for a mandatory feature</v>
      </c>
      <c r="E165" t="str">
        <f>IF('HIDDEN import'!F165=0,"",'HIDDEN import'!F165)</f>
        <v/>
      </c>
      <c r="F165" t="str">
        <f>IF('HIDDEN import'!G165=0,"",'HIDDEN import'!G165)</f>
        <v/>
      </c>
      <c r="G165" s="49" t="str">
        <f>IFERROR(VLOOKUP($A165,'HIDDEN Testrun Results'!$A:$B,2,FALSE),"")</f>
        <v/>
      </c>
      <c r="H165" s="49" t="b">
        <f t="shared" si="2"/>
        <v>0</v>
      </c>
      <c r="I165" s="49" t="b">
        <f>IF(VLOOKUP(A165&amp;" "&amp;B165,'HIDDEN import'!A:G,5,FALSE)="M",TRUE,IFERROR(VLOOKUP(E165,'Optional features'!B:E,3,FALSE)="Yes",IFERROR(VLOOKUP(E165,'HIDDEN calc sheet'!A:B,2,FALSE),VLOOKUP(E165,'Additional questions'!B:D,3,FALSE)="Yes")))</f>
        <v>1</v>
      </c>
      <c r="J165" t="b">
        <f>IF(VLOOKUP(B165,'Profile selection'!B:C,2,FALSE)="Yes",TRUE,FALSE)</f>
        <v>0</v>
      </c>
      <c r="K165" s="22" t="b">
        <f>IF(AND(D165=MD!$A$1,M165),TRUE,(IF(AND(D165=MD!$A$3,M165),(IF(L165=TRUE,TRUE,FALSE)),(IF(AND(D165=MD!$A$2,M165),(IF(N165=TRUE,TRUE,FALSE)),FALSE)))))</f>
        <v>0</v>
      </c>
      <c r="L165" t="b">
        <f>IF(ISNA(VLOOKUP(E165,'Optional features'!B:D,3,FALSE)),FALSE,IF(VLOOKUP(E165,'Optional features'!B:D,3,FALSE)="Yes",TRUE,FALSE))</f>
        <v>0</v>
      </c>
      <c r="M165" t="b">
        <f>IF(VLOOKUP(B165,'Profile selection'!B:C,2,FALSE)="Yes",TRUE,FALSE)</f>
        <v>0</v>
      </c>
      <c r="P165" s="73"/>
      <c r="Q165" s="73"/>
    </row>
    <row r="166" spans="1:17" x14ac:dyDescent="0.25">
      <c r="A166" t="str">
        <f>'HIDDEN import'!B166</f>
        <v>TC_K_06_CSMS</v>
      </c>
      <c r="B166" t="str">
        <f>'HIDDEN import'!C166</f>
        <v>Smart Charging</v>
      </c>
      <c r="C166" t="str">
        <f>'HIDDEN import'!D166</f>
        <v>Clear Charging Profile - With stackLevel/purpose combination for one profile</v>
      </c>
      <c r="D166" t="str">
        <f>IF(VLOOKUP(A166&amp;" "&amp;B166,'HIDDEN import'!A:G,5,FALSE)="M",MD!$A$1,(IF(AND(VLOOKUP(A166,'HIDDEN import'!B:E,4,FALSE)="C",OR(NOT(ISERROR(VLOOKUP(E166,'Optional features'!B:E,1,FALSE)=E166)),NOT(ISERROR(VLOOKUP(E166,'HIDDEN calc sheet'!A:C,1,FALSE)=E166)))),MD!$A$3,MD!$A$2)))</f>
        <v>Mandatory test for a mandatory feature</v>
      </c>
      <c r="E166" t="str">
        <f>IF('HIDDEN import'!F166=0,"",'HIDDEN import'!F166)</f>
        <v/>
      </c>
      <c r="F166" t="str">
        <f>IF('HIDDEN import'!G166=0,"",'HIDDEN import'!G166)</f>
        <v/>
      </c>
      <c r="G166" s="49" t="str">
        <f>IFERROR(VLOOKUP($A166,'HIDDEN Testrun Results'!$A:$B,2,FALSE),"")</f>
        <v/>
      </c>
      <c r="H166" s="49" t="b">
        <f t="shared" si="2"/>
        <v>0</v>
      </c>
      <c r="I166" s="49" t="b">
        <f>IF(VLOOKUP(A166&amp;" "&amp;B166,'HIDDEN import'!A:G,5,FALSE)="M",TRUE,IFERROR(VLOOKUP(E166,'Optional features'!B:E,3,FALSE)="Yes",IFERROR(VLOOKUP(E166,'HIDDEN calc sheet'!A:B,2,FALSE),VLOOKUP(E166,'Additional questions'!B:D,3,FALSE)="Yes")))</f>
        <v>1</v>
      </c>
      <c r="J166" t="b">
        <f>IF(VLOOKUP(B166,'Profile selection'!B:C,2,FALSE)="Yes",TRUE,FALSE)</f>
        <v>0</v>
      </c>
      <c r="K166" s="22" t="b">
        <f>IF(AND(D166=MD!$A$1,M166),TRUE,(IF(AND(D166=MD!$A$3,M166),(IF(L166=TRUE,TRUE,FALSE)),(IF(AND(D166=MD!$A$2,M166),(IF(N166=TRUE,TRUE,FALSE)),FALSE)))))</f>
        <v>0</v>
      </c>
      <c r="L166" t="b">
        <f>IF(ISNA(VLOOKUP(E166,'Optional features'!B:D,3,FALSE)),FALSE,IF(VLOOKUP(E166,'Optional features'!B:D,3,FALSE)="Yes",TRUE,FALSE))</f>
        <v>0</v>
      </c>
      <c r="M166" t="b">
        <f>IF(VLOOKUP(B166,'Profile selection'!B:C,2,FALSE)="Yes",TRUE,FALSE)</f>
        <v>0</v>
      </c>
      <c r="P166" s="73"/>
      <c r="Q166" s="73"/>
    </row>
    <row r="167" spans="1:17" x14ac:dyDescent="0.25">
      <c r="A167" t="str">
        <f>'HIDDEN import'!B167</f>
        <v>TC_K_08_CSMS</v>
      </c>
      <c r="B167" t="str">
        <f>'HIDDEN import'!C167</f>
        <v>Smart Charging</v>
      </c>
      <c r="C167" t="str">
        <f>'HIDDEN import'!D167</f>
        <v>Clear Charging Profile - Without previous charging profile</v>
      </c>
      <c r="D167" t="str">
        <f>IF(VLOOKUP(A167&amp;" "&amp;B167,'HIDDEN import'!A:G,5,FALSE)="M",MD!$A$1,(IF(AND(VLOOKUP(A167,'HIDDEN import'!B:E,4,FALSE)="C",OR(NOT(ISERROR(VLOOKUP(E167,'Optional features'!B:E,1,FALSE)=E167)),NOT(ISERROR(VLOOKUP(E167,'HIDDEN calc sheet'!A:C,1,FALSE)=E167)))),MD!$A$3,MD!$A$2)))</f>
        <v>Mandatory test for a mandatory feature</v>
      </c>
      <c r="E167" t="str">
        <f>IF('HIDDEN import'!F167=0,"",'HIDDEN import'!F167)</f>
        <v/>
      </c>
      <c r="F167" t="str">
        <f>IF('HIDDEN import'!G167=0,"",'HIDDEN import'!G167)</f>
        <v/>
      </c>
      <c r="G167" s="49" t="str">
        <f>IFERROR(VLOOKUP($A167,'HIDDEN Testrun Results'!$A:$B,2,FALSE),"")</f>
        <v/>
      </c>
      <c r="H167" s="49" t="b">
        <f t="shared" si="2"/>
        <v>0</v>
      </c>
      <c r="I167" s="49" t="b">
        <f>IF(VLOOKUP(A167&amp;" "&amp;B167,'HIDDEN import'!A:G,5,FALSE)="M",TRUE,IFERROR(VLOOKUP(E167,'Optional features'!B:E,3,FALSE)="Yes",IFERROR(VLOOKUP(E167,'HIDDEN calc sheet'!A:B,2,FALSE),VLOOKUP(E167,'Additional questions'!B:D,3,FALSE)="Yes")))</f>
        <v>1</v>
      </c>
      <c r="J167" t="b">
        <f>IF(VLOOKUP(B167,'Profile selection'!B:C,2,FALSE)="Yes",TRUE,FALSE)</f>
        <v>0</v>
      </c>
      <c r="K167" s="22" t="b">
        <f>IF(AND(D167=MD!$A$1,M167),TRUE,(IF(AND(D167=MD!$A$3,M167),(IF(L167=TRUE,TRUE,FALSE)),(IF(AND(D167=MD!$A$2,M167),(IF(N167=TRUE,TRUE,FALSE)),FALSE)))))</f>
        <v>0</v>
      </c>
      <c r="L167" t="b">
        <f>IF(ISNA(VLOOKUP(E167,'Optional features'!B:D,3,FALSE)),FALSE,IF(VLOOKUP(E167,'Optional features'!B:D,3,FALSE)="Yes",TRUE,FALSE))</f>
        <v>0</v>
      </c>
      <c r="M167" t="b">
        <f>IF(VLOOKUP(B167,'Profile selection'!B:C,2,FALSE)="Yes",TRUE,FALSE)</f>
        <v>0</v>
      </c>
      <c r="P167" s="73"/>
      <c r="Q167" s="73"/>
    </row>
    <row r="168" spans="1:17" x14ac:dyDescent="0.25">
      <c r="A168" t="str">
        <f>'HIDDEN import'!B168</f>
        <v>TC_B_12_CSMS</v>
      </c>
      <c r="B168" t="str">
        <f>'HIDDEN import'!C168</f>
        <v>Advanced Device Management</v>
      </c>
      <c r="C168" t="str">
        <f>'HIDDEN import'!D168</f>
        <v>Get Base Report - ConfigurationInventory</v>
      </c>
      <c r="D168" t="str">
        <f>IF(VLOOKUP(A168&amp;" "&amp;B168,'HIDDEN import'!A:G,5,FALSE)="M",MD!$A$1,(IF(AND(VLOOKUP(A168,'HIDDEN import'!B:E,4,FALSE)="C",OR(NOT(ISERROR(VLOOKUP(E168,'Optional features'!B:E,1,FALSE)=E168)),NOT(ISERROR(VLOOKUP(E168,'HIDDEN calc sheet'!A:C,1,FALSE)=E168)))),MD!$A$3,MD!$A$2)))</f>
        <v>Mandatory test for a mandatory feature</v>
      </c>
      <c r="E168" t="str">
        <f>IF('HIDDEN import'!F168=0,"",'HIDDEN import'!F168)</f>
        <v>C-17</v>
      </c>
      <c r="F168" t="str">
        <f>IF('HIDDEN import'!G168=0,"",'HIDDEN import'!G168)</f>
        <v/>
      </c>
      <c r="G168" s="49" t="str">
        <f>IFERROR(VLOOKUP($A168,'HIDDEN Testrun Results'!$A:$B,2,FALSE),"")</f>
        <v/>
      </c>
      <c r="H168" s="49" t="b">
        <f t="shared" si="2"/>
        <v>0</v>
      </c>
      <c r="I168" s="49" t="b">
        <f>IF(VLOOKUP(A168&amp;" "&amp;B168,'HIDDEN import'!A:G,5,FALSE)="M",TRUE,IFERROR(VLOOKUP(E168,'Optional features'!B:E,3,FALSE)="Yes",IFERROR(VLOOKUP(E168,'HIDDEN calc sheet'!A:B,2,FALSE),VLOOKUP(E168,'Additional questions'!B:D,3,FALSE)="Yes")))</f>
        <v>1</v>
      </c>
      <c r="J168" t="b">
        <f>IF(VLOOKUP(B168,'Profile selection'!B:C,2,FALSE)="Yes",TRUE,FALSE)</f>
        <v>0</v>
      </c>
      <c r="K168" s="22" t="b">
        <f>IF(AND(D168=MD!$A$1,M168),TRUE,(IF(AND(D168=MD!$A$3,M168),(IF(L168=TRUE,TRUE,FALSE)),(IF(AND(D168=MD!$A$2,M168),(IF(N168=TRUE,TRUE,FALSE)),FALSE)))))</f>
        <v>0</v>
      </c>
      <c r="M168" t="b">
        <f>IF(VLOOKUP(B168,'Profile selection'!B:C,2,FALSE)="Yes",TRUE,FALSE)</f>
        <v>0</v>
      </c>
      <c r="P168" s="73"/>
      <c r="Q168" s="73"/>
    </row>
    <row r="169" spans="1:17" x14ac:dyDescent="0.25">
      <c r="A169" t="str">
        <f>'HIDDEN import'!B169</f>
        <v>TC_B_14_CSMS</v>
      </c>
      <c r="B169" t="str">
        <f>'HIDDEN import'!C169</f>
        <v>Advanced Device Management</v>
      </c>
      <c r="C169" t="str">
        <f>'HIDDEN import'!D169</f>
        <v>Get Base Report - SummaryInventory</v>
      </c>
      <c r="D169" t="str">
        <f>IF(VLOOKUP(A169&amp;" "&amp;B169,'HIDDEN import'!A:G,5,FALSE)="M",MD!$A$1,(IF(AND(VLOOKUP(A169,'HIDDEN import'!B:E,4,FALSE)="C",OR(NOT(ISERROR(VLOOKUP(E169,'Optional features'!B:E,1,FALSE)=E169)),NOT(ISERROR(VLOOKUP(E169,'HIDDEN calc sheet'!A:C,1,FALSE)=E169)))),MD!$A$3,MD!$A$2)))</f>
        <v>Mandatory test for a mandatory feature</v>
      </c>
      <c r="E169" t="str">
        <f>IF('HIDDEN import'!F169=0,"",'HIDDEN import'!F169)</f>
        <v>C-56</v>
      </c>
      <c r="F169" t="str">
        <f>IF('HIDDEN import'!G169=0,"",'HIDDEN import'!G169)</f>
        <v/>
      </c>
      <c r="G169" s="49" t="str">
        <f>IFERROR(VLOOKUP($A169,'HIDDEN Testrun Results'!$A:$B,2,FALSE),"")</f>
        <v/>
      </c>
      <c r="H169" s="49" t="b">
        <f t="shared" si="2"/>
        <v>0</v>
      </c>
      <c r="I169" s="49" t="b">
        <f>IF(VLOOKUP(A169&amp;" "&amp;B169,'HIDDEN import'!A:G,5,FALSE)="M",TRUE,IFERROR(VLOOKUP(E169,'Optional features'!B:E,3,FALSE)="Yes",IFERROR(VLOOKUP(E169,'HIDDEN calc sheet'!A:B,2,FALSE),VLOOKUP(E169,'Additional questions'!B:D,3,FALSE)="Yes")))</f>
        <v>1</v>
      </c>
      <c r="J169" t="b">
        <f>IF(VLOOKUP(B169,'Profile selection'!B:C,2,FALSE)="Yes",TRUE,FALSE)</f>
        <v>0</v>
      </c>
      <c r="K169" s="22" t="b">
        <f>IF(AND(D169=MD!$A$1,M169),TRUE,(IF(AND(D169=MD!$A$3,M169),(IF(L169=TRUE,TRUE,FALSE)),(IF(AND(D169=MD!$A$2,M169),(IF(N169=TRUE,TRUE,FALSE)),FALSE)))))</f>
        <v>0</v>
      </c>
      <c r="M169" t="b">
        <f>IF(VLOOKUP(B169,'Profile selection'!B:C,2,FALSE)="Yes",TRUE,FALSE)</f>
        <v>0</v>
      </c>
      <c r="P169" s="73"/>
      <c r="Q169" s="73"/>
    </row>
    <row r="170" spans="1:17" x14ac:dyDescent="0.25">
      <c r="A170" t="str">
        <f>'HIDDEN import'!B170</f>
        <v>TC_B_18_CSMS</v>
      </c>
      <c r="B170" t="str">
        <f>'HIDDEN import'!C170</f>
        <v>Advanced Device Management</v>
      </c>
      <c r="C170" t="str">
        <f>'HIDDEN import'!D170</f>
        <v>Get Custom Report - with componentCriteria and component/variables</v>
      </c>
      <c r="D170" t="str">
        <f>IF(VLOOKUP(A170&amp;" "&amp;B170,'HIDDEN import'!A:G,5,FALSE)="M",MD!$A$1,(IF(AND(VLOOKUP(A170,'HIDDEN import'!B:E,4,FALSE)="C",OR(NOT(ISERROR(VLOOKUP(E170,'Optional features'!B:E,1,FALSE)=E170)),NOT(ISERROR(VLOOKUP(E170,'HIDDEN calc sheet'!A:C,1,FALSE)=E170)))),MD!$A$3,MD!$A$2)))</f>
        <v>Mandatory test for a mandatory feature</v>
      </c>
      <c r="E170" t="str">
        <f>IF('HIDDEN import'!F170=0,"",'HIDDEN import'!F170)</f>
        <v/>
      </c>
      <c r="F170" t="str">
        <f>IF('HIDDEN import'!G170=0,"",'HIDDEN import'!G170)</f>
        <v/>
      </c>
      <c r="G170" s="49" t="str">
        <f>IFERROR(VLOOKUP($A170,'HIDDEN Testrun Results'!$A:$B,2,FALSE),"")</f>
        <v/>
      </c>
      <c r="H170" s="49" t="b">
        <f t="shared" si="2"/>
        <v>0</v>
      </c>
      <c r="I170" s="49" t="b">
        <f>IF(VLOOKUP(A170&amp;" "&amp;B170,'HIDDEN import'!A:G,5,FALSE)="M",TRUE,IFERROR(VLOOKUP(E170,'Optional features'!B:E,3,FALSE)="Yes",IFERROR(VLOOKUP(E170,'HIDDEN calc sheet'!A:B,2,FALSE),VLOOKUP(E170,'Additional questions'!B:D,3,FALSE)="Yes")))</f>
        <v>1</v>
      </c>
      <c r="J170" t="b">
        <f>IF(VLOOKUP(B170,'Profile selection'!B:C,2,FALSE)="Yes",TRUE,FALSE)</f>
        <v>0</v>
      </c>
      <c r="K170" s="22" t="b">
        <f>IF(AND(D170=MD!$A$1,M170),TRUE,(IF(AND(D170=MD!$A$3,M170),(IF(L170=TRUE,TRUE,FALSE)),(IF(AND(D170=MD!$A$2,M170),(IF(N170=TRUE,TRUE,FALSE)),FALSE)))))</f>
        <v>0</v>
      </c>
      <c r="M170" t="b">
        <f>IF(VLOOKUP(B170,'Profile selection'!B:C,2,FALSE)="Yes",TRUE,FALSE)</f>
        <v>0</v>
      </c>
      <c r="P170" s="73"/>
      <c r="Q170" s="73"/>
    </row>
    <row r="171" spans="1:17" x14ac:dyDescent="0.25">
      <c r="A171" t="str">
        <f>'HIDDEN import'!B171</f>
        <v>TC_N_01_CSMS</v>
      </c>
      <c r="B171" t="str">
        <f>'HIDDEN import'!C171</f>
        <v>Advanced Device Management</v>
      </c>
      <c r="C171" t="str">
        <f>'HIDDEN import'!D171</f>
        <v>Get Monitoring Report - with monitoringCriteria</v>
      </c>
      <c r="D171" t="str">
        <f>IF(VLOOKUP(A171&amp;" "&amp;B171,'HIDDEN import'!A:G,5,FALSE)="M",MD!$A$1,(IF(AND(VLOOKUP(A171,'HIDDEN import'!B:E,4,FALSE)="C",OR(NOT(ISERROR(VLOOKUP(E171,'Optional features'!B:E,1,FALSE)=E171)),NOT(ISERROR(VLOOKUP(E171,'HIDDEN calc sheet'!A:C,1,FALSE)=E171)))),MD!$A$3,MD!$A$2)))</f>
        <v>Mandatory test for a mandatory feature</v>
      </c>
      <c r="E171" t="str">
        <f>IF('HIDDEN import'!F171=0,"",'HIDDEN import'!F171)</f>
        <v/>
      </c>
      <c r="F171" t="str">
        <f>IF('HIDDEN import'!G171=0,"",'HIDDEN import'!G171)</f>
        <v/>
      </c>
      <c r="G171" s="49" t="str">
        <f>IFERROR(VLOOKUP($A171,'HIDDEN Testrun Results'!$A:$B,2,FALSE),"")</f>
        <v/>
      </c>
      <c r="H171" s="49" t="b">
        <f t="shared" si="2"/>
        <v>0</v>
      </c>
      <c r="I171" s="49" t="b">
        <f>IF(VLOOKUP(A171&amp;" "&amp;B171,'HIDDEN import'!A:G,5,FALSE)="M",TRUE,IFERROR(VLOOKUP(E171,'Optional features'!B:E,3,FALSE)="Yes",IFERROR(VLOOKUP(E171,'HIDDEN calc sheet'!A:B,2,FALSE),VLOOKUP(E171,'Additional questions'!B:D,3,FALSE)="Yes")))</f>
        <v>1</v>
      </c>
      <c r="J171" t="b">
        <f>IF(VLOOKUP(B171,'Profile selection'!B:C,2,FALSE)="Yes",TRUE,FALSE)</f>
        <v>0</v>
      </c>
      <c r="K171" s="22" t="b">
        <f>IF(AND(D171=MD!$A$1,M171),TRUE,(IF(AND(D171=MD!$A$3,M171),(IF(L171=TRUE,TRUE,FALSE)),(IF(AND(D171=MD!$A$2,M171),(IF(N171=TRUE,TRUE,FALSE)),FALSE)))))</f>
        <v>0</v>
      </c>
      <c r="M171" t="b">
        <f>IF(VLOOKUP(B171,'Profile selection'!B:C,2,FALSE)="Yes",TRUE,FALSE)</f>
        <v>0</v>
      </c>
      <c r="P171" s="73"/>
      <c r="Q171" s="73"/>
    </row>
    <row r="172" spans="1:17" x14ac:dyDescent="0.25">
      <c r="A172" t="str">
        <f>'HIDDEN import'!B172</f>
        <v>TC_N_02_CSMS</v>
      </c>
      <c r="B172" t="str">
        <f>'HIDDEN import'!C172</f>
        <v>Advanced Device Management</v>
      </c>
      <c r="C172" t="str">
        <f>'HIDDEN import'!D172</f>
        <v>Get Monitoring Report - with component/variable</v>
      </c>
      <c r="D172" t="str">
        <f>IF(VLOOKUP(A172&amp;" "&amp;B172,'HIDDEN import'!A:G,5,FALSE)="M",MD!$A$1,(IF(AND(VLOOKUP(A172,'HIDDEN import'!B:E,4,FALSE)="C",OR(NOT(ISERROR(VLOOKUP(E172,'Optional features'!B:E,1,FALSE)=E172)),NOT(ISERROR(VLOOKUP(E172,'HIDDEN calc sheet'!A:C,1,FALSE)=E172)))),MD!$A$3,MD!$A$2)))</f>
        <v>Mandatory test for a mandatory feature</v>
      </c>
      <c r="E172" t="str">
        <f>IF('HIDDEN import'!F172=0,"",'HIDDEN import'!F172)</f>
        <v/>
      </c>
      <c r="F172" t="str">
        <f>IF('HIDDEN import'!G172=0,"",'HIDDEN import'!G172)</f>
        <v/>
      </c>
      <c r="G172" s="49" t="str">
        <f>IFERROR(VLOOKUP($A172,'HIDDEN Testrun Results'!$A:$B,2,FALSE),"")</f>
        <v/>
      </c>
      <c r="H172" s="49" t="b">
        <f t="shared" si="2"/>
        <v>0</v>
      </c>
      <c r="I172" s="49" t="b">
        <f>IF(VLOOKUP(A172&amp;" "&amp;B172,'HIDDEN import'!A:G,5,FALSE)="M",TRUE,IFERROR(VLOOKUP(E172,'Optional features'!B:E,3,FALSE)="Yes",IFERROR(VLOOKUP(E172,'HIDDEN calc sheet'!A:B,2,FALSE),VLOOKUP(E172,'Additional questions'!B:D,3,FALSE)="Yes")))</f>
        <v>1</v>
      </c>
      <c r="J172" t="b">
        <f>IF(VLOOKUP(B172,'Profile selection'!B:C,2,FALSE)="Yes",TRUE,FALSE)</f>
        <v>0</v>
      </c>
      <c r="K172" s="22" t="b">
        <f>IF(AND(D172=MD!$A$1,M172),TRUE,(IF(AND(D172=MD!$A$3,M172),(IF(L172=TRUE,TRUE,FALSE)),(IF(AND(D172=MD!$A$2,M172),(IF(N172=TRUE,TRUE,FALSE)),FALSE)))))</f>
        <v>0</v>
      </c>
      <c r="M172" t="b">
        <f>IF(VLOOKUP(B172,'Profile selection'!B:C,2,FALSE)="Yes",TRUE,FALSE)</f>
        <v>0</v>
      </c>
      <c r="P172" s="73"/>
      <c r="Q172" s="73"/>
    </row>
    <row r="173" spans="1:17" x14ac:dyDescent="0.25">
      <c r="A173" t="str">
        <f>'HIDDEN import'!B173</f>
        <v>TC_N_03_CSMS</v>
      </c>
      <c r="B173" t="str">
        <f>'HIDDEN import'!C173</f>
        <v>Advanced Device Management</v>
      </c>
      <c r="C173" t="str">
        <f>'HIDDEN import'!D173</f>
        <v>Get Monitoring Report - with component criteria and component/variable</v>
      </c>
      <c r="D173" t="str">
        <f>IF(VLOOKUP(A173&amp;" "&amp;B173,'HIDDEN import'!A:G,5,FALSE)="M",MD!$A$1,(IF(AND(VLOOKUP(A173,'HIDDEN import'!B:E,4,FALSE)="C",OR(NOT(ISERROR(VLOOKUP(E173,'Optional features'!B:E,1,FALSE)=E173)),NOT(ISERROR(VLOOKUP(E173,'HIDDEN calc sheet'!A:C,1,FALSE)=E173)))),MD!$A$3,MD!$A$2)))</f>
        <v>Mandatory test for a mandatory feature</v>
      </c>
      <c r="E173" t="str">
        <f>IF('HIDDEN import'!F173=0,"",'HIDDEN import'!F173)</f>
        <v/>
      </c>
      <c r="F173" t="str">
        <f>IF('HIDDEN import'!G173=0,"",'HIDDEN import'!G173)</f>
        <v/>
      </c>
      <c r="G173" s="49" t="str">
        <f>IFERROR(VLOOKUP($A173,'HIDDEN Testrun Results'!$A:$B,2,FALSE),"")</f>
        <v/>
      </c>
      <c r="H173" s="49" t="b">
        <f t="shared" si="2"/>
        <v>0</v>
      </c>
      <c r="I173" s="49" t="b">
        <f>IF(VLOOKUP(A173&amp;" "&amp;B173,'HIDDEN import'!A:G,5,FALSE)="M",TRUE,IFERROR(VLOOKUP(E173,'Optional features'!B:E,3,FALSE)="Yes",IFERROR(VLOOKUP(E173,'HIDDEN calc sheet'!A:B,2,FALSE),VLOOKUP(E173,'Additional questions'!B:D,3,FALSE)="Yes")))</f>
        <v>1</v>
      </c>
      <c r="J173" t="b">
        <f>IF(VLOOKUP(B173,'Profile selection'!B:C,2,FALSE)="Yes",TRUE,FALSE)</f>
        <v>0</v>
      </c>
      <c r="K173" s="22" t="b">
        <f>IF(AND(D173=MD!$A$1,M173),TRUE,(IF(AND(D173=MD!$A$3,M173),(IF(L173=TRUE,TRUE,FALSE)),(IF(AND(D173=MD!$A$2,M173),(IF(N173=TRUE,TRUE,FALSE)),FALSE)))))</f>
        <v>0</v>
      </c>
      <c r="M173" t="b">
        <f>IF(VLOOKUP(B173,'Profile selection'!B:C,2,FALSE)="Yes",TRUE,FALSE)</f>
        <v>0</v>
      </c>
      <c r="P173" s="73"/>
      <c r="Q173" s="73"/>
    </row>
    <row r="174" spans="1:17" x14ac:dyDescent="0.25">
      <c r="A174" t="str">
        <f>'HIDDEN import'!B174</f>
        <v>TC_N_47_CSMS</v>
      </c>
      <c r="B174" t="str">
        <f>'HIDDEN import'!C174</f>
        <v>Advanced Device Management</v>
      </c>
      <c r="C174" t="str">
        <f>'HIDDEN import'!D174</f>
        <v>Get Monitoring Report - Report all</v>
      </c>
      <c r="D174" t="str">
        <f>IF(VLOOKUP(A174&amp;" "&amp;B174,'HIDDEN import'!A:G,5,FALSE)="M",MD!$A$1,(IF(AND(VLOOKUP(A174,'HIDDEN import'!B:E,4,FALSE)="C",OR(NOT(ISERROR(VLOOKUP(E174,'Optional features'!B:E,1,FALSE)=E174)),NOT(ISERROR(VLOOKUP(E174,'HIDDEN calc sheet'!A:C,1,FALSE)=E174)))),MD!$A$3,MD!$A$2)))</f>
        <v>Mandatory test for a mandatory feature</v>
      </c>
      <c r="E174" t="str">
        <f>IF('HIDDEN import'!F174=0,"",'HIDDEN import'!F174)</f>
        <v/>
      </c>
      <c r="F174" t="str">
        <f>IF('HIDDEN import'!G174=0,"",'HIDDEN import'!G174)</f>
        <v/>
      </c>
      <c r="G174" s="49" t="str">
        <f>IFERROR(VLOOKUP($A174,'HIDDEN Testrun Results'!$A:$B,2,FALSE),"")</f>
        <v/>
      </c>
      <c r="H174" s="49" t="b">
        <f t="shared" si="2"/>
        <v>0</v>
      </c>
      <c r="I174" s="49" t="b">
        <f>IF(VLOOKUP(A174&amp;" "&amp;B174,'HIDDEN import'!A:G,5,FALSE)="M",TRUE,IFERROR(VLOOKUP(E174,'Optional features'!B:E,3,FALSE)="Yes",IFERROR(VLOOKUP(E174,'HIDDEN calc sheet'!A:B,2,FALSE),VLOOKUP(E174,'Additional questions'!B:D,3,FALSE)="Yes")))</f>
        <v>1</v>
      </c>
      <c r="J174" t="b">
        <f>IF(VLOOKUP(B174,'Profile selection'!B:C,2,FALSE)="Yes",TRUE,FALSE)</f>
        <v>0</v>
      </c>
      <c r="K174" s="22" t="b">
        <f>IF(AND(D174=MD!$A$1,M174),TRUE,(IF(AND(D174=MD!$A$3,M174),(IF(L174=TRUE,TRUE,FALSE)),(IF(AND(D174=MD!$A$2,M174),(IF(N174=TRUE,TRUE,FALSE)),FALSE)))))</f>
        <v>0</v>
      </c>
      <c r="M174" t="b">
        <f>IF(VLOOKUP(B174,'Profile selection'!B:C,2,FALSE)="Yes",TRUE,FALSE)</f>
        <v>0</v>
      </c>
      <c r="P174" s="73"/>
      <c r="Q174" s="73"/>
    </row>
    <row r="175" spans="1:17" x14ac:dyDescent="0.25">
      <c r="A175" t="str">
        <f>'HIDDEN import'!B175</f>
        <v>TC_N_60_CSMS</v>
      </c>
      <c r="B175" t="str">
        <f>'HIDDEN import'!C175</f>
        <v>Advanced Device Management</v>
      </c>
      <c r="C175" t="str">
        <f>'HIDDEN import'!D175</f>
        <v>Get Monitoring Report - with component criteria and list of components/variables</v>
      </c>
      <c r="D175" t="str">
        <f>IF(VLOOKUP(A175&amp;" "&amp;B175,'HIDDEN import'!A:G,5,FALSE)="M",MD!$A$1,(IF(AND(VLOOKUP(A175,'HIDDEN import'!B:E,4,FALSE)="C",OR(NOT(ISERROR(VLOOKUP(E175,'Optional features'!B:E,1,FALSE)=E175)),NOT(ISERROR(VLOOKUP(E175,'HIDDEN calc sheet'!A:C,1,FALSE)=E175)))),MD!$A$3,MD!$A$2)))</f>
        <v>Mandatory test for a mandatory feature</v>
      </c>
      <c r="E175" t="str">
        <f>IF('HIDDEN import'!F175=0,"",'HIDDEN import'!F175)</f>
        <v/>
      </c>
      <c r="F175" t="str">
        <f>IF('HIDDEN import'!G175=0,"",'HIDDEN import'!G175)</f>
        <v/>
      </c>
      <c r="G175" s="49" t="str">
        <f>IFERROR(VLOOKUP($A175,'HIDDEN Testrun Results'!$A:$B,2,FALSE),"")</f>
        <v/>
      </c>
      <c r="H175" s="49" t="b">
        <f t="shared" si="2"/>
        <v>0</v>
      </c>
      <c r="I175" s="49" t="b">
        <f>IF(VLOOKUP(A175&amp;" "&amp;B175,'HIDDEN import'!A:G,5,FALSE)="M",TRUE,IFERROR(VLOOKUP(E175,'Optional features'!B:E,3,FALSE)="Yes",IFERROR(VLOOKUP(E175,'HIDDEN calc sheet'!A:B,2,FALSE),VLOOKUP(E175,'Additional questions'!B:D,3,FALSE)="Yes")))</f>
        <v>1</v>
      </c>
      <c r="J175" t="b">
        <f>IF(VLOOKUP(B175,'Profile selection'!B:C,2,FALSE)="Yes",TRUE,FALSE)</f>
        <v>0</v>
      </c>
      <c r="K175" s="22" t="b">
        <f>IF(AND(D175=MD!$A$1,M175),TRUE,(IF(AND(D175=MD!$A$3,M175),(IF(L175=TRUE,TRUE,FALSE)),(IF(AND(D175=MD!$A$2,M175),(IF(N175=TRUE,TRUE,FALSE)),FALSE)))))</f>
        <v>0</v>
      </c>
      <c r="M175" t="b">
        <f>IF(VLOOKUP(B175,'Profile selection'!B:C,2,FALSE)="Yes",TRUE,FALSE)</f>
        <v>0</v>
      </c>
      <c r="P175" s="73"/>
      <c r="Q175" s="73"/>
    </row>
    <row r="176" spans="1:17" x14ac:dyDescent="0.25">
      <c r="A176" t="str">
        <f>'HIDDEN import'!B176</f>
        <v>TC_N_05_CSMS</v>
      </c>
      <c r="B176" t="str">
        <f>'HIDDEN import'!C176</f>
        <v>Advanced Device Management</v>
      </c>
      <c r="C176" t="str">
        <f>'HIDDEN import'!D176</f>
        <v>Set Monitoring Base - success</v>
      </c>
      <c r="D176" t="str">
        <f>IF(VLOOKUP(A176&amp;" "&amp;B176,'HIDDEN import'!A:G,5,FALSE)="M",MD!$A$1,(IF(AND(VLOOKUP(A176,'HIDDEN import'!B:E,4,FALSE)="C",OR(NOT(ISERROR(VLOOKUP(E176,'Optional features'!B:E,1,FALSE)=E176)),NOT(ISERROR(VLOOKUP(E176,'HIDDEN calc sheet'!A:C,1,FALSE)=E176)))),MD!$A$3,MD!$A$2)))</f>
        <v>Mandatory test for a mandatory feature</v>
      </c>
      <c r="E176" t="str">
        <f>IF('HIDDEN import'!F176=0,"",'HIDDEN import'!F176)</f>
        <v/>
      </c>
      <c r="F176" t="str">
        <f>IF('HIDDEN import'!G176=0,"",'HIDDEN import'!G176)</f>
        <v/>
      </c>
      <c r="G176" s="49" t="str">
        <f>IFERROR(VLOOKUP($A176,'HIDDEN Testrun Results'!$A:$B,2,FALSE),"")</f>
        <v/>
      </c>
      <c r="H176" s="49" t="b">
        <f t="shared" si="2"/>
        <v>0</v>
      </c>
      <c r="I176" s="49" t="b">
        <f>IF(VLOOKUP(A176&amp;" "&amp;B176,'HIDDEN import'!A:G,5,FALSE)="M",TRUE,IFERROR(VLOOKUP(E176,'Optional features'!B:E,3,FALSE)="Yes",IFERROR(VLOOKUP(E176,'HIDDEN calc sheet'!A:B,2,FALSE),VLOOKUP(E176,'Additional questions'!B:D,3,FALSE)="Yes")))</f>
        <v>1</v>
      </c>
      <c r="J176" t="b">
        <f>IF(VLOOKUP(B176,'Profile selection'!B:C,2,FALSE)="Yes",TRUE,FALSE)</f>
        <v>0</v>
      </c>
      <c r="K176" s="22" t="b">
        <f>IF(AND(D176=MD!$A$1,M176),TRUE,(IF(AND(D176=MD!$A$3,M176),(IF(L176=TRUE,TRUE,FALSE)),(IF(AND(D176=MD!$A$2,M176),(IF(N176=TRUE,TRUE,FALSE)),FALSE)))))</f>
        <v>0</v>
      </c>
      <c r="M176" t="b">
        <f>IF(VLOOKUP(B176,'Profile selection'!B:C,2,FALSE)="Yes",TRUE,FALSE)</f>
        <v>0</v>
      </c>
      <c r="P176" s="73"/>
      <c r="Q176" s="73"/>
    </row>
    <row r="177" spans="1:17" x14ac:dyDescent="0.25">
      <c r="A177" t="str">
        <f>'HIDDEN import'!B177</f>
        <v>TC_N_08_CSMS</v>
      </c>
      <c r="B177" t="str">
        <f>'HIDDEN import'!C177</f>
        <v>Advanced Device Management</v>
      </c>
      <c r="C177" t="str">
        <f>'HIDDEN import'!D177</f>
        <v>Set Variable Monitoring - One SetMonitoringData element</v>
      </c>
      <c r="D177" t="str">
        <f>IF(VLOOKUP(A177&amp;" "&amp;B177,'HIDDEN import'!A:G,5,FALSE)="M",MD!$A$1,(IF(AND(VLOOKUP(A177,'HIDDEN import'!B:E,4,FALSE)="C",OR(NOT(ISERROR(VLOOKUP(E177,'Optional features'!B:E,1,FALSE)=E177)),NOT(ISERROR(VLOOKUP(E177,'HIDDEN calc sheet'!A:C,1,FALSE)=E177)))),MD!$A$3,MD!$A$2)))</f>
        <v>Mandatory test for a mandatory feature</v>
      </c>
      <c r="E177" t="str">
        <f>IF('HIDDEN import'!F177=0,"",'HIDDEN import'!F177)</f>
        <v/>
      </c>
      <c r="F177" t="str">
        <f>IF('HIDDEN import'!G177=0,"",'HIDDEN import'!G177)</f>
        <v/>
      </c>
      <c r="G177" s="49" t="str">
        <f>IFERROR(VLOOKUP($A177,'HIDDEN Testrun Results'!$A:$B,2,FALSE),"")</f>
        <v/>
      </c>
      <c r="H177" s="49" t="b">
        <f t="shared" si="2"/>
        <v>0</v>
      </c>
      <c r="I177" s="49" t="b">
        <f>IF(VLOOKUP(A177&amp;" "&amp;B177,'HIDDEN import'!A:G,5,FALSE)="M",TRUE,IFERROR(VLOOKUP(E177,'Optional features'!B:E,3,FALSE)="Yes",IFERROR(VLOOKUP(E177,'HIDDEN calc sheet'!A:B,2,FALSE),VLOOKUP(E177,'Additional questions'!B:D,3,FALSE)="Yes")))</f>
        <v>1</v>
      </c>
      <c r="J177" t="b">
        <f>IF(VLOOKUP(B177,'Profile selection'!B:C,2,FALSE)="Yes",TRUE,FALSE)</f>
        <v>0</v>
      </c>
      <c r="K177" s="22" t="b">
        <f>IF(AND(D177=MD!$A$1,M177),TRUE,(IF(AND(D177=MD!$A$3,M177),(IF(L177=TRUE,TRUE,FALSE)),(IF(AND(D177=MD!$A$2,M177),(IF(N177=TRUE,TRUE,FALSE)),FALSE)))))</f>
        <v>0</v>
      </c>
      <c r="M177" t="b">
        <f>IF(VLOOKUP(B177,'Profile selection'!B:C,2,FALSE)="Yes",TRUE,FALSE)</f>
        <v>0</v>
      </c>
      <c r="P177" s="73"/>
      <c r="Q177" s="73"/>
    </row>
    <row r="178" spans="1:17" x14ac:dyDescent="0.25">
      <c r="A178" t="str">
        <f>'HIDDEN import'!B178</f>
        <v>TC_N_24_CSMS</v>
      </c>
      <c r="B178" t="str">
        <f>'HIDDEN import'!C178</f>
        <v>Advanced Device Management</v>
      </c>
      <c r="C178" t="str">
        <f>'HIDDEN import'!D178</f>
        <v>Set Variable Monitoring - Periodic event</v>
      </c>
      <c r="D178" t="str">
        <f>IF(VLOOKUP(A178&amp;" "&amp;B178,'HIDDEN import'!A:G,5,FALSE)="M",MD!$A$1,(IF(AND(VLOOKUP(A178,'HIDDEN import'!B:E,4,FALSE)="C",OR(NOT(ISERROR(VLOOKUP(E178,'Optional features'!B:E,1,FALSE)=E178)),NOT(ISERROR(VLOOKUP(E178,'HIDDEN calc sheet'!A:C,1,FALSE)=E178)))),MD!$A$3,MD!$A$2)))</f>
        <v>Mandatory test for a mandatory feature</v>
      </c>
      <c r="E178" t="str">
        <f>IF('HIDDEN import'!F178=0,"",'HIDDEN import'!F178)</f>
        <v/>
      </c>
      <c r="F178" t="str">
        <f>IF('HIDDEN import'!G178=0,"",'HIDDEN import'!G178)</f>
        <v/>
      </c>
      <c r="G178" s="49" t="str">
        <f>IFERROR(VLOOKUP($A178,'HIDDEN Testrun Results'!$A:$B,2,FALSE),"")</f>
        <v/>
      </c>
      <c r="H178" s="49" t="b">
        <f t="shared" si="2"/>
        <v>0</v>
      </c>
      <c r="I178" s="49" t="b">
        <f>IF(VLOOKUP(A178&amp;" "&amp;B178,'HIDDEN import'!A:G,5,FALSE)="M",TRUE,IFERROR(VLOOKUP(E178,'Optional features'!B:E,3,FALSE)="Yes",IFERROR(VLOOKUP(E178,'HIDDEN calc sheet'!A:B,2,FALSE),VLOOKUP(E178,'Additional questions'!B:D,3,FALSE)="Yes")))</f>
        <v>1</v>
      </c>
      <c r="J178" t="b">
        <f>IF(VLOOKUP(B178,'Profile selection'!B:C,2,FALSE)="Yes",TRUE,FALSE)</f>
        <v>0</v>
      </c>
      <c r="K178" s="22" t="b">
        <f>IF(AND(D178=MD!$A$1,M178),TRUE,(IF(AND(D178=MD!$A$3,M178),(IF(L178=TRUE,TRUE,FALSE)),(IF(AND(D178=MD!$A$2,M178),(IF(N178=TRUE,TRUE,FALSE)),FALSE)))))</f>
        <v>0</v>
      </c>
      <c r="M178" t="b">
        <f>IF(VLOOKUP(B178,'Profile selection'!B:C,2,FALSE)="Yes",TRUE,FALSE)</f>
        <v>0</v>
      </c>
      <c r="P178" s="73"/>
      <c r="Q178" s="73"/>
    </row>
    <row r="179" spans="1:17" x14ac:dyDescent="0.25">
      <c r="A179" t="str">
        <f>'HIDDEN import'!B179</f>
        <v>TC_N_16_CSMS</v>
      </c>
      <c r="B179" t="str">
        <f>'HIDDEN import'!C179</f>
        <v>Advanced Device Management</v>
      </c>
      <c r="C179" t="str">
        <f>'HIDDEN import'!D179</f>
        <v>Set Monitoring Level - Success</v>
      </c>
      <c r="D179" t="str">
        <f>IF(VLOOKUP(A179&amp;" "&amp;B179,'HIDDEN import'!A:G,5,FALSE)="M",MD!$A$1,(IF(AND(VLOOKUP(A179,'HIDDEN import'!B:E,4,FALSE)="C",OR(NOT(ISERROR(VLOOKUP(E179,'Optional features'!B:E,1,FALSE)=E179)),NOT(ISERROR(VLOOKUP(E179,'HIDDEN calc sheet'!A:C,1,FALSE)=E179)))),MD!$A$3,MD!$A$2)))</f>
        <v>Mandatory test for a mandatory feature</v>
      </c>
      <c r="E179" t="str">
        <f>IF('HIDDEN import'!F179=0,"",'HIDDEN import'!F179)</f>
        <v/>
      </c>
      <c r="F179" t="str">
        <f>IF('HIDDEN import'!G179=0,"",'HIDDEN import'!G179)</f>
        <v/>
      </c>
      <c r="G179" s="49" t="str">
        <f>IFERROR(VLOOKUP($A179,'HIDDEN Testrun Results'!$A:$B,2,FALSE),"")</f>
        <v/>
      </c>
      <c r="H179" s="49" t="b">
        <f t="shared" si="2"/>
        <v>0</v>
      </c>
      <c r="I179" s="49" t="b">
        <f>IF(VLOOKUP(A179&amp;" "&amp;B179,'HIDDEN import'!A:G,5,FALSE)="M",TRUE,IFERROR(VLOOKUP(E179,'Optional features'!B:E,3,FALSE)="Yes",IFERROR(VLOOKUP(E179,'HIDDEN calc sheet'!A:B,2,FALSE),VLOOKUP(E179,'Additional questions'!B:D,3,FALSE)="Yes")))</f>
        <v>1</v>
      </c>
      <c r="J179" t="b">
        <f>IF(VLOOKUP(B179,'Profile selection'!B:C,2,FALSE)="Yes",TRUE,FALSE)</f>
        <v>0</v>
      </c>
      <c r="K179" s="22" t="b">
        <f>IF(AND(D179=MD!$A$1,M179),TRUE,(IF(AND(D179=MD!$A$3,M179),(IF(L179=TRUE,TRUE,FALSE)),(IF(AND(D179=MD!$A$2,M179),(IF(N179=TRUE,TRUE,FALSE)),FALSE)))))</f>
        <v>0</v>
      </c>
      <c r="M179" t="b">
        <f>IF(VLOOKUP(B179,'Profile selection'!B:C,2,FALSE)="Yes",TRUE,FALSE)</f>
        <v>0</v>
      </c>
      <c r="P179" s="73"/>
      <c r="Q179" s="73"/>
    </row>
    <row r="180" spans="1:17" x14ac:dyDescent="0.25">
      <c r="A180" t="str">
        <f>'HIDDEN import'!B180</f>
        <v>TC_N_17_CSMS</v>
      </c>
      <c r="B180" t="str">
        <f>'HIDDEN import'!C180</f>
        <v>Advanced Device Management</v>
      </c>
      <c r="C180" t="str">
        <f>'HIDDEN import'!D180</f>
        <v>Set Monitoring Level - Out of range</v>
      </c>
      <c r="D180" t="str">
        <f>IF(VLOOKUP(A180&amp;" "&amp;B180,'HIDDEN import'!A:G,5,FALSE)="M",MD!$A$1,(IF(AND(VLOOKUP(A180,'HIDDEN import'!B:E,4,FALSE)="C",OR(NOT(ISERROR(VLOOKUP(E180,'Optional features'!B:E,1,FALSE)=E180)),NOT(ISERROR(VLOOKUP(E180,'HIDDEN calc sheet'!A:C,1,FALSE)=E180)))),MD!$A$3,MD!$A$2)))</f>
        <v>Mandatory test for a mandatory feature</v>
      </c>
      <c r="E180" t="str">
        <f>IF('HIDDEN import'!F180=0,"",'HIDDEN import'!F180)</f>
        <v/>
      </c>
      <c r="F180" t="str">
        <f>IF('HIDDEN import'!G180=0,"",'HIDDEN import'!G180)</f>
        <v/>
      </c>
      <c r="G180" s="49" t="str">
        <f>IFERROR(VLOOKUP($A180,'HIDDEN Testrun Results'!$A:$B,2,FALSE),"")</f>
        <v/>
      </c>
      <c r="H180" s="49" t="b">
        <f t="shared" si="2"/>
        <v>0</v>
      </c>
      <c r="I180" s="49" t="b">
        <f>IF(VLOOKUP(A180&amp;" "&amp;B180,'HIDDEN import'!A:G,5,FALSE)="M",TRUE,IFERROR(VLOOKUP(E180,'Optional features'!B:E,3,FALSE)="Yes",IFERROR(VLOOKUP(E180,'HIDDEN calc sheet'!A:B,2,FALSE),VLOOKUP(E180,'Additional questions'!B:D,3,FALSE)="Yes")))</f>
        <v>1</v>
      </c>
      <c r="J180" t="b">
        <f>IF(VLOOKUP(B180,'Profile selection'!B:C,2,FALSE)="Yes",TRUE,FALSE)</f>
        <v>0</v>
      </c>
      <c r="K180" s="22" t="b">
        <f>IF(AND(D180=MD!$A$1,M180),TRUE,(IF(AND(D180=MD!$A$3,M180),(IF(L180=TRUE,TRUE,FALSE)),(IF(AND(D180=MD!$A$2,M180),(IF(N180=TRUE,TRUE,FALSE)),FALSE)))))</f>
        <v>0</v>
      </c>
      <c r="M180" t="b">
        <f>IF(VLOOKUP(B180,'Profile selection'!B:C,2,FALSE)="Yes",TRUE,FALSE)</f>
        <v>0</v>
      </c>
      <c r="P180" s="73"/>
      <c r="Q180" s="73"/>
    </row>
    <row r="181" spans="1:17" x14ac:dyDescent="0.25">
      <c r="A181" t="str">
        <f>'HIDDEN import'!B181</f>
        <v>TC_N_18_CSMS</v>
      </c>
      <c r="B181" t="str">
        <f>'HIDDEN import'!C181</f>
        <v>Advanced Device Management</v>
      </c>
      <c r="C181" t="str">
        <f>'HIDDEN import'!D181</f>
        <v>Clear Monitoring - Success</v>
      </c>
      <c r="D181" t="str">
        <f>IF(VLOOKUP(A181&amp;" "&amp;B181,'HIDDEN import'!A:G,5,FALSE)="M",MD!$A$1,(IF(AND(VLOOKUP(A181,'HIDDEN import'!B:E,4,FALSE)="C",OR(NOT(ISERROR(VLOOKUP(E181,'Optional features'!B:E,1,FALSE)=E181)),NOT(ISERROR(VLOOKUP(E181,'HIDDEN calc sheet'!A:C,1,FALSE)=E181)))),MD!$A$3,MD!$A$2)))</f>
        <v>Mandatory test for a mandatory feature</v>
      </c>
      <c r="E181" t="str">
        <f>IF('HIDDEN import'!F181=0,"",'HIDDEN import'!F181)</f>
        <v/>
      </c>
      <c r="F181" t="str">
        <f>IF('HIDDEN import'!G181=0,"",'HIDDEN import'!G181)</f>
        <v/>
      </c>
      <c r="G181" s="49" t="str">
        <f>IFERROR(VLOOKUP($A181,'HIDDEN Testrun Results'!$A:$B,2,FALSE),"")</f>
        <v/>
      </c>
      <c r="H181" s="49" t="b">
        <f t="shared" si="2"/>
        <v>0</v>
      </c>
      <c r="I181" s="49" t="b">
        <f>IF(VLOOKUP(A181&amp;" "&amp;B181,'HIDDEN import'!A:G,5,FALSE)="M",TRUE,IFERROR(VLOOKUP(E181,'Optional features'!B:E,3,FALSE)="Yes",IFERROR(VLOOKUP(E181,'HIDDEN calc sheet'!A:B,2,FALSE),VLOOKUP(E181,'Additional questions'!B:D,3,FALSE)="Yes")))</f>
        <v>1</v>
      </c>
      <c r="J181" t="b">
        <f>IF(VLOOKUP(B181,'Profile selection'!B:C,2,FALSE)="Yes",TRUE,FALSE)</f>
        <v>0</v>
      </c>
      <c r="K181" s="22" t="b">
        <f>IF(AND(D181=MD!$A$1,M181),TRUE,(IF(AND(D181=MD!$A$3,M181),(IF(L181=TRUE,TRUE,FALSE)),(IF(AND(D181=MD!$A$2,M181),(IF(N181=TRUE,TRUE,FALSE)),FALSE)))))</f>
        <v>0</v>
      </c>
      <c r="M181" t="b">
        <f>IF(VLOOKUP(B181,'Profile selection'!B:C,2,FALSE)="Yes",TRUE,FALSE)</f>
        <v>0</v>
      </c>
      <c r="P181" s="73"/>
      <c r="Q181" s="73"/>
    </row>
    <row r="182" spans="1:17" x14ac:dyDescent="0.25">
      <c r="A182" t="str">
        <f>'HIDDEN import'!B182</f>
        <v>TC_N_44_CSMS</v>
      </c>
      <c r="B182" t="str">
        <f>'HIDDEN import'!C182</f>
        <v>Advanced Device Management</v>
      </c>
      <c r="C182" t="str">
        <f>'HIDDEN import'!D182</f>
        <v>Clear Monitoring - Rejected</v>
      </c>
      <c r="D182" t="str">
        <f>IF(VLOOKUP(A182&amp;" "&amp;B182,'HIDDEN import'!A:G,5,FALSE)="M",MD!$A$1,(IF(AND(VLOOKUP(A182,'HIDDEN import'!B:E,4,FALSE)="C",OR(NOT(ISERROR(VLOOKUP(E182,'Optional features'!B:E,1,FALSE)=E182)),NOT(ISERROR(VLOOKUP(E182,'HIDDEN calc sheet'!A:C,1,FALSE)=E182)))),MD!$A$3,MD!$A$2)))</f>
        <v>Mandatory test for a mandatory feature</v>
      </c>
      <c r="E182" t="str">
        <f>IF('HIDDEN import'!F182=0,"",'HIDDEN import'!F182)</f>
        <v>AQ-5</v>
      </c>
      <c r="F182" t="str">
        <f>IF('HIDDEN import'!G182=0,"",'HIDDEN import'!G182)</f>
        <v/>
      </c>
      <c r="G182" s="49" t="str">
        <f>IFERROR(VLOOKUP($A182,'HIDDEN Testrun Results'!$A:$B,2,FALSE),"")</f>
        <v/>
      </c>
      <c r="H182" s="49" t="b">
        <f t="shared" si="2"/>
        <v>0</v>
      </c>
      <c r="I182" s="49" t="b">
        <f>IF(VLOOKUP(A182&amp;" "&amp;B182,'HIDDEN import'!A:G,5,FALSE)="M",TRUE,IFERROR(VLOOKUP(E182,'Optional features'!B:E,3,FALSE)="Yes",IFERROR(VLOOKUP(E182,'HIDDEN calc sheet'!A:B,2,FALSE),VLOOKUP(E182,'Additional questions'!B:D,3,FALSE)="Yes")))</f>
        <v>1</v>
      </c>
      <c r="J182" t="b">
        <f>IF(VLOOKUP(B182,'Profile selection'!B:C,2,FALSE)="Yes",TRUE,FALSE)</f>
        <v>0</v>
      </c>
      <c r="K182" s="22" t="b">
        <f>IF(AND(D182=MD!$A$1,M182),TRUE,(IF(AND(D182=MD!$A$3,M182),(IF(L182=TRUE,TRUE,FALSE)),(IF(AND(D182=MD!$A$2,M182),(IF(N182=TRUE,TRUE,FALSE)),FALSE)))))</f>
        <v>0</v>
      </c>
      <c r="M182" t="b">
        <f>IF(VLOOKUP(B182,'Profile selection'!B:C,2,FALSE)="Yes",TRUE,FALSE)</f>
        <v>0</v>
      </c>
      <c r="P182" s="73"/>
      <c r="Q182" s="73"/>
    </row>
    <row r="183" spans="1:17" x14ac:dyDescent="0.25">
      <c r="A183" t="str">
        <f>'HIDDEN import'!B183</f>
        <v>TC_N_21_CSMS</v>
      </c>
      <c r="B183" t="str">
        <f>'HIDDEN import'!C183</f>
        <v>Advanced Device Management</v>
      </c>
      <c r="C183" t="str">
        <f>'HIDDEN import'!D183</f>
        <v>Alert Event - HardWiredMonitor</v>
      </c>
      <c r="D183" t="str">
        <f>IF(VLOOKUP(A183&amp;" "&amp;B183,'HIDDEN import'!A:G,5,FALSE)="M",MD!$A$1,(IF(AND(VLOOKUP(A183,'HIDDEN import'!B:E,4,FALSE)="C",OR(NOT(ISERROR(VLOOKUP(E183,'Optional features'!B:E,1,FALSE)=E183)),NOT(ISERROR(VLOOKUP(E183,'HIDDEN calc sheet'!A:C,1,FALSE)=E183)))),MD!$A$3,MD!$A$2)))</f>
        <v>Mandatory test for a mandatory feature</v>
      </c>
      <c r="E183" t="str">
        <f>IF('HIDDEN import'!F183=0,"",'HIDDEN import'!F183)</f>
        <v>AQ-5</v>
      </c>
      <c r="F183" t="str">
        <f>IF('HIDDEN import'!G183=0,"",'HIDDEN import'!G183)</f>
        <v/>
      </c>
      <c r="G183" s="49" t="str">
        <f>IFERROR(VLOOKUP($A183,'HIDDEN Testrun Results'!$A:$B,2,FALSE),"")</f>
        <v/>
      </c>
      <c r="H183" s="49" t="b">
        <f t="shared" si="2"/>
        <v>0</v>
      </c>
      <c r="I183" s="49" t="b">
        <f>IF(VLOOKUP(A183&amp;" "&amp;B183,'HIDDEN import'!A:G,5,FALSE)="M",TRUE,IFERROR(VLOOKUP(E183,'Optional features'!B:E,3,FALSE)="Yes",IFERROR(VLOOKUP(E183,'HIDDEN calc sheet'!A:B,2,FALSE),VLOOKUP(E183,'Additional questions'!B:D,3,FALSE)="Yes")))</f>
        <v>1</v>
      </c>
      <c r="J183" t="b">
        <f>IF(VLOOKUP(B183,'Profile selection'!B:C,2,FALSE)="Yes",TRUE,FALSE)</f>
        <v>0</v>
      </c>
      <c r="K183" s="22" t="b">
        <f>IF(AND(D183=MD!$A$1,M183),TRUE,(IF(AND(D183=MD!$A$3,M183),(IF(L183=TRUE,TRUE,FALSE)),(IF(AND(D183=MD!$A$2,M183),(IF(N183=TRUE,TRUE,FALSE)),FALSE)))))</f>
        <v>0</v>
      </c>
      <c r="M183" t="b">
        <f>IF(VLOOKUP(B183,'Profile selection'!B:C,2,FALSE)="Yes",TRUE,FALSE)</f>
        <v>0</v>
      </c>
      <c r="P183" s="73"/>
      <c r="Q183" s="73"/>
    </row>
    <row r="184" spans="1:17" x14ac:dyDescent="0.25">
      <c r="A184" t="str">
        <f>'HIDDEN import'!B184</f>
        <v>TC_N_49_CSMS</v>
      </c>
      <c r="B184" t="str">
        <f>'HIDDEN import'!C184</f>
        <v>Advanced Device Management</v>
      </c>
      <c r="C184" t="str">
        <f>'HIDDEN import'!D184</f>
        <v>Alert Event - LowerThreshold/UpperThreshold cleared after reboot</v>
      </c>
      <c r="D184" t="str">
        <f>IF(VLOOKUP(A184&amp;" "&amp;B184,'HIDDEN import'!A:G,5,FALSE)="M",MD!$A$1,(IF(AND(VLOOKUP(A184,'HIDDEN import'!B:E,4,FALSE)="C",OR(NOT(ISERROR(VLOOKUP(E184,'Optional features'!B:E,1,FALSE)=E184)),NOT(ISERROR(VLOOKUP(E184,'HIDDEN calc sheet'!A:C,1,FALSE)=E184)))),MD!$A$3,MD!$A$2)))</f>
        <v>Mandatory test for a mandatory feature</v>
      </c>
      <c r="E184" t="str">
        <f>IF('HIDDEN import'!F184=0,"",'HIDDEN import'!F184)</f>
        <v/>
      </c>
      <c r="F184" t="str">
        <f>IF('HIDDEN import'!G184=0,"",'HIDDEN import'!G184)</f>
        <v/>
      </c>
      <c r="G184" s="49" t="str">
        <f>IFERROR(VLOOKUP($A184,'HIDDEN Testrun Results'!$A:$B,2,FALSE),"")</f>
        <v/>
      </c>
      <c r="H184" s="49" t="b">
        <f t="shared" si="2"/>
        <v>0</v>
      </c>
      <c r="I184" s="49" t="b">
        <f>IF(VLOOKUP(A184&amp;" "&amp;B184,'HIDDEN import'!A:G,5,FALSE)="M",TRUE,IFERROR(VLOOKUP(E184,'Optional features'!B:E,3,FALSE)="Yes",IFERROR(VLOOKUP(E184,'HIDDEN calc sheet'!A:B,2,FALSE),VLOOKUP(E184,'Additional questions'!B:D,3,FALSE)="Yes")))</f>
        <v>1</v>
      </c>
      <c r="J184" t="b">
        <f>IF(VLOOKUP(B184,'Profile selection'!B:C,2,FALSE)="Yes",TRUE,FALSE)</f>
        <v>0</v>
      </c>
      <c r="K184" s="22" t="b">
        <f>IF(AND(D184=MD!$A$1,M184),TRUE,(IF(AND(D184=MD!$A$3,M184),(IF(L184=TRUE,TRUE,FALSE)),(IF(AND(D184=MD!$A$2,M184),(IF(N184=TRUE,TRUE,FALSE)),FALSE)))))</f>
        <v>0</v>
      </c>
      <c r="M184" t="b">
        <f>IF(VLOOKUP(B184,'Profile selection'!B:C,2,FALSE)="Yes",TRUE,FALSE)</f>
        <v>0</v>
      </c>
      <c r="P184" s="73"/>
      <c r="Q184" s="73"/>
    </row>
    <row r="185" spans="1:17" x14ac:dyDescent="0.25">
      <c r="A185" t="str">
        <f>'HIDDEN import'!B185</f>
        <v>TC_N_50_CSMS</v>
      </c>
      <c r="B185" t="str">
        <f>'HIDDEN import'!C185</f>
        <v>Advanced Device Management</v>
      </c>
      <c r="C185" t="str">
        <f>'HIDDEN import'!D185</f>
        <v>Alert Event - Periodic Triggered</v>
      </c>
      <c r="D185" t="str">
        <f>IF(VLOOKUP(A185&amp;" "&amp;B185,'HIDDEN import'!A:G,5,FALSE)="M",MD!$A$1,(IF(AND(VLOOKUP(A185,'HIDDEN import'!B:E,4,FALSE)="C",OR(NOT(ISERROR(VLOOKUP(E185,'Optional features'!B:E,1,FALSE)=E185)),NOT(ISERROR(VLOOKUP(E185,'HIDDEN calc sheet'!A:C,1,FALSE)=E185)))),MD!$A$3,MD!$A$2)))</f>
        <v>Mandatory test for a mandatory feature</v>
      </c>
      <c r="E185" t="str">
        <f>IF('HIDDEN import'!F185=0,"",'HIDDEN import'!F185)</f>
        <v/>
      </c>
      <c r="F185" t="str">
        <f>IF('HIDDEN import'!G185=0,"",'HIDDEN import'!G185)</f>
        <v/>
      </c>
      <c r="G185" s="49" t="str">
        <f>IFERROR(VLOOKUP($A185,'HIDDEN Testrun Results'!$A:$B,2,FALSE),"")</f>
        <v/>
      </c>
      <c r="H185" s="49" t="b">
        <f t="shared" si="2"/>
        <v>0</v>
      </c>
      <c r="I185" s="49" t="b">
        <f>IF(VLOOKUP(A185&amp;" "&amp;B185,'HIDDEN import'!A:G,5,FALSE)="M",TRUE,IFERROR(VLOOKUP(E185,'Optional features'!B:E,3,FALSE)="Yes",IFERROR(VLOOKUP(E185,'HIDDEN calc sheet'!A:B,2,FALSE),VLOOKUP(E185,'Additional questions'!B:D,3,FALSE)="Yes")))</f>
        <v>1</v>
      </c>
      <c r="J185" t="b">
        <f>IF(VLOOKUP(B185,'Profile selection'!B:C,2,FALSE)="Yes",TRUE,FALSE)</f>
        <v>0</v>
      </c>
      <c r="K185" s="22" t="b">
        <f>IF(AND(D185=MD!$A$1,M185),TRUE,(IF(AND(D185=MD!$A$3,M185),(IF(L185=TRUE,TRUE,FALSE)),(IF(AND(D185=MD!$A$2,M185),(IF(N185=TRUE,TRUE,FALSE)),FALSE)))))</f>
        <v>0</v>
      </c>
      <c r="M185" t="b">
        <f>IF(VLOOKUP(B185,'Profile selection'!B:C,2,FALSE)="Yes",TRUE,FALSE)</f>
        <v>0</v>
      </c>
      <c r="P185" s="73"/>
      <c r="Q185" s="73"/>
    </row>
    <row r="186" spans="1:17" x14ac:dyDescent="0.25">
      <c r="A186" t="str">
        <f>'HIDDEN import'!B186</f>
        <v>TC_H_01_CSMS</v>
      </c>
      <c r="B186" t="str">
        <f>'HIDDEN import'!C186</f>
        <v>Reservation</v>
      </c>
      <c r="C186" t="str">
        <f>'HIDDEN import'!D186</f>
        <v>Reserve a specific EVSE - Accepted - Valid idToken</v>
      </c>
      <c r="D186" t="str">
        <f>IF(VLOOKUP(A186&amp;" "&amp;B186,'HIDDEN import'!A:G,5,FALSE)="M",MD!$A$1,(IF(AND(VLOOKUP(A186,'HIDDEN import'!B:E,4,FALSE)="C",OR(NOT(ISERROR(VLOOKUP(E186,'Optional features'!B:E,1,FALSE)=E186)),NOT(ISERROR(VLOOKUP(E186,'HIDDEN calc sheet'!A:C,1,FALSE)=E186)))),MD!$A$3,MD!$A$2)))</f>
        <v>Mandatory test for a mandatory feature</v>
      </c>
      <c r="E186" t="str">
        <f>IF('HIDDEN import'!F186=0,"",'HIDDEN import'!F186)</f>
        <v/>
      </c>
      <c r="F186" t="str">
        <f>IF('HIDDEN import'!G186=0,"",'HIDDEN import'!G186)</f>
        <v/>
      </c>
      <c r="G186" s="49" t="str">
        <f>IFERROR(VLOOKUP($A186,'HIDDEN Testrun Results'!$A:$B,2,FALSE),"")</f>
        <v/>
      </c>
      <c r="H186" s="49" t="b">
        <f t="shared" si="2"/>
        <v>0</v>
      </c>
      <c r="I186" s="49" t="b">
        <f>IF(VLOOKUP(A186&amp;" "&amp;B186,'HIDDEN import'!A:G,5,FALSE)="M",TRUE,IFERROR(VLOOKUP(E186,'Optional features'!B:E,3,FALSE)="Yes",IFERROR(VLOOKUP(E186,'HIDDEN calc sheet'!A:B,2,FALSE),VLOOKUP(E186,'Additional questions'!B:D,3,FALSE)="Yes")))</f>
        <v>1</v>
      </c>
      <c r="J186" t="b">
        <f>IF(VLOOKUP(B186,'Profile selection'!B:C,2,FALSE)="Yes",TRUE,FALSE)</f>
        <v>0</v>
      </c>
      <c r="K186" s="22" t="b">
        <f>IF(AND(D186=MD!$A$1,M186),TRUE,(IF(AND(D186=MD!$A$3,M186),(IF(L186=TRUE,TRUE,FALSE)),(IF(AND(D186=MD!$A$2,M186),(IF(N186=TRUE,TRUE,FALSE)),FALSE)))))</f>
        <v>0</v>
      </c>
      <c r="M186" t="b">
        <f>IF(VLOOKUP(B186,'Profile selection'!B:C,2,FALSE)="Yes",TRUE,FALSE)</f>
        <v>0</v>
      </c>
      <c r="P186" s="73"/>
      <c r="Q186" s="73"/>
    </row>
    <row r="187" spans="1:17" x14ac:dyDescent="0.25">
      <c r="A187" t="str">
        <f>'HIDDEN import'!B187</f>
        <v>TC_H_07_CSMS</v>
      </c>
      <c r="B187" t="str">
        <f>'HIDDEN import'!C187</f>
        <v>Reservation</v>
      </c>
      <c r="C187" t="str">
        <f>'HIDDEN import'!D187</f>
        <v>Reserve a specific EVSE - Reservation Ended / not used</v>
      </c>
      <c r="D187" t="str">
        <f>IF(VLOOKUP(A187&amp;" "&amp;B187,'HIDDEN import'!A:G,5,FALSE)="M",MD!$A$1,(IF(AND(VLOOKUP(A187,'HIDDEN import'!B:E,4,FALSE)="C",OR(NOT(ISERROR(VLOOKUP(E187,'Optional features'!B:E,1,FALSE)=E187)),NOT(ISERROR(VLOOKUP(E187,'HIDDEN calc sheet'!A:C,1,FALSE)=E187)))),MD!$A$3,MD!$A$2)))</f>
        <v>Mandatory test for a mandatory feature</v>
      </c>
      <c r="E187" t="str">
        <f>IF('HIDDEN import'!F187=0,"",'HIDDEN import'!F187)</f>
        <v/>
      </c>
      <c r="F187" t="str">
        <f>IF('HIDDEN import'!G187=0,"",'HIDDEN import'!G187)</f>
        <v/>
      </c>
      <c r="G187" s="49" t="str">
        <f>IFERROR(VLOOKUP($A187,'HIDDEN Testrun Results'!$A:$B,2,FALSE),"")</f>
        <v/>
      </c>
      <c r="H187" s="49" t="b">
        <f t="shared" si="2"/>
        <v>0</v>
      </c>
      <c r="I187" s="49" t="b">
        <f>IF(VLOOKUP(A187&amp;" "&amp;B187,'HIDDEN import'!A:G,5,FALSE)="M",TRUE,IFERROR(VLOOKUP(E187,'Optional features'!B:E,3,FALSE)="Yes",IFERROR(VLOOKUP(E187,'HIDDEN calc sheet'!A:B,2,FALSE),VLOOKUP(E187,'Additional questions'!B:D,3,FALSE)="Yes")))</f>
        <v>1</v>
      </c>
      <c r="J187" t="b">
        <f>IF(VLOOKUP(B187,'Profile selection'!B:C,2,FALSE)="Yes",TRUE,FALSE)</f>
        <v>0</v>
      </c>
      <c r="K187" s="22" t="b">
        <f>IF(AND(D187=MD!$A$1,M187),TRUE,(IF(AND(D187=MD!$A$3,M187),(IF(L187=TRUE,TRUE,FALSE)),(IF(AND(D187=MD!$A$2,M187),(IF(N187=TRUE,TRUE,FALSE)),FALSE)))))</f>
        <v>0</v>
      </c>
      <c r="M187" t="b">
        <f>IF(VLOOKUP(B187,'Profile selection'!B:C,2,FALSE)="Yes",TRUE,FALSE)</f>
        <v>0</v>
      </c>
      <c r="P187" s="73"/>
      <c r="Q187" s="73"/>
    </row>
    <row r="188" spans="1:17" x14ac:dyDescent="0.25">
      <c r="A188" t="str">
        <f>'HIDDEN import'!B188</f>
        <v>TC_H_22_CSMS</v>
      </c>
      <c r="B188" t="str">
        <f>'HIDDEN import'!C188</f>
        <v>Reservation</v>
      </c>
      <c r="C188" t="str">
        <f>'HIDDEN import'!D188</f>
        <v>Reserve a specific EVSE - Configured to Reject</v>
      </c>
      <c r="D188" t="str">
        <f>IF(VLOOKUP(A188&amp;" "&amp;B188,'HIDDEN import'!A:G,5,FALSE)="M",MD!$A$1,(IF(AND(VLOOKUP(A188,'HIDDEN import'!B:E,4,FALSE)="C",OR(NOT(ISERROR(VLOOKUP(E188,'Optional features'!B:E,1,FALSE)=E188)),NOT(ISERROR(VLOOKUP(E188,'HIDDEN calc sheet'!A:C,1,FALSE)=E188)))),MD!$A$3,MD!$A$2)))</f>
        <v>Mandatory test for a mandatory feature</v>
      </c>
      <c r="E188" t="str">
        <f>IF('HIDDEN import'!F188=0,"",'HIDDEN import'!F188)</f>
        <v>R-3</v>
      </c>
      <c r="F188" t="str">
        <f>IF('HIDDEN import'!G188=0,"",'HIDDEN import'!G188)</f>
        <v/>
      </c>
      <c r="G188" s="49" t="str">
        <f>IFERROR(VLOOKUP($A188,'HIDDEN Testrun Results'!$A:$B,2,FALSE),"")</f>
        <v/>
      </c>
      <c r="H188" s="49" t="b">
        <f t="shared" si="2"/>
        <v>0</v>
      </c>
      <c r="I188" s="49" t="b">
        <f>IF(VLOOKUP(A188&amp;" "&amp;B188,'HIDDEN import'!A:G,5,FALSE)="M",TRUE,IFERROR(VLOOKUP(E188,'Optional features'!B:E,3,FALSE)="Yes",IFERROR(VLOOKUP(E188,'HIDDEN calc sheet'!A:B,2,FALSE),VLOOKUP(E188,'Additional questions'!B:D,3,FALSE)="Yes")))</f>
        <v>1</v>
      </c>
      <c r="J188" t="b">
        <f>IF(VLOOKUP(B188,'Profile selection'!B:C,2,FALSE)="Yes",TRUE,FALSE)</f>
        <v>0</v>
      </c>
      <c r="K188" s="22" t="b">
        <f>IF(AND(D188=MD!$A$1,M188),TRUE,(IF(AND(D188=MD!$A$3,M188),(IF(L188=TRUE,TRUE,FALSE)),(IF(AND(D188=MD!$A$2,M188),(IF(N188=TRUE,TRUE,FALSE)),FALSE)))))</f>
        <v>0</v>
      </c>
      <c r="M188" t="b">
        <f>IF(VLOOKUP(B188,'Profile selection'!B:C,2,FALSE)="Yes",TRUE,FALSE)</f>
        <v>0</v>
      </c>
      <c r="P188" s="73"/>
      <c r="Q188" s="73"/>
    </row>
    <row r="189" spans="1:17" x14ac:dyDescent="0.25">
      <c r="A189" t="str">
        <f>'HIDDEN import'!B189</f>
        <v>TC_H_19_CSMS</v>
      </c>
      <c r="B189" t="str">
        <f>'HIDDEN import'!C189</f>
        <v>Reservation</v>
      </c>
      <c r="C189" t="str">
        <f>'HIDDEN import'!D189</f>
        <v>Reserve a specific EVSE - Use a reserved EVSE with GroupId</v>
      </c>
      <c r="D189" t="str">
        <f>IF(VLOOKUP(A189&amp;" "&amp;B189,'HIDDEN import'!A:G,5,FALSE)="M",MD!$A$1,(IF(AND(VLOOKUP(A189,'HIDDEN import'!B:E,4,FALSE)="C",OR(NOT(ISERROR(VLOOKUP(E189,'Optional features'!B:E,1,FALSE)=E189)),NOT(ISERROR(VLOOKUP(E189,'HIDDEN calc sheet'!A:C,1,FALSE)=E189)))),MD!$A$3,MD!$A$2)))</f>
        <v>Mandatory test for a mandatory feature</v>
      </c>
      <c r="E189" t="str">
        <f>IF('HIDDEN import'!F189=0,"",'HIDDEN import'!F189)</f>
        <v/>
      </c>
      <c r="F189" t="str">
        <f>IF('HIDDEN import'!G189=0,"",'HIDDEN import'!G189)</f>
        <v/>
      </c>
      <c r="G189" s="49" t="str">
        <f>IFERROR(VLOOKUP($A189,'HIDDEN Testrun Results'!$A:$B,2,FALSE),"")</f>
        <v/>
      </c>
      <c r="H189" s="49" t="b">
        <f t="shared" si="2"/>
        <v>0</v>
      </c>
      <c r="I189" s="49" t="b">
        <f>IF(VLOOKUP(A189&amp;" "&amp;B189,'HIDDEN import'!A:G,5,FALSE)="M",TRUE,IFERROR(VLOOKUP(E189,'Optional features'!B:E,3,FALSE)="Yes",IFERROR(VLOOKUP(E189,'HIDDEN calc sheet'!A:B,2,FALSE),VLOOKUP(E189,'Additional questions'!B:D,3,FALSE)="Yes")))</f>
        <v>1</v>
      </c>
      <c r="J189" t="b">
        <f>IF(VLOOKUP(B189,'Profile selection'!B:C,2,FALSE)="Yes",TRUE,FALSE)</f>
        <v>0</v>
      </c>
      <c r="K189" s="22" t="b">
        <f>IF(AND(D189=MD!$A$1,M189),TRUE,(IF(AND(D189=MD!$A$3,M189),(IF(L189=TRUE,TRUE,FALSE)),(IF(AND(D189=MD!$A$2,M189),(IF(N189=TRUE,TRUE,FALSE)),FALSE)))))</f>
        <v>0</v>
      </c>
      <c r="M189" t="b">
        <f>IF(VLOOKUP(B189,'Profile selection'!B:C,2,FALSE)="Yes",TRUE,FALSE)</f>
        <v>0</v>
      </c>
      <c r="P189" s="73"/>
      <c r="Q189" s="73"/>
    </row>
    <row r="190" spans="1:17" x14ac:dyDescent="0.25">
      <c r="A190" t="str">
        <f>'HIDDEN import'!B190</f>
        <v>TC_H_08_CSMS</v>
      </c>
      <c r="B190" t="str">
        <f>'HIDDEN import'!C190</f>
        <v>Reservation</v>
      </c>
      <c r="C190" t="str">
        <f>'HIDDEN import'!D190</f>
        <v>Reserve an unspecified EVSE - Accepted</v>
      </c>
      <c r="D190" t="str">
        <f>IF(VLOOKUP(A190&amp;" "&amp;B190,'HIDDEN import'!A:G,5,FALSE)="M",MD!$A$1,(IF(AND(VLOOKUP(A190,'HIDDEN import'!B:E,4,FALSE)="C",OR(NOT(ISERROR(VLOOKUP(E190,'Optional features'!B:E,1,FALSE)=E190)),NOT(ISERROR(VLOOKUP(E190,'HIDDEN calc sheet'!A:C,1,FALSE)=E190)))),MD!$A$3,MD!$A$2)))</f>
        <v>Mandatory for optional feature</v>
      </c>
      <c r="E190" t="str">
        <f>IF('HIDDEN import'!F190=0,"",'HIDDEN import'!F190)</f>
        <v>R-2</v>
      </c>
      <c r="F190" t="str">
        <f>IF('HIDDEN import'!G190=0,"",'HIDDEN import'!G190)</f>
        <v>Support reservations of unspecified EVSE</v>
      </c>
      <c r="G190" s="49" t="str">
        <f>IFERROR(VLOOKUP($A190,'HIDDEN Testrun Results'!$A:$B,2,FALSE),"")</f>
        <v/>
      </c>
      <c r="H190" s="49" t="b">
        <f t="shared" si="2"/>
        <v>0</v>
      </c>
      <c r="I190" s="49" t="b">
        <f>IF(VLOOKUP(A190&amp;" "&amp;B190,'HIDDEN import'!A:G,5,FALSE)="M",TRUE,IFERROR(VLOOKUP(E190,'Optional features'!B:E,3,FALSE)="Yes",IFERROR(VLOOKUP(E190,'HIDDEN calc sheet'!A:B,2,FALSE),VLOOKUP(E190,'Additional questions'!B:D,3,FALSE)="Yes")))</f>
        <v>0</v>
      </c>
      <c r="J190" t="b">
        <f>IF(VLOOKUP(B190,'Profile selection'!B:C,2,FALSE)="Yes",TRUE,FALSE)</f>
        <v>0</v>
      </c>
      <c r="K190" s="22" t="b">
        <f>IF(AND(D190=MD!$A$1,M190),TRUE,(IF(AND(D190=MD!$A$3,M190),(IF(L190=TRUE,TRUE,FALSE)),(IF(AND(D190=MD!$A$2,M190),(IF(N190=TRUE,TRUE,FALSE)),FALSE)))))</f>
        <v>0</v>
      </c>
      <c r="M190" t="b">
        <f>IF(VLOOKUP(B190,'Profile selection'!B:C,2,FALSE)="Yes",TRUE,FALSE)</f>
        <v>0</v>
      </c>
      <c r="P190" s="73"/>
      <c r="Q190" s="73"/>
    </row>
    <row r="191" spans="1:17" x14ac:dyDescent="0.25">
      <c r="A191" t="str">
        <f>'HIDDEN import'!B191</f>
        <v>TC_H_14_CSMS</v>
      </c>
      <c r="B191" t="str">
        <f>'HIDDEN import'!C191</f>
        <v>Reservation</v>
      </c>
      <c r="C191" t="str">
        <f>'HIDDEN import'!D191</f>
        <v>Reserve an unspecified EVSE - Amount of EVSEs available equals the amount of reservations</v>
      </c>
      <c r="D191" t="str">
        <f>IF(VLOOKUP(A191&amp;" "&amp;B191,'HIDDEN import'!A:G,5,FALSE)="M",MD!$A$1,(IF(AND(VLOOKUP(A191,'HIDDEN import'!B:E,4,FALSE)="C",OR(NOT(ISERROR(VLOOKUP(E191,'Optional features'!B:E,1,FALSE)=E191)),NOT(ISERROR(VLOOKUP(E191,'HIDDEN calc sheet'!A:C,1,FALSE)=E191)))),MD!$A$3,MD!$A$2)))</f>
        <v>Mandatory for optional feature</v>
      </c>
      <c r="E191" t="str">
        <f>IF('HIDDEN import'!F191=0,"",'HIDDEN import'!F191)</f>
        <v>R-2</v>
      </c>
      <c r="F191" t="str">
        <f>IF('HIDDEN import'!G191=0,"",'HIDDEN import'!G191)</f>
        <v>Support reservations of unspecified EVSE</v>
      </c>
      <c r="G191" s="49" t="str">
        <f>IFERROR(VLOOKUP($A191,'HIDDEN Testrun Results'!$A:$B,2,FALSE),"")</f>
        <v/>
      </c>
      <c r="H191" s="49" t="b">
        <f t="shared" si="2"/>
        <v>0</v>
      </c>
      <c r="I191" s="49" t="b">
        <f>IF(VLOOKUP(A191&amp;" "&amp;B191,'HIDDEN import'!A:G,5,FALSE)="M",TRUE,IFERROR(VLOOKUP(E191,'Optional features'!B:E,3,FALSE)="Yes",IFERROR(VLOOKUP(E191,'HIDDEN calc sheet'!A:B,2,FALSE),VLOOKUP(E191,'Additional questions'!B:D,3,FALSE)="Yes")))</f>
        <v>0</v>
      </c>
      <c r="J191" t="b">
        <f>IF(VLOOKUP(B191,'Profile selection'!B:C,2,FALSE)="Yes",TRUE,FALSE)</f>
        <v>0</v>
      </c>
      <c r="K191" s="22" t="b">
        <f>IF(AND(D191=MD!$A$1,M191),TRUE,(IF(AND(D191=MD!$A$3,M191),(IF(L191=TRUE,TRUE,FALSE)),(IF(AND(D191=MD!$A$2,M191),(IF(N191=TRUE,TRUE,FALSE)),FALSE)))))</f>
        <v>0</v>
      </c>
      <c r="M191" t="b">
        <f>IF(VLOOKUP(B191,'Profile selection'!B:C,2,FALSE)="Yes",TRUE,FALSE)</f>
        <v>0</v>
      </c>
      <c r="P191" s="73"/>
      <c r="Q191" s="73"/>
    </row>
    <row r="192" spans="1:17" x14ac:dyDescent="0.25">
      <c r="A192" t="str">
        <f>'HIDDEN import'!B192</f>
        <v>TC_H_15_CSMS</v>
      </c>
      <c r="B192" t="str">
        <f>'HIDDEN import'!C192</f>
        <v>Reservation</v>
      </c>
      <c r="C192" t="str">
        <f>'HIDDEN import'!D192</f>
        <v>Reserve a connector with a specific type - Success</v>
      </c>
      <c r="D192" t="str">
        <f>IF(VLOOKUP(A192&amp;" "&amp;B192,'HIDDEN import'!A:G,5,FALSE)="M",MD!$A$1,(IF(AND(VLOOKUP(A192,'HIDDEN import'!B:E,4,FALSE)="C",OR(NOT(ISERROR(VLOOKUP(E192,'Optional features'!B:E,1,FALSE)=E192)),NOT(ISERROR(VLOOKUP(E192,'HIDDEN calc sheet'!A:C,1,FALSE)=E192)))),MD!$A$3,MD!$A$2)))</f>
        <v>Mandatory for optional feature</v>
      </c>
      <c r="E192" t="str">
        <f>IF('HIDDEN import'!F192=0,"",'HIDDEN import'!F192)</f>
        <v>R-1</v>
      </c>
      <c r="F192" t="str">
        <f>IF('HIDDEN import'!G192=0,"",'HIDDEN import'!G192)</f>
        <v>Support reservations of connectorType</v>
      </c>
      <c r="G192" s="49" t="str">
        <f>IFERROR(VLOOKUP($A192,'HIDDEN Testrun Results'!$A:$B,2,FALSE),"")</f>
        <v/>
      </c>
      <c r="H192" s="49" t="b">
        <f t="shared" si="2"/>
        <v>0</v>
      </c>
      <c r="I192" s="49" t="b">
        <f>IF(VLOOKUP(A192&amp;" "&amp;B192,'HIDDEN import'!A:G,5,FALSE)="M",TRUE,IFERROR(VLOOKUP(E192,'Optional features'!B:E,3,FALSE)="Yes",IFERROR(VLOOKUP(E192,'HIDDEN calc sheet'!A:B,2,FALSE),VLOOKUP(E192,'Additional questions'!B:D,3,FALSE)="Yes")))</f>
        <v>0</v>
      </c>
      <c r="J192" t="b">
        <f>IF(VLOOKUP(B192,'Profile selection'!B:C,2,FALSE)="Yes",TRUE,FALSE)</f>
        <v>0</v>
      </c>
      <c r="K192" s="22" t="b">
        <f>IF(AND(D192=MD!$A$1,M192),TRUE,(IF(AND(D192=MD!$A$3,M192),(IF(L192=TRUE,TRUE,FALSE)),(IF(AND(D192=MD!$A$2,M192),(IF(N192=TRUE,TRUE,FALSE)),FALSE)))))</f>
        <v>0</v>
      </c>
      <c r="L192" t="b">
        <f>IF(ISNA(VLOOKUP(E192,'Optional features'!B:D,3,FALSE)),FALSE,IF(VLOOKUP(E192,'Optional features'!B:D,3,FALSE)="Yes",TRUE,FALSE))</f>
        <v>0</v>
      </c>
      <c r="M192" t="b">
        <f>IF(VLOOKUP(B192,'Profile selection'!B:C,2,FALSE)="Yes",TRUE,FALSE)</f>
        <v>0</v>
      </c>
      <c r="P192" s="73"/>
      <c r="Q192" s="73"/>
    </row>
    <row r="193" spans="1:17" x14ac:dyDescent="0.25">
      <c r="A193" t="str">
        <f>'HIDDEN import'!B193</f>
        <v>TC_H_17_CSMS</v>
      </c>
      <c r="B193" t="str">
        <f>'HIDDEN import'!C193</f>
        <v>Reservation</v>
      </c>
      <c r="C193" t="str">
        <f>'HIDDEN import'!D193</f>
        <v>Cancel reservation of an EVSE - Success</v>
      </c>
      <c r="D193" t="str">
        <f>IF(VLOOKUP(A193&amp;" "&amp;B193,'HIDDEN import'!A:G,5,FALSE)="M",MD!$A$1,(IF(AND(VLOOKUP(A193,'HIDDEN import'!B:E,4,FALSE)="C",OR(NOT(ISERROR(VLOOKUP(E193,'Optional features'!B:E,1,FALSE)=E193)),NOT(ISERROR(VLOOKUP(E193,'HIDDEN calc sheet'!A:C,1,FALSE)=E193)))),MD!$A$3,MD!$A$2)))</f>
        <v>Mandatory test for a mandatory feature</v>
      </c>
      <c r="E193" t="str">
        <f>IF('HIDDEN import'!F193=0,"",'HIDDEN import'!F193)</f>
        <v/>
      </c>
      <c r="F193" t="str">
        <f>IF('HIDDEN import'!G193=0,"",'HIDDEN import'!G193)</f>
        <v/>
      </c>
      <c r="G193" s="49" t="str">
        <f>IFERROR(VLOOKUP($A193,'HIDDEN Testrun Results'!$A:$B,2,FALSE),"")</f>
        <v/>
      </c>
      <c r="H193" s="49" t="b">
        <f t="shared" si="2"/>
        <v>0</v>
      </c>
      <c r="I193" s="49" t="b">
        <f>IF(VLOOKUP(A193&amp;" "&amp;B193,'HIDDEN import'!A:G,5,FALSE)="M",TRUE,IFERROR(VLOOKUP(E193,'Optional features'!B:E,3,FALSE)="Yes",IFERROR(VLOOKUP(E193,'HIDDEN calc sheet'!A:B,2,FALSE),VLOOKUP(E193,'Additional questions'!B:D,3,FALSE)="Yes")))</f>
        <v>1</v>
      </c>
      <c r="J193" t="b">
        <f>IF(VLOOKUP(B193,'Profile selection'!B:C,2,FALSE)="Yes",TRUE,FALSE)</f>
        <v>0</v>
      </c>
      <c r="K193" s="22" t="b">
        <f>IF(AND(D193=MD!$A$1,M193),TRUE,(IF(AND(D193=MD!$A$3,M193),(IF(L193=TRUE,TRUE,FALSE)),(IF(AND(D193=MD!$A$2,M193),(IF(N193=TRUE,TRUE,FALSE)),FALSE)))))</f>
        <v>0</v>
      </c>
      <c r="L193" t="b">
        <f>IF(ISNA(VLOOKUP(E193,'Optional features'!B:D,3,FALSE)),FALSE,IF(VLOOKUP(E193,'Optional features'!B:D,3,FALSE)="Yes",TRUE,FALSE))</f>
        <v>0</v>
      </c>
      <c r="M193" t="b">
        <f>IF(VLOOKUP(B193,'Profile selection'!B:C,2,FALSE)="Yes",TRUE,FALSE)</f>
        <v>0</v>
      </c>
      <c r="P193" s="73"/>
      <c r="Q193" s="73"/>
    </row>
    <row r="194" spans="1:17" x14ac:dyDescent="0.25">
      <c r="A194" t="str">
        <f>'HIDDEN import'!B194</f>
        <v>TC_H_20_CSMS</v>
      </c>
      <c r="B194" t="str">
        <f>'HIDDEN import'!C194</f>
        <v>Reservation</v>
      </c>
      <c r="C194" t="str">
        <f>'HIDDEN import'!D194</f>
        <v>Cancel reservation of an EVSE - Charging Station cancels reservation when Faulted</v>
      </c>
      <c r="D194" t="str">
        <f>IF(VLOOKUP(A194&amp;" "&amp;B194,'HIDDEN import'!A:G,5,FALSE)="M",MD!$A$1,(IF(AND(VLOOKUP(A194,'HIDDEN import'!B:E,4,FALSE)="C",OR(NOT(ISERROR(VLOOKUP(E194,'Optional features'!B:E,1,FALSE)=E194)),NOT(ISERROR(VLOOKUP(E194,'HIDDEN calc sheet'!A:C,1,FALSE)=E194)))),MD!$A$3,MD!$A$2)))</f>
        <v>Mandatory test for a mandatory feature</v>
      </c>
      <c r="E194" t="str">
        <f>IF('HIDDEN import'!F194=0,"",'HIDDEN import'!F194)</f>
        <v/>
      </c>
      <c r="F194" t="str">
        <f>IF('HIDDEN import'!G194=0,"",'HIDDEN import'!G194)</f>
        <v/>
      </c>
      <c r="G194" s="49" t="str">
        <f>IFERROR(VLOOKUP($A194,'HIDDEN Testrun Results'!$A:$B,2,FALSE),"")</f>
        <v/>
      </c>
      <c r="H194" s="49" t="b">
        <f t="shared" si="2"/>
        <v>0</v>
      </c>
      <c r="I194" s="49" t="b">
        <f>IF(VLOOKUP(A194&amp;" "&amp;B194,'HIDDEN import'!A:G,5,FALSE)="M",TRUE,IFERROR(VLOOKUP(E194,'Optional features'!B:E,3,FALSE)="Yes",IFERROR(VLOOKUP(E194,'HIDDEN calc sheet'!A:B,2,FALSE),VLOOKUP(E194,'Additional questions'!B:D,3,FALSE)="Yes")))</f>
        <v>1</v>
      </c>
      <c r="J194" t="b">
        <f>IF(VLOOKUP(B194,'Profile selection'!B:C,2,FALSE)="Yes",TRUE,FALSE)</f>
        <v>0</v>
      </c>
      <c r="K194" s="22" t="b">
        <f>IF(AND(D194=MD!$A$1,M194),TRUE,(IF(AND(D194=MD!$A$3,M194),(IF(L194=TRUE,TRUE,FALSE)),(IF(AND(D194=MD!$A$2,M194),(IF(N194=TRUE,TRUE,FALSE)),FALSE)))))</f>
        <v>0</v>
      </c>
      <c r="L194" t="b">
        <f>IF(ISNA(VLOOKUP(E194,'Optional features'!B:D,3,FALSE)),FALSE,IF(VLOOKUP(E194,'Optional features'!B:D,3,FALSE)="Yes",TRUE,FALSE))</f>
        <v>0</v>
      </c>
      <c r="M194" t="b">
        <f>IF(VLOOKUP(B194,'Profile selection'!B:C,2,FALSE)="Yes",TRUE,FALSE)</f>
        <v>0</v>
      </c>
      <c r="P194" s="73"/>
      <c r="Q194" s="73"/>
    </row>
    <row r="195" spans="1:17" x14ac:dyDescent="0.25">
      <c r="A195" t="str">
        <f>'HIDDEN import'!B195</f>
        <v>TC_I_01_CSMS</v>
      </c>
      <c r="B195" t="str">
        <f>'HIDDEN import'!C195</f>
        <v>Advanced User Interface</v>
      </c>
      <c r="C195" t="str">
        <f>'HIDDEN import'!D195</f>
        <v>Show costs to EV Driver - Show EV Driver running total cost during charging</v>
      </c>
      <c r="D195" t="str">
        <f>IF(VLOOKUP(A195&amp;" "&amp;B195,'HIDDEN import'!A:G,5,FALSE)="M",MD!$A$1,(IF(AND(VLOOKUP(A195,'HIDDEN import'!B:E,4,FALSE)="C",OR(NOT(ISERROR(VLOOKUP(E195,'Optional features'!B:E,1,FALSE)=E195)),NOT(ISERROR(VLOOKUP(E195,'HIDDEN calc sheet'!A:C,1,FALSE)=E195)))),MD!$A$3,MD!$A$2)))</f>
        <v>Mandatory test for a mandatory feature</v>
      </c>
      <c r="E195" t="str">
        <f>IF('HIDDEN import'!F195=0,"",'HIDDEN import'!F195)</f>
        <v/>
      </c>
      <c r="F195" t="str">
        <f>IF('HIDDEN import'!G195=0,"",'HIDDEN import'!G195)</f>
        <v/>
      </c>
      <c r="G195" s="49" t="str">
        <f>IFERROR(VLOOKUP($A195,'HIDDEN Testrun Results'!$A:$B,2,FALSE),"")</f>
        <v/>
      </c>
      <c r="H195" s="49" t="b">
        <f t="shared" ref="H195:H252" si="3">IF(NOT(ISLOGICAL(I195)),I195,AND(I195,J195))</f>
        <v>0</v>
      </c>
      <c r="I195" s="49" t="b">
        <f>IF(VLOOKUP(A195&amp;" "&amp;B195,'HIDDEN import'!A:G,5,FALSE)="M",TRUE,IFERROR(VLOOKUP(E195,'Optional features'!B:E,3,FALSE)="Yes",IFERROR(VLOOKUP(E195,'HIDDEN calc sheet'!A:B,2,FALSE),VLOOKUP(E195,'Additional questions'!B:D,3,FALSE)="Yes")))</f>
        <v>1</v>
      </c>
      <c r="J195" t="b">
        <f>IF(VLOOKUP(B195,'Profile selection'!B:C,2,FALSE)="Yes",TRUE,FALSE)</f>
        <v>0</v>
      </c>
      <c r="K195" s="22" t="b">
        <f>IF(AND(D195=MD!$A$1,M195),TRUE,(IF(AND(D195=MD!$A$3,M195),(IF(L195=TRUE,TRUE,FALSE)),(IF(AND(D195=MD!$A$2,M195),(IF(N195=TRUE,TRUE,FALSE)),FALSE)))))</f>
        <v>0</v>
      </c>
      <c r="M195" t="b">
        <f>IF(VLOOKUP(B195,'Profile selection'!B:C,2,FALSE)="Yes",TRUE,FALSE)</f>
        <v>0</v>
      </c>
      <c r="P195" s="73"/>
      <c r="Q195" s="73"/>
    </row>
    <row r="196" spans="1:17" x14ac:dyDescent="0.25">
      <c r="A196" t="str">
        <f>'HIDDEN import'!B196</f>
        <v>TC_I_02_CSMS</v>
      </c>
      <c r="B196" t="str">
        <f>'HIDDEN import'!C196</f>
        <v>Advanced User Interface</v>
      </c>
      <c r="C196" t="str">
        <f>'HIDDEN import'!D196</f>
        <v>Show costs to EV Driver - Show EV Driver Final Total Cost After Charging</v>
      </c>
      <c r="D196" t="str">
        <f>IF(VLOOKUP(A196&amp;" "&amp;B196,'HIDDEN import'!A:G,5,FALSE)="M",MD!$A$1,(IF(AND(VLOOKUP(A196,'HIDDEN import'!B:E,4,FALSE)="C",OR(NOT(ISERROR(VLOOKUP(E196,'Optional features'!B:E,1,FALSE)=E196)),NOT(ISERROR(VLOOKUP(E196,'HIDDEN calc sheet'!A:C,1,FALSE)=E196)))),MD!$A$3,MD!$A$2)))</f>
        <v>Mandatory test for a mandatory feature</v>
      </c>
      <c r="E196" t="str">
        <f>IF('HIDDEN import'!F196=0,"",'HIDDEN import'!F196)</f>
        <v/>
      </c>
      <c r="F196" t="str">
        <f>IF('HIDDEN import'!G196=0,"",'HIDDEN import'!G196)</f>
        <v/>
      </c>
      <c r="G196" s="49" t="str">
        <f>IFERROR(VLOOKUP($A196,'HIDDEN Testrun Results'!$A:$B,2,FALSE),"")</f>
        <v/>
      </c>
      <c r="H196" s="49" t="b">
        <f t="shared" si="3"/>
        <v>0</v>
      </c>
      <c r="I196" s="49" t="b">
        <f>IF(VLOOKUP(A196&amp;" "&amp;B196,'HIDDEN import'!A:G,5,FALSE)="M",TRUE,IFERROR(VLOOKUP(E196,'Optional features'!B:E,3,FALSE)="Yes",IFERROR(VLOOKUP(E196,'HIDDEN calc sheet'!A:B,2,FALSE),VLOOKUP(E196,'Additional questions'!B:D,3,FALSE)="Yes")))</f>
        <v>1</v>
      </c>
      <c r="J196" t="b">
        <f>IF(VLOOKUP(B196,'Profile selection'!B:C,2,FALSE)="Yes",TRUE,FALSE)</f>
        <v>0</v>
      </c>
      <c r="K196" s="22" t="b">
        <f>IF(AND(D196=MD!$A$1,M196),TRUE,(IF(AND(D196=MD!$A$3,M196),(IF(L196=TRUE,TRUE,FALSE)),(IF(AND(D196=MD!$A$2,M196),(IF(N196=TRUE,TRUE,FALSE)),FALSE)))))</f>
        <v>0</v>
      </c>
      <c r="M196" t="b">
        <f>IF(VLOOKUP(B196,'Profile selection'!B:C,2,FALSE)="Yes",TRUE,FALSE)</f>
        <v>0</v>
      </c>
      <c r="P196" s="73"/>
      <c r="Q196" s="73"/>
    </row>
    <row r="197" spans="1:17" x14ac:dyDescent="0.25">
      <c r="A197" t="str">
        <f>'HIDDEN import'!B197</f>
        <v>TC_O_01_CSMS</v>
      </c>
      <c r="B197" t="str">
        <f>'HIDDEN import'!C197</f>
        <v>Advanced User Interface</v>
      </c>
      <c r="C197" t="str">
        <f>'HIDDEN import'!D197</f>
        <v>Set Display Message - Success</v>
      </c>
      <c r="D197" t="str">
        <f>IF(VLOOKUP(A197&amp;" "&amp;B197,'HIDDEN import'!A:G,5,FALSE)="M",MD!$A$1,(IF(AND(VLOOKUP(A197,'HIDDEN import'!B:E,4,FALSE)="C",OR(NOT(ISERROR(VLOOKUP(E197,'Optional features'!B:E,1,FALSE)=E197)),NOT(ISERROR(VLOOKUP(E197,'HIDDEN calc sheet'!A:C,1,FALSE)=E197)))),MD!$A$3,MD!$A$2)))</f>
        <v>Mandatory test for a mandatory feature</v>
      </c>
      <c r="E197" t="str">
        <f>IF('HIDDEN import'!F197=0,"",'HIDDEN import'!F197)</f>
        <v>UI-1 and UI-2</v>
      </c>
      <c r="F197" t="str">
        <f>IF('HIDDEN import'!G197=0,"",'HIDDEN import'!G197)</f>
        <v>Supported MessagePriorities &amp; Supported MessageFormats</v>
      </c>
      <c r="G197" s="49" t="str">
        <f>IFERROR(VLOOKUP($A197,'HIDDEN Testrun Results'!$A:$B,2,FALSE),"")</f>
        <v/>
      </c>
      <c r="H197" s="49" t="b">
        <f t="shared" si="3"/>
        <v>0</v>
      </c>
      <c r="I197" s="49" t="b">
        <f>IF(VLOOKUP(A197&amp;" "&amp;B197,'HIDDEN import'!A:G,5,FALSE)="M",TRUE,IFERROR(VLOOKUP(E197,'Optional features'!B:E,3,FALSE)="Yes",IFERROR(VLOOKUP(E197,'HIDDEN calc sheet'!A:B,2,FALSE),VLOOKUP(E197,'Additional questions'!B:D,3,FALSE)="Yes")))</f>
        <v>1</v>
      </c>
      <c r="J197" t="b">
        <f>IF(VLOOKUP(B197,'Profile selection'!B:C,2,FALSE)="Yes",TRUE,FALSE)</f>
        <v>0</v>
      </c>
      <c r="K197" s="22" t="b">
        <f>IF(AND(D197=MD!$A$1,M197),TRUE,(IF(AND(D197=MD!$A$3,M197),(IF(L197=TRUE,TRUE,FALSE)),(IF(AND(D197=MD!$A$2,M197),(IF(N197=TRUE,TRUE,FALSE)),FALSE)))))</f>
        <v>0</v>
      </c>
      <c r="M197" t="b">
        <f>IF(VLOOKUP(B197,'Profile selection'!B:C,2,FALSE)="Yes",TRUE,FALSE)</f>
        <v>0</v>
      </c>
      <c r="P197" s="73"/>
      <c r="Q197" s="73"/>
    </row>
    <row r="198" spans="1:17" x14ac:dyDescent="0.25">
      <c r="A198" t="str">
        <f>'HIDDEN import'!B198</f>
        <v>TC_O_26_CSMS</v>
      </c>
      <c r="B198" t="str">
        <f>'HIDDEN import'!C198</f>
        <v>Advanced User Interface</v>
      </c>
      <c r="C198" t="str">
        <f>'HIDDEN import'!D198</f>
        <v>Set Display Message - Rejected</v>
      </c>
      <c r="D198" t="str">
        <f>IF(VLOOKUP(A198&amp;" "&amp;B198,'HIDDEN import'!A:G,5,FALSE)="M",MD!$A$1,(IF(AND(VLOOKUP(A198,'HIDDEN import'!B:E,4,FALSE)="C",OR(NOT(ISERROR(VLOOKUP(E198,'Optional features'!B:E,1,FALSE)=E198)),NOT(ISERROR(VLOOKUP(E198,'HIDDEN calc sheet'!A:C,1,FALSE)=E198)))),MD!$A$3,MD!$A$2)))</f>
        <v>Mandatory test for a mandatory feature</v>
      </c>
      <c r="E198" t="str">
        <f>IF('HIDDEN import'!F198=0,"",'HIDDEN import'!F198)</f>
        <v/>
      </c>
      <c r="F198" t="str">
        <f>IF('HIDDEN import'!G198=0,"",'HIDDEN import'!G198)</f>
        <v/>
      </c>
      <c r="G198" s="49" t="str">
        <f>IFERROR(VLOOKUP($A198,'HIDDEN Testrun Results'!$A:$B,2,FALSE),"")</f>
        <v/>
      </c>
      <c r="H198" s="49" t="b">
        <f t="shared" si="3"/>
        <v>0</v>
      </c>
      <c r="I198" s="49" t="b">
        <f>IF(VLOOKUP(A198&amp;" "&amp;B198,'HIDDEN import'!A:G,5,FALSE)="M",TRUE,IFERROR(VLOOKUP(E198,'Optional features'!B:E,3,FALSE)="Yes",IFERROR(VLOOKUP(E198,'HIDDEN calc sheet'!A:B,2,FALSE),VLOOKUP(E198,'Additional questions'!B:D,3,FALSE)="Yes")))</f>
        <v>1</v>
      </c>
      <c r="J198" t="b">
        <f>IF(VLOOKUP(B198,'Profile selection'!B:C,2,FALSE)="Yes",TRUE,FALSE)</f>
        <v>0</v>
      </c>
      <c r="K198" s="22" t="b">
        <f>IF(AND(D198=MD!$A$1,M198),TRUE,(IF(AND(D198=MD!$A$3,M198),(IF(L198=TRUE,TRUE,FALSE)),(IF(AND(D198=MD!$A$2,M198),(IF(N198=TRUE,TRUE,FALSE)),FALSE)))))</f>
        <v>0</v>
      </c>
      <c r="M198" t="b">
        <f>IF(VLOOKUP(B198,'Profile selection'!B:C,2,FALSE)="Yes",TRUE,FALSE)</f>
        <v>0</v>
      </c>
      <c r="P198" s="73"/>
      <c r="Q198" s="73"/>
    </row>
    <row r="199" spans="1:17" x14ac:dyDescent="0.25">
      <c r="A199" t="str">
        <f>'HIDDEN import'!B199</f>
        <v>TC_O_13_CSMS</v>
      </c>
      <c r="B199" t="str">
        <f>'HIDDEN import'!C199</f>
        <v>Advanced User Interface</v>
      </c>
      <c r="C199" t="str">
        <f>'HIDDEN import'!D199</f>
        <v>Set Display Message - Display message at StartTime</v>
      </c>
      <c r="D199" t="str">
        <f>IF(VLOOKUP(A199&amp;" "&amp;B199,'HIDDEN import'!A:G,5,FALSE)="M",MD!$A$1,(IF(AND(VLOOKUP(A199,'HIDDEN import'!B:E,4,FALSE)="C",OR(NOT(ISERROR(VLOOKUP(E199,'Optional features'!B:E,1,FALSE)=E199)),NOT(ISERROR(VLOOKUP(E199,'HIDDEN calc sheet'!A:C,1,FALSE)=E199)))),MD!$A$3,MD!$A$2)))</f>
        <v>Mandatory test for a mandatory feature</v>
      </c>
      <c r="E199" t="str">
        <f>IF('HIDDEN import'!F199=0,"",'HIDDEN import'!F199)</f>
        <v/>
      </c>
      <c r="F199" t="str">
        <f>IF('HIDDEN import'!G199=0,"",'HIDDEN import'!G199)</f>
        <v/>
      </c>
      <c r="G199" s="49" t="str">
        <f>IFERROR(VLOOKUP($A199,'HIDDEN Testrun Results'!$A:$B,2,FALSE),"")</f>
        <v/>
      </c>
      <c r="H199" s="49" t="b">
        <f t="shared" si="3"/>
        <v>0</v>
      </c>
      <c r="I199" s="49" t="b">
        <f>IF(VLOOKUP(A199&amp;" "&amp;B199,'HIDDEN import'!A:G,5,FALSE)="M",TRUE,IFERROR(VLOOKUP(E199,'Optional features'!B:E,3,FALSE)="Yes",IFERROR(VLOOKUP(E199,'HIDDEN calc sheet'!A:B,2,FALSE),VLOOKUP(E199,'Additional questions'!B:D,3,FALSE)="Yes")))</f>
        <v>1</v>
      </c>
      <c r="J199" t="b">
        <f>IF(VLOOKUP(B199,'Profile selection'!B:C,2,FALSE)="Yes",TRUE,FALSE)</f>
        <v>0</v>
      </c>
      <c r="K199" s="22" t="b">
        <f>IF(AND(D199=MD!$A$1,M199),TRUE,(IF(AND(D199=MD!$A$3,M199),(IF(L199=TRUE,TRUE,FALSE)),(IF(AND(D199=MD!$A$2,M199),(IF(N199=TRUE,TRUE,FALSE)),FALSE)))))</f>
        <v>0</v>
      </c>
      <c r="M199" t="b">
        <f>IF(VLOOKUP(B199,'Profile selection'!B:C,2,FALSE)="Yes",TRUE,FALSE)</f>
        <v>0</v>
      </c>
      <c r="P199" s="73"/>
      <c r="Q199" s="73"/>
    </row>
    <row r="200" spans="1:17" x14ac:dyDescent="0.25">
      <c r="A200" t="str">
        <f>'HIDDEN import'!B200</f>
        <v>TC_O_14_CSMS</v>
      </c>
      <c r="B200" t="str">
        <f>'HIDDEN import'!C200</f>
        <v>Advanced User Interface</v>
      </c>
      <c r="C200" t="str">
        <f>'HIDDEN import'!D200</f>
        <v>Set Display Message - Remove message after EndTime</v>
      </c>
      <c r="D200" t="str">
        <f>IF(VLOOKUP(A200&amp;" "&amp;B200,'HIDDEN import'!A:G,5,FALSE)="M",MD!$A$1,(IF(AND(VLOOKUP(A200,'HIDDEN import'!B:E,4,FALSE)="C",OR(NOT(ISERROR(VLOOKUP(E200,'Optional features'!B:E,1,FALSE)=E200)),NOT(ISERROR(VLOOKUP(E200,'HIDDEN calc sheet'!A:C,1,FALSE)=E200)))),MD!$A$3,MD!$A$2)))</f>
        <v>Mandatory test for a mandatory feature</v>
      </c>
      <c r="E200" t="str">
        <f>IF('HIDDEN import'!F200=0,"",'HIDDEN import'!F200)</f>
        <v/>
      </c>
      <c r="F200" t="str">
        <f>IF('HIDDEN import'!G200=0,"",'HIDDEN import'!G200)</f>
        <v/>
      </c>
      <c r="G200" s="49" t="str">
        <f>IFERROR(VLOOKUP($A200,'HIDDEN Testrun Results'!$A:$B,2,FALSE),"")</f>
        <v/>
      </c>
      <c r="H200" s="49" t="b">
        <f t="shared" si="3"/>
        <v>0</v>
      </c>
      <c r="I200" s="49" t="b">
        <f>IF(VLOOKUP(A200&amp;" "&amp;B200,'HIDDEN import'!A:G,5,FALSE)="M",TRUE,IFERROR(VLOOKUP(E200,'Optional features'!B:E,3,FALSE)="Yes",IFERROR(VLOOKUP(E200,'HIDDEN calc sheet'!A:B,2,FALSE),VLOOKUP(E200,'Additional questions'!B:D,3,FALSE)="Yes")))</f>
        <v>1</v>
      </c>
      <c r="J200" t="b">
        <f>IF(VLOOKUP(B200,'Profile selection'!B:C,2,FALSE)="Yes",TRUE,FALSE)</f>
        <v>0</v>
      </c>
      <c r="K200" s="22" t="b">
        <f>IF(AND(D200=MD!$A$1,M200),TRUE,(IF(AND(D200=MD!$A$3,M200),(IF(L200=TRUE,TRUE,FALSE)),(IF(AND(D200=MD!$A$2,M200),(IF(N200=TRUE,TRUE,FALSE)),FALSE)))))</f>
        <v>0</v>
      </c>
      <c r="M200" t="b">
        <f>IF(VLOOKUP(B200,'Profile selection'!B:C,2,FALSE)="Yes",TRUE,FALSE)</f>
        <v>0</v>
      </c>
      <c r="P200" s="73"/>
      <c r="Q200" s="73"/>
    </row>
    <row r="201" spans="1:17" x14ac:dyDescent="0.25">
      <c r="A201" t="str">
        <f>'HIDDEN import'!B201</f>
        <v>TC_O_17_CSMS</v>
      </c>
      <c r="B201" t="str">
        <f>'HIDDEN import'!C201</f>
        <v>Advanced User Interface</v>
      </c>
      <c r="C201" t="str">
        <f>'HIDDEN import'!D201</f>
        <v>Set Display Message - NotSupportedPriority</v>
      </c>
      <c r="D201" t="str">
        <f>IF(VLOOKUP(A201&amp;" "&amp;B201,'HIDDEN import'!A:G,5,FALSE)="M",MD!$A$1,(IF(AND(VLOOKUP(A201,'HIDDEN import'!B:E,4,FALSE)="C",OR(NOT(ISERROR(VLOOKUP(E201,'Optional features'!B:E,1,FALSE)=E201)),NOT(ISERROR(VLOOKUP(E201,'HIDDEN calc sheet'!A:C,1,FALSE)=E201)))),MD!$A$3,MD!$A$2)))</f>
        <v>Mandatory test for a mandatory feature</v>
      </c>
      <c r="E201" t="str">
        <f>IF('HIDDEN import'!F201=0,"",'HIDDEN import'!F201)</f>
        <v>NOT (UI-1.1 and UI-1.2 and UI-1.3)</v>
      </c>
      <c r="F201" t="str">
        <f>IF('HIDDEN import'!G201=0,"",'HIDDEN import'!G201)</f>
        <v/>
      </c>
      <c r="G201" s="49" t="str">
        <f>IFERROR(VLOOKUP($A201,'HIDDEN Testrun Results'!$A:$B,2,FALSE),"")</f>
        <v/>
      </c>
      <c r="H201" s="49" t="b">
        <f t="shared" si="3"/>
        <v>0</v>
      </c>
      <c r="I201" s="49" t="b">
        <f>IF(VLOOKUP(A201&amp;" "&amp;B201,'HIDDEN import'!A:G,5,FALSE)="M",TRUE,IFERROR(VLOOKUP(E201,'Optional features'!B:E,3,FALSE)="Yes",IFERROR(VLOOKUP(E201,'HIDDEN calc sheet'!A:B,2,FALSE),VLOOKUP(E201,'Additional questions'!B:D,3,FALSE)="Yes")))</f>
        <v>1</v>
      </c>
      <c r="J201" t="b">
        <f>IF(VLOOKUP(B201,'Profile selection'!B:C,2,FALSE)="Yes",TRUE,FALSE)</f>
        <v>0</v>
      </c>
      <c r="K201" s="22" t="b">
        <f>IF(AND(D201=MD!$A$1,M201),TRUE,(IF(AND(D201=MD!$A$3,M201),(IF(L201=TRUE,TRUE,FALSE)),(IF(AND(D201=MD!$A$2,M201),(IF(N201=TRUE,TRUE,FALSE)),FALSE)))))</f>
        <v>0</v>
      </c>
      <c r="M201" t="b">
        <f>IF(VLOOKUP(B201,'Profile selection'!B:C,2,FALSE)="Yes",TRUE,FALSE)</f>
        <v>0</v>
      </c>
      <c r="P201" s="73"/>
      <c r="Q201" s="73"/>
    </row>
    <row r="202" spans="1:17" x14ac:dyDescent="0.25">
      <c r="A202" t="str">
        <f>'HIDDEN import'!B202</f>
        <v>TC_O_18_CSMS</v>
      </c>
      <c r="B202" t="str">
        <f>'HIDDEN import'!C202</f>
        <v>Advanced User Interface</v>
      </c>
      <c r="C202" t="str">
        <f>'HIDDEN import'!D202</f>
        <v>Set Display Message - NotSupportedState</v>
      </c>
      <c r="D202" t="str">
        <f>IF(VLOOKUP(A202&amp;" "&amp;B202,'HIDDEN import'!A:G,5,FALSE)="M",MD!$A$1,(IF(AND(VLOOKUP(A202,'HIDDEN import'!B:E,4,FALSE)="C",OR(NOT(ISERROR(VLOOKUP(E202,'Optional features'!B:E,1,FALSE)=E202)),NOT(ISERROR(VLOOKUP(E202,'HIDDEN calc sheet'!A:C,1,FALSE)=E202)))),MD!$A$3,MD!$A$2)))</f>
        <v>Mandatory test for a mandatory feature</v>
      </c>
      <c r="E202" t="str">
        <f>IF('HIDDEN import'!F202=0,"",'HIDDEN import'!F202)</f>
        <v/>
      </c>
      <c r="F202" t="str">
        <f>IF('HIDDEN import'!G202=0,"",'HIDDEN import'!G202)</f>
        <v/>
      </c>
      <c r="G202" s="49" t="str">
        <f>IFERROR(VLOOKUP($A202,'HIDDEN Testrun Results'!$A:$B,2,FALSE),"")</f>
        <v/>
      </c>
      <c r="H202" s="49" t="b">
        <f t="shared" si="3"/>
        <v>0</v>
      </c>
      <c r="I202" s="49" t="b">
        <f>IF(VLOOKUP(A202&amp;" "&amp;B202,'HIDDEN import'!A:G,5,FALSE)="M",TRUE,IFERROR(VLOOKUP(E202,'Optional features'!B:E,3,FALSE)="Yes",IFERROR(VLOOKUP(E202,'HIDDEN calc sheet'!A:B,2,FALSE),VLOOKUP(E202,'Additional questions'!B:D,3,FALSE)="Yes")))</f>
        <v>1</v>
      </c>
      <c r="J202" t="b">
        <f>IF(VLOOKUP(B202,'Profile selection'!B:C,2,FALSE)="Yes",TRUE,FALSE)</f>
        <v>0</v>
      </c>
      <c r="K202" s="22" t="b">
        <f>IF(AND(D202=MD!$A$1,M202),TRUE,(IF(AND(D202=MD!$A$3,M202),(IF(L202=TRUE,TRUE,FALSE)),(IF(AND(D202=MD!$A$2,M202),(IF(N202=TRUE,TRUE,FALSE)),FALSE)))))</f>
        <v>0</v>
      </c>
      <c r="M202" t="b">
        <f>IF(VLOOKUP(B202,'Profile selection'!B:C,2,FALSE)="Yes",TRUE,FALSE)</f>
        <v>0</v>
      </c>
      <c r="P202" s="73"/>
      <c r="Q202" s="73"/>
    </row>
    <row r="203" spans="1:17" x14ac:dyDescent="0.25">
      <c r="A203" t="str">
        <f>'HIDDEN import'!B203</f>
        <v>TC_O_19_CSMS</v>
      </c>
      <c r="B203" t="str">
        <f>'HIDDEN import'!C203</f>
        <v>Advanced User Interface</v>
      </c>
      <c r="C203" t="str">
        <f>'HIDDEN import'!D203</f>
        <v>Set Display Message - NotSupportedMessageFormat</v>
      </c>
      <c r="D203" t="str">
        <f>IF(VLOOKUP(A203&amp;" "&amp;B203,'HIDDEN import'!A:G,5,FALSE)="M",MD!$A$1,(IF(AND(VLOOKUP(A203,'HIDDEN import'!B:E,4,FALSE)="C",OR(NOT(ISERROR(VLOOKUP(E203,'Optional features'!B:E,1,FALSE)=E203)),NOT(ISERROR(VLOOKUP(E203,'HIDDEN calc sheet'!A:C,1,FALSE)=E203)))),MD!$A$3,MD!$A$2)))</f>
        <v>Mandatory test for a mandatory feature</v>
      </c>
      <c r="E203" t="str">
        <f>IF('HIDDEN import'!F203=0,"",'HIDDEN import'!F203)</f>
        <v>NOT (UI-2.1 and UI-2.2 and UI-2.3 and UI-2.4)</v>
      </c>
      <c r="F203" t="str">
        <f>IF('HIDDEN import'!G203=0,"",'HIDDEN import'!G203)</f>
        <v/>
      </c>
      <c r="G203" s="49" t="str">
        <f>IFERROR(VLOOKUP($A203,'HIDDEN Testrun Results'!$A:$B,2,FALSE),"")</f>
        <v/>
      </c>
      <c r="H203" s="49" t="b">
        <f t="shared" si="3"/>
        <v>0</v>
      </c>
      <c r="I203" s="49" t="b">
        <f>IF(VLOOKUP(A203&amp;" "&amp;B203,'HIDDEN import'!A:G,5,FALSE)="M",TRUE,IFERROR(VLOOKUP(E203,'Optional features'!B:E,3,FALSE)="Yes",IFERROR(VLOOKUP(E203,'HIDDEN calc sheet'!A:B,2,FALSE),VLOOKUP(E203,'Additional questions'!B:D,3,FALSE)="Yes")))</f>
        <v>1</v>
      </c>
      <c r="J203" t="b">
        <f>IF(VLOOKUP(B203,'Profile selection'!B:C,2,FALSE)="Yes",TRUE,FALSE)</f>
        <v>0</v>
      </c>
      <c r="K203" s="22" t="b">
        <f>IF(AND(D203=MD!$A$1,M203),TRUE,(IF(AND(D203=MD!$A$3,M203),(IF(L203=TRUE,TRUE,FALSE)),(IF(AND(D203=MD!$A$2,M203),(IF(N203=TRUE,TRUE,FALSE)),FALSE)))))</f>
        <v>0</v>
      </c>
      <c r="M203" t="b">
        <f>IF(VLOOKUP(B203,'Profile selection'!B:C,2,FALSE)="Yes",TRUE,FALSE)</f>
        <v>0</v>
      </c>
      <c r="P203" s="73"/>
      <c r="Q203" s="73"/>
    </row>
    <row r="204" spans="1:17" x14ac:dyDescent="0.25">
      <c r="A204" t="str">
        <f>'HIDDEN import'!B204</f>
        <v>TC_O_12_CSMS</v>
      </c>
      <c r="B204" t="str">
        <f>'HIDDEN import'!C204</f>
        <v>Advanced User Interface</v>
      </c>
      <c r="C204" t="str">
        <f>'HIDDEN import'!D204</f>
        <v>Set Display Message - Replace DisplayMessage</v>
      </c>
      <c r="D204" t="str">
        <f>IF(VLOOKUP(A204&amp;" "&amp;B204,'HIDDEN import'!A:G,5,FALSE)="M",MD!$A$1,(IF(AND(VLOOKUP(A204,'HIDDEN import'!B:E,4,FALSE)="C",OR(NOT(ISERROR(VLOOKUP(E204,'Optional features'!B:E,1,FALSE)=E204)),NOT(ISERROR(VLOOKUP(E204,'HIDDEN calc sheet'!A:C,1,FALSE)=E204)))),MD!$A$3,MD!$A$2)))</f>
        <v>Mandatory test for a mandatory feature</v>
      </c>
      <c r="E204" t="str">
        <f>IF('HIDDEN import'!F204=0,"",'HIDDEN import'!F204)</f>
        <v/>
      </c>
      <c r="F204" t="str">
        <f>IF('HIDDEN import'!G204=0,"",'HIDDEN import'!G204)</f>
        <v/>
      </c>
      <c r="G204" s="49" t="str">
        <f>IFERROR(VLOOKUP($A204,'HIDDEN Testrun Results'!$A:$B,2,FALSE),"")</f>
        <v/>
      </c>
      <c r="H204" s="49" t="b">
        <f t="shared" si="3"/>
        <v>0</v>
      </c>
      <c r="I204" s="49" t="b">
        <f>IF(VLOOKUP(A204&amp;" "&amp;B204,'HIDDEN import'!A:G,5,FALSE)="M",TRUE,IFERROR(VLOOKUP(E204,'Optional features'!B:E,3,FALSE)="Yes",IFERROR(VLOOKUP(E204,'HIDDEN calc sheet'!A:B,2,FALSE),VLOOKUP(E204,'Additional questions'!B:D,3,FALSE)="Yes")))</f>
        <v>1</v>
      </c>
      <c r="J204" t="b">
        <f>IF(VLOOKUP(B204,'Profile selection'!B:C,2,FALSE)="Yes",TRUE,FALSE)</f>
        <v>0</v>
      </c>
      <c r="K204" s="22" t="b">
        <f>IF(AND(D204=MD!$A$1,M204),TRUE,(IF(AND(D204=MD!$A$3,M204),(IF(L204=TRUE,TRUE,FALSE)),(IF(AND(D204=MD!$A$2,M204),(IF(N204=TRUE,TRUE,FALSE)),FALSE)))))</f>
        <v>0</v>
      </c>
      <c r="M204" t="b">
        <f>IF(VLOOKUP(B204,'Profile selection'!B:C,2,FALSE)="Yes",TRUE,FALSE)</f>
        <v>0</v>
      </c>
      <c r="P204" s="73"/>
      <c r="Q204" s="73"/>
    </row>
    <row r="205" spans="1:17" x14ac:dyDescent="0.25">
      <c r="A205" t="str">
        <f>'HIDDEN import'!B205</f>
        <v>TC_O_06_CSMS</v>
      </c>
      <c r="B205" t="str">
        <f>'HIDDEN import'!C205</f>
        <v>Advanced User Interface</v>
      </c>
      <c r="C205" t="str">
        <f>'HIDDEN import'!D205</f>
        <v>Set Display Message - Specific transaction - Success</v>
      </c>
      <c r="D205" t="str">
        <f>IF(VLOOKUP(A205&amp;" "&amp;B205,'HIDDEN import'!A:G,5,FALSE)="M",MD!$A$1,(IF(AND(VLOOKUP(A205,'HIDDEN import'!B:E,4,FALSE)="C",OR(NOT(ISERROR(VLOOKUP(E205,'Optional features'!B:E,1,FALSE)=E205)),NOT(ISERROR(VLOOKUP(E205,'HIDDEN calc sheet'!A:C,1,FALSE)=E205)))),MD!$A$3,MD!$A$2)))</f>
        <v>Mandatory test for a mandatory feature</v>
      </c>
      <c r="E205" t="str">
        <f>IF('HIDDEN import'!F205=0,"",'HIDDEN import'!F205)</f>
        <v/>
      </c>
      <c r="F205" t="str">
        <f>IF('HIDDEN import'!G205=0,"",'HIDDEN import'!G205)</f>
        <v/>
      </c>
      <c r="G205" s="49" t="str">
        <f>IFERROR(VLOOKUP($A205,'HIDDEN Testrun Results'!$A:$B,2,FALSE),"")</f>
        <v/>
      </c>
      <c r="H205" s="49" t="b">
        <f t="shared" si="3"/>
        <v>0</v>
      </c>
      <c r="I205" s="49" t="b">
        <f>IF(VLOOKUP(A205&amp;" "&amp;B205,'HIDDEN import'!A:G,5,FALSE)="M",TRUE,IFERROR(VLOOKUP(E205,'Optional features'!B:E,3,FALSE)="Yes",IFERROR(VLOOKUP(E205,'HIDDEN calc sheet'!A:B,2,FALSE),VLOOKUP(E205,'Additional questions'!B:D,3,FALSE)="Yes")))</f>
        <v>1</v>
      </c>
      <c r="J205" t="b">
        <f>IF(VLOOKUP(B205,'Profile selection'!B:C,2,FALSE)="Yes",TRUE,FALSE)</f>
        <v>0</v>
      </c>
      <c r="K205" s="22" t="b">
        <f>IF(AND(D205=MD!$A$1,M205),TRUE,(IF(AND(D205=MD!$A$3,M205),(IF(L205=TRUE,TRUE,FALSE)),(IF(AND(D205=MD!$A$2,M205),(IF(N205=TRUE,TRUE,FALSE)),FALSE)))))</f>
        <v>0</v>
      </c>
      <c r="M205" t="b">
        <f>IF(VLOOKUP(B205,'Profile selection'!B:C,2,FALSE)="Yes",TRUE,FALSE)</f>
        <v>0</v>
      </c>
      <c r="P205" s="73"/>
      <c r="Q205" s="73"/>
    </row>
    <row r="206" spans="1:17" x14ac:dyDescent="0.25">
      <c r="A206" t="str">
        <f>'HIDDEN import'!B206</f>
        <v>TC_O_10_CSMS</v>
      </c>
      <c r="B206" t="str">
        <f>'HIDDEN import'!C206</f>
        <v>Advanced User Interface</v>
      </c>
      <c r="C206" t="str">
        <f>'HIDDEN import'!D206</f>
        <v>Set Display Message - Specific transaction - UnknownTransaction</v>
      </c>
      <c r="D206" t="str">
        <f>IF(VLOOKUP(A206&amp;" "&amp;B206,'HIDDEN import'!A:G,5,FALSE)="M",MD!$A$1,(IF(AND(VLOOKUP(A206,'HIDDEN import'!B:E,4,FALSE)="C",OR(NOT(ISERROR(VLOOKUP(E206,'Optional features'!B:E,1,FALSE)=E206)),NOT(ISERROR(VLOOKUP(E206,'HIDDEN calc sheet'!A:C,1,FALSE)=E206)))),MD!$A$3,MD!$A$2)))</f>
        <v>Mandatory test for a mandatory feature</v>
      </c>
      <c r="E206" t="str">
        <f>IF('HIDDEN import'!F206=0,"",'HIDDEN import'!F206)</f>
        <v/>
      </c>
      <c r="F206" t="str">
        <f>IF('HIDDEN import'!G206=0,"",'HIDDEN import'!G206)</f>
        <v/>
      </c>
      <c r="G206" s="49" t="str">
        <f>IFERROR(VLOOKUP($A206,'HIDDEN Testrun Results'!$A:$B,2,FALSE),"")</f>
        <v/>
      </c>
      <c r="H206" s="49" t="b">
        <f t="shared" si="3"/>
        <v>0</v>
      </c>
      <c r="I206" s="49" t="b">
        <f>IF(VLOOKUP(A206&amp;" "&amp;B206,'HIDDEN import'!A:G,5,FALSE)="M",TRUE,IFERROR(VLOOKUP(E206,'Optional features'!B:E,3,FALSE)="Yes",IFERROR(VLOOKUP(E206,'HIDDEN calc sheet'!A:B,2,FALSE),VLOOKUP(E206,'Additional questions'!B:D,3,FALSE)="Yes")))</f>
        <v>1</v>
      </c>
      <c r="J206" t="b">
        <f>IF(VLOOKUP(B206,'Profile selection'!B:C,2,FALSE)="Yes",TRUE,FALSE)</f>
        <v>0</v>
      </c>
      <c r="K206" s="22" t="b">
        <f>IF(AND(D206=MD!$A$1,M206),TRUE,(IF(AND(D206=MD!$A$3,M206),(IF(L206=TRUE,TRUE,FALSE)),(IF(AND(D206=MD!$A$2,M206),(IF(N206=TRUE,TRUE,FALSE)),FALSE)))))</f>
        <v>0</v>
      </c>
      <c r="M206" t="b">
        <f>IF(VLOOKUP(B206,'Profile selection'!B:C,2,FALSE)="Yes",TRUE,FALSE)</f>
        <v>0</v>
      </c>
      <c r="P206" s="73"/>
      <c r="Q206" s="73"/>
    </row>
    <row r="207" spans="1:17" x14ac:dyDescent="0.25">
      <c r="A207" t="str">
        <f>'HIDDEN import'!B207</f>
        <v>TC_O_27_CSMS</v>
      </c>
      <c r="B207" t="str">
        <f>'HIDDEN import'!C207</f>
        <v>Advanced User Interface</v>
      </c>
      <c r="C207" t="str">
        <f>'HIDDEN import'!D207</f>
        <v>Set Display Message - Specific transaction - Display message at StartTime</v>
      </c>
      <c r="D207" t="str">
        <f>IF(VLOOKUP(A207&amp;" "&amp;B207,'HIDDEN import'!A:G,5,FALSE)="M",MD!$A$1,(IF(AND(VLOOKUP(A207,'HIDDEN import'!B:E,4,FALSE)="C",OR(NOT(ISERROR(VLOOKUP(E207,'Optional features'!B:E,1,FALSE)=E207)),NOT(ISERROR(VLOOKUP(E207,'HIDDEN calc sheet'!A:C,1,FALSE)=E207)))),MD!$A$3,MD!$A$2)))</f>
        <v>Mandatory test for a mandatory feature</v>
      </c>
      <c r="E207" t="str">
        <f>IF('HIDDEN import'!F207=0,"",'HIDDEN import'!F207)</f>
        <v/>
      </c>
      <c r="F207" t="str">
        <f>IF('HIDDEN import'!G207=0,"",'HIDDEN import'!G207)</f>
        <v/>
      </c>
      <c r="G207" s="49" t="str">
        <f>IFERROR(VLOOKUP($A207,'HIDDEN Testrun Results'!$A:$B,2,FALSE),"")</f>
        <v/>
      </c>
      <c r="H207" s="49" t="b">
        <f t="shared" si="3"/>
        <v>0</v>
      </c>
      <c r="I207" s="49" t="b">
        <f>IF(VLOOKUP(A207&amp;" "&amp;B207,'HIDDEN import'!A:G,5,FALSE)="M",TRUE,IFERROR(VLOOKUP(E207,'Optional features'!B:E,3,FALSE)="Yes",IFERROR(VLOOKUP(E207,'HIDDEN calc sheet'!A:B,2,FALSE),VLOOKUP(E207,'Additional questions'!B:D,3,FALSE)="Yes")))</f>
        <v>1</v>
      </c>
      <c r="J207" t="b">
        <f>IF(VLOOKUP(B207,'Profile selection'!B:C,2,FALSE)="Yes",TRUE,FALSE)</f>
        <v>0</v>
      </c>
      <c r="K207" s="22" t="b">
        <f>IF(AND(D207=MD!$A$1,M207),TRUE,(IF(AND(D207=MD!$A$3,M207),(IF(L207=TRUE,TRUE,FALSE)),(IF(AND(D207=MD!$A$2,M207),(IF(N207=TRUE,TRUE,FALSE)),FALSE)))))</f>
        <v>0</v>
      </c>
      <c r="M207" t="b">
        <f>IF(VLOOKUP(B207,'Profile selection'!B:C,2,FALSE)="Yes",TRUE,FALSE)</f>
        <v>0</v>
      </c>
      <c r="P207" s="73"/>
      <c r="Q207" s="73"/>
    </row>
    <row r="208" spans="1:17" x14ac:dyDescent="0.25">
      <c r="A208" t="str">
        <f>'HIDDEN import'!B208</f>
        <v>TC_O_28_CSMS</v>
      </c>
      <c r="B208" t="str">
        <f>'HIDDEN import'!C208</f>
        <v>Advanced User Interface</v>
      </c>
      <c r="C208" t="str">
        <f>'HIDDEN import'!D208</f>
        <v>Set Display Message - Specific transaction - Remove message after EndTime</v>
      </c>
      <c r="D208" t="str">
        <f>IF(VLOOKUP(A208&amp;" "&amp;B208,'HIDDEN import'!A:G,5,FALSE)="M",MD!$A$1,(IF(AND(VLOOKUP(A208,'HIDDEN import'!B:E,4,FALSE)="C",OR(NOT(ISERROR(VLOOKUP(E208,'Optional features'!B:E,1,FALSE)=E208)),NOT(ISERROR(VLOOKUP(E208,'HIDDEN calc sheet'!A:C,1,FALSE)=E208)))),MD!$A$3,MD!$A$2)))</f>
        <v>Mandatory test for a mandatory feature</v>
      </c>
      <c r="E208" t="str">
        <f>IF('HIDDEN import'!F208=0,"",'HIDDEN import'!F208)</f>
        <v/>
      </c>
      <c r="F208" t="str">
        <f>IF('HIDDEN import'!G208=0,"",'HIDDEN import'!G208)</f>
        <v/>
      </c>
      <c r="G208" s="49" t="str">
        <f>IFERROR(VLOOKUP($A208,'HIDDEN Testrun Results'!$A:$B,2,FALSE),"")</f>
        <v/>
      </c>
      <c r="H208" s="49" t="b">
        <f t="shared" si="3"/>
        <v>0</v>
      </c>
      <c r="I208" s="49" t="b">
        <f>IF(VLOOKUP(A208&amp;" "&amp;B208,'HIDDEN import'!A:G,5,FALSE)="M",TRUE,IFERROR(VLOOKUP(E208,'Optional features'!B:E,3,FALSE)="Yes",IFERROR(VLOOKUP(E208,'HIDDEN calc sheet'!A:B,2,FALSE),VLOOKUP(E208,'Additional questions'!B:D,3,FALSE)="Yes")))</f>
        <v>1</v>
      </c>
      <c r="J208" t="b">
        <f>IF(VLOOKUP(B208,'Profile selection'!B:C,2,FALSE)="Yes",TRUE,FALSE)</f>
        <v>0</v>
      </c>
      <c r="K208" s="22" t="b">
        <f>IF(AND(D208=MD!$A$1,M208),TRUE,(IF(AND(D208=MD!$A$3,M208),(IF(L208=TRUE,TRUE,FALSE)),(IF(AND(D208=MD!$A$2,M208),(IF(N208=TRUE,TRUE,FALSE)),FALSE)))))</f>
        <v>0</v>
      </c>
      <c r="M208" t="b">
        <f>IF(VLOOKUP(B208,'Profile selection'!B:C,2,FALSE)="Yes",TRUE,FALSE)</f>
        <v>0</v>
      </c>
      <c r="P208" s="73"/>
      <c r="Q208" s="73"/>
    </row>
    <row r="209" spans="1:17" x14ac:dyDescent="0.25">
      <c r="A209" t="str">
        <f>'HIDDEN import'!B209</f>
        <v>TC_O_02_CSMS</v>
      </c>
      <c r="B209" t="str">
        <f>'HIDDEN import'!C209</f>
        <v>Advanced User Interface</v>
      </c>
      <c r="C209" t="str">
        <f>'HIDDEN import'!D209</f>
        <v>Get all Display Messages - Success</v>
      </c>
      <c r="D209" t="str">
        <f>IF(VLOOKUP(A209&amp;" "&amp;B209,'HIDDEN import'!A:G,5,FALSE)="M",MD!$A$1,(IF(AND(VLOOKUP(A209,'HIDDEN import'!B:E,4,FALSE)="C",OR(NOT(ISERROR(VLOOKUP(E209,'Optional features'!B:E,1,FALSE)=E209)),NOT(ISERROR(VLOOKUP(E209,'HIDDEN calc sheet'!A:C,1,FALSE)=E209)))),MD!$A$3,MD!$A$2)))</f>
        <v>Mandatory test for a mandatory feature</v>
      </c>
      <c r="E209" t="str">
        <f>IF('HIDDEN import'!F209=0,"",'HIDDEN import'!F209)</f>
        <v/>
      </c>
      <c r="F209" t="str">
        <f>IF('HIDDEN import'!G209=0,"",'HIDDEN import'!G209)</f>
        <v/>
      </c>
      <c r="G209" s="49" t="str">
        <f>IFERROR(VLOOKUP($A209,'HIDDEN Testrun Results'!$A:$B,2,FALSE),"")</f>
        <v/>
      </c>
      <c r="H209" s="49" t="b">
        <f t="shared" si="3"/>
        <v>0</v>
      </c>
      <c r="I209" s="49" t="b">
        <f>IF(VLOOKUP(A209&amp;" "&amp;B209,'HIDDEN import'!A:G,5,FALSE)="M",TRUE,IFERROR(VLOOKUP(E209,'Optional features'!B:E,3,FALSE)="Yes",IFERROR(VLOOKUP(E209,'HIDDEN calc sheet'!A:B,2,FALSE),VLOOKUP(E209,'Additional questions'!B:D,3,FALSE)="Yes")))</f>
        <v>1</v>
      </c>
      <c r="J209" t="b">
        <f>IF(VLOOKUP(B209,'Profile selection'!B:C,2,FALSE)="Yes",TRUE,FALSE)</f>
        <v>0</v>
      </c>
      <c r="K209" s="22" t="b">
        <f>IF(AND(D209=MD!$A$1,M209),TRUE,(IF(AND(D209=MD!$A$3,M209),(IF(L209=TRUE,TRUE,FALSE)),(IF(AND(D209=MD!$A$2,M209),(IF(N209=TRUE,TRUE,FALSE)),FALSE)))))</f>
        <v>0</v>
      </c>
      <c r="M209" t="b">
        <f>IF(VLOOKUP(B209,'Profile selection'!B:C,2,FALSE)="Yes",TRUE,FALSE)</f>
        <v>0</v>
      </c>
      <c r="P209" s="73"/>
      <c r="Q209" s="73"/>
    </row>
    <row r="210" spans="1:17" x14ac:dyDescent="0.25">
      <c r="A210" t="str">
        <f>'HIDDEN import'!B210</f>
        <v>TC_O_03_CSMS</v>
      </c>
      <c r="B210" t="str">
        <f>'HIDDEN import'!C210</f>
        <v>Advanced User Interface</v>
      </c>
      <c r="C210" t="str">
        <f>'HIDDEN import'!D210</f>
        <v>Get all Display Messages - No DisplayMessages configured</v>
      </c>
      <c r="D210" t="str">
        <f>IF(VLOOKUP(A210&amp;" "&amp;B210,'HIDDEN import'!A:G,5,FALSE)="M",MD!$A$1,(IF(AND(VLOOKUP(A210,'HIDDEN import'!B:E,4,FALSE)="C",OR(NOT(ISERROR(VLOOKUP(E210,'Optional features'!B:E,1,FALSE)=E210)),NOT(ISERROR(VLOOKUP(E210,'HIDDEN calc sheet'!A:C,1,FALSE)=E210)))),MD!$A$3,MD!$A$2)))</f>
        <v>Mandatory test for a mandatory feature</v>
      </c>
      <c r="E210" t="str">
        <f>IF('HIDDEN import'!F210=0,"",'HIDDEN import'!F210)</f>
        <v/>
      </c>
      <c r="F210" t="str">
        <f>IF('HIDDEN import'!G210=0,"",'HIDDEN import'!G210)</f>
        <v/>
      </c>
      <c r="G210" s="49" t="str">
        <f>IFERROR(VLOOKUP($A210,'HIDDEN Testrun Results'!$A:$B,2,FALSE),"")</f>
        <v/>
      </c>
      <c r="H210" s="49" t="b">
        <f t="shared" si="3"/>
        <v>0</v>
      </c>
      <c r="I210" s="49" t="b">
        <f>IF(VLOOKUP(A210&amp;" "&amp;B210,'HIDDEN import'!A:G,5,FALSE)="M",TRUE,IFERROR(VLOOKUP(E210,'Optional features'!B:E,3,FALSE)="Yes",IFERROR(VLOOKUP(E210,'HIDDEN calc sheet'!A:B,2,FALSE),VLOOKUP(E210,'Additional questions'!B:D,3,FALSE)="Yes")))</f>
        <v>1</v>
      </c>
      <c r="J210" t="b">
        <f>IF(VLOOKUP(B210,'Profile selection'!B:C,2,FALSE)="Yes",TRUE,FALSE)</f>
        <v>0</v>
      </c>
      <c r="K210" s="22" t="b">
        <f>IF(AND(D210=MD!$A$1,M210),TRUE,(IF(AND(D210=MD!$A$3,M210),(IF(L210=TRUE,TRUE,FALSE)),(IF(AND(D210=MD!$A$2,M210),(IF(N210=TRUE,TRUE,FALSE)),FALSE)))))</f>
        <v>0</v>
      </c>
      <c r="M210" t="b">
        <f>IF(VLOOKUP(B210,'Profile selection'!B:C,2,FALSE)="Yes",TRUE,FALSE)</f>
        <v>0</v>
      </c>
      <c r="P210" s="73"/>
      <c r="Q210" s="73"/>
    </row>
    <row r="211" spans="1:17" x14ac:dyDescent="0.25">
      <c r="A211" t="str">
        <f>'HIDDEN import'!B211</f>
        <v>TC_O_07_CSMS</v>
      </c>
      <c r="B211" t="str">
        <f>'HIDDEN import'!C211</f>
        <v>Advanced User Interface</v>
      </c>
      <c r="C211" t="str">
        <f>'HIDDEN import'!D211</f>
        <v>Get a Specific Display Message - Id</v>
      </c>
      <c r="D211" t="str">
        <f>IF(VLOOKUP(A211&amp;" "&amp;B211,'HIDDEN import'!A:G,5,FALSE)="M",MD!$A$1,(IF(AND(VLOOKUP(A211,'HIDDEN import'!B:E,4,FALSE)="C",OR(NOT(ISERROR(VLOOKUP(E211,'Optional features'!B:E,1,FALSE)=E211)),NOT(ISERROR(VLOOKUP(E211,'HIDDEN calc sheet'!A:C,1,FALSE)=E211)))),MD!$A$3,MD!$A$2)))</f>
        <v>Mandatory test for a mandatory feature</v>
      </c>
      <c r="E211" t="str">
        <f>IF('HIDDEN import'!F211=0,"",'HIDDEN import'!F211)</f>
        <v/>
      </c>
      <c r="F211" t="str">
        <f>IF('HIDDEN import'!G211=0,"",'HIDDEN import'!G211)</f>
        <v/>
      </c>
      <c r="G211" s="49" t="str">
        <f>IFERROR(VLOOKUP($A211,'HIDDEN Testrun Results'!$A:$B,2,FALSE),"")</f>
        <v/>
      </c>
      <c r="H211" s="49" t="b">
        <f t="shared" si="3"/>
        <v>0</v>
      </c>
      <c r="I211" s="49" t="b">
        <f>IF(VLOOKUP(A211&amp;" "&amp;B211,'HIDDEN import'!A:G,5,FALSE)="M",TRUE,IFERROR(VLOOKUP(E211,'Optional features'!B:E,3,FALSE)="Yes",IFERROR(VLOOKUP(E211,'HIDDEN calc sheet'!A:B,2,FALSE),VLOOKUP(E211,'Additional questions'!B:D,3,FALSE)="Yes")))</f>
        <v>1</v>
      </c>
      <c r="J211" t="b">
        <f>IF(VLOOKUP(B211,'Profile selection'!B:C,2,FALSE)="Yes",TRUE,FALSE)</f>
        <v>0</v>
      </c>
      <c r="K211" s="22" t="b">
        <f>IF(AND(D211=MD!$A$1,M211),TRUE,(IF(AND(D211=MD!$A$3,M211),(IF(L211=TRUE,TRUE,FALSE)),(IF(AND(D211=MD!$A$2,M211),(IF(N211=TRUE,TRUE,FALSE)),FALSE)))))</f>
        <v>0</v>
      </c>
      <c r="M211" t="b">
        <f>IF(VLOOKUP(B211,'Profile selection'!B:C,2,FALSE)="Yes",TRUE,FALSE)</f>
        <v>0</v>
      </c>
      <c r="P211" s="73"/>
      <c r="Q211" s="73"/>
    </row>
    <row r="212" spans="1:17" x14ac:dyDescent="0.25">
      <c r="A212" t="str">
        <f>'HIDDEN import'!B212</f>
        <v>TC_O_08_CSMS</v>
      </c>
      <c r="B212" t="str">
        <f>'HIDDEN import'!C212</f>
        <v>Advanced User Interface</v>
      </c>
      <c r="C212" t="str">
        <f>'HIDDEN import'!D212</f>
        <v>Get a Specific Display Message - Priority</v>
      </c>
      <c r="D212" t="str">
        <f>IF(VLOOKUP(A212&amp;" "&amp;B212,'HIDDEN import'!A:G,5,FALSE)="M",MD!$A$1,(IF(AND(VLOOKUP(A212,'HIDDEN import'!B:E,4,FALSE)="C",OR(NOT(ISERROR(VLOOKUP(E212,'Optional features'!B:E,1,FALSE)=E212)),NOT(ISERROR(VLOOKUP(E212,'HIDDEN calc sheet'!A:C,1,FALSE)=E212)))),MD!$A$3,MD!$A$2)))</f>
        <v>Mandatory test for a mandatory feature</v>
      </c>
      <c r="E212" t="str">
        <f>IF('HIDDEN import'!F212=0,"",'HIDDEN import'!F212)</f>
        <v>UI-1</v>
      </c>
      <c r="F212" t="str">
        <f>IF('HIDDEN import'!G212=0,"",'HIDDEN import'!G212)</f>
        <v>Supported MessagePriorities</v>
      </c>
      <c r="G212" s="49" t="str">
        <f>IFERROR(VLOOKUP($A212,'HIDDEN Testrun Results'!$A:$B,2,FALSE),"")</f>
        <v/>
      </c>
      <c r="H212" s="49" t="b">
        <f t="shared" si="3"/>
        <v>0</v>
      </c>
      <c r="I212" s="49" t="b">
        <f>IF(VLOOKUP(A212&amp;" "&amp;B212,'HIDDEN import'!A:G,5,FALSE)="M",TRUE,IFERROR(VLOOKUP(E212,'Optional features'!B:E,3,FALSE)="Yes",IFERROR(VLOOKUP(E212,'HIDDEN calc sheet'!A:B,2,FALSE),VLOOKUP(E212,'Additional questions'!B:D,3,FALSE)="Yes")))</f>
        <v>1</v>
      </c>
      <c r="J212" t="b">
        <f>IF(VLOOKUP(B212,'Profile selection'!B:C,2,FALSE)="Yes",TRUE,FALSE)</f>
        <v>0</v>
      </c>
      <c r="K212" s="22" t="b">
        <f>IF(AND(D212=MD!$A$1,M212),TRUE,(IF(AND(D212=MD!$A$3,M212),(IF(L212=TRUE,TRUE,FALSE)),(IF(AND(D212=MD!$A$2,M212),(IF(N212=TRUE,TRUE,FALSE)),FALSE)))))</f>
        <v>0</v>
      </c>
      <c r="M212" t="b">
        <f>IF(VLOOKUP(B212,'Profile selection'!B:C,2,FALSE)="Yes",TRUE,FALSE)</f>
        <v>0</v>
      </c>
      <c r="P212" s="73"/>
      <c r="Q212" s="73"/>
    </row>
    <row r="213" spans="1:17" x14ac:dyDescent="0.25">
      <c r="A213" t="str">
        <f>'HIDDEN import'!B213</f>
        <v>TC_O_09_CSMS</v>
      </c>
      <c r="B213" t="str">
        <f>'HIDDEN import'!C213</f>
        <v>Advanced User Interface</v>
      </c>
      <c r="C213" t="str">
        <f>'HIDDEN import'!D213</f>
        <v>Get a Specific Display Message - State</v>
      </c>
      <c r="D213" t="str">
        <f>IF(VLOOKUP(A213&amp;" "&amp;B213,'HIDDEN import'!A:G,5,FALSE)="M",MD!$A$1,(IF(AND(VLOOKUP(A213,'HIDDEN import'!B:E,4,FALSE)="C",OR(NOT(ISERROR(VLOOKUP(E213,'Optional features'!B:E,1,FALSE)=E213)),NOT(ISERROR(VLOOKUP(E213,'HIDDEN calc sheet'!A:C,1,FALSE)=E213)))),MD!$A$3,MD!$A$2)))</f>
        <v>Mandatory test for a mandatory feature</v>
      </c>
      <c r="E213" t="str">
        <f>IF('HIDDEN import'!F213=0,"",'HIDDEN import'!F213)</f>
        <v/>
      </c>
      <c r="F213" t="str">
        <f>IF('HIDDEN import'!G213=0,"",'HIDDEN import'!G213)</f>
        <v/>
      </c>
      <c r="G213" s="49" t="str">
        <f>IFERROR(VLOOKUP($A213,'HIDDEN Testrun Results'!$A:$B,2,FALSE),"")</f>
        <v/>
      </c>
      <c r="H213" s="49" t="b">
        <f t="shared" si="3"/>
        <v>0</v>
      </c>
      <c r="I213" s="49" t="b">
        <f>IF(VLOOKUP(A213&amp;" "&amp;B213,'HIDDEN import'!A:G,5,FALSE)="M",TRUE,IFERROR(VLOOKUP(E213,'Optional features'!B:E,3,FALSE)="Yes",IFERROR(VLOOKUP(E213,'HIDDEN calc sheet'!A:B,2,FALSE),VLOOKUP(E213,'Additional questions'!B:D,3,FALSE)="Yes")))</f>
        <v>1</v>
      </c>
      <c r="J213" t="b">
        <f>IF(VLOOKUP(B213,'Profile selection'!B:C,2,FALSE)="Yes",TRUE,FALSE)</f>
        <v>0</v>
      </c>
      <c r="K213" s="22" t="b">
        <f>IF(AND(D213=MD!$A$1,M213),TRUE,(IF(AND(D213=MD!$A$3,M213),(IF(L213=TRUE,TRUE,FALSE)),(IF(AND(D213=MD!$A$2,M213),(IF(N213=TRUE,TRUE,FALSE)),FALSE)))))</f>
        <v>0</v>
      </c>
      <c r="M213" t="b">
        <f>IF(VLOOKUP(B213,'Profile selection'!B:C,2,FALSE)="Yes",TRUE,FALSE)</f>
        <v>0</v>
      </c>
      <c r="P213" s="73"/>
      <c r="Q213" s="73"/>
    </row>
    <row r="214" spans="1:17" x14ac:dyDescent="0.25">
      <c r="A214" t="str">
        <f>'HIDDEN import'!B214</f>
        <v>TC_O_04_CSMS</v>
      </c>
      <c r="B214" t="str">
        <f>'HIDDEN import'!C214</f>
        <v>Advanced User Interface</v>
      </c>
      <c r="C214" t="str">
        <f>'HIDDEN import'!D214</f>
        <v>Clear Display Message - Success</v>
      </c>
      <c r="D214" t="str">
        <f>IF(VLOOKUP(A214&amp;" "&amp;B214,'HIDDEN import'!A:G,5,FALSE)="M",MD!$A$1,(IF(AND(VLOOKUP(A214,'HIDDEN import'!B:E,4,FALSE)="C",OR(NOT(ISERROR(VLOOKUP(E214,'Optional features'!B:E,1,FALSE)=E214)),NOT(ISERROR(VLOOKUP(E214,'HIDDEN calc sheet'!A:C,1,FALSE)=E214)))),MD!$A$3,MD!$A$2)))</f>
        <v>Mandatory test for a mandatory feature</v>
      </c>
      <c r="E214" t="str">
        <f>IF('HIDDEN import'!F214=0,"",'HIDDEN import'!F214)</f>
        <v/>
      </c>
      <c r="F214" t="str">
        <f>IF('HIDDEN import'!G214=0,"",'HIDDEN import'!G214)</f>
        <v/>
      </c>
      <c r="G214" s="49" t="str">
        <f>IFERROR(VLOOKUP($A214,'HIDDEN Testrun Results'!$A:$B,2,FALSE),"")</f>
        <v/>
      </c>
      <c r="H214" s="49" t="b">
        <f t="shared" si="3"/>
        <v>0</v>
      </c>
      <c r="I214" s="49" t="b">
        <f>IF(VLOOKUP(A214&amp;" "&amp;B214,'HIDDEN import'!A:G,5,FALSE)="M",TRUE,IFERROR(VLOOKUP(E214,'Optional features'!B:E,3,FALSE)="Yes",IFERROR(VLOOKUP(E214,'HIDDEN calc sheet'!A:B,2,FALSE),VLOOKUP(E214,'Additional questions'!B:D,3,FALSE)="Yes")))</f>
        <v>1</v>
      </c>
      <c r="J214" t="b">
        <f>IF(VLOOKUP(B214,'Profile selection'!B:C,2,FALSE)="Yes",TRUE,FALSE)</f>
        <v>0</v>
      </c>
      <c r="K214" s="22" t="b">
        <f>IF(AND(D214=MD!$A$1,M214),TRUE,(IF(AND(D214=MD!$A$3,M214),(IF(L214=TRUE,TRUE,FALSE)),(IF(AND(D214=MD!$A$2,M214),(IF(N214=TRUE,TRUE,FALSE)),FALSE)))))</f>
        <v>0</v>
      </c>
      <c r="M214" t="b">
        <f>IF(VLOOKUP(B214,'Profile selection'!B:C,2,FALSE)="Yes",TRUE,FALSE)</f>
        <v>0</v>
      </c>
      <c r="P214" s="73"/>
      <c r="Q214" s="73"/>
    </row>
    <row r="215" spans="1:17" x14ac:dyDescent="0.25">
      <c r="A215" t="str">
        <f>'HIDDEN import'!B215</f>
        <v>TC_O_05_CSMS</v>
      </c>
      <c r="B215" t="str">
        <f>'HIDDEN import'!C215</f>
        <v>Advanced User Interface</v>
      </c>
      <c r="C215" t="str">
        <f>'HIDDEN import'!D215</f>
        <v>Clear Display Message - Unknown Key</v>
      </c>
      <c r="D215" t="str">
        <f>IF(VLOOKUP(A215&amp;" "&amp;B215,'HIDDEN import'!A:G,5,FALSE)="M",MD!$A$1,(IF(AND(VLOOKUP(A215,'HIDDEN import'!B:E,4,FALSE)="C",OR(NOT(ISERROR(VLOOKUP(E215,'Optional features'!B:E,1,FALSE)=E215)),NOT(ISERROR(VLOOKUP(E215,'HIDDEN calc sheet'!A:C,1,FALSE)=E215)))),MD!$A$3,MD!$A$2)))</f>
        <v>Mandatory test for a mandatory feature</v>
      </c>
      <c r="E215" t="str">
        <f>IF('HIDDEN import'!F215=0,"",'HIDDEN import'!F215)</f>
        <v/>
      </c>
      <c r="F215" t="str">
        <f>IF('HIDDEN import'!G215=0,"",'HIDDEN import'!G215)</f>
        <v/>
      </c>
      <c r="G215" s="49" t="str">
        <f>IFERROR(VLOOKUP($A215,'HIDDEN Testrun Results'!$A:$B,2,FALSE),"")</f>
        <v/>
      </c>
      <c r="H215" s="49" t="b">
        <f t="shared" si="3"/>
        <v>0</v>
      </c>
      <c r="I215" s="49" t="b">
        <f>IF(VLOOKUP(A215&amp;" "&amp;B215,'HIDDEN import'!A:G,5,FALSE)="M",TRUE,IFERROR(VLOOKUP(E215,'Optional features'!B:E,3,FALSE)="Yes",IFERROR(VLOOKUP(E215,'HIDDEN calc sheet'!A:B,2,FALSE),VLOOKUP(E215,'Additional questions'!B:D,3,FALSE)="Yes")))</f>
        <v>1</v>
      </c>
      <c r="J215" t="b">
        <f>IF(VLOOKUP(B215,'Profile selection'!B:C,2,FALSE)="Yes",TRUE,FALSE)</f>
        <v>0</v>
      </c>
      <c r="K215" s="22" t="b">
        <f>IF(AND(D215=MD!$A$1,M215),TRUE,(IF(AND(D215=MD!$A$3,M215),(IF(L215=TRUE,TRUE,FALSE)),(IF(AND(D215=MD!$A$2,M215),(IF(N215=TRUE,TRUE,FALSE)),FALSE)))))</f>
        <v>0</v>
      </c>
      <c r="M215" t="b">
        <f>IF(VLOOKUP(B215,'Profile selection'!B:C,2,FALSE)="Yes",TRUE,FALSE)</f>
        <v>0</v>
      </c>
      <c r="P215" s="73"/>
      <c r="Q215" s="73"/>
    </row>
    <row r="216" spans="1:17" x14ac:dyDescent="0.25">
      <c r="A216" t="str">
        <f>'HIDDEN import'!B216</f>
        <v>TC_A_12_CSMS</v>
      </c>
      <c r="B216" t="str">
        <f>'HIDDEN import'!C216</f>
        <v>ISO 15118 Support</v>
      </c>
      <c r="C216" t="str">
        <f>'HIDDEN import'!D216</f>
        <v>Update Charging Station Certificate by request of CSMS - Success - V2G Certificate</v>
      </c>
      <c r="D216" t="str">
        <f>IF(VLOOKUP(A216&amp;" "&amp;B216,'HIDDEN import'!A:G,5,FALSE)="M",MD!$A$1,(IF(AND(VLOOKUP(A216,'HIDDEN import'!B:E,4,FALSE)="C",OR(NOT(ISERROR(VLOOKUP(E216,'Optional features'!B:E,1,FALSE)=E216)),NOT(ISERROR(VLOOKUP(E216,'HIDDEN calc sheet'!A:C,1,FALSE)=E216)))),MD!$A$3,MD!$A$2)))</f>
        <v>Mandatory test for a mandatory feature</v>
      </c>
      <c r="E216" t="str">
        <f>IF('HIDDEN import'!F216=0,"",'HIDDEN import'!F216)</f>
        <v/>
      </c>
      <c r="F216" t="str">
        <f>IF('HIDDEN import'!G216=0,"",'HIDDEN import'!G216)</f>
        <v/>
      </c>
      <c r="G216" s="49" t="str">
        <f>IFERROR(VLOOKUP($A216,'HIDDEN Testrun Results'!$A:$B,2,FALSE),"")</f>
        <v/>
      </c>
      <c r="H216" s="49" t="b">
        <f t="shared" si="3"/>
        <v>0</v>
      </c>
      <c r="I216" s="49" t="b">
        <f>IF(VLOOKUP(A216&amp;" "&amp;B216,'HIDDEN import'!A:G,5,FALSE)="M",TRUE,IFERROR(VLOOKUP(E216,'Optional features'!B:E,3,FALSE)="Yes",IFERROR(VLOOKUP(E216,'HIDDEN calc sheet'!A:B,2,FALSE),VLOOKUP(E216,'Additional questions'!B:D,3,FALSE)="Yes")))</f>
        <v>1</v>
      </c>
      <c r="J216" t="b">
        <f>IF(VLOOKUP(B216,'Profile selection'!B:C,2,FALSE)="Yes",TRUE,FALSE)</f>
        <v>0</v>
      </c>
      <c r="K216" s="22" t="b">
        <f>IF(AND(D216=MD!$A$1,M216),TRUE,(IF(AND(D216=MD!$A$3,M216),(IF(L216=TRUE,TRUE,FALSE)),(IF(AND(D216=MD!$A$2,M216),(IF(N216=TRUE,TRUE,FALSE)),FALSE)))))</f>
        <v>0</v>
      </c>
      <c r="M216" t="b">
        <f>IF(VLOOKUP(B216,'Profile selection'!B:C,2,FALSE)="Yes",TRUE,FALSE)</f>
        <v>0</v>
      </c>
      <c r="P216" s="73"/>
      <c r="Q216" s="73"/>
    </row>
    <row r="217" spans="1:17" x14ac:dyDescent="0.25">
      <c r="A217" t="str">
        <f>'HIDDEN import'!B217</f>
        <v>TC_A_13_CSMS</v>
      </c>
      <c r="B217" t="str">
        <f>'HIDDEN import'!C217</f>
        <v>ISO 15118 Support</v>
      </c>
      <c r="C217" t="str">
        <f>'HIDDEN import'!D217</f>
        <v>Update Charging Station Certificate by request of CSMS - Success - Combined Certificate</v>
      </c>
      <c r="D217" t="str">
        <f>IF(VLOOKUP(A217&amp;" "&amp;B217,'HIDDEN import'!A:G,5,FALSE)="M",MD!$A$1,(IF(AND(VLOOKUP(A217,'HIDDEN import'!B:E,4,FALSE)="C",OR(NOT(ISERROR(VLOOKUP(E217,'Optional features'!B:E,1,FALSE)=E217)),NOT(ISERROR(VLOOKUP(E217,'HIDDEN calc sheet'!A:C,1,FALSE)=E217)))),MD!$A$3,MD!$A$2)))</f>
        <v>Mandatory for optional feature</v>
      </c>
      <c r="E217" t="str">
        <f>IF('HIDDEN import'!F217=0,"",'HIDDEN import'!F217)</f>
        <v>ISO-3</v>
      </c>
      <c r="F217" t="str">
        <f>IF('HIDDEN import'!G217=0,"",'HIDDEN import'!G217)</f>
        <v>Combined Charging Station Certificate</v>
      </c>
      <c r="G217" s="49" t="str">
        <f>IFERROR(VLOOKUP($A217,'HIDDEN Testrun Results'!$A:$B,2,FALSE),"")</f>
        <v/>
      </c>
      <c r="H217" s="49" t="b">
        <f t="shared" si="3"/>
        <v>0</v>
      </c>
      <c r="I217" s="49" t="b">
        <f>IF(VLOOKUP(A217&amp;" "&amp;B217,'HIDDEN import'!A:G,5,FALSE)="M",TRUE,IFERROR(VLOOKUP(E217,'Optional features'!B:E,3,FALSE)="Yes",IFERROR(VLOOKUP(E217,'HIDDEN calc sheet'!A:B,2,FALSE),VLOOKUP(E217,'Additional questions'!B:D,3,FALSE)="Yes")))</f>
        <v>0</v>
      </c>
      <c r="J217" t="b">
        <f>IF(VLOOKUP(B217,'Profile selection'!B:C,2,FALSE)="Yes",TRUE,FALSE)</f>
        <v>0</v>
      </c>
      <c r="K217" s="22" t="b">
        <f>IF(AND(D217=MD!$A$1,M217),TRUE,(IF(AND(D217=MD!$A$3,M217),(IF(L217=TRUE,TRUE,FALSE)),(IF(AND(D217=MD!$A$2,M217),(IF(N217=TRUE,TRUE,FALSE)),FALSE)))))</f>
        <v>0</v>
      </c>
      <c r="M217" t="b">
        <f>IF(VLOOKUP(B217,'Profile selection'!B:C,2,FALSE)="Yes",TRUE,FALSE)</f>
        <v>0</v>
      </c>
      <c r="P217" s="73"/>
      <c r="Q217" s="73"/>
    </row>
    <row r="218" spans="1:17" x14ac:dyDescent="0.25">
      <c r="A218" t="str">
        <f>'HIDDEN import'!B218</f>
        <v>TC_C_50_CSMS</v>
      </c>
      <c r="B218" t="str">
        <f>'HIDDEN import'!C218</f>
        <v>ISO 15118 Support</v>
      </c>
      <c r="C218" t="str">
        <f>'HIDDEN import'!D218</f>
        <v>Authorization using Contract Certificates 15118 - Online - Local contract certificate validation - Accepted</v>
      </c>
      <c r="D218" t="str">
        <f>IF(VLOOKUP(A218&amp;" "&amp;B218,'HIDDEN import'!A:G,5,FALSE)="M",MD!$A$1,(IF(AND(VLOOKUP(A218,'HIDDEN import'!B:E,4,FALSE)="C",OR(NOT(ISERROR(VLOOKUP(E218,'Optional features'!B:E,1,FALSE)=E218)),NOT(ISERROR(VLOOKUP(E218,'HIDDEN calc sheet'!A:C,1,FALSE)=E218)))),MD!$A$3,MD!$A$2)))</f>
        <v>Mandatory test for a mandatory feature</v>
      </c>
      <c r="E218" t="str">
        <f>IF('HIDDEN import'!F218=0,"",'HIDDEN import'!F218)</f>
        <v/>
      </c>
      <c r="F218" t="str">
        <f>IF('HIDDEN import'!G218=0,"",'HIDDEN import'!G218)</f>
        <v/>
      </c>
      <c r="G218" s="49" t="str">
        <f>IFERROR(VLOOKUP($A218,'HIDDEN Testrun Results'!$A:$B,2,FALSE),"")</f>
        <v/>
      </c>
      <c r="H218" s="49" t="b">
        <f t="shared" si="3"/>
        <v>0</v>
      </c>
      <c r="I218" s="49" t="b">
        <f>IF(VLOOKUP(A218&amp;" "&amp;B218,'HIDDEN import'!A:G,5,FALSE)="M",TRUE,IFERROR(VLOOKUP(E218,'Optional features'!B:E,3,FALSE)="Yes",IFERROR(VLOOKUP(E218,'HIDDEN calc sheet'!A:B,2,FALSE),VLOOKUP(E218,'Additional questions'!B:D,3,FALSE)="Yes")))</f>
        <v>1</v>
      </c>
      <c r="J218" t="b">
        <f>IF(VLOOKUP(B218,'Profile selection'!B:C,2,FALSE)="Yes",TRUE,FALSE)</f>
        <v>0</v>
      </c>
      <c r="K218" s="22" t="b">
        <f>IF(AND(D218=MD!$A$1,M218),TRUE,(IF(AND(D218=MD!$A$3,M218),(IF(L218=TRUE,TRUE,FALSE)),(IF(AND(D218=MD!$A$2,M218),(IF(N218=TRUE,TRUE,FALSE)),FALSE)))))</f>
        <v>0</v>
      </c>
      <c r="M218" t="b">
        <f>IF(VLOOKUP(B218,'Profile selection'!B:C,2,FALSE)="Yes",TRUE,FALSE)</f>
        <v>0</v>
      </c>
      <c r="P218" s="73"/>
      <c r="Q218" s="73"/>
    </row>
    <row r="219" spans="1:17" x14ac:dyDescent="0.25">
      <c r="A219" t="str">
        <f>'HIDDEN import'!B219</f>
        <v>TC_C_51_CSMS</v>
      </c>
      <c r="B219" t="str">
        <f>'HIDDEN import'!C219</f>
        <v>ISO 15118 Support</v>
      </c>
      <c r="C219" t="str">
        <f>'HIDDEN import'!D219</f>
        <v>Authorization using Contract Certificates 15118 - Online - Local contract certificate validation - Rejected</v>
      </c>
      <c r="D219" t="str">
        <f>IF(VLOOKUP(A219&amp;" "&amp;B219,'HIDDEN import'!A:G,5,FALSE)="M",MD!$A$1,(IF(AND(VLOOKUP(A219,'HIDDEN import'!B:E,4,FALSE)="C",OR(NOT(ISERROR(VLOOKUP(E219,'Optional features'!B:E,1,FALSE)=E219)),NOT(ISERROR(VLOOKUP(E219,'HIDDEN calc sheet'!A:C,1,FALSE)=E219)))),MD!$A$3,MD!$A$2)))</f>
        <v>Mandatory test for a mandatory feature</v>
      </c>
      <c r="E219" t="str">
        <f>IF('HIDDEN import'!F219=0,"",'HIDDEN import'!F219)</f>
        <v/>
      </c>
      <c r="F219" t="str">
        <f>IF('HIDDEN import'!G219=0,"",'HIDDEN import'!G219)</f>
        <v/>
      </c>
      <c r="G219" s="49" t="str">
        <f>IFERROR(VLOOKUP($A219,'HIDDEN Testrun Results'!$A:$B,2,FALSE),"")</f>
        <v/>
      </c>
      <c r="H219" s="49" t="b">
        <f t="shared" si="3"/>
        <v>0</v>
      </c>
      <c r="I219" s="49" t="b">
        <f>IF(VLOOKUP(A219&amp;" "&amp;B219,'HIDDEN import'!A:G,5,FALSE)="M",TRUE,IFERROR(VLOOKUP(E219,'Optional features'!B:E,3,FALSE)="Yes",IFERROR(VLOOKUP(E219,'HIDDEN calc sheet'!A:B,2,FALSE),VLOOKUP(E219,'Additional questions'!B:D,3,FALSE)="Yes")))</f>
        <v>1</v>
      </c>
      <c r="J219" t="b">
        <f>IF(VLOOKUP(B219,'Profile selection'!B:C,2,FALSE)="Yes",TRUE,FALSE)</f>
        <v>0</v>
      </c>
      <c r="K219" s="22" t="b">
        <f>IF(AND(D219=MD!$A$1,M219),TRUE,(IF(AND(D219=MD!$A$3,M219),(IF(L219=TRUE,TRUE,FALSE)),(IF(AND(D219=MD!$A$2,M219),(IF(N219=TRUE,TRUE,FALSE)),FALSE)))))</f>
        <v>0</v>
      </c>
      <c r="M219" t="b">
        <f>IF(VLOOKUP(B219,'Profile selection'!B:C,2,FALSE)="Yes",TRUE,FALSE)</f>
        <v>0</v>
      </c>
      <c r="P219" s="73"/>
      <c r="Q219" s="73"/>
    </row>
    <row r="220" spans="1:17" x14ac:dyDescent="0.25">
      <c r="A220" t="str">
        <f>'HIDDEN import'!B220</f>
        <v>TC_C_52_CSMS</v>
      </c>
      <c r="B220" t="str">
        <f>'HIDDEN import'!C220</f>
        <v>ISO 15118 Support</v>
      </c>
      <c r="C220" t="str">
        <f>'HIDDEN import'!D220</f>
        <v>Authorization using Contract Certificates 15118 - Online - Central contract certificate validation - Accepted</v>
      </c>
      <c r="D220" t="str">
        <f>IF(VLOOKUP(A220&amp;" "&amp;B220,'HIDDEN import'!A:G,5,FALSE)="M",MD!$A$1,(IF(AND(VLOOKUP(A220,'HIDDEN import'!B:E,4,FALSE)="C",OR(NOT(ISERROR(VLOOKUP(E220,'Optional features'!B:E,1,FALSE)=E220)),NOT(ISERROR(VLOOKUP(E220,'HIDDEN calc sheet'!A:C,1,FALSE)=E220)))),MD!$A$3,MD!$A$2)))</f>
        <v>Mandatory test for a mandatory feature</v>
      </c>
      <c r="E220" t="str">
        <f>IF('HIDDEN import'!F220=0,"",'HIDDEN import'!F220)</f>
        <v>ISO-5</v>
      </c>
      <c r="F220" t="str">
        <f>IF('HIDDEN import'!G220=0,"",'HIDDEN import'!G220)</f>
        <v/>
      </c>
      <c r="G220" s="49" t="str">
        <f>IFERROR(VLOOKUP($A220,'HIDDEN Testrun Results'!$A:$B,2,FALSE),"")</f>
        <v/>
      </c>
      <c r="H220" s="49" t="b">
        <f t="shared" si="3"/>
        <v>0</v>
      </c>
      <c r="I220" s="49" t="b">
        <f>IF(VLOOKUP(A220&amp;" "&amp;B220,'HIDDEN import'!A:G,5,FALSE)="M",TRUE,IFERROR(VLOOKUP(E220,'Optional features'!B:E,3,FALSE)="Yes",IFERROR(VLOOKUP(E220,'HIDDEN calc sheet'!A:B,2,FALSE),VLOOKUP(E220,'Additional questions'!B:D,3,FALSE)="Yes")))</f>
        <v>1</v>
      </c>
      <c r="J220" t="b">
        <f>IF(VLOOKUP(B220,'Profile selection'!B:C,2,FALSE)="Yes",TRUE,FALSE)</f>
        <v>0</v>
      </c>
      <c r="K220" s="22" t="b">
        <f>IF(AND(D220=MD!$A$1,M220),TRUE,(IF(AND(D220=MD!$A$3,M220),(IF(L220=TRUE,TRUE,FALSE)),(IF(AND(D220=MD!$A$2,M220),(IF(N220=TRUE,TRUE,FALSE)),FALSE)))))</f>
        <v>0</v>
      </c>
      <c r="L220" t="b">
        <f>IF(ISNA(VLOOKUP(E220,'Optional features'!B:D,3,FALSE)),FALSE,IF(VLOOKUP(E220,'Optional features'!B:D,3,FALSE)="Yes",TRUE,FALSE))</f>
        <v>0</v>
      </c>
      <c r="M220" t="b">
        <f>IF(VLOOKUP(B220,'Profile selection'!B:C,2,FALSE)="Yes",TRUE,FALSE)</f>
        <v>0</v>
      </c>
      <c r="P220" s="73"/>
      <c r="Q220" s="73"/>
    </row>
    <row r="221" spans="1:17" x14ac:dyDescent="0.25">
      <c r="A221" t="str">
        <f>'HIDDEN import'!B221</f>
        <v>TC_K_01_CSMS</v>
      </c>
      <c r="B221" t="str">
        <f>'HIDDEN import'!C221</f>
        <v>ISO 15118 Support</v>
      </c>
      <c r="C221" t="str">
        <f>'HIDDEN import'!D221</f>
        <v>Set Charging Profile - TxDefaultProfile - Specific EVSE</v>
      </c>
      <c r="D221" t="str">
        <f>IF(VLOOKUP(A221&amp;" "&amp;B221,'HIDDEN import'!A:G,5,FALSE)="M",MD!$A$1,(IF(AND(VLOOKUP(A221,'HIDDEN import'!B:E,4,FALSE)="C",OR(NOT(ISERROR(VLOOKUP(E221,'Optional features'!B:E,1,FALSE)=E221)),NOT(ISERROR(VLOOKUP(E221,'HIDDEN calc sheet'!A:C,1,FALSE)=E221)))),MD!$A$3,MD!$A$2)))</f>
        <v>Mandatory test for a mandatory feature</v>
      </c>
      <c r="E221" t="str">
        <f>IF('HIDDEN import'!F221=0,"",'HIDDEN import'!F221)</f>
        <v/>
      </c>
      <c r="F221" t="str">
        <f>IF('HIDDEN import'!G221=0,"",'HIDDEN import'!G221)</f>
        <v/>
      </c>
      <c r="G221" s="49" t="str">
        <f>IFERROR(VLOOKUP($A221,'HIDDEN Testrun Results'!$A:$B,2,FALSE),"")</f>
        <v/>
      </c>
      <c r="H221" s="49" t="b">
        <f t="shared" si="3"/>
        <v>0</v>
      </c>
      <c r="I221" s="49" t="b">
        <f>IF(VLOOKUP(A221&amp;" "&amp;B221,'HIDDEN import'!A:G,5,FALSE)="M",TRUE,IFERROR(VLOOKUP(E221,'Optional features'!B:E,3,FALSE)="Yes",IFERROR(VLOOKUP(E221,'HIDDEN calc sheet'!A:B,2,FALSE),VLOOKUP(E221,'Additional questions'!B:D,3,FALSE)="Yes")))</f>
        <v>1</v>
      </c>
      <c r="J221" t="b">
        <f>IF(VLOOKUP(B221,'Profile selection'!B:C,2,FALSE)="Yes",TRUE,FALSE)</f>
        <v>0</v>
      </c>
      <c r="K221" s="22" t="b">
        <f>IF(AND(D221=MD!$A$1,M221),TRUE,(IF(AND(D221=MD!$A$3,M221),(IF(L221=TRUE,TRUE,FALSE)),(IF(AND(D221=MD!$A$2,M221),(IF(N221=TRUE,TRUE,FALSE)),FALSE)))))</f>
        <v>0</v>
      </c>
      <c r="M221" t="b">
        <f>IF(VLOOKUP(B221,'Profile selection'!B:C,2,FALSE)="Yes",TRUE,FALSE)</f>
        <v>0</v>
      </c>
      <c r="P221" s="73"/>
      <c r="Q221" s="73"/>
    </row>
    <row r="222" spans="1:17" x14ac:dyDescent="0.25">
      <c r="A222" t="str">
        <f>'HIDDEN import'!B222</f>
        <v>TC_K_10_CSMS</v>
      </c>
      <c r="B222" t="str">
        <f>'HIDDEN import'!C222</f>
        <v>ISO 15118 Support</v>
      </c>
      <c r="C222" t="str">
        <f>'HIDDEN import'!D222</f>
        <v>Set Charging Profile - TxDefaultProfile - All EVSE</v>
      </c>
      <c r="D222" t="str">
        <f>IF(VLOOKUP(A222&amp;" "&amp;B222,'HIDDEN import'!A:G,5,FALSE)="M",MD!$A$1,(IF(AND(VLOOKUP(A222,'HIDDEN import'!B:E,4,FALSE)="C",OR(NOT(ISERROR(VLOOKUP(E222,'Optional features'!B:E,1,FALSE)=E222)),NOT(ISERROR(VLOOKUP(E222,'HIDDEN calc sheet'!A:C,1,FALSE)=E222)))),MD!$A$3,MD!$A$2)))</f>
        <v>Mandatory test for a mandatory feature</v>
      </c>
      <c r="E222" t="str">
        <f>IF('HIDDEN import'!F222=0,"",'HIDDEN import'!F222)</f>
        <v/>
      </c>
      <c r="F222" t="str">
        <f>IF('HIDDEN import'!G222=0,"",'HIDDEN import'!G222)</f>
        <v/>
      </c>
      <c r="G222" s="49" t="str">
        <f>IFERROR(VLOOKUP($A222,'HIDDEN Testrun Results'!$A:$B,2,FALSE),"")</f>
        <v/>
      </c>
      <c r="H222" s="49" t="b">
        <f t="shared" si="3"/>
        <v>0</v>
      </c>
      <c r="I222" s="49" t="b">
        <f>IF(VLOOKUP(A222&amp;" "&amp;B222,'HIDDEN import'!A:G,5,FALSE)="M",TRUE,IFERROR(VLOOKUP(E222,'Optional features'!B:E,3,FALSE)="Yes",IFERROR(VLOOKUP(E222,'HIDDEN calc sheet'!A:B,2,FALSE),VLOOKUP(E222,'Additional questions'!B:D,3,FALSE)="Yes")))</f>
        <v>1</v>
      </c>
      <c r="J222" t="b">
        <f>IF(VLOOKUP(B222,'Profile selection'!B:C,2,FALSE)="Yes",TRUE,FALSE)</f>
        <v>0</v>
      </c>
      <c r="K222" s="22" t="b">
        <f>IF(AND(D222=MD!$A$1,M222),TRUE,(IF(AND(D222=MD!$A$3,M222),(IF(L222=TRUE,TRUE,FALSE)),(IF(AND(D222=MD!$A$2,M222),(IF(N222=TRUE,TRUE,FALSE)),FALSE)))))</f>
        <v>0</v>
      </c>
      <c r="M222" t="b">
        <f>IF(VLOOKUP(B222,'Profile selection'!B:C,2,FALSE)="Yes",TRUE,FALSE)</f>
        <v>0</v>
      </c>
      <c r="P222" s="73"/>
      <c r="Q222" s="73"/>
    </row>
    <row r="223" spans="1:17" x14ac:dyDescent="0.25">
      <c r="A223" t="str">
        <f>'HIDDEN import'!B223</f>
        <v>TC_K_60_CSMS</v>
      </c>
      <c r="B223" t="str">
        <f>'HIDDEN import'!C223</f>
        <v>ISO 15118 Support</v>
      </c>
      <c r="C223" t="str">
        <f>'HIDDEN import'!D223</f>
        <v>Set Charging Profile - TxProfile with ongoing transaction on the specified EVSE</v>
      </c>
      <c r="D223" t="str">
        <f>IF(VLOOKUP(A223&amp;" "&amp;B223,'HIDDEN import'!A:G,5,FALSE)="M",MD!$A$1,(IF(AND(VLOOKUP(A223,'HIDDEN import'!B:E,4,FALSE)="C",OR(NOT(ISERROR(VLOOKUP(E223,'Optional features'!B:E,1,FALSE)=E223)),NOT(ISERROR(VLOOKUP(E223,'HIDDEN calc sheet'!A:C,1,FALSE)=E223)))),MD!$A$3,MD!$A$2)))</f>
        <v>Mandatory test for a mandatory feature</v>
      </c>
      <c r="E223" t="str">
        <f>IF('HIDDEN import'!F223=0,"",'HIDDEN import'!F223)</f>
        <v/>
      </c>
      <c r="F223" t="str">
        <f>IF('HIDDEN import'!G223=0,"",'HIDDEN import'!G223)</f>
        <v/>
      </c>
      <c r="G223" s="49" t="str">
        <f>IFERROR(VLOOKUP($A223,'HIDDEN Testrun Results'!$A:$B,2,FALSE),"")</f>
        <v/>
      </c>
      <c r="H223" s="49" t="b">
        <f t="shared" si="3"/>
        <v>0</v>
      </c>
      <c r="I223" s="49" t="b">
        <f>IF(VLOOKUP(A223&amp;" "&amp;B223,'HIDDEN import'!A:G,5,FALSE)="M",TRUE,IFERROR(VLOOKUP(E223,'Optional features'!B:E,3,FALSE)="Yes",IFERROR(VLOOKUP(E223,'HIDDEN calc sheet'!A:B,2,FALSE),VLOOKUP(E223,'Additional questions'!B:D,3,FALSE)="Yes")))</f>
        <v>1</v>
      </c>
      <c r="J223" t="b">
        <f>IF(VLOOKUP(B223,'Profile selection'!B:C,2,FALSE)="Yes",TRUE,FALSE)</f>
        <v>0</v>
      </c>
      <c r="K223" s="22" t="b">
        <f>IF(AND(D223=MD!$A$1,M223),TRUE,(IF(AND(D223=MD!$A$3,M223),(IF(L223=TRUE,TRUE,FALSE)),(IF(AND(D223=MD!$A$2,M223),(IF(N223=TRUE,TRUE,FALSE)),FALSE)))))</f>
        <v>0</v>
      </c>
      <c r="M223" t="b">
        <f>IF(VLOOKUP(B223,'Profile selection'!B:C,2,FALSE)="Yes",TRUE,FALSE)</f>
        <v>0</v>
      </c>
      <c r="P223" s="73"/>
      <c r="Q223" s="73"/>
    </row>
    <row r="224" spans="1:17" x14ac:dyDescent="0.25">
      <c r="A224" t="str">
        <f>'HIDDEN import'!B224</f>
        <v>TC_K_03_CSMS</v>
      </c>
      <c r="B224" t="str">
        <f>'HIDDEN import'!C224</f>
        <v>ISO 15118 Support</v>
      </c>
      <c r="C224" t="str">
        <f>'HIDDEN import'!D224</f>
        <v>Set Charging Profile - ChargingStationMaxProfile</v>
      </c>
      <c r="D224" t="str">
        <f>IF(VLOOKUP(A224&amp;" "&amp;B224,'HIDDEN import'!A:G,5,FALSE)="M",MD!$A$1,(IF(AND(VLOOKUP(A224,'HIDDEN import'!B:E,4,FALSE)="C",OR(NOT(ISERROR(VLOOKUP(E224,'Optional features'!B:E,1,FALSE)=E224)),NOT(ISERROR(VLOOKUP(E224,'HIDDEN calc sheet'!A:C,1,FALSE)=E224)))),MD!$A$3,MD!$A$2)))</f>
        <v>Mandatory test for a mandatory feature</v>
      </c>
      <c r="E224" t="str">
        <f>IF('HIDDEN import'!F224=0,"",'HIDDEN import'!F224)</f>
        <v/>
      </c>
      <c r="F224" t="str">
        <f>IF('HIDDEN import'!G224=0,"",'HIDDEN import'!G224)</f>
        <v/>
      </c>
      <c r="G224" s="49" t="str">
        <f>IFERROR(VLOOKUP($A224,'HIDDEN Testrun Results'!$A:$B,2,FALSE),"")</f>
        <v/>
      </c>
      <c r="H224" s="49" t="b">
        <f t="shared" si="3"/>
        <v>0</v>
      </c>
      <c r="I224" s="49" t="b">
        <f>IF(VLOOKUP(A224&amp;" "&amp;B224,'HIDDEN import'!A:G,5,FALSE)="M",TRUE,IFERROR(VLOOKUP(E224,'Optional features'!B:E,3,FALSE)="Yes",IFERROR(VLOOKUP(E224,'HIDDEN calc sheet'!A:B,2,FALSE),VLOOKUP(E224,'Additional questions'!B:D,3,FALSE)="Yes")))</f>
        <v>1</v>
      </c>
      <c r="J224" t="b">
        <f>IF(VLOOKUP(B224,'Profile selection'!B:C,2,FALSE)="Yes",TRUE,FALSE)</f>
        <v>0</v>
      </c>
      <c r="K224" s="22" t="b">
        <f>IF(AND(D224=MD!$A$1,M224),TRUE,(IF(AND(D224=MD!$A$3,M224),(IF(L224=TRUE,TRUE,FALSE)),(IF(AND(D224=MD!$A$2,M224),(IF(N224=TRUE,TRUE,FALSE)),FALSE)))))</f>
        <v>0</v>
      </c>
      <c r="M224" t="b">
        <f>IF(VLOOKUP(B224,'Profile selection'!B:C,2,FALSE)="Yes",TRUE,FALSE)</f>
        <v>0</v>
      </c>
      <c r="P224" s="73"/>
      <c r="Q224" s="73"/>
    </row>
    <row r="225" spans="1:17" x14ac:dyDescent="0.25">
      <c r="A225" t="str">
        <f>'HIDDEN import'!B225</f>
        <v>TC_K_19_CSMS</v>
      </c>
      <c r="B225" t="str">
        <f>'HIDDEN import'!C225</f>
        <v>ISO 15118 Support</v>
      </c>
      <c r="C225" t="str">
        <f>'HIDDEN import'!D225</f>
        <v>Set Charging Profile - ChargingProfileKind is Recurring</v>
      </c>
      <c r="D225" t="str">
        <f>IF(VLOOKUP(A225&amp;" "&amp;B225,'HIDDEN import'!A:G,5,FALSE)="M",MD!$A$1,(IF(AND(VLOOKUP(A225,'HIDDEN import'!B:E,4,FALSE)="C",OR(NOT(ISERROR(VLOOKUP(E225,'Optional features'!B:E,1,FALSE)=E225)),NOT(ISERROR(VLOOKUP(E225,'HIDDEN calc sheet'!A:C,1,FALSE)=E225)))),MD!$A$3,MD!$A$2)))</f>
        <v>Mandatory test for a mandatory feature</v>
      </c>
      <c r="E225" t="str">
        <f>IF('HIDDEN import'!F225=0,"",'HIDDEN import'!F225)</f>
        <v/>
      </c>
      <c r="F225" t="str">
        <f>IF('HIDDEN import'!G225=0,"",'HIDDEN import'!G225)</f>
        <v/>
      </c>
      <c r="G225" s="49" t="str">
        <f>IFERROR(VLOOKUP($A225,'HIDDEN Testrun Results'!$A:$B,2,FALSE),"")</f>
        <v/>
      </c>
      <c r="H225" s="49" t="b">
        <f t="shared" si="3"/>
        <v>0</v>
      </c>
      <c r="I225" s="49" t="b">
        <f>IF(VLOOKUP(A225&amp;" "&amp;B225,'HIDDEN import'!A:G,5,FALSE)="M",TRUE,IFERROR(VLOOKUP(E225,'Optional features'!B:E,3,FALSE)="Yes",IFERROR(VLOOKUP(E225,'HIDDEN calc sheet'!A:B,2,FALSE),VLOOKUP(E225,'Additional questions'!B:D,3,FALSE)="Yes")))</f>
        <v>1</v>
      </c>
      <c r="J225" t="b">
        <f>IF(VLOOKUP(B225,'Profile selection'!B:C,2,FALSE)="Yes",TRUE,FALSE)</f>
        <v>0</v>
      </c>
      <c r="K225" s="22" t="b">
        <f>IF(AND(D225=MD!$A$1,M225),TRUE,(IF(AND(D225=MD!$A$3,M225),(IF(L225=TRUE,TRUE,FALSE)),(IF(AND(D225=MD!$A$2,M225),(IF(N225=TRUE,TRUE,FALSE)),FALSE)))))</f>
        <v>0</v>
      </c>
      <c r="M225" t="b">
        <f>IF(VLOOKUP(B225,'Profile selection'!B:C,2,FALSE)="Yes",TRUE,FALSE)</f>
        <v>0</v>
      </c>
      <c r="P225" s="73"/>
      <c r="Q225" s="73"/>
    </row>
    <row r="226" spans="1:17" x14ac:dyDescent="0.25">
      <c r="A226" t="str">
        <f>'HIDDEN import'!B226</f>
        <v>TC_K_04_CSMS</v>
      </c>
      <c r="B226" t="str">
        <f>'HIDDEN import'!C226</f>
        <v>ISO 15118 Support</v>
      </c>
      <c r="C226" t="str">
        <f>'HIDDEN import'!D226</f>
        <v>Replace charging profile - With chargingProfileId</v>
      </c>
      <c r="D226" t="str">
        <f>IF(VLOOKUP(A226&amp;" "&amp;B226,'HIDDEN import'!A:G,5,FALSE)="M",MD!$A$1,(IF(AND(VLOOKUP(A226,'HIDDEN import'!B:E,4,FALSE)="C",OR(NOT(ISERROR(VLOOKUP(E226,'Optional features'!B:E,1,FALSE)=E226)),NOT(ISERROR(VLOOKUP(E226,'HIDDEN calc sheet'!A:C,1,FALSE)=E226)))),MD!$A$3,MD!$A$2)))</f>
        <v>Mandatory test for a mandatory feature</v>
      </c>
      <c r="E226" t="str">
        <f>IF('HIDDEN import'!F226=0,"",'HIDDEN import'!F226)</f>
        <v/>
      </c>
      <c r="F226" t="str">
        <f>IF('HIDDEN import'!G226=0,"",'HIDDEN import'!G226)</f>
        <v/>
      </c>
      <c r="G226" s="49" t="str">
        <f>IFERROR(VLOOKUP($A226,'HIDDEN Testrun Results'!$A:$B,2,FALSE),"")</f>
        <v/>
      </c>
      <c r="H226" s="49" t="b">
        <f t="shared" si="3"/>
        <v>0</v>
      </c>
      <c r="I226" s="49" t="b">
        <f>IF(VLOOKUP(A226&amp;" "&amp;B226,'HIDDEN import'!A:G,5,FALSE)="M",TRUE,IFERROR(VLOOKUP(E226,'Optional features'!B:E,3,FALSE)="Yes",IFERROR(VLOOKUP(E226,'HIDDEN calc sheet'!A:B,2,FALSE),VLOOKUP(E226,'Additional questions'!B:D,3,FALSE)="Yes")))</f>
        <v>1</v>
      </c>
      <c r="J226" t="b">
        <f>IF(VLOOKUP(B226,'Profile selection'!B:C,2,FALSE)="Yes",TRUE,FALSE)</f>
        <v>0</v>
      </c>
      <c r="K226" s="22" t="b">
        <f>IF(AND(D226=MD!$A$1,M226),TRUE,(IF(AND(D226=MD!$A$3,M226),(IF(L226=TRUE,TRUE,FALSE)),(IF(AND(D226=MD!$A$2,M226),(IF(N226=TRUE,TRUE,FALSE)),FALSE)))))</f>
        <v>0</v>
      </c>
      <c r="M226" t="b">
        <f>IF(VLOOKUP(B226,'Profile selection'!B:C,2,FALSE)="Yes",TRUE,FALSE)</f>
        <v>0</v>
      </c>
      <c r="P226" s="73"/>
      <c r="Q226" s="73"/>
    </row>
    <row r="227" spans="1:17" x14ac:dyDescent="0.25">
      <c r="A227" t="str">
        <f>'HIDDEN import'!B227</f>
        <v>TC_K_43_CSMS</v>
      </c>
      <c r="B227" t="str">
        <f>'HIDDEN import'!C227</f>
        <v>ISO 15118 Support</v>
      </c>
      <c r="C227" t="str">
        <f>'HIDDEN import'!D227</f>
        <v>Get Composite Schedule - Specific EVSE</v>
      </c>
      <c r="D227" t="str">
        <f>IF(VLOOKUP(A227&amp;" "&amp;B227,'HIDDEN import'!A:G,5,FALSE)="M",MD!$A$1,(IF(AND(VLOOKUP(A227,'HIDDEN import'!B:E,4,FALSE)="C",OR(NOT(ISERROR(VLOOKUP(E227,'Optional features'!B:E,1,FALSE)=E227)),NOT(ISERROR(VLOOKUP(E227,'HIDDEN calc sheet'!A:C,1,FALSE)=E227)))),MD!$A$3,MD!$A$2)))</f>
        <v>Mandatory test for a mandatory feature</v>
      </c>
      <c r="E227" t="str">
        <f>IF('HIDDEN import'!F227=0,"",'HIDDEN import'!F227)</f>
        <v/>
      </c>
      <c r="F227" t="str">
        <f>IF('HIDDEN import'!G227=0,"",'HIDDEN import'!G227)</f>
        <v/>
      </c>
      <c r="G227" s="49" t="str">
        <f>IFERROR(VLOOKUP($A227,'HIDDEN Testrun Results'!$A:$B,2,FALSE),"")</f>
        <v/>
      </c>
      <c r="H227" s="49" t="b">
        <f t="shared" si="3"/>
        <v>0</v>
      </c>
      <c r="I227" s="49" t="b">
        <f>IF(VLOOKUP(A227&amp;" "&amp;B227,'HIDDEN import'!A:G,5,FALSE)="M",TRUE,IFERROR(VLOOKUP(E227,'Optional features'!B:E,3,FALSE)="Yes",IFERROR(VLOOKUP(E227,'HIDDEN calc sheet'!A:B,2,FALSE),VLOOKUP(E227,'Additional questions'!B:D,3,FALSE)="Yes")))</f>
        <v>1</v>
      </c>
      <c r="J227" t="b">
        <f>IF(VLOOKUP(B227,'Profile selection'!B:C,2,FALSE)="Yes",TRUE,FALSE)</f>
        <v>0</v>
      </c>
      <c r="K227" s="22" t="b">
        <f>IF(AND(D227=MD!$A$1,M227),TRUE,(IF(AND(D227=MD!$A$3,M227),(IF(L227=TRUE,TRUE,FALSE)),(IF(AND(D227=MD!$A$2,M227),(IF(N227=TRUE,TRUE,FALSE)),FALSE)))))</f>
        <v>0</v>
      </c>
      <c r="M227" t="b">
        <f>IF(VLOOKUP(B227,'Profile selection'!B:C,2,FALSE)="Yes",TRUE,FALSE)</f>
        <v>0</v>
      </c>
      <c r="P227" s="73"/>
      <c r="Q227" s="73"/>
    </row>
    <row r="228" spans="1:17" x14ac:dyDescent="0.25">
      <c r="A228" t="str">
        <f>'HIDDEN import'!B228</f>
        <v>TC_K_44_CSMS</v>
      </c>
      <c r="B228" t="str">
        <f>'HIDDEN import'!C228</f>
        <v>ISO 15118 Support</v>
      </c>
      <c r="C228" t="str">
        <f>'HIDDEN import'!D228</f>
        <v>Get Composite Schedule - Charging Station</v>
      </c>
      <c r="D228" t="str">
        <f>IF(VLOOKUP(A228&amp;" "&amp;B228,'HIDDEN import'!A:G,5,FALSE)="M",MD!$A$1,(IF(AND(VLOOKUP(A228,'HIDDEN import'!B:E,4,FALSE)="C",OR(NOT(ISERROR(VLOOKUP(E228,'Optional features'!B:E,1,FALSE)=E228)),NOT(ISERROR(VLOOKUP(E228,'HIDDEN calc sheet'!A:C,1,FALSE)=E228)))),MD!$A$3,MD!$A$2)))</f>
        <v>Mandatory test for a mandatory feature</v>
      </c>
      <c r="E228" t="str">
        <f>IF('HIDDEN import'!F228=0,"",'HIDDEN import'!F228)</f>
        <v/>
      </c>
      <c r="F228" t="str">
        <f>IF('HIDDEN import'!G228=0,"",'HIDDEN import'!G228)</f>
        <v/>
      </c>
      <c r="G228" s="49" t="str">
        <f>IFERROR(VLOOKUP($A228,'HIDDEN Testrun Results'!$A:$B,2,FALSE),"")</f>
        <v/>
      </c>
      <c r="H228" s="49" t="b">
        <f t="shared" si="3"/>
        <v>0</v>
      </c>
      <c r="I228" s="49" t="b">
        <f>IF(VLOOKUP(A228&amp;" "&amp;B228,'HIDDEN import'!A:G,5,FALSE)="M",TRUE,IFERROR(VLOOKUP(E228,'Optional features'!B:E,3,FALSE)="Yes",IFERROR(VLOOKUP(E228,'HIDDEN calc sheet'!A:B,2,FALSE),VLOOKUP(E228,'Additional questions'!B:D,3,FALSE)="Yes")))</f>
        <v>1</v>
      </c>
      <c r="J228" t="b">
        <f>IF(VLOOKUP(B228,'Profile selection'!B:C,2,FALSE)="Yes",TRUE,FALSE)</f>
        <v>0</v>
      </c>
      <c r="K228" s="22" t="b">
        <f>IF(AND(D228=MD!$A$1,M228),TRUE,(IF(AND(D228=MD!$A$3,M228),(IF(L228=TRUE,TRUE,FALSE)),(IF(AND(D228=MD!$A$2,M228),(IF(N228=TRUE,TRUE,FALSE)),FALSE)))))</f>
        <v>0</v>
      </c>
      <c r="M228" t="b">
        <f>IF(VLOOKUP(B228,'Profile selection'!B:C,2,FALSE)="Yes",TRUE,FALSE)</f>
        <v>0</v>
      </c>
      <c r="P228" s="73"/>
      <c r="Q228" s="73"/>
    </row>
    <row r="229" spans="1:17" x14ac:dyDescent="0.25">
      <c r="A229" t="str">
        <f>'HIDDEN import'!B229</f>
        <v>TC_K_29_CSMS</v>
      </c>
      <c r="B229" t="str">
        <f>'HIDDEN import'!C229</f>
        <v>ISO 15118 Support</v>
      </c>
      <c r="C229" t="str">
        <f>'HIDDEN import'!D229</f>
        <v>Get Charging Profile - EvseId 0</v>
      </c>
      <c r="D229" t="str">
        <f>IF(VLOOKUP(A229&amp;" "&amp;B229,'HIDDEN import'!A:G,5,FALSE)="M",MD!$A$1,(IF(AND(VLOOKUP(A229,'HIDDEN import'!B:E,4,FALSE)="C",OR(NOT(ISERROR(VLOOKUP(E229,'Optional features'!B:E,1,FALSE)=E229)),NOT(ISERROR(VLOOKUP(E229,'HIDDEN calc sheet'!A:C,1,FALSE)=E229)))),MD!$A$3,MD!$A$2)))</f>
        <v>Mandatory test for a mandatory feature</v>
      </c>
      <c r="E229" t="str">
        <f>IF('HIDDEN import'!F229=0,"",'HIDDEN import'!F229)</f>
        <v/>
      </c>
      <c r="F229" t="str">
        <f>IF('HIDDEN import'!G229=0,"",'HIDDEN import'!G229)</f>
        <v/>
      </c>
      <c r="G229" s="49" t="str">
        <f>IFERROR(VLOOKUP($A229,'HIDDEN Testrun Results'!$A:$B,2,FALSE),"")</f>
        <v/>
      </c>
      <c r="H229" s="49" t="b">
        <f t="shared" si="3"/>
        <v>0</v>
      </c>
      <c r="I229" s="49" t="b">
        <f>IF(VLOOKUP(A229&amp;" "&amp;B229,'HIDDEN import'!A:G,5,FALSE)="M",TRUE,IFERROR(VLOOKUP(E229,'Optional features'!B:E,3,FALSE)="Yes",IFERROR(VLOOKUP(E229,'HIDDEN calc sheet'!A:B,2,FALSE),VLOOKUP(E229,'Additional questions'!B:D,3,FALSE)="Yes")))</f>
        <v>1</v>
      </c>
      <c r="J229" t="b">
        <f>IF(VLOOKUP(B229,'Profile selection'!B:C,2,FALSE)="Yes",TRUE,FALSE)</f>
        <v>0</v>
      </c>
      <c r="K229" s="22" t="b">
        <f>IF(AND(D229=MD!$A$1,M229),TRUE,(IF(AND(D229=MD!$A$3,M229),(IF(L229=TRUE,TRUE,FALSE)),(IF(AND(D229=MD!$A$2,M229),(IF(N229=TRUE,TRUE,FALSE)),FALSE)))))</f>
        <v>0</v>
      </c>
      <c r="M229" t="b">
        <f>IF(VLOOKUP(B229,'Profile selection'!B:C,2,FALSE)="Yes",TRUE,FALSE)</f>
        <v>0</v>
      </c>
      <c r="P229" s="73"/>
      <c r="Q229" s="73"/>
    </row>
    <row r="230" spans="1:17" x14ac:dyDescent="0.25">
      <c r="A230" t="str">
        <f>'HIDDEN import'!B230</f>
        <v>TC_K_30_CSMS</v>
      </c>
      <c r="B230" t="str">
        <f>'HIDDEN import'!C230</f>
        <v>ISO 15118 Support</v>
      </c>
      <c r="C230" t="str">
        <f>'HIDDEN import'!D230</f>
        <v>Get Charging Profile - EvseId &gt; 0</v>
      </c>
      <c r="D230" t="str">
        <f>IF(VLOOKUP(A230&amp;" "&amp;B230,'HIDDEN import'!A:G,5,FALSE)="M",MD!$A$1,(IF(AND(VLOOKUP(A230,'HIDDEN import'!B:E,4,FALSE)="C",OR(NOT(ISERROR(VLOOKUP(E230,'Optional features'!B:E,1,FALSE)=E230)),NOT(ISERROR(VLOOKUP(E230,'HIDDEN calc sheet'!A:C,1,FALSE)=E230)))),MD!$A$3,MD!$A$2)))</f>
        <v>Mandatory test for a mandatory feature</v>
      </c>
      <c r="E230" t="str">
        <f>IF('HIDDEN import'!F230=0,"",'HIDDEN import'!F230)</f>
        <v/>
      </c>
      <c r="F230" t="str">
        <f>IF('HIDDEN import'!G230=0,"",'HIDDEN import'!G230)</f>
        <v/>
      </c>
      <c r="G230" s="49" t="str">
        <f>IFERROR(VLOOKUP($A230,'HIDDEN Testrun Results'!$A:$B,2,FALSE),"")</f>
        <v/>
      </c>
      <c r="H230" s="49" t="b">
        <f t="shared" si="3"/>
        <v>0</v>
      </c>
      <c r="I230" s="49" t="b">
        <f>IF(VLOOKUP(A230&amp;" "&amp;B230,'HIDDEN import'!A:G,5,FALSE)="M",TRUE,IFERROR(VLOOKUP(E230,'Optional features'!B:E,3,FALSE)="Yes",IFERROR(VLOOKUP(E230,'HIDDEN calc sheet'!A:B,2,FALSE),VLOOKUP(E230,'Additional questions'!B:D,3,FALSE)="Yes")))</f>
        <v>1</v>
      </c>
      <c r="J230" t="b">
        <f>IF(VLOOKUP(B230,'Profile selection'!B:C,2,FALSE)="Yes",TRUE,FALSE)</f>
        <v>0</v>
      </c>
      <c r="K230" s="22" t="b">
        <f>IF(AND(D230=MD!$A$1,M230),TRUE,(IF(AND(D230=MD!$A$3,M230),(IF(L230=TRUE,TRUE,FALSE)),(IF(AND(D230=MD!$A$2,M230),(IF(N230=TRUE,TRUE,FALSE)),FALSE)))))</f>
        <v>0</v>
      </c>
      <c r="M230" t="b">
        <f>IF(VLOOKUP(B230,'Profile selection'!B:C,2,FALSE)="Yes",TRUE,FALSE)</f>
        <v>0</v>
      </c>
      <c r="P230" s="73"/>
      <c r="Q230" s="73"/>
    </row>
    <row r="231" spans="1:17" x14ac:dyDescent="0.25">
      <c r="A231" t="str">
        <f>'HIDDEN import'!B231</f>
        <v>TC_K_31_CSMS</v>
      </c>
      <c r="B231" t="str">
        <f>'HIDDEN import'!C231</f>
        <v>ISO 15118 Support</v>
      </c>
      <c r="C231" t="str">
        <f>'HIDDEN import'!D231</f>
        <v>Get Charging Profile - No EvseId</v>
      </c>
      <c r="D231" t="str">
        <f>IF(VLOOKUP(A231&amp;" "&amp;B231,'HIDDEN import'!A:G,5,FALSE)="M",MD!$A$1,(IF(AND(VLOOKUP(A231,'HIDDEN import'!B:E,4,FALSE)="C",OR(NOT(ISERROR(VLOOKUP(E231,'Optional features'!B:E,1,FALSE)=E231)),NOT(ISERROR(VLOOKUP(E231,'HIDDEN calc sheet'!A:C,1,FALSE)=E231)))),MD!$A$3,MD!$A$2)))</f>
        <v>Mandatory test for a mandatory feature</v>
      </c>
      <c r="E231" t="str">
        <f>IF('HIDDEN import'!F231=0,"",'HIDDEN import'!F231)</f>
        <v/>
      </c>
      <c r="F231" t="str">
        <f>IF('HIDDEN import'!G231=0,"",'HIDDEN import'!G231)</f>
        <v/>
      </c>
      <c r="G231" s="49" t="str">
        <f>IFERROR(VLOOKUP($A231,'HIDDEN Testrun Results'!$A:$B,2,FALSE),"")</f>
        <v/>
      </c>
      <c r="H231" s="49" t="b">
        <f t="shared" si="3"/>
        <v>0</v>
      </c>
      <c r="I231" s="49" t="b">
        <f>IF(VLOOKUP(A231&amp;" "&amp;B231,'HIDDEN import'!A:G,5,FALSE)="M",TRUE,IFERROR(VLOOKUP(E231,'Optional features'!B:E,3,FALSE)="Yes",IFERROR(VLOOKUP(E231,'HIDDEN calc sheet'!A:B,2,FALSE),VLOOKUP(E231,'Additional questions'!B:D,3,FALSE)="Yes")))</f>
        <v>1</v>
      </c>
      <c r="J231" t="b">
        <f>IF(VLOOKUP(B231,'Profile selection'!B:C,2,FALSE)="Yes",TRUE,FALSE)</f>
        <v>0</v>
      </c>
      <c r="K231" s="22" t="b">
        <f>IF(AND(D231=MD!$A$1,M231),TRUE,(IF(AND(D231=MD!$A$3,M231),(IF(L231=TRUE,TRUE,FALSE)),(IF(AND(D231=MD!$A$2,M231),(IF(N231=TRUE,TRUE,FALSE)),FALSE)))))</f>
        <v>0</v>
      </c>
      <c r="M231" t="b">
        <f>IF(VLOOKUP(B231,'Profile selection'!B:C,2,FALSE)="Yes",TRUE,FALSE)</f>
        <v>0</v>
      </c>
      <c r="P231" s="73"/>
      <c r="Q231" s="73"/>
    </row>
    <row r="232" spans="1:17" x14ac:dyDescent="0.25">
      <c r="A232" t="str">
        <f>'HIDDEN import'!B232</f>
        <v>TC_K_32_CSMS</v>
      </c>
      <c r="B232" t="str">
        <f>'HIDDEN import'!C232</f>
        <v>ISO 15118 Support</v>
      </c>
      <c r="C232" t="str">
        <f>'HIDDEN import'!D232</f>
        <v>Get Charging Profile - chargingProfileId</v>
      </c>
      <c r="D232" t="str">
        <f>IF(VLOOKUP(A232&amp;" "&amp;B232,'HIDDEN import'!A:G,5,FALSE)="M",MD!$A$1,(IF(AND(VLOOKUP(A232,'HIDDEN import'!B:E,4,FALSE)="C",OR(NOT(ISERROR(VLOOKUP(E232,'Optional features'!B:E,1,FALSE)=E232)),NOT(ISERROR(VLOOKUP(E232,'HIDDEN calc sheet'!A:C,1,FALSE)=E232)))),MD!$A$3,MD!$A$2)))</f>
        <v>Mandatory test for a mandatory feature</v>
      </c>
      <c r="E232" t="str">
        <f>IF('HIDDEN import'!F232=0,"",'HIDDEN import'!F232)</f>
        <v/>
      </c>
      <c r="F232" t="str">
        <f>IF('HIDDEN import'!G232=0,"",'HIDDEN import'!G232)</f>
        <v/>
      </c>
      <c r="G232" s="49" t="str">
        <f>IFERROR(VLOOKUP($A232,'HIDDEN Testrun Results'!$A:$B,2,FALSE),"")</f>
        <v/>
      </c>
      <c r="H232" s="49" t="b">
        <f t="shared" si="3"/>
        <v>0</v>
      </c>
      <c r="I232" s="49" t="b">
        <f>IF(VLOOKUP(A232&amp;" "&amp;B232,'HIDDEN import'!A:G,5,FALSE)="M",TRUE,IFERROR(VLOOKUP(E232,'Optional features'!B:E,3,FALSE)="Yes",IFERROR(VLOOKUP(E232,'HIDDEN calc sheet'!A:B,2,FALSE),VLOOKUP(E232,'Additional questions'!B:D,3,FALSE)="Yes")))</f>
        <v>1</v>
      </c>
      <c r="J232" t="b">
        <f>IF(VLOOKUP(B232,'Profile selection'!B:C,2,FALSE)="Yes",TRUE,FALSE)</f>
        <v>0</v>
      </c>
      <c r="K232" s="22" t="b">
        <f>IF(AND(D232=MD!$A$1,M232),TRUE,(IF(AND(D232=MD!$A$3,M232),(IF(L232=TRUE,TRUE,FALSE)),(IF(AND(D232=MD!$A$2,M232),(IF(N232=TRUE,TRUE,FALSE)),FALSE)))))</f>
        <v>0</v>
      </c>
      <c r="M232" t="b">
        <f>IF(VLOOKUP(B232,'Profile selection'!B:C,2,FALSE)="Yes",TRUE,FALSE)</f>
        <v>0</v>
      </c>
      <c r="P232" s="73"/>
      <c r="Q232" s="73"/>
    </row>
    <row r="233" spans="1:17" x14ac:dyDescent="0.25">
      <c r="A233" t="str">
        <f>'HIDDEN import'!B233</f>
        <v>TC_K_33_CSMS</v>
      </c>
      <c r="B233" t="str">
        <f>'HIDDEN import'!C233</f>
        <v>ISO 15118 Support</v>
      </c>
      <c r="C233" t="str">
        <f>'HIDDEN import'!D233</f>
        <v>Get Charging Profile - EvseId &gt; 0 + stackLevel</v>
      </c>
      <c r="D233" t="str">
        <f>IF(VLOOKUP(A233&amp;" "&amp;B233,'HIDDEN import'!A:G,5,FALSE)="M",MD!$A$1,(IF(AND(VLOOKUP(A233,'HIDDEN import'!B:E,4,FALSE)="C",OR(NOT(ISERROR(VLOOKUP(E233,'Optional features'!B:E,1,FALSE)=E233)),NOT(ISERROR(VLOOKUP(E233,'HIDDEN calc sheet'!A:C,1,FALSE)=E233)))),MD!$A$3,MD!$A$2)))</f>
        <v>Mandatory test for a mandatory feature</v>
      </c>
      <c r="E233" t="str">
        <f>IF('HIDDEN import'!F233=0,"",'HIDDEN import'!F233)</f>
        <v/>
      </c>
      <c r="F233" t="str">
        <f>IF('HIDDEN import'!G233=0,"",'HIDDEN import'!G233)</f>
        <v/>
      </c>
      <c r="G233" s="49" t="str">
        <f>IFERROR(VLOOKUP($A233,'HIDDEN Testrun Results'!$A:$B,2,FALSE),"")</f>
        <v/>
      </c>
      <c r="H233" s="49" t="b">
        <f t="shared" si="3"/>
        <v>0</v>
      </c>
      <c r="I233" s="49" t="b">
        <f>IF(VLOOKUP(A233&amp;" "&amp;B233,'HIDDEN import'!A:G,5,FALSE)="M",TRUE,IFERROR(VLOOKUP(E233,'Optional features'!B:E,3,FALSE)="Yes",IFERROR(VLOOKUP(E233,'HIDDEN calc sheet'!A:B,2,FALSE),VLOOKUP(E233,'Additional questions'!B:D,3,FALSE)="Yes")))</f>
        <v>1</v>
      </c>
      <c r="J233" t="b">
        <f>IF(VLOOKUP(B233,'Profile selection'!B:C,2,FALSE)="Yes",TRUE,FALSE)</f>
        <v>0</v>
      </c>
      <c r="K233" s="22" t="b">
        <f>IF(AND(D233=MD!$A$1,M233),TRUE,(IF(AND(D233=MD!$A$3,M233),(IF(L233=TRUE,TRUE,FALSE)),(IF(AND(D233=MD!$A$2,M233),(IF(N233=TRUE,TRUE,FALSE)),FALSE)))))</f>
        <v>0</v>
      </c>
      <c r="L233" t="b">
        <f>IF(ISNA(VLOOKUP(E233,'Optional features'!B:D,3,FALSE)),FALSE,IF(VLOOKUP(E233,'Optional features'!B:D,3,FALSE)="Yes",TRUE,FALSE))</f>
        <v>0</v>
      </c>
      <c r="M233" t="b">
        <f>IF(VLOOKUP(B233,'Profile selection'!B:C,2,FALSE)="Yes",TRUE,FALSE)</f>
        <v>0</v>
      </c>
      <c r="P233" s="73"/>
      <c r="Q233" s="73"/>
    </row>
    <row r="234" spans="1:17" x14ac:dyDescent="0.25">
      <c r="A234" t="str">
        <f>'HIDDEN import'!B234</f>
        <v>TC_K_34_CSMS</v>
      </c>
      <c r="B234" t="str">
        <f>'HIDDEN import'!C234</f>
        <v>ISO 15118 Support</v>
      </c>
      <c r="C234" t="str">
        <f>'HIDDEN import'!D234</f>
        <v>Get Charging Profile - EvseId &gt; 0 + chargingLimitSource</v>
      </c>
      <c r="D234" t="str">
        <f>IF(VLOOKUP(A234&amp;" "&amp;B234,'HIDDEN import'!A:G,5,FALSE)="M",MD!$A$1,(IF(AND(VLOOKUP(A234,'HIDDEN import'!B:E,4,FALSE)="C",OR(NOT(ISERROR(VLOOKUP(E234,'Optional features'!B:E,1,FALSE)=E234)),NOT(ISERROR(VLOOKUP(E234,'HIDDEN calc sheet'!A:C,1,FALSE)=E234)))),MD!$A$3,MD!$A$2)))</f>
        <v>Mandatory test for a mandatory feature</v>
      </c>
      <c r="E234" t="str">
        <f>IF('HIDDEN import'!F234=0,"",'HIDDEN import'!F234)</f>
        <v/>
      </c>
      <c r="F234" t="str">
        <f>IF('HIDDEN import'!G234=0,"",'HIDDEN import'!G234)</f>
        <v/>
      </c>
      <c r="G234" s="49" t="str">
        <f>IFERROR(VLOOKUP($A234,'HIDDEN Testrun Results'!$A:$B,2,FALSE),"")</f>
        <v/>
      </c>
      <c r="H234" s="49" t="b">
        <f t="shared" si="3"/>
        <v>0</v>
      </c>
      <c r="I234" s="49" t="b">
        <f>IF(VLOOKUP(A234&amp;" "&amp;B234,'HIDDEN import'!A:G,5,FALSE)="M",TRUE,IFERROR(VLOOKUP(E234,'Optional features'!B:E,3,FALSE)="Yes",IFERROR(VLOOKUP(E234,'HIDDEN calc sheet'!A:B,2,FALSE),VLOOKUP(E234,'Additional questions'!B:D,3,FALSE)="Yes")))</f>
        <v>1</v>
      </c>
      <c r="J234" t="b">
        <f>IF(VLOOKUP(B234,'Profile selection'!B:C,2,FALSE)="Yes",TRUE,FALSE)</f>
        <v>0</v>
      </c>
      <c r="K234" s="22" t="b">
        <f>IF(AND(D234=MD!$A$1,M234),TRUE,(IF(AND(D234=MD!$A$3,M234),(IF(L234=TRUE,TRUE,FALSE)),(IF(AND(D234=MD!$A$2,M234),(IF(N234=TRUE,TRUE,FALSE)),FALSE)))))</f>
        <v>0</v>
      </c>
      <c r="L234" t="b">
        <f>IF(ISNA(VLOOKUP(E234,'Optional features'!B:D,3,FALSE)),FALSE,IF(VLOOKUP(E234,'Optional features'!B:D,3,FALSE)="Yes",TRUE,FALSE))</f>
        <v>0</v>
      </c>
      <c r="M234" t="b">
        <f>IF(VLOOKUP(B234,'Profile selection'!B:C,2,FALSE)="Yes",TRUE,FALSE)</f>
        <v>0</v>
      </c>
      <c r="P234" s="73"/>
      <c r="Q234" s="73"/>
    </row>
    <row r="235" spans="1:17" x14ac:dyDescent="0.25">
      <c r="A235" t="str">
        <f>'HIDDEN import'!B235</f>
        <v>TC_K_35_CSMS</v>
      </c>
      <c r="B235" t="str">
        <f>'HIDDEN import'!C235</f>
        <v>ISO 15118 Support</v>
      </c>
      <c r="C235" t="str">
        <f>'HIDDEN import'!D235</f>
        <v>Get Charging Profile - EvseId &gt; 0 + chargingProfilePurpose</v>
      </c>
      <c r="D235" t="str">
        <f>IF(VLOOKUP(A235&amp;" "&amp;B235,'HIDDEN import'!A:G,5,FALSE)="M",MD!$A$1,(IF(AND(VLOOKUP(A235,'HIDDEN import'!B:E,4,FALSE)="C",OR(NOT(ISERROR(VLOOKUP(E235,'Optional features'!B:E,1,FALSE)=E235)),NOT(ISERROR(VLOOKUP(E235,'HIDDEN calc sheet'!A:C,1,FALSE)=E235)))),MD!$A$3,MD!$A$2)))</f>
        <v>Mandatory test for a mandatory feature</v>
      </c>
      <c r="E235" t="str">
        <f>IF('HIDDEN import'!F235=0,"",'HIDDEN import'!F235)</f>
        <v/>
      </c>
      <c r="F235" t="str">
        <f>IF('HIDDEN import'!G235=0,"",'HIDDEN import'!G235)</f>
        <v/>
      </c>
      <c r="G235" s="49" t="str">
        <f>IFERROR(VLOOKUP($A235,'HIDDEN Testrun Results'!$A:$B,2,FALSE),"")</f>
        <v/>
      </c>
      <c r="H235" s="49" t="b">
        <f t="shared" si="3"/>
        <v>0</v>
      </c>
      <c r="I235" s="49" t="b">
        <f>IF(VLOOKUP(A235&amp;" "&amp;B235,'HIDDEN import'!A:G,5,FALSE)="M",TRUE,IFERROR(VLOOKUP(E235,'Optional features'!B:E,3,FALSE)="Yes",IFERROR(VLOOKUP(E235,'HIDDEN calc sheet'!A:B,2,FALSE),VLOOKUP(E235,'Additional questions'!B:D,3,FALSE)="Yes")))</f>
        <v>1</v>
      </c>
      <c r="J235" t="b">
        <f>IF(VLOOKUP(B235,'Profile selection'!B:C,2,FALSE)="Yes",TRUE,FALSE)</f>
        <v>0</v>
      </c>
      <c r="K235" s="22" t="b">
        <f>IF(AND(D235=MD!$A$1,M235),TRUE,(IF(AND(D235=MD!$A$3,M235),(IF(L235=TRUE,TRUE,FALSE)),(IF(AND(D235=MD!$A$2,M235),(IF(N235=TRUE,TRUE,FALSE)),FALSE)))))</f>
        <v>0</v>
      </c>
      <c r="L235" t="b">
        <f>IF(ISNA(VLOOKUP(E235,'Optional features'!B:D,3,FALSE)),FALSE,IF(VLOOKUP(E235,'Optional features'!B:D,3,FALSE)="Yes",TRUE,FALSE))</f>
        <v>0</v>
      </c>
      <c r="M235" t="b">
        <f>IF(VLOOKUP(B235,'Profile selection'!B:C,2,FALSE)="Yes",TRUE,FALSE)</f>
        <v>0</v>
      </c>
      <c r="P235" s="73"/>
      <c r="Q235" s="73"/>
    </row>
    <row r="236" spans="1:17" x14ac:dyDescent="0.25">
      <c r="A236" t="str">
        <f>'HIDDEN import'!B236</f>
        <v>TC_K_36_CSMS</v>
      </c>
      <c r="B236" t="str">
        <f>'HIDDEN import'!C236</f>
        <v>ISO 15118 Support</v>
      </c>
      <c r="C236" t="str">
        <f>'HIDDEN import'!D236</f>
        <v>Get Charging Profile - EvseId &gt; 0 + chargingProfilePurpose + stackLevel</v>
      </c>
      <c r="D236" t="str">
        <f>IF(VLOOKUP(A236&amp;" "&amp;B236,'HIDDEN import'!A:G,5,FALSE)="M",MD!$A$1,(IF(AND(VLOOKUP(A236,'HIDDEN import'!B:E,4,FALSE)="C",OR(NOT(ISERROR(VLOOKUP(E236,'Optional features'!B:E,1,FALSE)=E236)),NOT(ISERROR(VLOOKUP(E236,'HIDDEN calc sheet'!A:C,1,FALSE)=E236)))),MD!$A$3,MD!$A$2)))</f>
        <v>Mandatory test for a mandatory feature</v>
      </c>
      <c r="E236" t="str">
        <f>IF('HIDDEN import'!F236=0,"",'HIDDEN import'!F236)</f>
        <v/>
      </c>
      <c r="F236" t="str">
        <f>IF('HIDDEN import'!G236=0,"",'HIDDEN import'!G236)</f>
        <v/>
      </c>
      <c r="G236" s="49" t="str">
        <f>IFERROR(VLOOKUP($A236,'HIDDEN Testrun Results'!$A:$B,2,FALSE),"")</f>
        <v/>
      </c>
      <c r="H236" s="49" t="b">
        <f t="shared" si="3"/>
        <v>0</v>
      </c>
      <c r="I236" s="49" t="b">
        <f>IF(VLOOKUP(A236&amp;" "&amp;B236,'HIDDEN import'!A:G,5,FALSE)="M",TRUE,IFERROR(VLOOKUP(E236,'Optional features'!B:E,3,FALSE)="Yes",IFERROR(VLOOKUP(E236,'HIDDEN calc sheet'!A:B,2,FALSE),VLOOKUP(E236,'Additional questions'!B:D,3,FALSE)="Yes")))</f>
        <v>1</v>
      </c>
      <c r="J236" t="b">
        <f>IF(VLOOKUP(B236,'Profile selection'!B:C,2,FALSE)="Yes",TRUE,FALSE)</f>
        <v>0</v>
      </c>
      <c r="K236" s="22" t="b">
        <f>IF(AND(D236=MD!$A$1,M236),TRUE,(IF(AND(D236=MD!$A$3,M236),(IF(L236=TRUE,TRUE,FALSE)),(IF(AND(D236=MD!$A$2,M236),(IF(N236=TRUE,TRUE,FALSE)),FALSE)))))</f>
        <v>0</v>
      </c>
      <c r="L236" t="b">
        <f>IF(ISNA(VLOOKUP(E236,'Optional features'!B:D,3,FALSE)),FALSE,IF(VLOOKUP(E236,'Optional features'!B:D,3,FALSE)="Yes",TRUE,FALSE))</f>
        <v>0</v>
      </c>
      <c r="M236" t="b">
        <f>IF(VLOOKUP(B236,'Profile selection'!B:C,2,FALSE)="Yes",TRUE,FALSE)</f>
        <v>0</v>
      </c>
      <c r="P236" s="73"/>
      <c r="Q236" s="73"/>
    </row>
    <row r="237" spans="1:17" x14ac:dyDescent="0.25">
      <c r="A237" t="str">
        <f>'HIDDEN import'!B237</f>
        <v>TC_K_05_CSMS</v>
      </c>
      <c r="B237" t="str">
        <f>'HIDDEN import'!C237</f>
        <v>ISO 15118 Support</v>
      </c>
      <c r="C237" t="str">
        <f>'HIDDEN import'!D237</f>
        <v>Clear Charging Profile - With chargingProfileId</v>
      </c>
      <c r="D237" t="str">
        <f>IF(VLOOKUP(A237&amp;" "&amp;B237,'HIDDEN import'!A:G,5,FALSE)="M",MD!$A$1,(IF(AND(VLOOKUP(A237,'HIDDEN import'!B:E,4,FALSE)="C",OR(NOT(ISERROR(VLOOKUP(E237,'Optional features'!B:E,1,FALSE)=E237)),NOT(ISERROR(VLOOKUP(E237,'HIDDEN calc sheet'!A:C,1,FALSE)=E237)))),MD!$A$3,MD!$A$2)))</f>
        <v>Mandatory test for a mandatory feature</v>
      </c>
      <c r="E237" t="str">
        <f>IF('HIDDEN import'!F237=0,"",'HIDDEN import'!F237)</f>
        <v/>
      </c>
      <c r="F237" t="str">
        <f>IF('HIDDEN import'!G237=0,"",'HIDDEN import'!G237)</f>
        <v/>
      </c>
      <c r="G237" s="49" t="str">
        <f>IFERROR(VLOOKUP($A237,'HIDDEN Testrun Results'!$A:$B,2,FALSE),"")</f>
        <v/>
      </c>
      <c r="H237" s="49" t="b">
        <f t="shared" si="3"/>
        <v>0</v>
      </c>
      <c r="I237" s="49" t="b">
        <f>IF(VLOOKUP(A237&amp;" "&amp;B237,'HIDDEN import'!A:G,5,FALSE)="M",TRUE,IFERROR(VLOOKUP(E237,'Optional features'!B:E,3,FALSE)="Yes",IFERROR(VLOOKUP(E237,'HIDDEN calc sheet'!A:B,2,FALSE),VLOOKUP(E237,'Additional questions'!B:D,3,FALSE)="Yes")))</f>
        <v>1</v>
      </c>
      <c r="J237" t="b">
        <f>IF(VLOOKUP(B237,'Profile selection'!B:C,2,FALSE)="Yes",TRUE,FALSE)</f>
        <v>0</v>
      </c>
      <c r="K237" s="22" t="b">
        <f>IF(AND(D237=MD!$A$1,M237),TRUE,(IF(AND(D237=MD!$A$3,M237),(IF(L237=TRUE,TRUE,FALSE)),(IF(AND(D237=MD!$A$2,M237),(IF(N237=TRUE,TRUE,FALSE)),FALSE)))))</f>
        <v>0</v>
      </c>
      <c r="L237" t="b">
        <f>IF(ISNA(VLOOKUP(E237,'Optional features'!B:D,3,FALSE)),FALSE,IF(VLOOKUP(E237,'Optional features'!B:D,3,FALSE)="Yes",TRUE,FALSE))</f>
        <v>0</v>
      </c>
      <c r="M237" t="b">
        <f>IF(VLOOKUP(B237,'Profile selection'!B:C,2,FALSE)="Yes",TRUE,FALSE)</f>
        <v>0</v>
      </c>
      <c r="P237" s="73"/>
      <c r="Q237" s="73"/>
    </row>
    <row r="238" spans="1:17" x14ac:dyDescent="0.25">
      <c r="A238" t="str">
        <f>'HIDDEN import'!B238</f>
        <v>TC_K_06_CSMS</v>
      </c>
      <c r="B238" t="str">
        <f>'HIDDEN import'!C238</f>
        <v>ISO 15118 Support</v>
      </c>
      <c r="C238" t="str">
        <f>'HIDDEN import'!D238</f>
        <v>Clear Charging Profile - With stackLevel/purpose combination for one profile</v>
      </c>
      <c r="D238" t="str">
        <f>IF(VLOOKUP(A238&amp;" "&amp;B238,'HIDDEN import'!A:G,5,FALSE)="M",MD!$A$1,(IF(AND(VLOOKUP(A238,'HIDDEN import'!B:E,4,FALSE)="C",OR(NOT(ISERROR(VLOOKUP(E238,'Optional features'!B:E,1,FALSE)=E238)),NOT(ISERROR(VLOOKUP(E238,'HIDDEN calc sheet'!A:C,1,FALSE)=E238)))),MD!$A$3,MD!$A$2)))</f>
        <v>Mandatory test for a mandatory feature</v>
      </c>
      <c r="E238" t="str">
        <f>IF('HIDDEN import'!F238=0,"",'HIDDEN import'!F238)</f>
        <v/>
      </c>
      <c r="F238" t="str">
        <f>IF('HIDDEN import'!G238=0,"",'HIDDEN import'!G238)</f>
        <v/>
      </c>
      <c r="G238" s="49" t="str">
        <f>IFERROR(VLOOKUP($A238,'HIDDEN Testrun Results'!$A:$B,2,FALSE),"")</f>
        <v/>
      </c>
      <c r="H238" s="49" t="b">
        <f t="shared" si="3"/>
        <v>0</v>
      </c>
      <c r="I238" s="49" t="b">
        <f>IF(VLOOKUP(A238&amp;" "&amp;B238,'HIDDEN import'!A:G,5,FALSE)="M",TRUE,IFERROR(VLOOKUP(E238,'Optional features'!B:E,3,FALSE)="Yes",IFERROR(VLOOKUP(E238,'HIDDEN calc sheet'!A:B,2,FALSE),VLOOKUP(E238,'Additional questions'!B:D,3,FALSE)="Yes")))</f>
        <v>1</v>
      </c>
      <c r="J238" t="b">
        <f>IF(VLOOKUP(B238,'Profile selection'!B:C,2,FALSE)="Yes",TRUE,FALSE)</f>
        <v>0</v>
      </c>
      <c r="K238" s="22" t="b">
        <f>IF(AND(D238=MD!$A$1,M238),TRUE,(IF(AND(D238=MD!$A$3,M238),(IF(L238=TRUE,TRUE,FALSE)),(IF(AND(D238=MD!$A$2,M238),(IF(N238=TRUE,TRUE,FALSE)),FALSE)))))</f>
        <v>0</v>
      </c>
      <c r="L238" t="b">
        <f>IF(ISNA(VLOOKUP(E238,'Optional features'!B:D,3,FALSE)),FALSE,IF(VLOOKUP(E238,'Optional features'!B:D,3,FALSE)="Yes",TRUE,FALSE))</f>
        <v>0</v>
      </c>
      <c r="M238" t="b">
        <f>IF(VLOOKUP(B238,'Profile selection'!B:C,2,FALSE)="Yes",TRUE,FALSE)</f>
        <v>0</v>
      </c>
      <c r="P238" s="73"/>
      <c r="Q238" s="73"/>
    </row>
    <row r="239" spans="1:17" x14ac:dyDescent="0.25">
      <c r="A239" t="str">
        <f>'HIDDEN import'!B239</f>
        <v>TC_K_08_CSMS</v>
      </c>
      <c r="B239" t="str">
        <f>'HIDDEN import'!C239</f>
        <v>ISO 15118 Support</v>
      </c>
      <c r="C239" t="str">
        <f>'HIDDEN import'!D239</f>
        <v>Clear Charging Profile - Without previous charging profile</v>
      </c>
      <c r="D239" t="str">
        <f>IF(VLOOKUP(A239&amp;" "&amp;B239,'HIDDEN import'!A:G,5,FALSE)="M",MD!$A$1,(IF(AND(VLOOKUP(A239,'HIDDEN import'!B:E,4,FALSE)="C",OR(NOT(ISERROR(VLOOKUP(E239,'Optional features'!B:E,1,FALSE)=E239)),NOT(ISERROR(VLOOKUP(E239,'HIDDEN calc sheet'!A:C,1,FALSE)=E239)))),MD!$A$3,MD!$A$2)))</f>
        <v>Mandatory test for a mandatory feature</v>
      </c>
      <c r="E239" t="str">
        <f>IF('HIDDEN import'!F239=0,"",'HIDDEN import'!F239)</f>
        <v/>
      </c>
      <c r="F239" t="str">
        <f>IF('HIDDEN import'!G239=0,"",'HIDDEN import'!G239)</f>
        <v/>
      </c>
      <c r="G239" s="49" t="str">
        <f>IFERROR(VLOOKUP($A239,'HIDDEN Testrun Results'!$A:$B,2,FALSE),"")</f>
        <v/>
      </c>
      <c r="H239" s="49" t="b">
        <f t="shared" si="3"/>
        <v>0</v>
      </c>
      <c r="I239" s="49" t="b">
        <f>IF(VLOOKUP(A239&amp;" "&amp;B239,'HIDDEN import'!A:G,5,FALSE)="M",TRUE,IFERROR(VLOOKUP(E239,'Optional features'!B:E,3,FALSE)="Yes",IFERROR(VLOOKUP(E239,'HIDDEN calc sheet'!A:B,2,FALSE),VLOOKUP(E239,'Additional questions'!B:D,3,FALSE)="Yes")))</f>
        <v>1</v>
      </c>
      <c r="J239" t="b">
        <f>IF(VLOOKUP(B239,'Profile selection'!B:C,2,FALSE)="Yes",TRUE,FALSE)</f>
        <v>0</v>
      </c>
      <c r="K239" s="22" t="b">
        <f>IF(AND(D239=MD!$A$1,M239),TRUE,(IF(AND(D239=MD!$A$3,M239),(IF(L239=TRUE,TRUE,FALSE)),(IF(AND(D239=MD!$A$2,M239),(IF(N239=TRUE,TRUE,FALSE)),FALSE)))))</f>
        <v>0</v>
      </c>
      <c r="L239" t="b">
        <f>IF(ISNA(VLOOKUP(E239,'Optional features'!B:D,3,FALSE)),FALSE,IF(VLOOKUP(E239,'Optional features'!B:D,3,FALSE)="Yes",TRUE,FALSE))</f>
        <v>0</v>
      </c>
      <c r="M239" t="b">
        <f>IF(VLOOKUP(B239,'Profile selection'!B:C,2,FALSE)="Yes",TRUE,FALSE)</f>
        <v>0</v>
      </c>
      <c r="P239" s="73"/>
      <c r="Q239" s="73"/>
    </row>
    <row r="240" spans="1:17" x14ac:dyDescent="0.25">
      <c r="A240" t="str">
        <f>'HIDDEN import'!B240</f>
        <v>TC_K_53_CSMS</v>
      </c>
      <c r="B240" t="str">
        <f>'HIDDEN import'!C240</f>
        <v>ISO 15118 Support</v>
      </c>
      <c r="C240" t="str">
        <f>'HIDDEN import'!D240</f>
        <v>Charging with load leveling based on High Level Communication - Success</v>
      </c>
      <c r="D240" t="str">
        <f>IF(VLOOKUP(A240&amp;" "&amp;B240,'HIDDEN import'!A:G,5,FALSE)="M",MD!$A$1,(IF(AND(VLOOKUP(A240,'HIDDEN import'!B:E,4,FALSE)="C",OR(NOT(ISERROR(VLOOKUP(E240,'Optional features'!B:E,1,FALSE)=E240)),NOT(ISERROR(VLOOKUP(E240,'HIDDEN calc sheet'!A:C,1,FALSE)=E240)))),MD!$A$3,MD!$A$2)))</f>
        <v>Mandatory test for a mandatory feature</v>
      </c>
      <c r="E240" t="str">
        <f>IF('HIDDEN import'!F240=0,"",'HIDDEN import'!F240)</f>
        <v/>
      </c>
      <c r="F240" t="str">
        <f>IF('HIDDEN import'!G240=0,"",'HIDDEN import'!G240)</f>
        <v/>
      </c>
      <c r="G240" s="49" t="str">
        <f>IFERROR(VLOOKUP($A240,'HIDDEN Testrun Results'!$A:$B,2,FALSE),"")</f>
        <v/>
      </c>
      <c r="H240" s="49" t="b">
        <f t="shared" si="3"/>
        <v>0</v>
      </c>
      <c r="I240" s="49" t="b">
        <f>IF(VLOOKUP(A240&amp;" "&amp;B240,'HIDDEN import'!A:G,5,FALSE)="M",TRUE,IFERROR(VLOOKUP(E240,'Optional features'!B:E,3,FALSE)="Yes",IFERROR(VLOOKUP(E240,'HIDDEN calc sheet'!A:B,2,FALSE),VLOOKUP(E240,'Additional questions'!B:D,3,FALSE)="Yes")))</f>
        <v>1</v>
      </c>
      <c r="J240" t="b">
        <f>IF(VLOOKUP(B240,'Profile selection'!B:C,2,FALSE)="Yes",TRUE,FALSE)</f>
        <v>0</v>
      </c>
      <c r="K240" s="22" t="b">
        <f>IF(AND(D240=MD!$A$1,M240),TRUE,(IF(AND(D240=MD!$A$3,M240),(IF(L240=TRUE,TRUE,FALSE)),(IF(AND(D240=MD!$A$2,M240),(IF(N240=TRUE,TRUE,FALSE)),FALSE)))))</f>
        <v>0</v>
      </c>
      <c r="L240" t="b">
        <f>IF(ISNA(VLOOKUP(E240,'Optional features'!B:D,3,FALSE)),FALSE,IF(VLOOKUP(E240,'Optional features'!B:D,3,FALSE)="Yes",TRUE,FALSE))</f>
        <v>0</v>
      </c>
      <c r="M240" t="b">
        <f>IF(VLOOKUP(B240,'Profile selection'!B:C,2,FALSE)="Yes",TRUE,FALSE)</f>
        <v>0</v>
      </c>
      <c r="P240" s="73"/>
      <c r="Q240" s="73"/>
    </row>
    <row r="241" spans="1:17" x14ac:dyDescent="0.25">
      <c r="A241" t="str">
        <f>'HIDDEN import'!B241</f>
        <v>TC_K_55_CSMS</v>
      </c>
      <c r="B241" t="str">
        <f>'HIDDEN import'!C241</f>
        <v>ISO 15118 Support</v>
      </c>
      <c r="C241" t="str">
        <f>'HIDDEN import'!D241</f>
        <v>Charging with load leveling based on High Level Communication - EV charging profile exceeds limits</v>
      </c>
      <c r="D241" t="str">
        <f>IF(VLOOKUP(A241&amp;" "&amp;B241,'HIDDEN import'!A:G,5,FALSE)="M",MD!$A$1,(IF(AND(VLOOKUP(A241,'HIDDEN import'!B:E,4,FALSE)="C",OR(NOT(ISERROR(VLOOKUP(E241,'Optional features'!B:E,1,FALSE)=E241)),NOT(ISERROR(VLOOKUP(E241,'HIDDEN calc sheet'!A:C,1,FALSE)=E241)))),MD!$A$3,MD!$A$2)))</f>
        <v>Mandatory test for a mandatory feature</v>
      </c>
      <c r="E241" t="str">
        <f>IF('HIDDEN import'!F241=0,"",'HIDDEN import'!F241)</f>
        <v/>
      </c>
      <c r="F241" t="str">
        <f>IF('HIDDEN import'!G241=0,"",'HIDDEN import'!G241)</f>
        <v/>
      </c>
      <c r="G241" s="49" t="str">
        <f>IFERROR(VLOOKUP($A241,'HIDDEN Testrun Results'!$A:$B,2,FALSE),"")</f>
        <v/>
      </c>
      <c r="H241" s="49" t="b">
        <f t="shared" si="3"/>
        <v>0</v>
      </c>
      <c r="I241" s="49" t="b">
        <f>IF(VLOOKUP(A241&amp;" "&amp;B241,'HIDDEN import'!A:G,5,FALSE)="M",TRUE,IFERROR(VLOOKUP(E241,'Optional features'!B:E,3,FALSE)="Yes",IFERROR(VLOOKUP(E241,'HIDDEN calc sheet'!A:B,2,FALSE),VLOOKUP(E241,'Additional questions'!B:D,3,FALSE)="Yes")))</f>
        <v>1</v>
      </c>
      <c r="J241" t="b">
        <f>IF(VLOOKUP(B241,'Profile selection'!B:C,2,FALSE)="Yes",TRUE,FALSE)</f>
        <v>0</v>
      </c>
      <c r="K241" s="22" t="b">
        <f>IF(AND(D241=MD!$A$1,M241),TRUE,(IF(AND(D241=MD!$A$3,M241),(IF(L241=TRUE,TRUE,FALSE)),(IF(AND(D241=MD!$A$2,M241),(IF(N241=TRUE,TRUE,FALSE)),FALSE)))))</f>
        <v>0</v>
      </c>
      <c r="M241" t="b">
        <f>IF(VLOOKUP(B241,'Profile selection'!B:C,2,FALSE)="Yes",TRUE,FALSE)</f>
        <v>0</v>
      </c>
      <c r="P241" s="73"/>
      <c r="Q241" s="73"/>
    </row>
    <row r="242" spans="1:17" x14ac:dyDescent="0.25">
      <c r="A242" t="str">
        <f>'HIDDEN import'!B242</f>
        <v>TC_K_57_CSMS</v>
      </c>
      <c r="B242" t="str">
        <f>'HIDDEN import'!C242</f>
        <v>ISO 15118 Support</v>
      </c>
      <c r="C242" t="str">
        <f>'HIDDEN import'!D242</f>
        <v>Renegotiating a Charging Schedule - Initiated by EV</v>
      </c>
      <c r="D242" t="str">
        <f>IF(VLOOKUP(A242&amp;" "&amp;B242,'HIDDEN import'!A:G,5,FALSE)="M",MD!$A$1,(IF(AND(VLOOKUP(A242,'HIDDEN import'!B:E,4,FALSE)="C",OR(NOT(ISERROR(VLOOKUP(E242,'Optional features'!B:E,1,FALSE)=E242)),NOT(ISERROR(VLOOKUP(E242,'HIDDEN calc sheet'!A:C,1,FALSE)=E242)))),MD!$A$3,MD!$A$2)))</f>
        <v>Mandatory test for a mandatory feature</v>
      </c>
      <c r="E242" t="str">
        <f>IF('HIDDEN import'!F242=0,"",'HIDDEN import'!F242)</f>
        <v/>
      </c>
      <c r="F242" t="str">
        <f>IF('HIDDEN import'!G242=0,"",'HIDDEN import'!G242)</f>
        <v/>
      </c>
      <c r="G242" s="49" t="str">
        <f>IFERROR(VLOOKUP($A242,'HIDDEN Testrun Results'!$A:$B,2,FALSE),"")</f>
        <v/>
      </c>
      <c r="H242" s="49" t="b">
        <f t="shared" si="3"/>
        <v>0</v>
      </c>
      <c r="I242" s="49" t="b">
        <f>IF(VLOOKUP(A242&amp;" "&amp;B242,'HIDDEN import'!A:G,5,FALSE)="M",TRUE,IFERROR(VLOOKUP(E242,'Optional features'!B:E,3,FALSE)="Yes",IFERROR(VLOOKUP(E242,'HIDDEN calc sheet'!A:B,2,FALSE),VLOOKUP(E242,'Additional questions'!B:D,3,FALSE)="Yes")))</f>
        <v>1</v>
      </c>
      <c r="J242" t="b">
        <f>IF(VLOOKUP(B242,'Profile selection'!B:C,2,FALSE)="Yes",TRUE,FALSE)</f>
        <v>0</v>
      </c>
      <c r="K242" s="22" t="b">
        <f>IF(AND(D242=MD!$A$1,M242),TRUE,(IF(AND(D242=MD!$A$3,M242),(IF(L242=TRUE,TRUE,FALSE)),(IF(AND(D242=MD!$A$2,M242),(IF(N242=TRUE,TRUE,FALSE)),FALSE)))))</f>
        <v>0</v>
      </c>
      <c r="M242" t="b">
        <f>IF(VLOOKUP(B242,'Profile selection'!B:C,2,FALSE)="Yes",TRUE,FALSE)</f>
        <v>0</v>
      </c>
      <c r="P242" s="73"/>
      <c r="Q242" s="73"/>
    </row>
    <row r="243" spans="1:17" x14ac:dyDescent="0.25">
      <c r="A243" t="str">
        <f>'HIDDEN import'!B243</f>
        <v>TC_K_58_CSMS</v>
      </c>
      <c r="B243" t="str">
        <f>'HIDDEN import'!C243</f>
        <v>ISO 15118 Support</v>
      </c>
      <c r="C243" t="str">
        <f>'HIDDEN import'!D243</f>
        <v>Renegotiating a Charging Schedule - Initiated by CSMS</v>
      </c>
      <c r="D243" t="str">
        <f>IF(VLOOKUP(A243&amp;" "&amp;B243,'HIDDEN import'!A:G,5,FALSE)="M",MD!$A$1,(IF(AND(VLOOKUP(A243,'HIDDEN import'!B:E,4,FALSE)="C",OR(NOT(ISERROR(VLOOKUP(E243,'Optional features'!B:E,1,FALSE)=E243)),NOT(ISERROR(VLOOKUP(E243,'HIDDEN calc sheet'!A:C,1,FALSE)=E243)))),MD!$A$3,MD!$A$2)))</f>
        <v>Mandatory test for a mandatory feature</v>
      </c>
      <c r="E243" t="str">
        <f>IF('HIDDEN import'!F243=0,"",'HIDDEN import'!F243)</f>
        <v/>
      </c>
      <c r="F243" t="str">
        <f>IF('HIDDEN import'!G243=0,"",'HIDDEN import'!G243)</f>
        <v/>
      </c>
      <c r="G243" s="49" t="str">
        <f>IFERROR(VLOOKUP($A243,'HIDDEN Testrun Results'!$A:$B,2,FALSE),"")</f>
        <v/>
      </c>
      <c r="H243" s="49" t="b">
        <f t="shared" si="3"/>
        <v>0</v>
      </c>
      <c r="I243" s="49" t="b">
        <f>IF(VLOOKUP(A243&amp;" "&amp;B243,'HIDDEN import'!A:G,5,FALSE)="M",TRUE,IFERROR(VLOOKUP(E243,'Optional features'!B:E,3,FALSE)="Yes",IFERROR(VLOOKUP(E243,'HIDDEN calc sheet'!A:B,2,FALSE),VLOOKUP(E243,'Additional questions'!B:D,3,FALSE)="Yes")))</f>
        <v>1</v>
      </c>
      <c r="J243" t="b">
        <f>IF(VLOOKUP(B243,'Profile selection'!B:C,2,FALSE)="Yes",TRUE,FALSE)</f>
        <v>0</v>
      </c>
      <c r="K243" s="22" t="b">
        <f>IF(AND(D243=MD!$A$1,M243),TRUE,(IF(AND(D243=MD!$A$3,M243),(IF(L243=TRUE,TRUE,FALSE)),(IF(AND(D243=MD!$A$2,M243),(IF(N243=TRUE,TRUE,FALSE)),FALSE)))))</f>
        <v>0</v>
      </c>
      <c r="M243" t="b">
        <f>IF(VLOOKUP(B243,'Profile selection'!B:C,2,FALSE)="Yes",TRUE,FALSE)</f>
        <v>0</v>
      </c>
      <c r="P243" s="73"/>
      <c r="Q243" s="73"/>
    </row>
    <row r="244" spans="1:17" x14ac:dyDescent="0.25">
      <c r="A244" t="str">
        <f>'HIDDEN import'!B244</f>
        <v>TC_K_59_CSMS</v>
      </c>
      <c r="B244" t="str">
        <f>'HIDDEN import'!C244</f>
        <v>ISO 15118 Support</v>
      </c>
      <c r="C244" t="str">
        <f>'HIDDEN import'!D244</f>
        <v>Renegotiating a Charging Schedule - Initiated by CSMS - Send NotifyEVChargingNeeds</v>
      </c>
      <c r="D244" t="str">
        <f>IF(VLOOKUP(A244&amp;" "&amp;B244,'HIDDEN import'!A:G,5,FALSE)="M",MD!$A$1,(IF(AND(VLOOKUP(A244,'HIDDEN import'!B:E,4,FALSE)="C",OR(NOT(ISERROR(VLOOKUP(E244,'Optional features'!B:E,1,FALSE)=E244)),NOT(ISERROR(VLOOKUP(E244,'HIDDEN calc sheet'!A:C,1,FALSE)=E244)))),MD!$A$3,MD!$A$2)))</f>
        <v>Mandatory test for a mandatory feature</v>
      </c>
      <c r="E244" t="str">
        <f>IF('HIDDEN import'!F244=0,"",'HIDDEN import'!F244)</f>
        <v/>
      </c>
      <c r="F244" t="str">
        <f>IF('HIDDEN import'!G244=0,"",'HIDDEN import'!G244)</f>
        <v/>
      </c>
      <c r="G244" s="49" t="str">
        <f>IFERROR(VLOOKUP($A244,'HIDDEN Testrun Results'!$A:$B,2,FALSE),"")</f>
        <v/>
      </c>
      <c r="H244" s="49" t="b">
        <f t="shared" si="3"/>
        <v>0</v>
      </c>
      <c r="I244" s="49" t="b">
        <f>IF(VLOOKUP(A244&amp;" "&amp;B244,'HIDDEN import'!A:G,5,FALSE)="M",TRUE,IFERROR(VLOOKUP(E244,'Optional features'!B:E,3,FALSE)="Yes",IFERROR(VLOOKUP(E244,'HIDDEN calc sheet'!A:B,2,FALSE),VLOOKUP(E244,'Additional questions'!B:D,3,FALSE)="Yes")))</f>
        <v>1</v>
      </c>
      <c r="J244" t="b">
        <f>IF(VLOOKUP(B244,'Profile selection'!B:C,2,FALSE)="Yes",TRUE,FALSE)</f>
        <v>0</v>
      </c>
      <c r="K244" s="22" t="b">
        <f>IF(AND(D244=MD!$A$1,M244),TRUE,(IF(AND(D244=MD!$A$3,M244),(IF(L244=TRUE,TRUE,FALSE)),(IF(AND(D244=MD!$A$2,M244),(IF(N244=TRUE,TRUE,FALSE)),FALSE)))))</f>
        <v>0</v>
      </c>
      <c r="M244" t="b">
        <f>IF(VLOOKUP(B244,'Profile selection'!B:C,2,FALSE)="Yes",TRUE,FALSE)</f>
        <v>0</v>
      </c>
      <c r="P244" s="73"/>
      <c r="Q244" s="73"/>
    </row>
    <row r="245" spans="1:17" x14ac:dyDescent="0.25">
      <c r="A245" t="str">
        <f>'HIDDEN import'!B245</f>
        <v>TC_M_26_CSMS</v>
      </c>
      <c r="B245" t="str">
        <f>'HIDDEN import'!C245</f>
        <v>ISO 15118 Support</v>
      </c>
      <c r="C245" t="str">
        <f>'HIDDEN import'!D245</f>
        <v>Certificate Installation EV - Success</v>
      </c>
      <c r="D245" t="str">
        <f>IF(VLOOKUP(A245&amp;" "&amp;B245,'HIDDEN import'!A:G,5,FALSE)="M",MD!$A$1,(IF(AND(VLOOKUP(A245,'HIDDEN import'!B:E,4,FALSE)="C",OR(NOT(ISERROR(VLOOKUP(E245,'Optional features'!B:E,1,FALSE)=E245)),NOT(ISERROR(VLOOKUP(E245,'HIDDEN calc sheet'!A:C,1,FALSE)=E245)))),MD!$A$3,MD!$A$2)))</f>
        <v>Mandatory test for a mandatory feature</v>
      </c>
      <c r="E245" t="str">
        <f>IF('HIDDEN import'!F245=0,"",'HIDDEN import'!F245)</f>
        <v/>
      </c>
      <c r="F245" t="str">
        <f>IF('HIDDEN import'!G245=0,"",'HIDDEN import'!G245)</f>
        <v/>
      </c>
      <c r="G245" s="49" t="str">
        <f>IFERROR(VLOOKUP($A245,'HIDDEN Testrun Results'!$A:$B,2,FALSE),"")</f>
        <v/>
      </c>
      <c r="H245" s="49" t="b">
        <f t="shared" si="3"/>
        <v>0</v>
      </c>
      <c r="I245" s="49" t="b">
        <f>IF(VLOOKUP(A245&amp;" "&amp;B245,'HIDDEN import'!A:G,5,FALSE)="M",TRUE,IFERROR(VLOOKUP(E245,'Optional features'!B:E,3,FALSE)="Yes",IFERROR(VLOOKUP(E245,'HIDDEN calc sheet'!A:B,2,FALSE),VLOOKUP(E245,'Additional questions'!B:D,3,FALSE)="Yes")))</f>
        <v>1</v>
      </c>
      <c r="J245" t="b">
        <f>IF(VLOOKUP(B245,'Profile selection'!B:C,2,FALSE)="Yes",TRUE,FALSE)</f>
        <v>0</v>
      </c>
      <c r="K245" s="22" t="b">
        <f>IF(AND(D245=MD!$A$1,M245),TRUE,(IF(AND(D245=MD!$A$3,M245),(IF(L245=TRUE,TRUE,FALSE)),(IF(AND(D245=MD!$A$2,M245),(IF(N245=TRUE,TRUE,FALSE)),FALSE)))))</f>
        <v>0</v>
      </c>
      <c r="M245" t="b">
        <f>IF(VLOOKUP(B245,'Profile selection'!B:C,2,FALSE)="Yes",TRUE,FALSE)</f>
        <v>0</v>
      </c>
      <c r="P245" s="73"/>
      <c r="Q245" s="73"/>
    </row>
    <row r="246" spans="1:17" x14ac:dyDescent="0.25">
      <c r="A246" t="str">
        <f>'HIDDEN import'!B246</f>
        <v>TC_M_28_CSMS</v>
      </c>
      <c r="B246" t="str">
        <f>'HIDDEN import'!C246</f>
        <v>ISO 15118 Support</v>
      </c>
      <c r="C246" t="str">
        <f>'HIDDEN import'!D246</f>
        <v>Certificate Update EV - Success</v>
      </c>
      <c r="D246" t="str">
        <f>IF(VLOOKUP(A246&amp;" "&amp;B246,'HIDDEN import'!A:G,5,FALSE)="M",MD!$A$1,(IF(AND(VLOOKUP(A246,'HIDDEN import'!B:E,4,FALSE)="C",OR(NOT(ISERROR(VLOOKUP(E246,'Optional features'!B:E,1,FALSE)=E246)),NOT(ISERROR(VLOOKUP(E246,'HIDDEN calc sheet'!A:C,1,FALSE)=E246)))),MD!$A$3,MD!$A$2)))</f>
        <v>Mandatory test for a mandatory feature</v>
      </c>
      <c r="E246" t="str">
        <f>IF('HIDDEN import'!F246=0,"",'HIDDEN import'!F246)</f>
        <v/>
      </c>
      <c r="F246" t="str">
        <f>IF('HIDDEN import'!G246=0,"",'HIDDEN import'!G246)</f>
        <v/>
      </c>
      <c r="G246" s="49" t="str">
        <f>IFERROR(VLOOKUP($A246,'HIDDEN Testrun Results'!$A:$B,2,FALSE),"")</f>
        <v/>
      </c>
      <c r="H246" s="49" t="b">
        <f t="shared" si="3"/>
        <v>0</v>
      </c>
      <c r="I246" s="49" t="b">
        <f>IF(VLOOKUP(A246&amp;" "&amp;B246,'HIDDEN import'!A:G,5,FALSE)="M",TRUE,IFERROR(VLOOKUP(E246,'Optional features'!B:E,3,FALSE)="Yes",IFERROR(VLOOKUP(E246,'HIDDEN calc sheet'!A:B,2,FALSE),VLOOKUP(E246,'Additional questions'!B:D,3,FALSE)="Yes")))</f>
        <v>1</v>
      </c>
      <c r="J246" t="b">
        <f>IF(VLOOKUP(B246,'Profile selection'!B:C,2,FALSE)="Yes",TRUE,FALSE)</f>
        <v>0</v>
      </c>
      <c r="K246" s="22" t="b">
        <f>IF(AND(D246=MD!$A$1,M246),TRUE,(IF(AND(D246=MD!$A$3,M246),(IF(L246=TRUE,TRUE,FALSE)),(IF(AND(D246=MD!$A$2,M246),(IF(N246=TRUE,TRUE,FALSE)),FALSE)))))</f>
        <v>0</v>
      </c>
      <c r="M246" t="b">
        <f>IF(VLOOKUP(B246,'Profile selection'!B:C,2,FALSE)="Yes",TRUE,FALSE)</f>
        <v>0</v>
      </c>
      <c r="P246" s="73"/>
      <c r="Q246" s="73"/>
    </row>
    <row r="247" spans="1:17" x14ac:dyDescent="0.25">
      <c r="A247" t="str">
        <f>'HIDDEN import'!B247</f>
        <v>TC_M_14_CSMS</v>
      </c>
      <c r="B247" t="str">
        <f>'HIDDEN import'!C247</f>
        <v>ISO 15118 Support</v>
      </c>
      <c r="C247" t="str">
        <f>'HIDDEN import'!D247</f>
        <v>Retrieve certificates from Charging Station - V2GRootCertificate</v>
      </c>
      <c r="D247" t="str">
        <f>IF(VLOOKUP(A247&amp;" "&amp;B247,'HIDDEN import'!A:G,5,FALSE)="M",MD!$A$1,(IF(AND(VLOOKUP(A247,'HIDDEN import'!B:E,4,FALSE)="C",OR(NOT(ISERROR(VLOOKUP(E247,'Optional features'!B:E,1,FALSE)=E247)),NOT(ISERROR(VLOOKUP(E247,'HIDDEN calc sheet'!A:C,1,FALSE)=E247)))),MD!$A$3,MD!$A$2)))</f>
        <v>Mandatory test for a mandatory feature</v>
      </c>
      <c r="E247" t="str">
        <f>IF('HIDDEN import'!F247=0,"",'HIDDEN import'!F247)</f>
        <v/>
      </c>
      <c r="F247" t="str">
        <f>IF('HIDDEN import'!G247=0,"",'HIDDEN import'!G247)</f>
        <v/>
      </c>
      <c r="G247" s="49" t="str">
        <f>IFERROR(VLOOKUP($A247,'HIDDEN Testrun Results'!$A:$B,2,FALSE),"")</f>
        <v/>
      </c>
      <c r="H247" s="49" t="b">
        <f t="shared" si="3"/>
        <v>0</v>
      </c>
      <c r="I247" s="49" t="b">
        <f>IF(VLOOKUP(A247&amp;" "&amp;B247,'HIDDEN import'!A:G,5,FALSE)="M",TRUE,IFERROR(VLOOKUP(E247,'Optional features'!B:E,3,FALSE)="Yes",IFERROR(VLOOKUP(E247,'HIDDEN calc sheet'!A:B,2,FALSE),VLOOKUP(E247,'Additional questions'!B:D,3,FALSE)="Yes")))</f>
        <v>1</v>
      </c>
      <c r="J247" t="b">
        <f>IF(VLOOKUP(B247,'Profile selection'!B:C,2,FALSE)="Yes",TRUE,FALSE)</f>
        <v>0</v>
      </c>
      <c r="K247" s="22" t="b">
        <f>IF(AND(D247=MD!$A$1,M247),TRUE,(IF(AND(D247=MD!$A$3,M247),(IF(L247=TRUE,TRUE,FALSE)),(IF(AND(D247=MD!$A$2,M247),(IF(N247=TRUE,TRUE,FALSE)),FALSE)))))</f>
        <v>0</v>
      </c>
      <c r="M247" t="b">
        <f>IF(VLOOKUP(B247,'Profile selection'!B:C,2,FALSE)="Yes",TRUE,FALSE)</f>
        <v>0</v>
      </c>
      <c r="P247" s="73"/>
      <c r="Q247" s="73"/>
    </row>
    <row r="248" spans="1:17" x14ac:dyDescent="0.25">
      <c r="A248" t="str">
        <f>'HIDDEN import'!B248</f>
        <v>TC_M_15_CSMS</v>
      </c>
      <c r="B248" t="str">
        <f>'HIDDEN import'!C248</f>
        <v>ISO 15118 Support</v>
      </c>
      <c r="C248" t="str">
        <f>'HIDDEN import'!D248</f>
        <v>Retrieve certificates from Charging Station - V2GCertificateChain</v>
      </c>
      <c r="D248" t="str">
        <f>IF(VLOOKUP(A248&amp;" "&amp;B248,'HIDDEN import'!A:G,5,FALSE)="M",MD!$A$1,(IF(AND(VLOOKUP(A248,'HIDDEN import'!B:E,4,FALSE)="C",OR(NOT(ISERROR(VLOOKUP(E248,'Optional features'!B:E,1,FALSE)=E248)),NOT(ISERROR(VLOOKUP(E248,'HIDDEN calc sheet'!A:C,1,FALSE)=E248)))),MD!$A$3,MD!$A$2)))</f>
        <v>Mandatory test for a mandatory feature</v>
      </c>
      <c r="E248" t="str">
        <f>IF('HIDDEN import'!F248=0,"",'HIDDEN import'!F248)</f>
        <v/>
      </c>
      <c r="F248" t="str">
        <f>IF('HIDDEN import'!G248=0,"",'HIDDEN import'!G248)</f>
        <v/>
      </c>
      <c r="G248" s="49" t="str">
        <f>IFERROR(VLOOKUP($A248,'HIDDEN Testrun Results'!$A:$B,2,FALSE),"")</f>
        <v/>
      </c>
      <c r="H248" s="49" t="b">
        <f t="shared" si="3"/>
        <v>0</v>
      </c>
      <c r="I248" s="49" t="b">
        <f>IF(VLOOKUP(A248&amp;" "&amp;B248,'HIDDEN import'!A:G,5,FALSE)="M",TRUE,IFERROR(VLOOKUP(E248,'Optional features'!B:E,3,FALSE)="Yes",IFERROR(VLOOKUP(E248,'HIDDEN calc sheet'!A:B,2,FALSE),VLOOKUP(E248,'Additional questions'!B:D,3,FALSE)="Yes")))</f>
        <v>1</v>
      </c>
      <c r="J248" t="b">
        <f>IF(VLOOKUP(B248,'Profile selection'!B:C,2,FALSE)="Yes",TRUE,FALSE)</f>
        <v>0</v>
      </c>
      <c r="K248" s="22" t="b">
        <f>IF(AND(D248=MD!$A$1,M248),TRUE,(IF(AND(D248=MD!$A$3,M248),(IF(L248=TRUE,TRUE,FALSE)),(IF(AND(D248=MD!$A$2,M248),(IF(N248=TRUE,TRUE,FALSE)),FALSE)))))</f>
        <v>0</v>
      </c>
      <c r="M248" t="b">
        <f>IF(VLOOKUP(B248,'Profile selection'!B:C,2,FALSE)="Yes",TRUE,FALSE)</f>
        <v>0</v>
      </c>
      <c r="P248" s="73"/>
      <c r="Q248" s="73"/>
    </row>
    <row r="249" spans="1:17" x14ac:dyDescent="0.25">
      <c r="A249" t="str">
        <f>'HIDDEN import'!B249</f>
        <v>TC_M_16_CSMS</v>
      </c>
      <c r="B249" t="str">
        <f>'HIDDEN import'!C249</f>
        <v>ISO 15118 Support</v>
      </c>
      <c r="C249" t="str">
        <f>'HIDDEN import'!D249</f>
        <v>Retrieve certificates from Charging Station - MORootCertificate</v>
      </c>
      <c r="D249" t="str">
        <f>IF(VLOOKUP(A249&amp;" "&amp;B249,'HIDDEN import'!A:G,5,FALSE)="M",MD!$A$1,(IF(AND(VLOOKUP(A249,'HIDDEN import'!B:E,4,FALSE)="C",OR(NOT(ISERROR(VLOOKUP(E249,'Optional features'!B:E,1,FALSE)=E249)),NOT(ISERROR(VLOOKUP(E249,'HIDDEN calc sheet'!A:C,1,FALSE)=E249)))),MD!$A$3,MD!$A$2)))</f>
        <v>Mandatory test for a mandatory feature</v>
      </c>
      <c r="E249" t="str">
        <f>IF('HIDDEN import'!F249=0,"",'HIDDEN import'!F249)</f>
        <v/>
      </c>
      <c r="F249" t="str">
        <f>IF('HIDDEN import'!G249=0,"",'HIDDEN import'!G249)</f>
        <v/>
      </c>
      <c r="G249" s="49" t="str">
        <f>IFERROR(VLOOKUP($A249,'HIDDEN Testrun Results'!$A:$B,2,FALSE),"")</f>
        <v/>
      </c>
      <c r="H249" s="49" t="b">
        <f t="shared" si="3"/>
        <v>0</v>
      </c>
      <c r="I249" s="49" t="b">
        <f>IF(VLOOKUP(A249&amp;" "&amp;B249,'HIDDEN import'!A:G,5,FALSE)="M",TRUE,IFERROR(VLOOKUP(E249,'Optional features'!B:E,3,FALSE)="Yes",IFERROR(VLOOKUP(E249,'HIDDEN calc sheet'!A:B,2,FALSE),VLOOKUP(E249,'Additional questions'!B:D,3,FALSE)="Yes")))</f>
        <v>1</v>
      </c>
      <c r="J249" t="b">
        <f>IF(VLOOKUP(B249,'Profile selection'!B:C,2,FALSE)="Yes",TRUE,FALSE)</f>
        <v>0</v>
      </c>
      <c r="K249" s="22" t="b">
        <f>IF(AND(D249=MD!$A$1,M249),TRUE,(IF(AND(D249=MD!$A$3,M249),(IF(L249=TRUE,TRUE,FALSE)),(IF(AND(D249=MD!$A$2,M249),(IF(N249=TRUE,TRUE,FALSE)),FALSE)))))</f>
        <v>0</v>
      </c>
      <c r="M249" t="b">
        <f>IF(VLOOKUP(B249,'Profile selection'!B:C,2,FALSE)="Yes",TRUE,FALSE)</f>
        <v>0</v>
      </c>
      <c r="P249" s="73"/>
      <c r="Q249" s="73"/>
    </row>
    <row r="250" spans="1:17" x14ac:dyDescent="0.25">
      <c r="A250" t="str">
        <f>'HIDDEN import'!B250</f>
        <v>TC_M_03_CSMS</v>
      </c>
      <c r="B250" t="str">
        <f>'HIDDEN import'!C250</f>
        <v>ISO 15118 Support</v>
      </c>
      <c r="C250" t="str">
        <f>'HIDDEN import'!D250</f>
        <v>Install CA certificate - V2GRootCertificate</v>
      </c>
      <c r="D250" t="str">
        <f>IF(VLOOKUP(A250&amp;" "&amp;B250,'HIDDEN import'!A:G,5,FALSE)="M",MD!$A$1,(IF(AND(VLOOKUP(A250,'HIDDEN import'!B:E,4,FALSE)="C",OR(NOT(ISERROR(VLOOKUP(E250,'Optional features'!B:E,1,FALSE)=E250)),NOT(ISERROR(VLOOKUP(E250,'HIDDEN calc sheet'!A:C,1,FALSE)=E250)))),MD!$A$3,MD!$A$2)))</f>
        <v>Mandatory test for a mandatory feature</v>
      </c>
      <c r="E250" t="str">
        <f>IF('HIDDEN import'!F250=0,"",'HIDDEN import'!F250)</f>
        <v/>
      </c>
      <c r="F250" t="str">
        <f>IF('HIDDEN import'!G250=0,"",'HIDDEN import'!G250)</f>
        <v/>
      </c>
      <c r="G250" s="49" t="str">
        <f>IFERROR(VLOOKUP($A250,'HIDDEN Testrun Results'!$A:$B,2,FALSE),"")</f>
        <v/>
      </c>
      <c r="H250" s="49" t="b">
        <f t="shared" si="3"/>
        <v>0</v>
      </c>
      <c r="I250" s="49" t="b">
        <f>IF(VLOOKUP(A250&amp;" "&amp;B250,'HIDDEN import'!A:G,5,FALSE)="M",TRUE,IFERROR(VLOOKUP(E250,'Optional features'!B:E,3,FALSE)="Yes",IFERROR(VLOOKUP(E250,'HIDDEN calc sheet'!A:B,2,FALSE),VLOOKUP(E250,'Additional questions'!B:D,3,FALSE)="Yes")))</f>
        <v>1</v>
      </c>
      <c r="J250" t="b">
        <f>IF(VLOOKUP(B250,'Profile selection'!B:C,2,FALSE)="Yes",TRUE,FALSE)</f>
        <v>0</v>
      </c>
      <c r="K250" s="22" t="b">
        <f>IF(AND(D250=MD!$A$1,M250),TRUE,(IF(AND(D250=MD!$A$3,M250),(IF(L250=TRUE,TRUE,FALSE)),(IF(AND(D250=MD!$A$2,M250),(IF(N250=TRUE,TRUE,FALSE)),FALSE)))))</f>
        <v>0</v>
      </c>
      <c r="M250" t="b">
        <f>IF(VLOOKUP(B250,'Profile selection'!B:C,2,FALSE)="Yes",TRUE,FALSE)</f>
        <v>0</v>
      </c>
      <c r="P250" s="73"/>
      <c r="Q250" s="73"/>
    </row>
    <row r="251" spans="1:17" x14ac:dyDescent="0.25">
      <c r="A251" t="str">
        <f>'HIDDEN import'!B251</f>
        <v>TC_M_04_CSMS</v>
      </c>
      <c r="B251" t="str">
        <f>'HIDDEN import'!C251</f>
        <v>ISO 15118 Support</v>
      </c>
      <c r="C251" t="str">
        <f>'HIDDEN import'!D251</f>
        <v>Install CA certificate - MORootCertificate</v>
      </c>
      <c r="D251" t="str">
        <f>IF(VLOOKUP(A251&amp;" "&amp;B251,'HIDDEN import'!A:G,5,FALSE)="M",MD!$A$1,(IF(AND(VLOOKUP(A251,'HIDDEN import'!B:E,4,FALSE)="C",OR(NOT(ISERROR(VLOOKUP(E251,'Optional features'!B:E,1,FALSE)=E251)),NOT(ISERROR(VLOOKUP(E251,'HIDDEN calc sheet'!A:C,1,FALSE)=E251)))),MD!$A$3,MD!$A$2)))</f>
        <v>Mandatory test for a mandatory feature</v>
      </c>
      <c r="E251" t="str">
        <f>IF('HIDDEN import'!F251=0,"",'HIDDEN import'!F251)</f>
        <v/>
      </c>
      <c r="F251" t="str">
        <f>IF('HIDDEN import'!G251=0,"",'HIDDEN import'!G251)</f>
        <v/>
      </c>
      <c r="G251" s="49" t="str">
        <f>IFERROR(VLOOKUP($A251,'HIDDEN Testrun Results'!$A:$B,2,FALSE),"")</f>
        <v/>
      </c>
      <c r="H251" s="49" t="b">
        <f t="shared" si="3"/>
        <v>0</v>
      </c>
      <c r="I251" s="49" t="b">
        <f>IF(VLOOKUP(A251&amp;" "&amp;B251,'HIDDEN import'!A:G,5,FALSE)="M",TRUE,IFERROR(VLOOKUP(E251,'Optional features'!B:E,3,FALSE)="Yes",IFERROR(VLOOKUP(E251,'HIDDEN calc sheet'!A:B,2,FALSE),VLOOKUP(E251,'Additional questions'!B:D,3,FALSE)="Yes")))</f>
        <v>1</v>
      </c>
      <c r="J251" t="b">
        <f>IF(VLOOKUP(B251,'Profile selection'!B:C,2,FALSE)="Yes",TRUE,FALSE)</f>
        <v>0</v>
      </c>
      <c r="K251" s="22" t="b">
        <f>IF(AND(D251=MD!$A$1,M251),TRUE,(IF(AND(D251=MD!$A$3,M251),(IF(L251=TRUE,TRUE,FALSE)),(IF(AND(D251=MD!$A$2,M251),(IF(N251=TRUE,TRUE,FALSE)),FALSE)))))</f>
        <v>0</v>
      </c>
      <c r="M251" t="b">
        <f>IF(VLOOKUP(B251,'Profile selection'!B:C,2,FALSE)="Yes",TRUE,FALSE)</f>
        <v>0</v>
      </c>
      <c r="P251" s="73"/>
      <c r="Q251" s="73"/>
    </row>
    <row r="252" spans="1:17" x14ac:dyDescent="0.25">
      <c r="A252" t="str">
        <f>'HIDDEN import'!B252</f>
        <v>TC_M_24_CSMS</v>
      </c>
      <c r="B252" t="str">
        <f>'HIDDEN import'!C252</f>
        <v>ISO 15118 Support</v>
      </c>
      <c r="C252" t="str">
        <f>'HIDDEN import'!D252</f>
        <v>Get Charging Station Certificate status - Success</v>
      </c>
      <c r="D252" t="str">
        <f>IF(VLOOKUP(A252&amp;" "&amp;B252,'HIDDEN import'!A:G,5,FALSE)="M",MD!$A$1,(IF(AND(VLOOKUP(A252,'HIDDEN import'!B:E,4,FALSE)="C",OR(NOT(ISERROR(VLOOKUP(E252,'Optional features'!B:E,1,FALSE)=E252)),NOT(ISERROR(VLOOKUP(E252,'HIDDEN calc sheet'!A:C,1,FALSE)=E252)))),MD!$A$3,MD!$A$2)))</f>
        <v>Mandatory test for a mandatory feature</v>
      </c>
      <c r="E252" t="str">
        <f>IF('HIDDEN import'!F252=0,"",'HIDDEN import'!F252)</f>
        <v/>
      </c>
      <c r="F252" t="str">
        <f>IF('HIDDEN import'!G252=0,"",'HIDDEN import'!G252)</f>
        <v/>
      </c>
      <c r="G252" s="49" t="str">
        <f>IFERROR(VLOOKUP($A252,'HIDDEN Testrun Results'!$A:$B,2,FALSE),"")</f>
        <v/>
      </c>
      <c r="H252" s="49" t="b">
        <f t="shared" si="3"/>
        <v>0</v>
      </c>
      <c r="I252" s="49" t="b">
        <f>IF(VLOOKUP(A252&amp;" "&amp;B252,'HIDDEN import'!A:G,5,FALSE)="M",TRUE,IFERROR(VLOOKUP(E252,'Optional features'!B:E,3,FALSE)="Yes",IFERROR(VLOOKUP(E252,'HIDDEN calc sheet'!A:B,2,FALSE),VLOOKUP(E252,'Additional questions'!B:D,3,FALSE)="Yes")))</f>
        <v>1</v>
      </c>
      <c r="J252" t="b">
        <f>IF(VLOOKUP(B252,'Profile selection'!B:C,2,FALSE)="Yes",TRUE,FALSE)</f>
        <v>0</v>
      </c>
      <c r="K252" s="22" t="b">
        <f>IF(AND(D252=MD!$A$1,M252),TRUE,(IF(AND(D252=MD!$A$3,M252),(IF(L252=TRUE,TRUE,FALSE)),(IF(AND(D252=MD!$A$2,M252),(IF(N252=TRUE,TRUE,FALSE)),FALSE)))))</f>
        <v>0</v>
      </c>
      <c r="M252" t="b">
        <f>IF(VLOOKUP(B252,'Profile selection'!B:C,2,FALSE)="Yes",TRUE,FALSE)</f>
        <v>0</v>
      </c>
      <c r="P252" s="73"/>
      <c r="Q252" s="73"/>
    </row>
    <row r="253" spans="1:17" x14ac:dyDescent="0.25">
      <c r="A253" t="str">
        <f>'HIDDEN import'!B253</f>
        <v>TC_N_63_CSMS</v>
      </c>
      <c r="B253" t="str">
        <f>'HIDDEN import'!C253</f>
        <v>ISO 15118 Support</v>
      </c>
      <c r="C253" t="str">
        <f>'HIDDEN import'!D253</f>
        <v>Clear Customer Information - Clear and report - customerCertificate</v>
      </c>
      <c r="D253" t="str">
        <f>IF(VLOOKUP(A253&amp;" "&amp;B253,'HIDDEN import'!A:G,5,FALSE)="M",MD!$A$1,(IF(AND(VLOOKUP(A253,'HIDDEN import'!B:E,4,FALSE)="C",OR(NOT(ISERROR(VLOOKUP(E253,'Optional features'!B:E,1,FALSE)=E253)),NOT(ISERROR(VLOOKUP(E253,'HIDDEN calc sheet'!A:C,1,FALSE)=E253)))),MD!$A$3,MD!$A$2)))</f>
        <v>Mandatory for optional feature</v>
      </c>
      <c r="E253" t="str">
        <f>IF('HIDDEN import'!F253=0,"",'HIDDEN import'!F253)</f>
        <v>ISO-4</v>
      </c>
      <c r="F253" t="str">
        <f>IF('HIDDEN import'!G253=0,"",'HIDDEN import'!G253)</f>
        <v/>
      </c>
      <c r="G253" s="49" t="str">
        <f>IFERROR(VLOOKUP($A253,'HIDDEN Testrun Results'!$A:$B,2,FALSE),"")</f>
        <v/>
      </c>
      <c r="H253" s="49" t="b">
        <f t="shared" ref="H253" si="4">IF(NOT(ISLOGICAL(I253)),I253,AND(I253,J253))</f>
        <v>0</v>
      </c>
      <c r="I253" s="49" t="b">
        <f>IF(VLOOKUP(A253&amp;" "&amp;B253,'HIDDEN import'!A:G,5,FALSE)="M",TRUE,IFERROR(VLOOKUP(E253,'Optional features'!B:E,3,FALSE)="Yes",IFERROR(VLOOKUP(E253,'HIDDEN calc sheet'!A:B,2,FALSE),VLOOKUP(E253,'Additional questions'!B:D,3,FALSE)="Yes")))</f>
        <v>0</v>
      </c>
      <c r="J253" t="b">
        <f>IF(VLOOKUP(B253,'Profile selection'!B:C,2,FALSE)="Yes",TRUE,FALSE)</f>
        <v>0</v>
      </c>
      <c r="K253" s="22" t="b">
        <f>IF(AND(D253=MD!$A$1,M253),TRUE,(IF(AND(D253=MD!$A$3,M253),(IF(L253=TRUE,TRUE,FALSE)),(IF(AND(D253=MD!$A$2,M253),(IF(N253=TRUE,TRUE,FALSE)),FALSE)))))</f>
        <v>0</v>
      </c>
      <c r="P253" s="73"/>
      <c r="Q253" s="73"/>
    </row>
    <row r="254" spans="1:17" x14ac:dyDescent="0.25">
      <c r="P254" s="73"/>
      <c r="Q254" s="73"/>
    </row>
  </sheetData>
  <sheetProtection algorithmName="SHA-512" hashValue="haCRHqNhYt/aEzt9KZW16meiBnXXRwoFO2WOL40JRc5uKVFJlSzi2/Wv/AJ5ZA2r9wmsOHP/Kz/AuGQB9hIatQ==" saltValue="AsRrlKAIc7KIXTZhES+K8A==" spinCount="100000" sheet="1" formatColumns="0" autoFilter="0"/>
  <autoFilter ref="A1:O253" xr:uid="{A2FAF7F4-22BB-4C7A-8725-B2823D94C6A6}"/>
  <pageMargins left="0.7" right="0.7" top="0.75" bottom="0.75" header="0.3" footer="0.3"/>
  <headerFooter>
    <oddFooter>&amp;C_x000D_&amp;1#&amp;"Arial"&amp;9&amp;K000000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c0df782-0713-43be-b8d1-e2ff849827a7" xsi:nil="true"/>
    <lcf76f155ced4ddcb4097134ff3c332f xmlns="4d8613b4-e81d-4525-b3bf-245aa758d49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1D62FE54BF1D49A4E2FF9B597CC145" ma:contentTypeVersion="16" ma:contentTypeDescription="Een nieuw document maken." ma:contentTypeScope="" ma:versionID="1f8b24117face3f15985504c530e0944">
  <xsd:schema xmlns:xsd="http://www.w3.org/2001/XMLSchema" xmlns:xs="http://www.w3.org/2001/XMLSchema" xmlns:p="http://schemas.microsoft.com/office/2006/metadata/properties" xmlns:ns2="4d8613b4-e81d-4525-b3bf-245aa758d498" xmlns:ns3="4c0df782-0713-43be-b8d1-e2ff849827a7" targetNamespace="http://schemas.microsoft.com/office/2006/metadata/properties" ma:root="true" ma:fieldsID="9dd2f6231fa2505e99cb1c0f558a04e0" ns2:_="" ns3:_="">
    <xsd:import namespace="4d8613b4-e81d-4525-b3bf-245aa758d498"/>
    <xsd:import namespace="4c0df782-0713-43be-b8d1-e2ff849827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8613b4-e81d-4525-b3bf-245aa758d4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88de567b-8e6c-4af0-ad3d-8df73b5d25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0df782-0713-43be-b8d1-e2ff849827a7"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3cec4785-7953-43cd-b88d-f7a19bc64697}" ma:internalName="TaxCatchAll" ma:showField="CatchAllData" ma:web="4c0df782-0713-43be-b8d1-e2ff849827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3D641-1115-4A27-B4E3-8AA5499130A4}">
  <ds:schemaRefs>
    <ds:schemaRef ds:uri="4d8613b4-e81d-4525-b3bf-245aa758d498"/>
    <ds:schemaRef ds:uri="http://schemas.microsoft.com/office/2006/documentManagement/types"/>
    <ds:schemaRef ds:uri="http://purl.org/dc/dcmitype/"/>
    <ds:schemaRef ds:uri="4c0df782-0713-43be-b8d1-e2ff849827a7"/>
    <ds:schemaRef ds:uri="http://purl.org/dc/term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581F9986-49DF-4969-B781-07933AD63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8613b4-e81d-4525-b3bf-245aa758d498"/>
    <ds:schemaRef ds:uri="4c0df782-0713-43be-b8d1-e2ff849827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486B9E-AE68-4201-847E-B912AB74C59F}">
  <ds:schemaRefs>
    <ds:schemaRef ds:uri="http://schemas.microsoft.com/sharepoint/v3/contenttype/forms"/>
  </ds:schemaRefs>
</ds:datastoreItem>
</file>

<file path=docMetadata/LabelInfo.xml><?xml version="1.0" encoding="utf-8"?>
<clbl:labelList xmlns:clbl="http://schemas.microsoft.com/office/2020/mipLabelMetadata">
  <clbl:label id="{4af293e6-3850-4258-b2c7-0aa0e3bfa7d9}" enabled="1" method="Privileged" siteId="{b9fec68c-c92d-461e-9a97-3d03a0f18b82}"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Explanation</vt:lpstr>
      <vt:lpstr>General information</vt:lpstr>
      <vt:lpstr>Profile selection</vt:lpstr>
      <vt:lpstr>Optional features</vt:lpstr>
      <vt:lpstr>Additional questions</vt:lpstr>
      <vt:lpstr>Other&amp;Vendor Specific Settings</vt:lpstr>
      <vt:lpstr>HIDDEN Testrun Results</vt:lpstr>
      <vt:lpstr>Performance Measurement</vt:lpstr>
      <vt:lpstr>CSMS Testcases</vt:lpstr>
      <vt:lpstr>Statement of Approval</vt:lpstr>
      <vt:lpstr>HIDDEN features</vt:lpstr>
      <vt:lpstr>HIDDEN import</vt:lpstr>
      <vt:lpstr>HIDDEN calc sheet</vt:lpstr>
      <vt:lpstr>MD</vt:lpstr>
      <vt:lpstr>Additional_questions</vt:lpstr>
      <vt:lpstr>Authorization_options_for_local_start</vt:lpstr>
      <vt:lpstr>Authorization_options_for_remote_start</vt:lpstr>
      <vt:lpstr>Communication_technology</vt:lpstr>
      <vt:lpstr>CP_Advanced_Device_Management</vt:lpstr>
      <vt:lpstr>CP_Advanced_Security</vt:lpstr>
      <vt:lpstr>CP_Advanced_User_Interface</vt:lpstr>
      <vt:lpstr>CP_CORE</vt:lpstr>
      <vt:lpstr>CP_CORE_2</vt:lpstr>
      <vt:lpstr>CP_ISO15118_Support</vt:lpstr>
      <vt:lpstr>CP_Local_Authorization_List_Management</vt:lpstr>
      <vt:lpstr>CP_Reservation</vt:lpstr>
      <vt:lpstr>CP_Smart_Charging</vt:lpstr>
      <vt:lpstr>Device_info</vt:lpstr>
      <vt:lpstr>Measured_performance</vt:lpstr>
      <vt:lpstr>OCPP_201_Certification</vt:lpstr>
      <vt:lpstr>Performance_measurement</vt:lpstr>
      <vt:lpstr>Performed_On</vt:lpstr>
      <vt:lpstr>Profile_Selection</vt:lpstr>
      <vt:lpstr>Test_laboratory</vt:lpstr>
      <vt:lpstr>Test_laboratory_signature</vt:lpstr>
      <vt:lpstr>Test_laboratory_signature_image</vt:lpstr>
      <vt:lpstr>Test_Report_Reference</vt:lpstr>
      <vt:lpstr>'HIDDEN Testrun Results'!testresults</vt:lpstr>
      <vt:lpstr>Vendor</vt:lpstr>
      <vt:lpstr>Vendor_signature</vt:lpstr>
      <vt:lpstr>Vendor_signature_image</vt:lpstr>
      <vt:lpstr>Vendor_Specific_Settings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OCPP 2.0.1. PICS CSMS</dc:title>
  <dc:subject>OCPP 2.0.1 Protocol Implementation Confirmance Statement for Charging Station Management Systems</dc:subject>
  <dc:creator>Open Charge Alliance</dc:creator>
  <cp:keywords/>
  <dc:description/>
  <cp:lastModifiedBy>Klapwijk, Paul</cp:lastModifiedBy>
  <cp:revision/>
  <dcterms:created xsi:type="dcterms:W3CDTF">2023-01-12T22:55:44Z</dcterms:created>
  <dcterms:modified xsi:type="dcterms:W3CDTF">2024-11-29T14:12:33Z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0x010100381D62FE54BF1D49A4E2FF9B597CC145</vt:lpwstr>
  </property>
  <property fmtid="{D5CDD505-2E9C-101B-9397-08002B2CF9AE}" pid="3" name="MediaServiceImageTags">
    <vt:lpwstr/>
  </property>
</Properties>
</file>