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queryTables/queryTable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wsl.localhost\Ubuntu-24.04\home\paul\local_git\OCTT-certification\PICS\"/>
    </mc:Choice>
  </mc:AlternateContent>
  <xr:revisionPtr revIDLastSave="0" documentId="13_ncr:1_{F83B7B61-27F0-43D7-BD5C-27775FA362F7}" xr6:coauthVersionLast="47" xr6:coauthVersionMax="47" xr10:uidLastSave="{00000000-0000-0000-0000-000000000000}"/>
  <workbookProtection workbookAlgorithmName="SHA-512" workbookHashValue="R0vBq7RntKZK/BQU3grpspiY74pZ7IKzf0EnMrofA43xGk8J5XFYhkAlfYgX+ZxIUnk1MfEIm1Ch1cAR0UGOvQ==" workbookSaltValue="BYUFEl8N4ywpx8FvcL7E3w==" workbookSpinCount="100000" lockStructure="1"/>
  <bookViews>
    <workbookView xWindow="-28740" yWindow="1095" windowWidth="26700" windowHeight="14940" tabRatio="908" xr2:uid="{0AD6A54D-9BEE-E14E-B9B4-E461770D2F5F}"/>
  </bookViews>
  <sheets>
    <sheet name="Explanation" sheetId="9" r:id="rId1"/>
    <sheet name="Hardware Feature set" sheetId="2" r:id="rId2"/>
    <sheet name="Profile selection" sheetId="8" r:id="rId3"/>
    <sheet name="Optional features" sheetId="3" r:id="rId4"/>
    <sheet name="Additional questions" sheetId="5" r:id="rId5"/>
    <sheet name="Other relevant settings" sheetId="6" r:id="rId6"/>
    <sheet name="Vendor Specific Settings" sheetId="16" r:id="rId7"/>
    <sheet name="Performance Measurement" sheetId="7" r:id="rId8"/>
    <sheet name="Charging Station Testcases" sheetId="1" r:id="rId9"/>
    <sheet name="Statement of Approval" sheetId="14" r:id="rId10"/>
    <sheet name="OCPP family members" sheetId="18" r:id="rId11"/>
    <sheet name="HIDDEN Testrun Results" sheetId="17" state="hidden" r:id="rId12"/>
    <sheet name="HIDDEN calc sheet" sheetId="11" state="hidden" r:id="rId13"/>
    <sheet name="HIDDEN import" sheetId="12" state="hidden" r:id="rId14"/>
    <sheet name="HIDDEN features" sheetId="13" state="hidden" r:id="rId15"/>
    <sheet name="MD" sheetId="10" state="hidden" r:id="rId16"/>
  </sheets>
  <externalReferences>
    <externalReference r:id="rId17"/>
  </externalReferences>
  <definedNames>
    <definedName name="_xlnm._FilterDatabase" localSheetId="8" hidden="1">'Charging Station Testcases'!$A$2:$K$448</definedName>
    <definedName name="_xlnm._FilterDatabase" localSheetId="12" hidden="1">'HIDDEN calc sheet'!$A$1:$F$85</definedName>
    <definedName name="_xlnm._FilterDatabase" localSheetId="13" hidden="1">'HIDDEN import'!$A$1:$G$1</definedName>
    <definedName name="Additional_DUT_information">'Statement of Approval'!$B$6:$G$7</definedName>
    <definedName name="Additional_Network_Communication_Ports">'Statement of Approval'!$B$10:$G$14</definedName>
    <definedName name="Additional_questions">'Additional questions'!$B$4:$D$16</definedName>
    <definedName name="Additional_questions_description">'Additional questions'!$C$2</definedName>
    <definedName name="Additional_Test_information">'Statement of Approval'!$B$36:$C$38</definedName>
    <definedName name="Authorization_options_for_local_start">'Optional features'!#REF!</definedName>
    <definedName name="Authorization_options_for_remote_start">'Optional features'!#REF!</definedName>
    <definedName name="CalculateConfigID">_xlfn.LAMBDA(_xlpm.v,     _xlfn.MAP(         _xlpm.v,         _xlfn.LAMBDA(_xlpm.x,             _xlfn.LET(                 _xlpm.y, _xlfn.VALUETOTEXT(_xlpm.x,0),                 _xlpm.l, LEN(_xlpm.y),                 _xlfn.REDUCE(                     5381,                     _xlfn.SEQUENCE(_xlpm.l),                     _xlfn.LAMBDA(_xlpm.a,_xlpm.j,                         _xlfn.LET(                             _xlpm.z, CODE(MID(_xlpm.y, _xlpm.j, 1)),                             MOD(_xlpm.a * 33 + _xlpm.z, 2 ^ 32)                         )                     )                 )             )         )     ) )</definedName>
    <definedName name="CE_Security">'Optional features'!$B$36:$D$39</definedName>
    <definedName name="CE_Security_Cipher_Suites">'Optional features'!$B$41:$D$42</definedName>
    <definedName name="certificate_photo">'Statement of Approval'!$I$7</definedName>
    <definedName name="Certification_Extensions">'Profile selection'!$B$14:$D$15</definedName>
    <definedName name="Communication_technology">'Performance Measurement'!$B$17:$C$17</definedName>
    <definedName name="CP_Advanced_Device_Management">'Optional features'!#REF!</definedName>
    <definedName name="CP_Advanced_Security">'Optional features'!#REF!</definedName>
    <definedName name="CP_Advanced_User_Interface">'Optional features'!#REF!</definedName>
    <definedName name="CP_CORE">'Optional features'!$B$4:$D$15</definedName>
    <definedName name="CP_CORE_2">'Optional features'!#REF!</definedName>
    <definedName name="CP_CORE_description">'Optional features'!$C$2</definedName>
    <definedName name="CP_Firmware_Management">'Optional features'!$B$23:$D$24</definedName>
    <definedName name="CP_ISO15118_Support">'Optional features'!#REF!</definedName>
    <definedName name="CP_Local_Authorization_List_Management">'Optional features'!#REF!</definedName>
    <definedName name="CP_Reservation">'Optional features'!$B$31:$D$32</definedName>
    <definedName name="CP_Smart_Charging">'Optional features'!$B$26:$D$29</definedName>
    <definedName name="Device_info">'Hardware Feature set'!$C$4:$D$8</definedName>
    <definedName name="DUT_photo">'Statement of Approval'!$B$41:$F$84</definedName>
    <definedName name="EVSE_list">'Hardware Feature set'!$F$5:$J$43</definedName>
    <definedName name="Hardware_feature_set">'Hardware Feature set'!$B$11:$D$34</definedName>
    <definedName name="Hardware_feature_set_description">'Hardware Feature set'!$C$2</definedName>
    <definedName name="Measured_performance">'Performance Measurement'!$B$11:$F$15</definedName>
    <definedName name="Metervalues">'Optional features'!$B$17:$E$20</definedName>
    <definedName name="OCPP_16_Certification">Explanation!$C$6:$D$11</definedName>
    <definedName name="Other_relevant_settings">'Other relevant settings'!$B$4:$D$35</definedName>
    <definedName name="Other_relevant_settings_description">'Other relevant settings'!$C$2</definedName>
    <definedName name="Performance_measurement">'Performance Measurement'!$B$4:$E$8</definedName>
    <definedName name="Performance_measurement_description">'Performance Measurement'!$B$2</definedName>
    <definedName name="Performed_On">'Statement of Approval'!$B$25:$C$25</definedName>
    <definedName name="PICS_Id">Explanation!$D$44</definedName>
    <definedName name="Product_Family_Distinct_Features">'OCPP family members'!$C$7:$D$23</definedName>
    <definedName name="Product_Family_Member_1">'OCPP family members'!$G$7:$G$25</definedName>
    <definedName name="Product_Family_Member_2">'OCPP family members'!$H$7:$H$25</definedName>
    <definedName name="Product_Family_Member_3">'OCPP family members'!$I$7:$I$25</definedName>
    <definedName name="Product_Family_Member_4">'OCPP family members'!$J$7:$J$25</definedName>
    <definedName name="Product_Family_Member_5">'OCPP family members'!$K$7:$K$25</definedName>
    <definedName name="Product_Family_Member_6">'OCPP family members'!$L$7:$L$25</definedName>
    <definedName name="Product_Family_Member_7">'OCPP family members'!$M$7:$M$25</definedName>
    <definedName name="Profile_Selection" localSheetId="10">'[1]Profile selection'!$B$3:$D$11</definedName>
    <definedName name="Profile_Selection">'Profile selection'!$B$3:$D$9</definedName>
    <definedName name="Security_profiles">'Optional features'!$C$37:$D$39</definedName>
    <definedName name="Test_laboratory">'Statement of Approval'!$B$28:$C$33</definedName>
    <definedName name="Test_laboratory_signature">'Statement of Approval'!$E$24:$F$25</definedName>
    <definedName name="Test_laboratory_signature_image">'Statement of Approval'!$A$23:$H$34</definedName>
    <definedName name="Test_Location">'Statement of Approval'!$B$26:$C$26</definedName>
    <definedName name="Test_Report_Reference">'Statement of Approval'!$B$27:$C$27</definedName>
    <definedName name="Testcase_List">'Charging Station Testcases'!$A$2:$M$10001</definedName>
    <definedName name="Testcase_List_description">'Charging Station Testcases'!$A$1</definedName>
    <definedName name="testresults" localSheetId="11">'HIDDEN Testrun Results'!$A$1:$B$1</definedName>
    <definedName name="Vendor">'Statement of Approval'!$B$17:$C$21</definedName>
    <definedName name="Vendor_Family_Members">'OCPP family members'!$C$32:$D$36</definedName>
    <definedName name="Vendor_signature">'Statement of Approval'!$E$16:$F$17</definedName>
    <definedName name="Vendor_signature_Family_Members">'OCPP family members'!$E$31:$G$32</definedName>
    <definedName name="Vendor_signature_image">'Statement of Approval'!$A$16:$H$22</definedName>
    <definedName name="vendor_signature_image_Family_Members">'OCPP family members'!$B$31:$I$37</definedName>
    <definedName name="Vendor_Specific_Settings">'Vendor Specific Settings'!$B$5:$D$28</definedName>
    <definedName name="Vendor_Specific_Settings_description">'Vendor Specific Settings'!$B$3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alcChain.xml><?xml version="1.0" encoding="utf-8"?>
<calcChain xmlns="http://schemas.openxmlformats.org/spreadsheetml/2006/main">
  <c r="J43" i="2" l="1"/>
  <c r="J42" i="2"/>
  <c r="J41" i="2"/>
  <c r="J40" i="2"/>
  <c r="J39" i="2"/>
  <c r="J38" i="2"/>
  <c r="J37" i="2"/>
  <c r="J36" i="2"/>
  <c r="J35" i="2"/>
  <c r="J34" i="2"/>
  <c r="J33" i="2"/>
  <c r="J32" i="2"/>
  <c r="J31" i="2"/>
  <c r="J30" i="2"/>
  <c r="J29" i="2"/>
  <c r="J28" i="2"/>
  <c r="J27" i="2"/>
  <c r="J26" i="2"/>
  <c r="J25" i="2"/>
  <c r="J24" i="2"/>
  <c r="J23" i="2"/>
  <c r="J22" i="2"/>
  <c r="J21" i="2"/>
  <c r="J20" i="2"/>
  <c r="J19" i="2"/>
  <c r="J18" i="2"/>
  <c r="J17" i="2"/>
  <c r="J16" i="2"/>
  <c r="J15" i="2"/>
  <c r="J14" i="2"/>
  <c r="J13" i="2"/>
  <c r="J12" i="2"/>
  <c r="J11" i="2"/>
  <c r="J10" i="2"/>
  <c r="J9" i="2"/>
  <c r="J8" i="2"/>
  <c r="J7" i="2"/>
  <c r="J6" i="2"/>
  <c r="D19" i="3"/>
  <c r="D20" i="3"/>
  <c r="B41" i="11" l="1"/>
  <c r="B46" i="11" l="1"/>
  <c r="B45" i="11"/>
  <c r="B43" i="11"/>
  <c r="B71" i="11"/>
  <c r="B49" i="11"/>
  <c r="B42" i="11"/>
  <c r="B44" i="11"/>
  <c r="B73" i="11"/>
  <c r="B74" i="11"/>
  <c r="B75" i="11"/>
  <c r="B76" i="11"/>
  <c r="B77" i="11"/>
  <c r="B78" i="11"/>
  <c r="B72" i="11"/>
  <c r="B57" i="11"/>
  <c r="B58" i="11"/>
  <c r="B59" i="11"/>
  <c r="B60" i="11"/>
  <c r="B61" i="11"/>
  <c r="B62" i="11"/>
  <c r="B63" i="11"/>
  <c r="B64" i="11"/>
  <c r="B65" i="11"/>
  <c r="B66" i="11"/>
  <c r="B67" i="11"/>
  <c r="B68" i="11"/>
  <c r="B69" i="11"/>
  <c r="B70" i="11"/>
  <c r="B56" i="11"/>
  <c r="B50" i="11"/>
  <c r="B51" i="11"/>
  <c r="B52" i="11"/>
  <c r="B53" i="11"/>
  <c r="B54" i="11"/>
  <c r="B55" i="11"/>
  <c r="E26" i="6"/>
  <c r="E25" i="6"/>
  <c r="E24" i="6"/>
  <c r="E20" i="6"/>
  <c r="E19" i="6"/>
  <c r="E15" i="6" l="1"/>
  <c r="F20" i="3" l="1"/>
  <c r="F19" i="3"/>
  <c r="I1" i="7"/>
  <c r="C36" i="14"/>
  <c r="C6" i="14"/>
  <c r="H6" i="14" s="1"/>
  <c r="E29" i="6"/>
  <c r="B6" i="14" l="1"/>
  <c r="C37" i="14"/>
  <c r="M9" i="18"/>
  <c r="L9" i="18"/>
  <c r="K9" i="18"/>
  <c r="J9" i="18"/>
  <c r="I9" i="18"/>
  <c r="H9" i="18"/>
  <c r="C37" i="11" l="1"/>
  <c r="C36" i="11"/>
  <c r="C35" i="11"/>
  <c r="C34" i="11"/>
  <c r="C33" i="11"/>
  <c r="C32" i="11"/>
  <c r="C31" i="11"/>
  <c r="D38" i="3"/>
  <c r="D24" i="3" s="1"/>
  <c r="E5" i="6"/>
  <c r="E22" i="2" l="1"/>
  <c r="E21" i="2"/>
  <c r="C7" i="14"/>
  <c r="H31" i="18" l="1"/>
  <c r="H32" i="18"/>
  <c r="H33" i="18"/>
  <c r="H34" i="18"/>
  <c r="H35" i="18"/>
  <c r="H36" i="18"/>
  <c r="C15" i="18"/>
  <c r="E15" i="18" s="1"/>
  <c r="N15" i="18" s="1"/>
  <c r="E19" i="18"/>
  <c r="N19" i="18" s="1"/>
  <c r="D19" i="18"/>
  <c r="E16" i="18"/>
  <c r="N16" i="18" s="1"/>
  <c r="C14" i="18"/>
  <c r="E14" i="18" s="1"/>
  <c r="C13" i="18"/>
  <c r="E7" i="18"/>
  <c r="D15" i="18" l="1"/>
  <c r="D14" i="18"/>
  <c r="D13" i="18"/>
  <c r="D16" i="18"/>
  <c r="C32" i="3" l="1"/>
  <c r="E8" i="2"/>
  <c r="C8" i="2" l="1"/>
  <c r="G24" i="14"/>
  <c r="G16" i="14"/>
  <c r="B14" i="11" l="1"/>
  <c r="K8" i="2"/>
  <c r="K9" i="2"/>
  <c r="K10" i="2"/>
  <c r="K11" i="2"/>
  <c r="K12" i="2"/>
  <c r="K13" i="2"/>
  <c r="K14" i="2"/>
  <c r="K15" i="2"/>
  <c r="K16" i="2"/>
  <c r="K17" i="2"/>
  <c r="K18" i="2"/>
  <c r="K19" i="2"/>
  <c r="K20" i="2"/>
  <c r="K21" i="2"/>
  <c r="K22" i="2"/>
  <c r="K23" i="2"/>
  <c r="K24" i="2"/>
  <c r="K25" i="2"/>
  <c r="K26" i="2"/>
  <c r="K27" i="2"/>
  <c r="K28" i="2"/>
  <c r="K29" i="2"/>
  <c r="K30" i="2"/>
  <c r="K31" i="2"/>
  <c r="K32" i="2"/>
  <c r="K33" i="2"/>
  <c r="K34" i="2"/>
  <c r="K35" i="2"/>
  <c r="K36" i="2"/>
  <c r="K37" i="2"/>
  <c r="K38" i="2"/>
  <c r="K39" i="2"/>
  <c r="K40" i="2"/>
  <c r="K41" i="2"/>
  <c r="K42" i="2"/>
  <c r="K43" i="2"/>
  <c r="E15" i="7" l="1"/>
  <c r="D15" i="7"/>
  <c r="C15" i="7"/>
  <c r="C19" i="3"/>
  <c r="C18" i="3"/>
  <c r="C20" i="3"/>
  <c r="E23" i="18" l="1"/>
  <c r="D23" i="18"/>
  <c r="D22" i="18"/>
  <c r="B27" i="11"/>
  <c r="B18" i="11"/>
  <c r="B26" i="11"/>
  <c r="B25" i="11"/>
  <c r="E42" i="3"/>
  <c r="E39" i="3"/>
  <c r="E38" i="3"/>
  <c r="E37" i="3"/>
  <c r="E36" i="3"/>
  <c r="K6" i="2"/>
  <c r="K7" i="2"/>
  <c r="G29" i="14"/>
  <c r="E22" i="18" l="1"/>
  <c r="E35" i="6"/>
  <c r="F1" i="6" s="1"/>
  <c r="A83" i="1" l="1"/>
  <c r="B83" i="1"/>
  <c r="K83" i="1" s="1"/>
  <c r="C83" i="1"/>
  <c r="E83" i="1"/>
  <c r="F83" i="1"/>
  <c r="A84" i="1"/>
  <c r="G84" i="1" s="1"/>
  <c r="B84" i="1"/>
  <c r="K84" i="1" s="1"/>
  <c r="C84" i="1"/>
  <c r="E84" i="1"/>
  <c r="F84" i="1"/>
  <c r="A85" i="1"/>
  <c r="B85" i="1"/>
  <c r="K85" i="1" s="1"/>
  <c r="C85" i="1"/>
  <c r="E85" i="1"/>
  <c r="F85" i="1"/>
  <c r="A86" i="1"/>
  <c r="G86" i="1" s="1"/>
  <c r="B86" i="1"/>
  <c r="C86" i="1"/>
  <c r="E86" i="1"/>
  <c r="F86" i="1"/>
  <c r="A87" i="1"/>
  <c r="B87" i="1"/>
  <c r="K87" i="1" s="1"/>
  <c r="C87" i="1"/>
  <c r="E87" i="1"/>
  <c r="F87" i="1"/>
  <c r="A88" i="1"/>
  <c r="G88" i="1" s="1"/>
  <c r="B88" i="1"/>
  <c r="K88" i="1" s="1"/>
  <c r="C88" i="1"/>
  <c r="E88" i="1"/>
  <c r="F88" i="1"/>
  <c r="A89" i="1"/>
  <c r="B89" i="1"/>
  <c r="K89" i="1" s="1"/>
  <c r="C89" i="1"/>
  <c r="E89" i="1"/>
  <c r="F89" i="1"/>
  <c r="A90" i="1"/>
  <c r="G90" i="1" s="1"/>
  <c r="B90" i="1"/>
  <c r="K90" i="1" s="1"/>
  <c r="C90" i="1"/>
  <c r="E90" i="1"/>
  <c r="F90" i="1"/>
  <c r="A91" i="1"/>
  <c r="B91" i="1"/>
  <c r="K91" i="1" s="1"/>
  <c r="C91" i="1"/>
  <c r="E91" i="1"/>
  <c r="F91" i="1"/>
  <c r="A92" i="1"/>
  <c r="G92" i="1" s="1"/>
  <c r="B92" i="1"/>
  <c r="K92" i="1" s="1"/>
  <c r="C92" i="1"/>
  <c r="E92" i="1"/>
  <c r="F92" i="1"/>
  <c r="A93" i="1"/>
  <c r="B93" i="1"/>
  <c r="K93" i="1" s="1"/>
  <c r="C93" i="1"/>
  <c r="E93" i="1"/>
  <c r="F93" i="1"/>
  <c r="A94" i="1"/>
  <c r="B94" i="1"/>
  <c r="C94" i="1"/>
  <c r="E94" i="1"/>
  <c r="F94" i="1"/>
  <c r="G94" i="1"/>
  <c r="K94" i="1"/>
  <c r="A95" i="1"/>
  <c r="G95" i="1" s="1"/>
  <c r="B95" i="1"/>
  <c r="K95" i="1" s="1"/>
  <c r="C95" i="1"/>
  <c r="E95" i="1"/>
  <c r="F95" i="1"/>
  <c r="A96" i="1"/>
  <c r="G96" i="1" s="1"/>
  <c r="B96" i="1"/>
  <c r="K96" i="1" s="1"/>
  <c r="C96" i="1"/>
  <c r="E96" i="1"/>
  <c r="F96" i="1"/>
  <c r="A97" i="1"/>
  <c r="B97" i="1"/>
  <c r="K97" i="1" s="1"/>
  <c r="C97" i="1"/>
  <c r="E97" i="1"/>
  <c r="F97" i="1"/>
  <c r="G97" i="1"/>
  <c r="A98" i="1"/>
  <c r="B98" i="1"/>
  <c r="K98" i="1" s="1"/>
  <c r="C98" i="1"/>
  <c r="E98" i="1"/>
  <c r="F98" i="1"/>
  <c r="A99" i="1"/>
  <c r="G99" i="1" s="1"/>
  <c r="B99" i="1"/>
  <c r="C99" i="1"/>
  <c r="E99" i="1"/>
  <c r="F99" i="1"/>
  <c r="K99" i="1"/>
  <c r="A97" i="12"/>
  <c r="A98" i="12"/>
  <c r="G93" i="1" l="1"/>
  <c r="K86" i="1"/>
  <c r="G83" i="1"/>
  <c r="G98" i="1"/>
  <c r="G85" i="1"/>
  <c r="G87" i="1"/>
  <c r="G89" i="1"/>
  <c r="G91" i="1"/>
  <c r="B22" i="11"/>
  <c r="C37" i="3"/>
  <c r="C38" i="3"/>
  <c r="C39" i="3"/>
  <c r="E14" i="7"/>
  <c r="D14" i="7"/>
  <c r="C14" i="7"/>
  <c r="C24" i="3"/>
  <c r="A4" i="1"/>
  <c r="B4" i="1"/>
  <c r="K4" i="1" s="1"/>
  <c r="C4" i="1"/>
  <c r="E4" i="1"/>
  <c r="F4" i="1"/>
  <c r="A5" i="1"/>
  <c r="G5" i="1" s="1"/>
  <c r="B5" i="1"/>
  <c r="K5" i="1" s="1"/>
  <c r="C5" i="1"/>
  <c r="E5" i="1"/>
  <c r="F5" i="1"/>
  <c r="A6" i="1"/>
  <c r="G6" i="1" s="1"/>
  <c r="B6" i="1"/>
  <c r="K6" i="1" s="1"/>
  <c r="C6" i="1"/>
  <c r="E6" i="1"/>
  <c r="F6" i="1"/>
  <c r="A7" i="1"/>
  <c r="G7" i="1" s="1"/>
  <c r="B7" i="1"/>
  <c r="K7" i="1" s="1"/>
  <c r="C7" i="1"/>
  <c r="E7" i="1"/>
  <c r="F7" i="1"/>
  <c r="A8" i="1"/>
  <c r="G8" i="1" s="1"/>
  <c r="B8" i="1"/>
  <c r="K8" i="1" s="1"/>
  <c r="C8" i="1"/>
  <c r="E8" i="1"/>
  <c r="F8" i="1"/>
  <c r="A9" i="1"/>
  <c r="G9" i="1" s="1"/>
  <c r="B9" i="1"/>
  <c r="K9" i="1" s="1"/>
  <c r="C9" i="1"/>
  <c r="E9" i="1"/>
  <c r="F9" i="1"/>
  <c r="A10" i="1"/>
  <c r="B10" i="1"/>
  <c r="K10" i="1" s="1"/>
  <c r="C10" i="1"/>
  <c r="E10" i="1"/>
  <c r="F10" i="1"/>
  <c r="A11" i="1"/>
  <c r="B11" i="1"/>
  <c r="K11" i="1" s="1"/>
  <c r="C11" i="1"/>
  <c r="E11" i="1"/>
  <c r="F11" i="1"/>
  <c r="A12" i="1"/>
  <c r="G12" i="1" s="1"/>
  <c r="B12" i="1"/>
  <c r="K12" i="1" s="1"/>
  <c r="C12" i="1"/>
  <c r="E12" i="1"/>
  <c r="F12" i="1"/>
  <c r="A13" i="1"/>
  <c r="G13" i="1" s="1"/>
  <c r="B13" i="1"/>
  <c r="K13" i="1" s="1"/>
  <c r="C13" i="1"/>
  <c r="E13" i="1"/>
  <c r="F13" i="1"/>
  <c r="A14" i="1"/>
  <c r="G14" i="1" s="1"/>
  <c r="B14" i="1"/>
  <c r="K14" i="1" s="1"/>
  <c r="C14" i="1"/>
  <c r="E14" i="1"/>
  <c r="F14" i="1"/>
  <c r="A15" i="1"/>
  <c r="B15" i="1"/>
  <c r="K15" i="1" s="1"/>
  <c r="C15" i="1"/>
  <c r="E15" i="1"/>
  <c r="F15" i="1"/>
  <c r="A16" i="1"/>
  <c r="G16" i="1" s="1"/>
  <c r="B16" i="1"/>
  <c r="K16" i="1" s="1"/>
  <c r="C16" i="1"/>
  <c r="E16" i="1"/>
  <c r="F16" i="1"/>
  <c r="A17" i="1"/>
  <c r="G17" i="1" s="1"/>
  <c r="B17" i="1"/>
  <c r="K17" i="1" s="1"/>
  <c r="C17" i="1"/>
  <c r="E17" i="1"/>
  <c r="F17" i="1"/>
  <c r="A18" i="1"/>
  <c r="B18" i="1"/>
  <c r="K18" i="1" s="1"/>
  <c r="C18" i="1"/>
  <c r="E18" i="1"/>
  <c r="F18" i="1"/>
  <c r="A19" i="1"/>
  <c r="G19" i="1" s="1"/>
  <c r="B19" i="1"/>
  <c r="K19" i="1" s="1"/>
  <c r="C19" i="1"/>
  <c r="E19" i="1"/>
  <c r="F19" i="1"/>
  <c r="A20" i="1"/>
  <c r="G20" i="1" s="1"/>
  <c r="B20" i="1"/>
  <c r="K20" i="1" s="1"/>
  <c r="C20" i="1"/>
  <c r="E20" i="1"/>
  <c r="F20" i="1"/>
  <c r="A21" i="1"/>
  <c r="G21" i="1" s="1"/>
  <c r="B21" i="1"/>
  <c r="K21" i="1" s="1"/>
  <c r="C21" i="1"/>
  <c r="E21" i="1"/>
  <c r="F21" i="1"/>
  <c r="A22" i="1"/>
  <c r="B22" i="1"/>
  <c r="K22" i="1" s="1"/>
  <c r="C22" i="1"/>
  <c r="E22" i="1"/>
  <c r="F22" i="1"/>
  <c r="A23" i="1"/>
  <c r="G23" i="1" s="1"/>
  <c r="B23" i="1"/>
  <c r="K23" i="1" s="1"/>
  <c r="C23" i="1"/>
  <c r="E23" i="1"/>
  <c r="F23" i="1"/>
  <c r="A24" i="1"/>
  <c r="G24" i="1" s="1"/>
  <c r="B24" i="1"/>
  <c r="K24" i="1" s="1"/>
  <c r="C24" i="1"/>
  <c r="E24" i="1"/>
  <c r="F24" i="1"/>
  <c r="A25" i="1"/>
  <c r="G25" i="1" s="1"/>
  <c r="B25" i="1"/>
  <c r="K25" i="1" s="1"/>
  <c r="C25" i="1"/>
  <c r="E25" i="1"/>
  <c r="F25" i="1"/>
  <c r="A26" i="1"/>
  <c r="G26" i="1" s="1"/>
  <c r="B26" i="1"/>
  <c r="K26" i="1" s="1"/>
  <c r="C26" i="1"/>
  <c r="E26" i="1"/>
  <c r="F26" i="1"/>
  <c r="A27" i="1"/>
  <c r="B27" i="1"/>
  <c r="K27" i="1" s="1"/>
  <c r="C27" i="1"/>
  <c r="E27" i="1"/>
  <c r="F27" i="1"/>
  <c r="G27" i="1"/>
  <c r="A28" i="1"/>
  <c r="G28" i="1" s="1"/>
  <c r="B28" i="1"/>
  <c r="K28" i="1" s="1"/>
  <c r="C28" i="1"/>
  <c r="E28" i="1"/>
  <c r="F28" i="1"/>
  <c r="A29" i="1"/>
  <c r="G29" i="1" s="1"/>
  <c r="B29" i="1"/>
  <c r="K29" i="1" s="1"/>
  <c r="C29" i="1"/>
  <c r="E29" i="1"/>
  <c r="F29" i="1"/>
  <c r="A30" i="1"/>
  <c r="G30" i="1" s="1"/>
  <c r="B30" i="1"/>
  <c r="K30" i="1" s="1"/>
  <c r="C30" i="1"/>
  <c r="E30" i="1"/>
  <c r="F30" i="1"/>
  <c r="A31" i="1"/>
  <c r="G31" i="1" s="1"/>
  <c r="B31" i="1"/>
  <c r="K31" i="1" s="1"/>
  <c r="C31" i="1"/>
  <c r="E31" i="1"/>
  <c r="F31" i="1"/>
  <c r="A32" i="1"/>
  <c r="G32" i="1" s="1"/>
  <c r="B32" i="1"/>
  <c r="K32" i="1" s="1"/>
  <c r="C32" i="1"/>
  <c r="E32" i="1"/>
  <c r="F32" i="1"/>
  <c r="A33" i="1"/>
  <c r="G33" i="1" s="1"/>
  <c r="B33" i="1"/>
  <c r="K33" i="1" s="1"/>
  <c r="C33" i="1"/>
  <c r="E33" i="1"/>
  <c r="F33" i="1"/>
  <c r="A34" i="1"/>
  <c r="G34" i="1" s="1"/>
  <c r="B34" i="1"/>
  <c r="K34" i="1" s="1"/>
  <c r="C34" i="1"/>
  <c r="E34" i="1"/>
  <c r="F34" i="1"/>
  <c r="A35" i="1"/>
  <c r="B35" i="1"/>
  <c r="K35" i="1" s="1"/>
  <c r="C35" i="1"/>
  <c r="E35" i="1"/>
  <c r="F35" i="1"/>
  <c r="G35" i="1"/>
  <c r="A36" i="1"/>
  <c r="G36" i="1" s="1"/>
  <c r="B36" i="1"/>
  <c r="K36" i="1" s="1"/>
  <c r="C36" i="1"/>
  <c r="E36" i="1"/>
  <c r="F36" i="1"/>
  <c r="A37" i="1"/>
  <c r="G37" i="1" s="1"/>
  <c r="B37" i="1"/>
  <c r="K37" i="1" s="1"/>
  <c r="C37" i="1"/>
  <c r="E37" i="1"/>
  <c r="F37" i="1"/>
  <c r="A38" i="1"/>
  <c r="G38" i="1" s="1"/>
  <c r="B38" i="1"/>
  <c r="K38" i="1" s="1"/>
  <c r="C38" i="1"/>
  <c r="E38" i="1"/>
  <c r="F38" i="1"/>
  <c r="A39" i="1"/>
  <c r="B39" i="1"/>
  <c r="K39" i="1" s="1"/>
  <c r="C39" i="1"/>
  <c r="E39" i="1"/>
  <c r="F39" i="1"/>
  <c r="A40" i="1"/>
  <c r="G40" i="1" s="1"/>
  <c r="B40" i="1"/>
  <c r="K40" i="1" s="1"/>
  <c r="C40" i="1"/>
  <c r="E40" i="1"/>
  <c r="F40" i="1"/>
  <c r="A41" i="1"/>
  <c r="G41" i="1" s="1"/>
  <c r="B41" i="1"/>
  <c r="K41" i="1" s="1"/>
  <c r="C41" i="1"/>
  <c r="E41" i="1"/>
  <c r="F41" i="1"/>
  <c r="A42" i="1"/>
  <c r="G42" i="1" s="1"/>
  <c r="B42" i="1"/>
  <c r="K42" i="1" s="1"/>
  <c r="C42" i="1"/>
  <c r="E42" i="1"/>
  <c r="F42" i="1"/>
  <c r="A43" i="1"/>
  <c r="G43" i="1" s="1"/>
  <c r="B43" i="1"/>
  <c r="K43" i="1" s="1"/>
  <c r="C43" i="1"/>
  <c r="E43" i="1"/>
  <c r="F43" i="1"/>
  <c r="A44" i="1"/>
  <c r="G44" i="1" s="1"/>
  <c r="B44" i="1"/>
  <c r="K44" i="1" s="1"/>
  <c r="C44" i="1"/>
  <c r="E44" i="1"/>
  <c r="F44" i="1"/>
  <c r="A45" i="1"/>
  <c r="G45" i="1" s="1"/>
  <c r="B45" i="1"/>
  <c r="K45" i="1" s="1"/>
  <c r="C45" i="1"/>
  <c r="E45" i="1"/>
  <c r="F45" i="1"/>
  <c r="A46" i="1"/>
  <c r="G46" i="1" s="1"/>
  <c r="B46" i="1"/>
  <c r="K46" i="1" s="1"/>
  <c r="C46" i="1"/>
  <c r="E46" i="1"/>
  <c r="F46" i="1"/>
  <c r="A47" i="1"/>
  <c r="G47" i="1" s="1"/>
  <c r="B47" i="1"/>
  <c r="K47" i="1" s="1"/>
  <c r="C47" i="1"/>
  <c r="E47" i="1"/>
  <c r="F47" i="1"/>
  <c r="A48" i="1"/>
  <c r="G48" i="1" s="1"/>
  <c r="B48" i="1"/>
  <c r="K48" i="1" s="1"/>
  <c r="C48" i="1"/>
  <c r="E48" i="1"/>
  <c r="F48" i="1"/>
  <c r="A49" i="1"/>
  <c r="G49" i="1" s="1"/>
  <c r="B49" i="1"/>
  <c r="K49" i="1" s="1"/>
  <c r="C49" i="1"/>
  <c r="E49" i="1"/>
  <c r="F49" i="1"/>
  <c r="A50" i="1"/>
  <c r="G50" i="1" s="1"/>
  <c r="B50" i="1"/>
  <c r="K50" i="1" s="1"/>
  <c r="C50" i="1"/>
  <c r="E50" i="1"/>
  <c r="F50" i="1"/>
  <c r="A51" i="1"/>
  <c r="G51" i="1" s="1"/>
  <c r="B51" i="1"/>
  <c r="K51" i="1" s="1"/>
  <c r="C51" i="1"/>
  <c r="E51" i="1"/>
  <c r="F51" i="1"/>
  <c r="A52" i="1"/>
  <c r="G52" i="1" s="1"/>
  <c r="B52" i="1"/>
  <c r="K52" i="1" s="1"/>
  <c r="C52" i="1"/>
  <c r="E52" i="1"/>
  <c r="F52" i="1"/>
  <c r="A53" i="1"/>
  <c r="G53" i="1" s="1"/>
  <c r="B53" i="1"/>
  <c r="K53" i="1" s="1"/>
  <c r="C53" i="1"/>
  <c r="E53" i="1"/>
  <c r="F53" i="1"/>
  <c r="A54" i="1"/>
  <c r="G54" i="1" s="1"/>
  <c r="B54" i="1"/>
  <c r="K54" i="1" s="1"/>
  <c r="C54" i="1"/>
  <c r="E54" i="1"/>
  <c r="F54" i="1"/>
  <c r="A55" i="1"/>
  <c r="B55" i="1"/>
  <c r="K55" i="1" s="1"/>
  <c r="C55" i="1"/>
  <c r="E55" i="1"/>
  <c r="F55" i="1"/>
  <c r="A56" i="1"/>
  <c r="G56" i="1" s="1"/>
  <c r="B56" i="1"/>
  <c r="K56" i="1" s="1"/>
  <c r="C56" i="1"/>
  <c r="E56" i="1"/>
  <c r="F56" i="1"/>
  <c r="A57" i="1"/>
  <c r="G57" i="1" s="1"/>
  <c r="B57" i="1"/>
  <c r="K57" i="1" s="1"/>
  <c r="C57" i="1"/>
  <c r="E57" i="1"/>
  <c r="F57" i="1"/>
  <c r="A58" i="1"/>
  <c r="G58" i="1" s="1"/>
  <c r="B58" i="1"/>
  <c r="K58" i="1" s="1"/>
  <c r="C58" i="1"/>
  <c r="E58" i="1"/>
  <c r="F58" i="1"/>
  <c r="A59" i="1"/>
  <c r="G59" i="1" s="1"/>
  <c r="B59" i="1"/>
  <c r="K59" i="1" s="1"/>
  <c r="C59" i="1"/>
  <c r="E59" i="1"/>
  <c r="F59" i="1"/>
  <c r="A60" i="1"/>
  <c r="G60" i="1" s="1"/>
  <c r="B60" i="1"/>
  <c r="K60" i="1" s="1"/>
  <c r="C60" i="1"/>
  <c r="E60" i="1"/>
  <c r="F60" i="1"/>
  <c r="A61" i="1"/>
  <c r="G61" i="1" s="1"/>
  <c r="B61" i="1"/>
  <c r="K61" i="1" s="1"/>
  <c r="C61" i="1"/>
  <c r="E61" i="1"/>
  <c r="F61" i="1"/>
  <c r="A62" i="1"/>
  <c r="G62" i="1" s="1"/>
  <c r="B62" i="1"/>
  <c r="K62" i="1" s="1"/>
  <c r="C62" i="1"/>
  <c r="E62" i="1"/>
  <c r="F62" i="1"/>
  <c r="A63" i="1"/>
  <c r="G63" i="1" s="1"/>
  <c r="B63" i="1"/>
  <c r="K63" i="1" s="1"/>
  <c r="C63" i="1"/>
  <c r="E63" i="1"/>
  <c r="F63" i="1"/>
  <c r="A64" i="1"/>
  <c r="G64" i="1" s="1"/>
  <c r="B64" i="1"/>
  <c r="K64" i="1" s="1"/>
  <c r="C64" i="1"/>
  <c r="E64" i="1"/>
  <c r="F64" i="1"/>
  <c r="A65" i="1"/>
  <c r="G65" i="1" s="1"/>
  <c r="B65" i="1"/>
  <c r="K65" i="1" s="1"/>
  <c r="C65" i="1"/>
  <c r="E65" i="1"/>
  <c r="F65" i="1"/>
  <c r="A66" i="1"/>
  <c r="G66" i="1" s="1"/>
  <c r="B66" i="1"/>
  <c r="K66" i="1" s="1"/>
  <c r="C66" i="1"/>
  <c r="E66" i="1"/>
  <c r="F66" i="1"/>
  <c r="A67" i="1"/>
  <c r="G67" i="1" s="1"/>
  <c r="B67" i="1"/>
  <c r="K67" i="1" s="1"/>
  <c r="C67" i="1"/>
  <c r="E67" i="1"/>
  <c r="F67" i="1"/>
  <c r="A68" i="1"/>
  <c r="G68" i="1" s="1"/>
  <c r="B68" i="1"/>
  <c r="K68" i="1" s="1"/>
  <c r="C68" i="1"/>
  <c r="E68" i="1"/>
  <c r="F68" i="1"/>
  <c r="A69" i="1"/>
  <c r="G69" i="1" s="1"/>
  <c r="B69" i="1"/>
  <c r="K69" i="1" s="1"/>
  <c r="C69" i="1"/>
  <c r="E69" i="1"/>
  <c r="F69" i="1"/>
  <c r="A70" i="1"/>
  <c r="G70" i="1" s="1"/>
  <c r="B70" i="1"/>
  <c r="K70" i="1" s="1"/>
  <c r="C70" i="1"/>
  <c r="E70" i="1"/>
  <c r="F70" i="1"/>
  <c r="A71" i="1"/>
  <c r="B71" i="1"/>
  <c r="K71" i="1" s="1"/>
  <c r="C71" i="1"/>
  <c r="E71" i="1"/>
  <c r="F71" i="1"/>
  <c r="G71" i="1"/>
  <c r="A72" i="1"/>
  <c r="G72" i="1" s="1"/>
  <c r="B72" i="1"/>
  <c r="K72" i="1" s="1"/>
  <c r="C72" i="1"/>
  <c r="E72" i="1"/>
  <c r="F72" i="1"/>
  <c r="A73" i="1"/>
  <c r="G73" i="1" s="1"/>
  <c r="B73" i="1"/>
  <c r="K73" i="1" s="1"/>
  <c r="C73" i="1"/>
  <c r="E73" i="1"/>
  <c r="F73" i="1"/>
  <c r="A74" i="1"/>
  <c r="G74" i="1" s="1"/>
  <c r="B74" i="1"/>
  <c r="K74" i="1" s="1"/>
  <c r="C74" i="1"/>
  <c r="E74" i="1"/>
  <c r="F74" i="1"/>
  <c r="A75" i="1"/>
  <c r="B75" i="1"/>
  <c r="K75" i="1" s="1"/>
  <c r="C75" i="1"/>
  <c r="E75" i="1"/>
  <c r="F75" i="1"/>
  <c r="A76" i="1"/>
  <c r="G76" i="1" s="1"/>
  <c r="B76" i="1"/>
  <c r="K76" i="1" s="1"/>
  <c r="C76" i="1"/>
  <c r="E76" i="1"/>
  <c r="F76" i="1"/>
  <c r="A77" i="1"/>
  <c r="G77" i="1" s="1"/>
  <c r="B77" i="1"/>
  <c r="K77" i="1" s="1"/>
  <c r="C77" i="1"/>
  <c r="E77" i="1"/>
  <c r="F77" i="1"/>
  <c r="A78" i="1"/>
  <c r="G78" i="1" s="1"/>
  <c r="B78" i="1"/>
  <c r="K78" i="1" s="1"/>
  <c r="C78" i="1"/>
  <c r="E78" i="1"/>
  <c r="F78" i="1"/>
  <c r="A79" i="1"/>
  <c r="B79" i="1"/>
  <c r="K79" i="1" s="1"/>
  <c r="C79" i="1"/>
  <c r="E79" i="1"/>
  <c r="F79" i="1"/>
  <c r="A80" i="1"/>
  <c r="G80" i="1" s="1"/>
  <c r="B80" i="1"/>
  <c r="K80" i="1" s="1"/>
  <c r="C80" i="1"/>
  <c r="E80" i="1"/>
  <c r="F80" i="1"/>
  <c r="A81" i="1"/>
  <c r="B81" i="1"/>
  <c r="K81" i="1" s="1"/>
  <c r="C81" i="1"/>
  <c r="E81" i="1"/>
  <c r="F81" i="1"/>
  <c r="A82" i="1"/>
  <c r="G82" i="1" s="1"/>
  <c r="B82" i="1"/>
  <c r="K82" i="1" s="1"/>
  <c r="C82" i="1"/>
  <c r="E82" i="1"/>
  <c r="F82" i="1"/>
  <c r="B12" i="11"/>
  <c r="B11" i="11"/>
  <c r="B19" i="11"/>
  <c r="B2" i="11"/>
  <c r="D5" i="3"/>
  <c r="B20" i="11" s="1"/>
  <c r="B17" i="11"/>
  <c r="B16" i="11"/>
  <c r="A83" i="12"/>
  <c r="A84" i="12"/>
  <c r="A85" i="12"/>
  <c r="A86" i="12"/>
  <c r="A87" i="12"/>
  <c r="A88" i="12"/>
  <c r="A89" i="12"/>
  <c r="A90" i="12"/>
  <c r="A91" i="12"/>
  <c r="A92" i="12"/>
  <c r="A93" i="12"/>
  <c r="A94" i="12"/>
  <c r="A95" i="12"/>
  <c r="A96" i="12"/>
  <c r="B29" i="11" l="1"/>
  <c r="B3" i="11"/>
  <c r="B28" i="11"/>
  <c r="B13" i="11"/>
  <c r="E24" i="3"/>
  <c r="B23" i="11"/>
  <c r="B24" i="11"/>
  <c r="B21" i="11"/>
  <c r="G18" i="1"/>
  <c r="G81" i="1"/>
  <c r="G10" i="1"/>
  <c r="G22" i="1"/>
  <c r="G11" i="1"/>
  <c r="G55" i="1"/>
  <c r="G75" i="1"/>
  <c r="G39" i="1"/>
  <c r="G15" i="1"/>
  <c r="G79" i="1"/>
  <c r="G4" i="1"/>
  <c r="B6" i="11"/>
  <c r="B5" i="11"/>
  <c r="B4" i="11"/>
  <c r="E12" i="5"/>
  <c r="C14" i="3" l="1"/>
  <c r="C13" i="3"/>
  <c r="E27" i="3"/>
  <c r="E10" i="3"/>
  <c r="C10" i="3"/>
  <c r="D10" i="3"/>
  <c r="C11" i="3"/>
  <c r="C12" i="3"/>
  <c r="C8" i="3"/>
  <c r="C9" i="3"/>
  <c r="C6" i="3"/>
  <c r="C7" i="3"/>
  <c r="D16" i="2" l="1"/>
  <c r="E23" i="2" s="1"/>
  <c r="D15" i="2"/>
  <c r="B81" i="11" s="1"/>
  <c r="G21" i="14"/>
  <c r="G20" i="14"/>
  <c r="G19" i="14"/>
  <c r="G18" i="14"/>
  <c r="G17" i="14"/>
  <c r="G33" i="14"/>
  <c r="G32" i="14"/>
  <c r="G31" i="14"/>
  <c r="G30" i="14"/>
  <c r="G28" i="14"/>
  <c r="G27" i="14"/>
  <c r="G26" i="14"/>
  <c r="G25" i="14"/>
  <c r="C42" i="3"/>
  <c r="B82" i="11" l="1"/>
  <c r="I1" i="14"/>
  <c r="B10" i="11"/>
  <c r="E13" i="7"/>
  <c r="D13" i="7"/>
  <c r="C13" i="7"/>
  <c r="E12" i="7" l="1"/>
  <c r="D12" i="7"/>
  <c r="C12" i="7"/>
  <c r="H8" i="7"/>
  <c r="H6" i="7"/>
  <c r="H5" i="7"/>
  <c r="E8" i="5"/>
  <c r="E9" i="5"/>
  <c r="E10" i="5"/>
  <c r="E6" i="5"/>
  <c r="E7" i="5"/>
  <c r="E5" i="5"/>
  <c r="E32" i="3"/>
  <c r="E29" i="3"/>
  <c r="E28" i="3"/>
  <c r="E15" i="3"/>
  <c r="E12" i="3"/>
  <c r="E11" i="3"/>
  <c r="E8" i="3"/>
  <c r="E7" i="3"/>
  <c r="E6" i="3"/>
  <c r="E8" i="8"/>
  <c r="E7" i="8"/>
  <c r="E6" i="8"/>
  <c r="E5" i="8"/>
  <c r="E4" i="8"/>
  <c r="E7" i="2"/>
  <c r="E6" i="2"/>
  <c r="E5" i="2"/>
  <c r="E4" i="2"/>
  <c r="F1" i="5" l="1"/>
  <c r="M1" i="2"/>
  <c r="D17" i="2"/>
  <c r="D19" i="2"/>
  <c r="D18" i="2"/>
  <c r="D20" i="2"/>
  <c r="B40" i="11" s="1"/>
  <c r="C39" i="11" s="1"/>
  <c r="E13" i="18" l="1"/>
  <c r="B39" i="11" a="1"/>
  <c r="B39" i="11" s="1"/>
  <c r="A2" i="12"/>
  <c r="A3" i="12"/>
  <c r="A4" i="12"/>
  <c r="A5" i="12"/>
  <c r="A6" i="12"/>
  <c r="A7" i="12"/>
  <c r="A8" i="12"/>
  <c r="A9" i="12"/>
  <c r="A10" i="12"/>
  <c r="A11" i="12"/>
  <c r="A12" i="12"/>
  <c r="A13" i="12"/>
  <c r="A14" i="12"/>
  <c r="A15" i="12"/>
  <c r="A16" i="12"/>
  <c r="A17" i="12"/>
  <c r="A18" i="12"/>
  <c r="A19" i="12"/>
  <c r="A20" i="12"/>
  <c r="A21" i="12"/>
  <c r="A22" i="12"/>
  <c r="A23" i="12"/>
  <c r="A24" i="12"/>
  <c r="A25" i="12"/>
  <c r="A26" i="12"/>
  <c r="A27" i="12"/>
  <c r="A28" i="12"/>
  <c r="A29" i="12"/>
  <c r="A30" i="12"/>
  <c r="A31" i="12"/>
  <c r="A32" i="12"/>
  <c r="A33" i="12"/>
  <c r="A34" i="12"/>
  <c r="A35" i="12"/>
  <c r="A36" i="12"/>
  <c r="A37" i="12"/>
  <c r="A38" i="12"/>
  <c r="A39" i="12"/>
  <c r="A40" i="12"/>
  <c r="A41" i="12"/>
  <c r="A42" i="12"/>
  <c r="A43" i="12"/>
  <c r="A44" i="12"/>
  <c r="A45" i="12"/>
  <c r="A46" i="12"/>
  <c r="A47" i="12"/>
  <c r="A48" i="12"/>
  <c r="A49" i="12"/>
  <c r="A50" i="12"/>
  <c r="A51" i="12"/>
  <c r="A52" i="12"/>
  <c r="A53" i="12"/>
  <c r="A54" i="12"/>
  <c r="A55" i="12"/>
  <c r="A56" i="12"/>
  <c r="A57" i="12"/>
  <c r="A58" i="12"/>
  <c r="A59" i="12"/>
  <c r="A60" i="12"/>
  <c r="A61" i="12"/>
  <c r="A62" i="12"/>
  <c r="A63" i="12"/>
  <c r="A64" i="12"/>
  <c r="A65" i="12"/>
  <c r="A66" i="12"/>
  <c r="A67" i="12"/>
  <c r="A68" i="12"/>
  <c r="A69" i="12"/>
  <c r="A70" i="12"/>
  <c r="A71" i="12"/>
  <c r="A72" i="12"/>
  <c r="A73" i="12"/>
  <c r="A74" i="12"/>
  <c r="A75" i="12"/>
  <c r="A76" i="12"/>
  <c r="A77" i="12"/>
  <c r="A78" i="12"/>
  <c r="A79" i="12"/>
  <c r="A80" i="12"/>
  <c r="A81" i="12"/>
  <c r="A82" i="12"/>
  <c r="A3" i="1"/>
  <c r="B3" i="1"/>
  <c r="K3" i="1" s="1"/>
  <c r="N13" i="18" l="1"/>
  <c r="M1" i="18" s="1"/>
  <c r="I99" i="1"/>
  <c r="I83" i="1"/>
  <c r="I94" i="1"/>
  <c r="D90" i="1" a="1"/>
  <c r="D90" i="1" s="1"/>
  <c r="J90" i="1" s="1"/>
  <c r="D94" i="1" a="1"/>
  <c r="D94" i="1" s="1"/>
  <c r="J94" i="1" s="1"/>
  <c r="I90" i="1"/>
  <c r="D95" i="1" a="1"/>
  <c r="D95" i="1" s="1"/>
  <c r="J95" i="1" s="1"/>
  <c r="I91" i="1"/>
  <c r="D98" i="1" a="1"/>
  <c r="D98" i="1" s="1"/>
  <c r="J98" i="1" s="1"/>
  <c r="I85" i="1"/>
  <c r="D93" i="1" a="1"/>
  <c r="D93" i="1" s="1"/>
  <c r="J93" i="1" s="1"/>
  <c r="D92" i="1" a="1"/>
  <c r="D92" i="1" s="1"/>
  <c r="J92" i="1" s="1"/>
  <c r="D85" i="1" a="1"/>
  <c r="D85" i="1" s="1"/>
  <c r="J85" i="1" s="1"/>
  <c r="D91" i="1" a="1"/>
  <c r="D91" i="1" s="1"/>
  <c r="J91" i="1" s="1"/>
  <c r="D96" i="1" a="1"/>
  <c r="D96" i="1" s="1"/>
  <c r="J96" i="1" s="1"/>
  <c r="I89" i="1"/>
  <c r="I96" i="1"/>
  <c r="D87" i="1" a="1"/>
  <c r="D87" i="1" s="1"/>
  <c r="J87" i="1" s="1"/>
  <c r="I86" i="1"/>
  <c r="I88" i="1"/>
  <c r="D84" i="1" a="1"/>
  <c r="D84" i="1" s="1"/>
  <c r="J84" i="1" s="1"/>
  <c r="H84" i="1" s="1"/>
  <c r="I84" i="1"/>
  <c r="D89" i="1" a="1"/>
  <c r="D89" i="1" s="1"/>
  <c r="J89" i="1" s="1"/>
  <c r="D99" i="1" a="1"/>
  <c r="D99" i="1" s="1"/>
  <c r="J99" i="1" s="1"/>
  <c r="H99" i="1" s="1"/>
  <c r="I92" i="1"/>
  <c r="D83" i="1" a="1"/>
  <c r="D83" i="1" s="1"/>
  <c r="J83" i="1" s="1"/>
  <c r="D97" i="1" a="1"/>
  <c r="D97" i="1" s="1"/>
  <c r="J97" i="1" s="1"/>
  <c r="D88" i="1" a="1"/>
  <c r="D88" i="1" s="1"/>
  <c r="J88" i="1" s="1"/>
  <c r="D86" i="1" a="1"/>
  <c r="D86" i="1" s="1"/>
  <c r="J86" i="1" s="1"/>
  <c r="I87" i="1"/>
  <c r="I93" i="1"/>
  <c r="I97" i="1"/>
  <c r="I95" i="1"/>
  <c r="I98" i="1"/>
  <c r="I67" i="1"/>
  <c r="D69" i="1" a="1"/>
  <c r="D69" i="1" s="1"/>
  <c r="J69" i="1" s="1"/>
  <c r="D34" i="1" a="1"/>
  <c r="D34" i="1" s="1"/>
  <c r="J34" i="1" s="1"/>
  <c r="D52" i="1" a="1"/>
  <c r="D52" i="1" s="1"/>
  <c r="J52" i="1" s="1"/>
  <c r="D36" i="1" a="1"/>
  <c r="D36" i="1" s="1"/>
  <c r="J36" i="1" s="1"/>
  <c r="D68" i="1" a="1"/>
  <c r="D68" i="1" s="1"/>
  <c r="J68" i="1" s="1"/>
  <c r="I34" i="1"/>
  <c r="D14" i="1" a="1"/>
  <c r="D14" i="1" s="1"/>
  <c r="J14" i="1" s="1"/>
  <c r="I27" i="1"/>
  <c r="D10" i="1" a="1"/>
  <c r="D10" i="1" s="1"/>
  <c r="J10" i="1" s="1"/>
  <c r="I18" i="1"/>
  <c r="D5" i="1" a="1"/>
  <c r="D5" i="1" s="1"/>
  <c r="J5" i="1" s="1"/>
  <c r="D59" i="1" a="1"/>
  <c r="D59" i="1" s="1"/>
  <c r="J59" i="1" s="1"/>
  <c r="D64" i="1" a="1"/>
  <c r="D64" i="1" s="1"/>
  <c r="J64" i="1" s="1"/>
  <c r="I77" i="1"/>
  <c r="D53" i="1" a="1"/>
  <c r="D53" i="1" s="1"/>
  <c r="J53" i="1" s="1"/>
  <c r="H53" i="1" s="1"/>
  <c r="D38" i="1" a="1"/>
  <c r="D38" i="1" s="1"/>
  <c r="J38" i="1" s="1"/>
  <c r="D21" i="1" a="1"/>
  <c r="D21" i="1" s="1"/>
  <c r="J21" i="1" s="1"/>
  <c r="D42" i="1" a="1"/>
  <c r="D42" i="1" s="1"/>
  <c r="J42" i="1" s="1"/>
  <c r="D65" i="1" a="1"/>
  <c r="D65" i="1" s="1"/>
  <c r="J65" i="1" s="1"/>
  <c r="H65" i="1" s="1"/>
  <c r="D26" i="1" a="1"/>
  <c r="D26" i="1" s="1"/>
  <c r="J26" i="1" s="1"/>
  <c r="D61" i="1" a="1"/>
  <c r="D61" i="1" s="1"/>
  <c r="J61" i="1" s="1"/>
  <c r="D81" i="1" a="1"/>
  <c r="D81" i="1" s="1"/>
  <c r="J81" i="1" s="1"/>
  <c r="I72" i="1"/>
  <c r="D16" i="1" a="1"/>
  <c r="D16" i="1" s="1"/>
  <c r="J16" i="1" s="1"/>
  <c r="I40" i="1"/>
  <c r="D12" i="1" a="1"/>
  <c r="D12" i="1" s="1"/>
  <c r="J12" i="1" s="1"/>
  <c r="D19" i="1" a="1"/>
  <c r="D19" i="1" s="1"/>
  <c r="J19" i="1" s="1"/>
  <c r="D80" i="1" a="1"/>
  <c r="D80" i="1" s="1"/>
  <c r="J80" i="1" s="1"/>
  <c r="D62" i="1" a="1"/>
  <c r="D62" i="1" s="1"/>
  <c r="J62" i="1" s="1"/>
  <c r="D49" i="1" a="1"/>
  <c r="D49" i="1" s="1"/>
  <c r="J49" i="1" s="1"/>
  <c r="D82" i="1" a="1"/>
  <c r="D82" i="1" s="1"/>
  <c r="J82" i="1" s="1"/>
  <c r="I57" i="1"/>
  <c r="I80" i="1"/>
  <c r="I5" i="1"/>
  <c r="D18" i="1" a="1"/>
  <c r="D18" i="1" s="1"/>
  <c r="J18" i="1" s="1"/>
  <c r="D56" i="1" a="1"/>
  <c r="D56" i="1" s="1"/>
  <c r="J56" i="1" s="1"/>
  <c r="D8" i="1" a="1"/>
  <c r="D8" i="1" s="1"/>
  <c r="J8" i="1" s="1"/>
  <c r="D4" i="1" a="1"/>
  <c r="D4" i="1" s="1"/>
  <c r="J4" i="1" s="1"/>
  <c r="I75" i="1"/>
  <c r="I62" i="1"/>
  <c r="I60" i="1"/>
  <c r="D51" i="1" a="1"/>
  <c r="D51" i="1" s="1"/>
  <c r="J51" i="1" s="1"/>
  <c r="I79" i="1"/>
  <c r="I6" i="1"/>
  <c r="D45" i="1" a="1"/>
  <c r="D45" i="1" s="1"/>
  <c r="J45" i="1" s="1"/>
  <c r="I35" i="1"/>
  <c r="I33" i="1"/>
  <c r="D55" i="1" a="1"/>
  <c r="D55" i="1" s="1"/>
  <c r="J55" i="1" s="1"/>
  <c r="D58" i="1" a="1"/>
  <c r="D58" i="1" s="1"/>
  <c r="J58" i="1" s="1"/>
  <c r="I74" i="1"/>
  <c r="D41" i="1" a="1"/>
  <c r="D41" i="1" s="1"/>
  <c r="J41" i="1" s="1"/>
  <c r="D6" i="1" a="1"/>
  <c r="D6" i="1" s="1"/>
  <c r="J6" i="1" s="1"/>
  <c r="I47" i="1"/>
  <c r="D73" i="1" a="1"/>
  <c r="D73" i="1" s="1"/>
  <c r="J73" i="1" s="1"/>
  <c r="I43" i="1"/>
  <c r="I49" i="1"/>
  <c r="I15" i="1"/>
  <c r="I8" i="1"/>
  <c r="D37" i="1" a="1"/>
  <c r="D37" i="1" s="1"/>
  <c r="J37" i="1" s="1"/>
  <c r="D46" i="1" a="1"/>
  <c r="D46" i="1" s="1"/>
  <c r="J46" i="1" s="1"/>
  <c r="I17" i="1"/>
  <c r="I71" i="1"/>
  <c r="D11" i="1" a="1"/>
  <c r="D11" i="1" s="1"/>
  <c r="J11" i="1" s="1"/>
  <c r="I36" i="1"/>
  <c r="D76" i="1" a="1"/>
  <c r="D76" i="1" s="1"/>
  <c r="J76" i="1" s="1"/>
  <c r="D47" i="1" a="1"/>
  <c r="D47" i="1" s="1"/>
  <c r="J47" i="1" s="1"/>
  <c r="I46" i="1"/>
  <c r="D79" i="1" a="1"/>
  <c r="D79" i="1" s="1"/>
  <c r="J79" i="1" s="1"/>
  <c r="I78" i="1"/>
  <c r="D33" i="1" a="1"/>
  <c r="D33" i="1" s="1"/>
  <c r="J33" i="1" s="1"/>
  <c r="I81" i="1"/>
  <c r="D71" i="1" a="1"/>
  <c r="D71" i="1" s="1"/>
  <c r="J71" i="1" s="1"/>
  <c r="I31" i="1"/>
  <c r="I4" i="1"/>
  <c r="I58" i="1"/>
  <c r="I61" i="1"/>
  <c r="I13" i="1"/>
  <c r="D72" i="1" a="1"/>
  <c r="D72" i="1" s="1"/>
  <c r="J72" i="1" s="1"/>
  <c r="D54" i="1" a="1"/>
  <c r="D54" i="1" s="1"/>
  <c r="J54" i="1" s="1"/>
  <c r="I29" i="1"/>
  <c r="D44" i="1" a="1"/>
  <c r="D44" i="1" s="1"/>
  <c r="J44" i="1" s="1"/>
  <c r="I76" i="1"/>
  <c r="I56" i="1"/>
  <c r="D29" i="1" a="1"/>
  <c r="D29" i="1" s="1"/>
  <c r="J29" i="1" s="1"/>
  <c r="D74" i="1" a="1"/>
  <c r="D74" i="1" s="1"/>
  <c r="J74" i="1" s="1"/>
  <c r="H74" i="1" s="1"/>
  <c r="I42" i="1"/>
  <c r="D32" i="1" a="1"/>
  <c r="D32" i="1" s="1"/>
  <c r="J32" i="1" s="1"/>
  <c r="H32" i="1" s="1"/>
  <c r="I41" i="1"/>
  <c r="I30" i="1"/>
  <c r="D70" i="1" a="1"/>
  <c r="D70" i="1" s="1"/>
  <c r="J70" i="1" s="1"/>
  <c r="D43" i="1" a="1"/>
  <c r="D43" i="1" s="1"/>
  <c r="J43" i="1" s="1"/>
  <c r="D27" i="1" a="1"/>
  <c r="D27" i="1" s="1"/>
  <c r="J27" i="1" s="1"/>
  <c r="I39" i="1"/>
  <c r="I64" i="1"/>
  <c r="I45" i="1"/>
  <c r="D25" i="1" a="1"/>
  <c r="D25" i="1" s="1"/>
  <c r="J25" i="1" s="1"/>
  <c r="D17" i="1" a="1"/>
  <c r="D17" i="1" s="1"/>
  <c r="J17" i="1" s="1"/>
  <c r="D9" i="1" a="1"/>
  <c r="D9" i="1" s="1"/>
  <c r="J9" i="1" s="1"/>
  <c r="D57" i="1" a="1"/>
  <c r="D57" i="1" s="1"/>
  <c r="J57" i="1" s="1"/>
  <c r="D22" i="1" a="1"/>
  <c r="D22" i="1" s="1"/>
  <c r="J22" i="1" s="1"/>
  <c r="I54" i="1"/>
  <c r="I68" i="1"/>
  <c r="I38" i="1"/>
  <c r="D31" i="1" a="1"/>
  <c r="D31" i="1" s="1"/>
  <c r="J31" i="1" s="1"/>
  <c r="I19" i="1"/>
  <c r="I21" i="1"/>
  <c r="I63" i="1"/>
  <c r="I7" i="1"/>
  <c r="D20" i="1" a="1"/>
  <c r="D20" i="1" s="1"/>
  <c r="J20" i="1" s="1"/>
  <c r="D28" i="1" a="1"/>
  <c r="D28" i="1" s="1"/>
  <c r="J28" i="1" s="1"/>
  <c r="I14" i="1"/>
  <c r="I55" i="1"/>
  <c r="I11" i="1"/>
  <c r="I73" i="1"/>
  <c r="D50" i="1" a="1"/>
  <c r="D50" i="1" s="1"/>
  <c r="J50" i="1" s="1"/>
  <c r="D40" i="1" a="1"/>
  <c r="D40" i="1" s="1"/>
  <c r="J40" i="1" s="1"/>
  <c r="I16" i="1"/>
  <c r="D24" i="1" a="1"/>
  <c r="D24" i="1" s="1"/>
  <c r="J24" i="1" s="1"/>
  <c r="I53" i="1"/>
  <c r="I82" i="1"/>
  <c r="D13" i="1" a="1"/>
  <c r="D13" i="1" s="1"/>
  <c r="J13" i="1" s="1"/>
  <c r="D35" i="1" a="1"/>
  <c r="D35" i="1" s="1"/>
  <c r="J35" i="1" s="1"/>
  <c r="H35" i="1" s="1"/>
  <c r="I59" i="1"/>
  <c r="D77" i="1" a="1"/>
  <c r="D77" i="1" s="1"/>
  <c r="J77" i="1" s="1"/>
  <c r="D63" i="1" a="1"/>
  <c r="D63" i="1" s="1"/>
  <c r="J63" i="1" s="1"/>
  <c r="I65" i="1"/>
  <c r="D39" i="1" a="1"/>
  <c r="D39" i="1" s="1"/>
  <c r="J39" i="1" s="1"/>
  <c r="D7" i="1" a="1"/>
  <c r="D7" i="1" s="1"/>
  <c r="J7" i="1" s="1"/>
  <c r="I37" i="1"/>
  <c r="D75" i="1" a="1"/>
  <c r="D75" i="1" s="1"/>
  <c r="J75" i="1" s="1"/>
  <c r="D78" i="1" a="1"/>
  <c r="D78" i="1" s="1"/>
  <c r="J78" i="1" s="1"/>
  <c r="I70" i="1"/>
  <c r="I69" i="1"/>
  <c r="D60" i="1" a="1"/>
  <c r="D60" i="1" s="1"/>
  <c r="J60" i="1" s="1"/>
  <c r="D30" i="1" a="1"/>
  <c r="D30" i="1" s="1"/>
  <c r="J30" i="1" s="1"/>
  <c r="D23" i="1" a="1"/>
  <c r="D23" i="1" s="1"/>
  <c r="J23" i="1" s="1"/>
  <c r="D67" i="1" a="1"/>
  <c r="D67" i="1" s="1"/>
  <c r="J67" i="1" s="1"/>
  <c r="I44" i="1"/>
  <c r="D66" i="1" a="1"/>
  <c r="D66" i="1" s="1"/>
  <c r="J66" i="1" s="1"/>
  <c r="I52" i="1"/>
  <c r="I28" i="1"/>
  <c r="D48" i="1" a="1"/>
  <c r="D48" i="1" s="1"/>
  <c r="J48" i="1" s="1"/>
  <c r="I50" i="1"/>
  <c r="I20" i="1"/>
  <c r="D15" i="1" a="1"/>
  <c r="D15" i="1" s="1"/>
  <c r="J15" i="1" s="1"/>
  <c r="I22" i="1"/>
  <c r="I66" i="1"/>
  <c r="I9" i="1"/>
  <c r="I48" i="1"/>
  <c r="I51" i="1"/>
  <c r="I12" i="1"/>
  <c r="G3" i="1"/>
  <c r="D27" i="3"/>
  <c r="H67" i="1" l="1"/>
  <c r="H72" i="1"/>
  <c r="H77" i="1"/>
  <c r="H73" i="1"/>
  <c r="H76" i="1"/>
  <c r="H49" i="1"/>
  <c r="H57" i="1"/>
  <c r="H80" i="1"/>
  <c r="H82" i="1"/>
  <c r="H79" i="1"/>
  <c r="H78" i="1"/>
  <c r="H81" i="1"/>
  <c r="H75" i="1"/>
  <c r="H54" i="1"/>
  <c r="H50" i="1"/>
  <c r="H52" i="1"/>
  <c r="H83" i="1"/>
  <c r="H71" i="1"/>
  <c r="H64" i="1"/>
  <c r="H70" i="1"/>
  <c r="H63" i="1"/>
  <c r="H60" i="1"/>
  <c r="H61" i="1"/>
  <c r="H68" i="1"/>
  <c r="H69" i="1"/>
  <c r="H66" i="1"/>
  <c r="H62" i="1"/>
  <c r="H94" i="1"/>
  <c r="H88" i="1"/>
  <c r="H95" i="1"/>
  <c r="H90" i="1"/>
  <c r="H85" i="1"/>
  <c r="H93" i="1"/>
  <c r="H86" i="1"/>
  <c r="H91" i="1"/>
  <c r="H87" i="1"/>
  <c r="H89" i="1"/>
  <c r="H97" i="1"/>
  <c r="H92" i="1"/>
  <c r="H98" i="1"/>
  <c r="H96" i="1"/>
  <c r="H15" i="1"/>
  <c r="H46" i="1"/>
  <c r="H43" i="1"/>
  <c r="H6" i="1"/>
  <c r="H34" i="1"/>
  <c r="H47" i="1"/>
  <c r="H13" i="1"/>
  <c r="H58" i="1"/>
  <c r="H59" i="1"/>
  <c r="H55" i="1"/>
  <c r="H14" i="1"/>
  <c r="H27" i="1"/>
  <c r="H11" i="1"/>
  <c r="H18" i="1"/>
  <c r="H17" i="1"/>
  <c r="H56" i="1"/>
  <c r="H31" i="1"/>
  <c r="H28" i="1"/>
  <c r="H33" i="1"/>
  <c r="H8" i="1"/>
  <c r="H40" i="1"/>
  <c r="H51" i="1"/>
  <c r="H41" i="1"/>
  <c r="H16" i="1"/>
  <c r="H22" i="1"/>
  <c r="H4" i="1"/>
  <c r="H5" i="1"/>
  <c r="H9" i="1"/>
  <c r="H12" i="1"/>
  <c r="H37" i="1"/>
  <c r="H29" i="1"/>
  <c r="H20" i="1"/>
  <c r="H30" i="1"/>
  <c r="H42" i="1"/>
  <c r="H48" i="1"/>
  <c r="H21" i="1"/>
  <c r="H39" i="1"/>
  <c r="H45" i="1"/>
  <c r="H44" i="1"/>
  <c r="H38" i="1"/>
  <c r="H36" i="1"/>
  <c r="H7" i="1"/>
  <c r="H19" i="1"/>
  <c r="E9" i="3"/>
  <c r="F1" i="3" s="1"/>
  <c r="I2" i="14" s="1"/>
  <c r="C29" i="3"/>
  <c r="C28" i="3"/>
  <c r="C27" i="3"/>
  <c r="C5" i="3"/>
  <c r="F3" i="1"/>
  <c r="E3" i="1"/>
  <c r="C3" i="1"/>
  <c r="D28" i="11" l="1"/>
  <c r="D29" i="11"/>
  <c r="D26" i="11"/>
  <c r="D27" i="11"/>
  <c r="D25" i="11"/>
  <c r="D23" i="11"/>
  <c r="D24" i="11"/>
  <c r="D17" i="11"/>
  <c r="D21" i="11"/>
  <c r="D18" i="11"/>
  <c r="D22" i="11"/>
  <c r="D20" i="11"/>
  <c r="D19" i="11"/>
  <c r="D3" i="1" a="1"/>
  <c r="D3" i="1" s="1"/>
  <c r="J3" i="1" s="1"/>
  <c r="D15" i="11"/>
  <c r="D16" i="11"/>
  <c r="D14" i="11"/>
  <c r="D13" i="11"/>
  <c r="D11" i="11"/>
  <c r="D12" i="11"/>
  <c r="D10" i="11"/>
  <c r="D9" i="11"/>
  <c r="D7" i="11"/>
  <c r="D2" i="11"/>
  <c r="D6" i="11"/>
  <c r="D8" i="11"/>
  <c r="D3" i="11"/>
  <c r="D5" i="11"/>
  <c r="D4" i="11"/>
  <c r="I3" i="1"/>
  <c r="H3" i="1" l="1"/>
  <c r="G9" i="18" l="1"/>
  <c r="D13" i="2"/>
  <c r="B7" i="11" s="1"/>
  <c r="I23" i="1" s="1"/>
  <c r="H23" i="1" s="1"/>
  <c r="D14" i="2"/>
  <c r="B15" i="11" s="1"/>
  <c r="I10" i="1" s="1"/>
  <c r="H10" i="1" s="1"/>
  <c r="B9" i="11" l="1"/>
  <c r="I32" i="1" s="1"/>
  <c r="B8" i="11"/>
  <c r="B79" i="11"/>
  <c r="I25" i="1"/>
  <c r="H25" i="1" s="1"/>
  <c r="B80" i="11"/>
  <c r="C48" i="11" l="1"/>
  <c r="B48" i="11" s="1" a="1"/>
  <c r="B48" i="11" s="1"/>
  <c r="B37" i="11" s="1" a="1"/>
  <c r="B37" i="11" s="1"/>
  <c r="I26" i="1"/>
  <c r="H26" i="1" s="1"/>
  <c r="I24" i="1"/>
  <c r="H24" i="1" s="1"/>
  <c r="B30" i="11" l="1"/>
  <c r="B34" i="11" a="1"/>
  <c r="B34" i="11" s="1"/>
  <c r="B33" i="11" a="1"/>
  <c r="B33" i="11" s="1"/>
  <c r="B32" i="11" a="1"/>
  <c r="B32" i="11" s="1"/>
  <c r="B36" i="11" a="1"/>
  <c r="B36" i="11" s="1"/>
  <c r="B35" i="11" a="1"/>
  <c r="B35" i="11" s="1"/>
  <c r="B31" i="11" a="1"/>
  <c r="B31" i="11" s="1"/>
  <c r="C38" i="14"/>
  <c r="E9" i="18"/>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15FD6870-D6DB-DF44-9FF5-E3F92DF7482E}" name="testresults" type="6" refreshedVersion="8" background="1" saveData="1">
    <textPr sourceFile="/Users/frederik/Downloads/CS_2025-03-07_10_32_01_769LogPackage/results.csv" comma="1">
      <textFields count="2">
        <textField/>
        <textField/>
      </textFields>
    </textPr>
  </connection>
</connections>
</file>

<file path=xl/metadata.xml><?xml version="1.0" encoding="utf-8"?>
<metadata xmlns="http://schemas.openxmlformats.org/spreadsheetml/2006/main" xmlns:xlrd="http://schemas.microsoft.com/office/spreadsheetml/2017/richdata" xmlns:xda="http://schemas.microsoft.com/office/spreadsheetml/2017/dynamicarray">
  <metadataTypes count="2">
    <metadataType name="XLDAPR" minSupportedVersion="120000" copy="1" pasteAll="1" pasteValues="1" merge="1" splitFirst="1" rowColShift="1" clearFormats="1" clearComments="1" assign="1" coerce="1" cellMeta="1"/>
    <metadataType name="XLRICHVALUE" minSupportedVersion="120000" copy="1" pasteAll="1" pasteValues="1" merge="1" splitFirst="1" rowColShift="1" clearFormats="1" clearComments="1" assign="1" coerce="1"/>
  </metadataTypes>
  <futureMetadata name="XLDAPR" count="1">
    <bk>
      <extLst>
        <ext uri="{bdbb8cdc-fa1e-496e-a857-3c3f30c029c3}">
          <xda:dynamicArrayProperties fDynamic="1" fCollapsed="0"/>
        </ext>
      </extLst>
    </bk>
  </futureMetadata>
  <futureMetadata name="XLRICHVALUE" count="1">
    <bk>
      <extLst>
        <ext uri="{3e2802c4-a4d2-4d8b-9148-e3be6c30e623}">
          <xlrd:rvb i="0"/>
        </ext>
      </extLst>
    </bk>
  </futureMetadata>
  <cellMetadata count="1">
    <bk>
      <rc t="1" v="0"/>
    </bk>
  </cellMetadata>
  <valueMetadata count="1">
    <bk>
      <rc t="2" v="0"/>
    </bk>
  </valueMetadata>
</metadata>
</file>

<file path=xl/sharedStrings.xml><?xml version="1.0" encoding="utf-8"?>
<sst xmlns="http://schemas.openxmlformats.org/spreadsheetml/2006/main" count="1202" uniqueCount="638">
  <si>
    <t>Protocol Implementation Conformance Statement</t>
  </si>
  <si>
    <t>Date:</t>
  </si>
  <si>
    <t xml:space="preserve"> </t>
  </si>
  <si>
    <t>Instruction</t>
  </si>
  <si>
    <t>This document can be used by following these steps:</t>
  </si>
  <si>
    <r>
      <rPr>
        <sz val="12"/>
        <color rgb="FF000000"/>
        <rFont val="Calibri"/>
        <family val="2"/>
      </rPr>
      <t>Specify the hardware features of your Charging Station in column D of the tab "</t>
    </r>
    <r>
      <rPr>
        <i/>
        <sz val="12"/>
        <color rgb="FF000000"/>
        <rFont val="Calibri"/>
        <family val="2"/>
      </rPr>
      <t>Hardware Feature set</t>
    </r>
    <r>
      <rPr>
        <sz val="12"/>
        <color rgb="FF000000"/>
        <rFont val="Calibri"/>
        <family val="2"/>
      </rPr>
      <t>".</t>
    </r>
  </si>
  <si>
    <r>
      <rPr>
        <sz val="12"/>
        <color rgb="FF000000"/>
        <rFont val="Calibri"/>
        <family val="2"/>
      </rPr>
      <t>Select the Certification Profiles that you want to certify during your Certification run in column C of the tab "</t>
    </r>
    <r>
      <rPr>
        <i/>
        <sz val="12"/>
        <color rgb="FF000000"/>
        <rFont val="Calibri"/>
        <family val="2"/>
      </rPr>
      <t>Profile Selection</t>
    </r>
    <r>
      <rPr>
        <sz val="12"/>
        <color rgb="FF000000"/>
        <rFont val="Calibri"/>
        <family val="2"/>
      </rPr>
      <t>"</t>
    </r>
  </si>
  <si>
    <r>
      <t>Fill in the answer to the questions on the tab "</t>
    </r>
    <r>
      <rPr>
        <i/>
        <sz val="12"/>
        <color theme="1"/>
        <rFont val="Calibri"/>
        <family val="2"/>
        <scheme val="minor"/>
      </rPr>
      <t>Additional questions</t>
    </r>
    <r>
      <rPr>
        <sz val="12"/>
        <color theme="1"/>
        <rFont val="Calibri"/>
        <family val="2"/>
        <scheme val="minor"/>
      </rPr>
      <t>" (in column D)</t>
    </r>
  </si>
  <si>
    <r>
      <rPr>
        <sz val="12"/>
        <color rgb="FF000000"/>
        <rFont val="Calibri"/>
        <family val="2"/>
      </rPr>
      <t>Fill in all settings / limitations that are relevant for certification in the tab "</t>
    </r>
    <r>
      <rPr>
        <i/>
        <sz val="12"/>
        <color rgb="FF000000"/>
        <rFont val="Calibri"/>
        <family val="2"/>
      </rPr>
      <t>Other relevant settings</t>
    </r>
    <r>
      <rPr>
        <sz val="12"/>
        <color rgb="FF000000"/>
        <rFont val="Calibri"/>
        <family val="2"/>
      </rPr>
      <t>".</t>
    </r>
  </si>
  <si>
    <t>Hardware feature set</t>
  </si>
  <si>
    <t>Device Under Test </t>
  </si>
  <si>
    <t>&lt;type name and / or model number&gt; </t>
  </si>
  <si>
    <t>Id</t>
  </si>
  <si>
    <t>HFS-1</t>
  </si>
  <si>
    <t>Has a detachable cable</t>
  </si>
  <si>
    <t>Yes</t>
  </si>
  <si>
    <t>HFS-2</t>
  </si>
  <si>
    <t>Has a fixed cable</t>
  </si>
  <si>
    <t>HFS-3</t>
  </si>
  <si>
    <t>Has AC support </t>
  </si>
  <si>
    <t>No</t>
  </si>
  <si>
    <t>HFS-4</t>
  </si>
  <si>
    <t>Has DC support </t>
  </si>
  <si>
    <t>HFS-5</t>
  </si>
  <si>
    <t>Has 1 phase support</t>
  </si>
  <si>
    <t>HFS-6</t>
  </si>
  <si>
    <t>Has 2 phase support</t>
  </si>
  <si>
    <t>HFS-7</t>
  </si>
  <si>
    <t>Has 3 phase support</t>
  </si>
  <si>
    <t>HFS-8</t>
  </si>
  <si>
    <t>Communication technology  </t>
  </si>
  <si>
    <t>RFID readers </t>
  </si>
  <si>
    <t>Optional features</t>
  </si>
  <si>
    <t xml:space="preserve">List of Optional Features is currently: </t>
  </si>
  <si>
    <t>Id </t>
  </si>
  <si>
    <t>Feature</t>
  </si>
  <si>
    <t>C-01</t>
  </si>
  <si>
    <t>C-02</t>
  </si>
  <si>
    <t>C-03</t>
  </si>
  <si>
    <t>C-04</t>
  </si>
  <si>
    <t>C-06</t>
  </si>
  <si>
    <t>C-06.1</t>
  </si>
  <si>
    <t>C-06.2</t>
  </si>
  <si>
    <t>Supported</t>
  </si>
  <si>
    <t>Certification Profile: Smart Charging </t>
  </si>
  <si>
    <t>Certification Profile: Reservation</t>
  </si>
  <si>
    <t>Profile selection</t>
  </si>
  <si>
    <t>Certification Profile</t>
  </si>
  <si>
    <t>Description</t>
  </si>
  <si>
    <t>Core</t>
  </si>
  <si>
    <t>Local Authorization List Management</t>
  </si>
  <si>
    <t>Smart Charging</t>
  </si>
  <si>
    <t>Support for Smart Charging (all profile types, including stacking), to control charging.</t>
  </si>
  <si>
    <t>Reservation</t>
  </si>
  <si>
    <t>Support for reservation of a connector of a Charging Station.</t>
  </si>
  <si>
    <t>Additional questions</t>
  </si>
  <si>
    <t>Additional questions for lab testing </t>
  </si>
  <si>
    <t>AQ-1</t>
  </si>
  <si>
    <t>AQ-2</t>
  </si>
  <si>
    <t>Does the Charging Station have a cable lock, which prevents the EV driver to connect the EV and EVSE before authorization? </t>
  </si>
  <si>
    <t>AQ-3</t>
  </si>
  <si>
    <t>AQ-4</t>
  </si>
  <si>
    <t>AQ-5</t>
  </si>
  <si>
    <t>AQ-6</t>
  </si>
  <si>
    <t>AQ-7</t>
  </si>
  <si>
    <t>Is your Charging Station able to download firmware while there is an ongoing transaction?</t>
  </si>
  <si>
    <t>Does your Charging Station enforce a selection of EVSE (by design) prior to authorization?</t>
  </si>
  <si>
    <t>Other relevant Settings</t>
  </si>
  <si>
    <t>Value </t>
  </si>
  <si>
    <t>ORS-1</t>
  </si>
  <si>
    <t>… </t>
  </si>
  <si>
    <t>ORS-2</t>
  </si>
  <si>
    <t>ORS-3</t>
  </si>
  <si>
    <t>ORS-4</t>
  </si>
  <si>
    <t>ORS-5</t>
  </si>
  <si>
    <t>ORS-6</t>
  </si>
  <si>
    <t>ORS-7</t>
  </si>
  <si>
    <t>ORS-8</t>
  </si>
  <si>
    <t>ORS-9</t>
  </si>
  <si>
    <t>ORS-10</t>
  </si>
  <si>
    <t>ORS-11</t>
  </si>
  <si>
    <t>ORS-12</t>
  </si>
  <si>
    <t>ORS-14</t>
  </si>
  <si>
    <t>ORS-15</t>
  </si>
  <si>
    <t>ORS-16</t>
  </si>
  <si>
    <t>WebSocketPingInterval </t>
  </si>
  <si>
    <t>ChargingProfileMaxStackLevel </t>
  </si>
  <si>
    <t>Supported file transfer protocols </t>
  </si>
  <si>
    <t>Testcase</t>
  </si>
  <si>
    <t>Name</t>
  </si>
  <si>
    <t>Mandatory / Conditional</t>
  </si>
  <si>
    <t>Feature ID</t>
  </si>
  <si>
    <t>Feature Name</t>
  </si>
  <si>
    <t>Status</t>
  </si>
  <si>
    <t>Perform test for certification  (based on PICS)</t>
  </si>
  <si>
    <t>Profile selected</t>
  </si>
  <si>
    <t>Mandatory test for a mandatory feature</t>
  </si>
  <si>
    <t>Mandatory for optional feature</t>
  </si>
  <si>
    <t>Possibly mandatory, depending on your system</t>
  </si>
  <si>
    <t>Performance measurement</t>
  </si>
  <si>
    <t>Name </t>
  </si>
  <si>
    <t>Unit </t>
  </si>
  <si>
    <t>Description </t>
  </si>
  <si>
    <t>seconds </t>
  </si>
  <si>
    <t>Please note: only 1 communication technology is measured for performance, so if multiple technologies available in a Charging Station, please select for which the measurements should be executed by the lab. </t>
  </si>
  <si>
    <t>Key</t>
  </si>
  <si>
    <t>Value (based on formula)</t>
  </si>
  <si>
    <t>Optional feature related</t>
  </si>
  <si>
    <t>Used</t>
  </si>
  <si>
    <t>Check features use</t>
  </si>
  <si>
    <t xml:space="preserve">Name </t>
  </si>
  <si>
    <t>CS Status</t>
  </si>
  <si>
    <t>Optional</t>
  </si>
  <si>
    <t>Support for offline authorization of transactions</t>
  </si>
  <si>
    <t>Support for maximizing energy for invalid ids (MaxEnergyOnInvalidId)</t>
  </si>
  <si>
    <t>Support for maintaining authorization when cable disconnected on EV side</t>
  </si>
  <si>
    <t>Support for not maintaining authorization when cable disconnected on EV side</t>
  </si>
  <si>
    <t>Supported Cipher Suites</t>
  </si>
  <si>
    <t>{ list of cipher suites } -&gt; at least one of + TLS_ECDHE_ECDSA_WITH_AES_128_GCM_SHA256 + TLS_ECDHE_ECDSA_WITH_AES_256_GCM_SHA384 + OR + TLS_RSA_WITH_AES_128_GCM_SHA256 + TLS_RSA_WITH_AES_256_GCM_SHA384</t>
  </si>
  <si>
    <t>Authorization Cache (AuthCacheEnabled)</t>
  </si>
  <si>
    <t>Supported charging rate units (ChargingScheduleChargingRateUnit)</t>
  </si>
  <si>
    <t>A</t>
  </si>
  <si>
    <t>W</t>
  </si>
  <si>
    <t>Helper</t>
  </si>
  <si>
    <t>M</t>
  </si>
  <si>
    <t>C</t>
  </si>
  <si>
    <t>Send Local Authorization List - VersionMismatch</t>
  </si>
  <si>
    <t>R-1</t>
  </si>
  <si>
    <t>Does your Charging Station support charging an EV using IEC 61851-1 (Mode 3)?</t>
  </si>
  <si>
    <t>Product Subtype</t>
  </si>
  <si>
    <t>Phases</t>
  </si>
  <si>
    <t>Connector</t>
  </si>
  <si>
    <t>Vendor</t>
  </si>
  <si>
    <t>Company</t>
  </si>
  <si>
    <t>&lt;vendor name&gt;</t>
  </si>
  <si>
    <t>Department</t>
  </si>
  <si>
    <t>Position</t>
  </si>
  <si>
    <t>Location</t>
  </si>
  <si>
    <t>Test laboratory</t>
  </si>
  <si>
    <t>Value</t>
  </si>
  <si>
    <r>
      <rPr>
        <b/>
        <sz val="11"/>
        <color theme="1"/>
        <rFont val="Calibri"/>
        <family val="2"/>
        <scheme val="minor"/>
      </rPr>
      <t>Date</t>
    </r>
    <r>
      <rPr>
        <sz val="12"/>
        <color theme="1"/>
        <rFont val="Calibri"/>
        <family val="2"/>
        <scheme val="minor"/>
      </rPr>
      <t>:</t>
    </r>
  </si>
  <si>
    <t>Signature:</t>
  </si>
  <si>
    <t>Test Report Reference</t>
  </si>
  <si>
    <t>Current</t>
  </si>
  <si>
    <t>(At least one of the suboptions below is required)</t>
  </si>
  <si>
    <t>Max Value</t>
  </si>
  <si>
    <t>Min Value</t>
  </si>
  <si>
    <t>Vendor provided performance values</t>
  </si>
  <si>
    <t>Communication technology used during performance measurement: </t>
  </si>
  <si>
    <t>Cable Type</t>
  </si>
  <si>
    <t>HFS-9</t>
  </si>
  <si>
    <t>HFS-10</t>
  </si>
  <si>
    <t>PICS Version:</t>
  </si>
  <si>
    <t>OCPP Errata Version</t>
  </si>
  <si>
    <t>OCPP Spec Version</t>
  </si>
  <si>
    <t>Vendor specific settings and limits </t>
  </si>
  <si>
    <t>Configuration Setting</t>
  </si>
  <si>
    <t>Configured Value</t>
  </si>
  <si>
    <t>…</t>
  </si>
  <si>
    <t>Type</t>
  </si>
  <si>
    <t>Average Value</t>
  </si>
  <si>
    <t>Fill in all settings that are specific to this vendor/device and relevant for certification in the tab "Vendor Specific Settings"</t>
  </si>
  <si>
    <t>Test Performed On</t>
  </si>
  <si>
    <t>Test Location</t>
  </si>
  <si>
    <t>&lt;location where tests are performed&gt;</t>
  </si>
  <si>
    <t>&lt;date the test lab completed testing&gt;</t>
  </si>
  <si>
    <t>&lt;fill in your company name&gt; </t>
  </si>
  <si>
    <t>Product Designation</t>
  </si>
  <si>
    <t>&lt;select RFID Reader configuration&gt;</t>
  </si>
  <si>
    <t xml:space="preserve">Hardware Feature Set is : </t>
  </si>
  <si>
    <t xml:space="preserve">… </t>
  </si>
  <si>
    <t>&lt;vendor maximum&gt;</t>
  </si>
  <si>
    <t>Measured performance (filled in by testlab after completion of the tests)</t>
  </si>
  <si>
    <t xml:space="preserve">... </t>
  </si>
  <si>
    <t>The table below should contain all relevant non-OCPP settings of the System Under Test that are relevant for the test laboratory and for the correct OCPP-compliant functioning : </t>
  </si>
  <si>
    <t>&lt;specify supported communication technology/ies&gt;</t>
  </si>
  <si>
    <r>
      <t>&lt;WiFi / ethernet / mobile&gt;</t>
    </r>
    <r>
      <rPr>
        <b/>
        <sz val="11"/>
        <color rgb="FF7030A0"/>
        <rFont val="Arial"/>
        <family val="2"/>
      </rPr>
      <t> </t>
    </r>
  </si>
  <si>
    <t>&lt;testlab location&gt;</t>
  </si>
  <si>
    <t>&lt;vendor location&gt;</t>
  </si>
  <si>
    <t>&lt;testlab organization name&gt;</t>
  </si>
  <si>
    <t>&lt;testlab department name&gt;</t>
  </si>
  <si>
    <t>&lt;vendor department name&gt;</t>
  </si>
  <si>
    <t>&lt;signature date&gt;</t>
  </si>
  <si>
    <t>&lt;vendor representative name&gt;</t>
  </si>
  <si>
    <t>&lt;vendor representative position&gt;</t>
  </si>
  <si>
    <t>&lt;testlab representative name&gt;</t>
  </si>
  <si>
    <t>&lt;testlab representative position&gt;</t>
  </si>
  <si>
    <t>&lt;internal testlab reference&gt;</t>
  </si>
  <si>
    <t>Statement of Approval</t>
  </si>
  <si>
    <t>Vendor Name </t>
  </si>
  <si>
    <t>Supported / Present </t>
  </si>
  <si>
    <t>Supported / Present</t>
  </si>
  <si>
    <t>Limit / Setting</t>
  </si>
  <si>
    <t>Certification Profile: Local Authorization List Management</t>
  </si>
  <si>
    <t>Firmware Management Settings</t>
  </si>
  <si>
    <t xml:space="preserve">List of Other Relevant Settings is currently: </t>
  </si>
  <si>
    <t>&lt;please provide the preconfigured value (max. 120 seconds)&gt;</t>
  </si>
  <si>
    <t>Certification Profile: Smart Charging</t>
  </si>
  <si>
    <r>
      <t>Specify which optional features you have implemented in your Charging Station in columns D and E of the tab "</t>
    </r>
    <r>
      <rPr>
        <i/>
        <sz val="12"/>
        <color rgb="FF000000"/>
        <rFont val="Calibri"/>
        <family val="2"/>
      </rPr>
      <t>Optional features</t>
    </r>
    <r>
      <rPr>
        <sz val="12"/>
        <color rgb="FF000000"/>
        <rFont val="Calibri"/>
        <family val="2"/>
      </rPr>
      <t>". Fill in all black fields, purple fields will be populated during certification</t>
    </r>
  </si>
  <si>
    <t>Before submitting this document to a testlab for a certification test:</t>
  </si>
  <si>
    <r>
      <t>Enter your performance commitment in the tab '</t>
    </r>
    <r>
      <rPr>
        <i/>
        <sz val="12"/>
        <color theme="1"/>
        <rFont val="Calibri"/>
        <family val="2"/>
        <scheme val="minor"/>
      </rPr>
      <t>Performance Measurement</t>
    </r>
    <r>
      <rPr>
        <sz val="12"/>
        <color theme="1"/>
        <rFont val="Calibri"/>
        <family val="2"/>
        <scheme val="minor"/>
      </rPr>
      <t xml:space="preserve">' in column C (black fields only, purple fields will be populated during certification) </t>
    </r>
  </si>
  <si>
    <t>Ensure that all tabs that have a check show a green VALID status on the top row</t>
  </si>
  <si>
    <t xml:space="preserve">List of Additional Questions is currently: </t>
  </si>
  <si>
    <r>
      <t>You can now see the test cases that need to be passed on the tab "</t>
    </r>
    <r>
      <rPr>
        <i/>
        <sz val="12"/>
        <color rgb="FF000000"/>
        <rFont val="Calibri"/>
        <family val="2"/>
      </rPr>
      <t>Charging Station Testcases</t>
    </r>
    <r>
      <rPr>
        <sz val="12"/>
        <color rgb="FF000000"/>
        <rFont val="Calibri"/>
        <family val="2"/>
      </rPr>
      <t>" by filtering column H for the value "TRUE".</t>
    </r>
  </si>
  <si>
    <t xml:space="preserve">Performance Measurement is currently: </t>
  </si>
  <si>
    <r>
      <t xml:space="preserve">double-check the selected values entered in the steps above and be sure that the configuration specified will allow all required testcases to PASS. </t>
    </r>
    <r>
      <rPr>
        <b/>
        <sz val="12"/>
        <color theme="1"/>
        <rFont val="Calibri"/>
        <family val="2"/>
        <scheme val="minor"/>
      </rPr>
      <t>Please note that all values provided in the PICS will be shown on the Certificate.</t>
    </r>
  </si>
  <si>
    <t>Core Features</t>
  </si>
  <si>
    <r>
      <t>Statement of Appr</t>
    </r>
    <r>
      <rPr>
        <sz val="12"/>
        <color theme="1"/>
        <rFont val="Calibri"/>
        <family val="2"/>
        <scheme val="minor"/>
      </rPr>
      <t xml:space="preserve">oval is currently: </t>
    </r>
  </si>
  <si>
    <t>AC</t>
  </si>
  <si>
    <t>DC</t>
  </si>
  <si>
    <t>AC &amp; DC</t>
  </si>
  <si>
    <t>1.0.0</t>
  </si>
  <si>
    <t>Initial version</t>
  </si>
  <si>
    <t>Changelog:</t>
  </si>
  <si>
    <t>Optional. + Supporting this feature depends on whether at least one of the following is supported</t>
  </si>
  <si>
    <t>OCPP 1.6 Certification</t>
  </si>
  <si>
    <t>Edition 2 FINAL, 2017-09-28</t>
  </si>
  <si>
    <t>I hereby declare that the information provided in the document is correct and complete and that I approve this document to be submitted for OCPP 1.6 certification based on this information.</t>
  </si>
  <si>
    <t>Basic Charging Station, functionality for booting, authorization (incl. cache if
available), configuration, transactions, remote control.</t>
  </si>
  <si>
    <t>Firmware Management</t>
  </si>
  <si>
    <t>Support for (remote) firmware update management and diagnostic log file download.</t>
  </si>
  <si>
    <t>Features to manage a local list in the charging station containing authorization data for whitelisting users.</t>
  </si>
  <si>
    <t>Remote Trigger</t>
  </si>
  <si>
    <t>Support for remotely triggering messages that originate from a Charging Station. This can be used for resending messages or for getting the latest information from the Charging Station.</t>
  </si>
  <si>
    <t>OCPP 1.6 Security</t>
  </si>
  <si>
    <t>Support reservations of entire Charging Station</t>
  </si>
  <si>
    <t>SC-1</t>
  </si>
  <si>
    <t>SEC-1</t>
  </si>
  <si>
    <t>SC-1.1</t>
  </si>
  <si>
    <t>SC-1.2</t>
  </si>
  <si>
    <t>Support to limit StatusNotifications (MinimumStatusDuration)</t>
  </si>
  <si>
    <t>C-07</t>
  </si>
  <si>
    <t>C-05</t>
  </si>
  <si>
    <t>Reservations</t>
  </si>
  <si>
    <t>(Select all supported suboptions)</t>
  </si>
  <si>
    <t>GetConfigurationMaxKeys</t>
  </si>
  <si>
    <t>MeterValuesAlignedDataMaxLength</t>
  </si>
  <si>
    <t>MeterValuesSampledDataMaxLength</t>
  </si>
  <si>
    <t>Minimum MeterValueSampleInterval supported</t>
  </si>
  <si>
    <t>Maximum MeterValueSampleInterval supported</t>
  </si>
  <si>
    <t>Minimum HeartbeatInterval supported</t>
  </si>
  <si>
    <t>Maximum HeartbeatInterval supported</t>
  </si>
  <si>
    <t>StopTransactionMaxMeterValues</t>
  </si>
  <si>
    <t>StopTxnAlignedDataMaxLength</t>
  </si>
  <si>
    <t>StopTxnSampledDataMaxLength</t>
  </si>
  <si>
    <t>LocalAuthListMaxLength</t>
  </si>
  <si>
    <t>SendLocalListMaxLength</t>
  </si>
  <si>
    <t>ChargingScheduleMaxPeriods</t>
  </si>
  <si>
    <t>ORS-13</t>
  </si>
  <si>
    <t>OCPP triggered function timeout</t>
  </si>
  <si>
    <t>OCPP response timeout</t>
  </si>
  <si>
    <t>The timeout used for exchanging OCPP response messages. Messages to the DUT can be handled within this timeout.</t>
  </si>
  <si>
    <t>Cold Boot Charge Point</t>
  </si>
  <si>
    <t>Cold Boot Charge Point - Pending</t>
  </si>
  <si>
    <t>O</t>
  </si>
  <si>
    <t>Regular Charging Session - Plugin First</t>
  </si>
  <si>
    <t>Regular Charging Session – Identification First</t>
  </si>
  <si>
    <t>Regular Charging Session – Identification First - ConnectionTimeOut</t>
  </si>
  <si>
    <t>Only applicable for a Charge Point which supports local start transaction.</t>
  </si>
  <si>
    <t>Stop transaction - IdTag in StopTransaction matches IdTag in StartTransaction</t>
  </si>
  <si>
    <t>Stop transaction - ParentIdTag in StopTransaction matches ParentIdTag in StartTransaction</t>
  </si>
  <si>
    <t>Not applicable for product subtype Mode 1/2-only Charging Station.</t>
  </si>
  <si>
    <t>Regular Start Charging Session – Cached Id</t>
  </si>
  <si>
    <t>Clear Authorization Data in Authorization Cache</t>
  </si>
  <si>
    <t>Remote Start Charging Session – Cable Plugged in First</t>
  </si>
  <si>
    <t>Remote Start Charging Session – Remote Start First</t>
  </si>
  <si>
    <t>Remote Stop Charging Session</t>
  </si>
  <si>
    <t>Hard Reset Without transaction</t>
  </si>
  <si>
    <t>Soft Reset Without Transaction</t>
  </si>
  <si>
    <t>Hard Reset With Transaction</t>
  </si>
  <si>
    <t>Soft Reset With Transaction</t>
  </si>
  <si>
    <t>Unlock connector - no charging session running (Not fixed cable)</t>
  </si>
  <si>
    <t>Unlock connector - no charging session running (Fixed cable)</t>
  </si>
  <si>
    <t>Unlock Connector - With Charging Session (Not fixed cable)</t>
  </si>
  <si>
    <t>Unlock Connector - With Charging Session (Fixed cable)</t>
  </si>
  <si>
    <t>Retrieve configuration</t>
  </si>
  <si>
    <t>Change/set Configuration</t>
  </si>
  <si>
    <t>Sampled Meter Values</t>
  </si>
  <si>
    <t>Only applicable if the Charge Point does not have a fixed cable on Charge Point side.</t>
  </si>
  <si>
    <t>Send Local Authorization List - NotSupported</t>
  </si>
  <si>
    <t>Get Local List Version (not supported)</t>
  </si>
  <si>
    <t>Remote Start Charging Session – Rejected</t>
  </si>
  <si>
    <t>Remote Stop Transaction – Rejected</t>
  </si>
  <si>
    <t>Unlock Connector – Unlock Failure</t>
  </si>
  <si>
    <t>Unlock Connector – Unknown Connector</t>
  </si>
  <si>
    <t>Power failure boot charging point - configured to stop transaction(s) before going down</t>
  </si>
  <si>
    <t xml:space="preserve">C </t>
  </si>
  <si>
    <t>Only applicable for a Charge Point configured to stop transaction(s) before going down.</t>
  </si>
  <si>
    <t>Power failure boot charging point-configured to stop transaction(s)</t>
  </si>
  <si>
    <t>Only applicable for a Charge Point configured to stop transaction(s) after going down and being back online again.</t>
  </si>
  <si>
    <t>Power Failure with Unavailable Status</t>
  </si>
  <si>
    <t>Connection Loss During Transaction</t>
  </si>
  <si>
    <t>Only applicable for a Charge Point which supports local start/stop transaction and at least one of the following 3 functionalities: local authorization list feature profile, Unknown Offline Authorization or Authorization Cache.</t>
  </si>
  <si>
    <t>Offline Stop Transaction</t>
  </si>
  <si>
    <t>Only applicable for a Charge Point which supports local stop transaction.</t>
  </si>
  <si>
    <t>Offline Transaction</t>
  </si>
  <si>
    <t>Get Local List Version (empty)</t>
  </si>
  <si>
    <t>Send Local Authorization List</t>
  </si>
  <si>
    <t>Send Local Authorization List - Failed</t>
  </si>
  <si>
    <t>Regular Start Charging Session – Id in Local Authorization List</t>
  </si>
  <si>
    <t>Firmware Update - Download and Install</t>
  </si>
  <si>
    <t>Firmware Update - Download Failed</t>
  </si>
  <si>
    <t>Firmware Update - Installation Failed</t>
  </si>
  <si>
    <t>Get Diagnostics</t>
  </si>
  <si>
    <t>Get Diagnostics - Upload Failed</t>
  </si>
  <si>
    <t>Reservation of a Connector - Expire</t>
  </si>
  <si>
    <t>Reservation of a Connector - Occupied</t>
  </si>
  <si>
    <t>Reservation of a Connector - Unavailable</t>
  </si>
  <si>
    <t>Reservation of a Charge Point - Transaction</t>
  </si>
  <si>
    <t>Reservation of a Charge Point - Occupied</t>
  </si>
  <si>
    <t>Reservation of a Charge Point - Unavailable</t>
  </si>
  <si>
    <t>Cancel Reservation</t>
  </si>
  <si>
    <t>Cancel Reservation - Rejected</t>
  </si>
  <si>
    <t>Use a reserved Connector with parentIdTag</t>
  </si>
  <si>
    <t>Trigger Message</t>
  </si>
  <si>
    <t>Trigger Message - Rejected</t>
  </si>
  <si>
    <t>Central Smart Charging - TxDefaultProfile</t>
  </si>
  <si>
    <t>Central Smart Charging - TxProfile</t>
  </si>
  <si>
    <t>Central Smart Charging - No ongoing transaction</t>
  </si>
  <si>
    <t>Central Smart Charging - Wrong transactionId</t>
  </si>
  <si>
    <t>Central Smart Charging - TxDefaultProfile - with ongoing transaction</t>
  </si>
  <si>
    <t>Get Composite Schedule</t>
  </si>
  <si>
    <t>Clear Charging Profile</t>
  </si>
  <si>
    <t>Stacking Charging Profiles</t>
  </si>
  <si>
    <t>Remote Start Transaction with Charging Profile</t>
  </si>
  <si>
    <t>Remote Start Transaction with Charging Profile - Rejected</t>
  </si>
  <si>
    <t>Update Charge Point Password for HTTP Basic Authentication</t>
  </si>
  <si>
    <t>Only applicable if the Charge Point supports security profile 1 or 2.</t>
  </si>
  <si>
    <t>Update Charge Point Certificate by request of Central System</t>
  </si>
  <si>
    <t>Only applicable if the DUT supports security profile 3.</t>
  </si>
  <si>
    <t>Delete a specific certificate from the Charge Point</t>
  </si>
  <si>
    <t>Invalid ChargePointCertificate Security Event</t>
  </si>
  <si>
    <t>Invalid CentralSystemCertificate Security Event</t>
  </si>
  <si>
    <t>Get Security Log</t>
  </si>
  <si>
    <t>Secure Firmware Update</t>
  </si>
  <si>
    <t>Secure Firmware Update - Invalid Signature</t>
  </si>
  <si>
    <t>TC_001_CS</t>
  </si>
  <si>
    <t>TC_002_CS</t>
  </si>
  <si>
    <t>TC_003_CS</t>
  </si>
  <si>
    <t>TC_004_1_CS</t>
  </si>
  <si>
    <t>TC_004_2_CS</t>
  </si>
  <si>
    <t>TC_068_CS</t>
  </si>
  <si>
    <t>TC_069_CS</t>
  </si>
  <si>
    <t>TC_005_1_CS</t>
  </si>
  <si>
    <t>TC_005_2_CS</t>
  </si>
  <si>
    <t>TC_005_3_CS</t>
  </si>
  <si>
    <t>TC_007_CS</t>
  </si>
  <si>
    <t>TC_061_CS</t>
  </si>
  <si>
    <t>TC_010_CS</t>
  </si>
  <si>
    <t>TC_011_1_CS</t>
  </si>
  <si>
    <t>TC_011_2_CS</t>
  </si>
  <si>
    <t>TC_012_CS</t>
  </si>
  <si>
    <t>TC_013_CS</t>
  </si>
  <si>
    <t>TC_014_CS</t>
  </si>
  <si>
    <t>TC_015_CS</t>
  </si>
  <si>
    <t>TC_016_CS</t>
  </si>
  <si>
    <t>TC_017_1_CS</t>
  </si>
  <si>
    <t>TC_017_2_CS</t>
  </si>
  <si>
    <t>TC_018_1_CS</t>
  </si>
  <si>
    <t>TC_018_2_CS</t>
  </si>
  <si>
    <t>TC_019_CS</t>
  </si>
  <si>
    <t>TC_021_CS</t>
  </si>
  <si>
    <t>TC_070_CS</t>
  </si>
  <si>
    <t>TC_071_CS</t>
  </si>
  <si>
    <t>TC_023_CS</t>
  </si>
  <si>
    <t>TC_024_CS</t>
  </si>
  <si>
    <t>TC_026_CS</t>
  </si>
  <si>
    <t>TC_028_CS</t>
  </si>
  <si>
    <t>TC_030_CS</t>
  </si>
  <si>
    <t>TC_031_CS</t>
  </si>
  <si>
    <t>TC_032_1_CS</t>
  </si>
  <si>
    <t>TC_032_2_CS</t>
  </si>
  <si>
    <t>TC_034_CS</t>
  </si>
  <si>
    <t>TC_036_CS</t>
  </si>
  <si>
    <t>TC_037_1_CS</t>
  </si>
  <si>
    <t>TC_037_2_CS</t>
  </si>
  <si>
    <t>TC_037_3_CS</t>
  </si>
  <si>
    <t>TC_038_CS</t>
  </si>
  <si>
    <t>TC_039_CS</t>
  </si>
  <si>
    <t>TC_040_1_CS</t>
  </si>
  <si>
    <t>TC_040_2_CS</t>
  </si>
  <si>
    <t>TC_042_1_CS</t>
  </si>
  <si>
    <t>TC_042_2_CS</t>
  </si>
  <si>
    <t>TC_043_CS</t>
  </si>
  <si>
    <t>TC_043_1_CS</t>
  </si>
  <si>
    <t>TC_043_2_CS</t>
  </si>
  <si>
    <t>TC_043_3_CS</t>
  </si>
  <si>
    <t>TC_008_CS</t>
  </si>
  <si>
    <t>TC_044_1_CS</t>
  </si>
  <si>
    <t>TC_044_2_CS</t>
  </si>
  <si>
    <t>TC_044_3_CS</t>
  </si>
  <si>
    <t>TC_045_1_CS</t>
  </si>
  <si>
    <t>TC_045_2_CS</t>
  </si>
  <si>
    <t>TC_046_1_CS</t>
  </si>
  <si>
    <t>TC_046_2_CS</t>
  </si>
  <si>
    <t>TC_047_CS</t>
  </si>
  <si>
    <t>TC_048_2_CS</t>
  </si>
  <si>
    <t>TC_048_3_CS</t>
  </si>
  <si>
    <t>TC_048_4_CS</t>
  </si>
  <si>
    <t>TC_049_CS</t>
  </si>
  <si>
    <t>TC_050_2_CS</t>
  </si>
  <si>
    <t>TC_050_3_CS</t>
  </si>
  <si>
    <t>TC_051_CS</t>
  </si>
  <si>
    <t>TC_052_CS</t>
  </si>
  <si>
    <t>TC_053_CS</t>
  </si>
  <si>
    <t>TC_054_CS</t>
  </si>
  <si>
    <t>TC_055_CS</t>
  </si>
  <si>
    <t>TC_056_CS</t>
  </si>
  <si>
    <t>TC_057_CS</t>
  </si>
  <si>
    <t>TC_058_1_CS</t>
  </si>
  <si>
    <t>TC_058_2_CS</t>
  </si>
  <si>
    <t>TC_082_CS</t>
  </si>
  <si>
    <t>TC_066_CS</t>
  </si>
  <si>
    <t>TC_067_CS</t>
  </si>
  <si>
    <t>TC_072_CS</t>
  </si>
  <si>
    <t>TC_059_CS</t>
  </si>
  <si>
    <t>TC_062_CS</t>
  </si>
  <si>
    <t>TC_074_CS</t>
  </si>
  <si>
    <t>TC_076_CS</t>
  </si>
  <si>
    <t>TC_077_CS</t>
  </si>
  <si>
    <t>TC_078_CS</t>
  </si>
  <si>
    <t>TC_079_CS</t>
  </si>
  <si>
    <t>TC_080_CS</t>
  </si>
  <si>
    <t>TC_081_CS</t>
  </si>
  <si>
    <t>Only applicable for a Charge Point with a detachable cable.
Not applicable for product subtype Mode 1/2-only Charging Station.</t>
  </si>
  <si>
    <t>Only applicable for a Charge Point with a fixed cable.
Mandatory for product subtype Mode 1/2-only Charging Station.</t>
  </si>
  <si>
    <t>Only applicable for a Charge Point which supports local start/stop transaction and at least one of the following 3 functionalities: local authorization list feature profile, Unknown Offline Authorization or Authorization Cache.
Using valid idTag,
AllowOfflineTxForUnknownId = true,
LocalAuthorizeOffline = true</t>
  </si>
  <si>
    <t>Only applicable for a Charge Point which supports local start/stop transaction and at least one of the following 3 functionalities: local authorization list feature profile, Unknown Offline Authorization or Authorization Cache.
Using invalid idTag, 
AllowOfflineTxForUnknownId = true, LocalAuthorizeOffline = true, StopTransactionOnInvalidId = false
Please note: as with all Charging Stations, this test case is also applicable for product subtype Mode 1/2-only Charging Station (depending on the above conditions).</t>
  </si>
  <si>
    <t>Only applicable for a Charge Point which supports local start/stop transaction and at least one of the following 3 functionalities: local authorization list feature profile, Unknown Offline Authorization or Authorization Cache.
Using invalid idTag, 
AllowOfflineTxForUnknownId = true, LocalAuthorizeOffline = true, StopTransactionOnInvalidId = true</t>
  </si>
  <si>
    <t>Prerequisite: support for 2 stack levels is required.
Not applicable for product subtype Mode 1/2-only Charging Station.</t>
  </si>
  <si>
    <t>Security</t>
  </si>
  <si>
    <t>TC_073_CS</t>
  </si>
  <si>
    <t>C-08</t>
  </si>
  <si>
    <t>Support for local start and stop</t>
  </si>
  <si>
    <t>Support for local start</t>
  </si>
  <si>
    <t>C-04 AND C-07</t>
  </si>
  <si>
    <t>Support for local start and stop AND Authorization Cache (AuthCacheEnabled)</t>
  </si>
  <si>
    <t>If Local List not supported by Charging Station.</t>
  </si>
  <si>
    <t>HFS-1 AND NOT Product subtype Mode 1/2-only Charging Station.</t>
  </si>
  <si>
    <t>HFS-2 OR Product subtype Mode 1/2-only Charging Station.</t>
  </si>
  <si>
    <t>NOT HFS-2</t>
  </si>
  <si>
    <t>C-01 AND C-07</t>
  </si>
  <si>
    <t>Optional test case</t>
  </si>
  <si>
    <t>Pure optional</t>
  </si>
  <si>
    <t>&lt;select subtype or Not Applicable&gt;</t>
  </si>
  <si>
    <t>TC_075_1_CS</t>
  </si>
  <si>
    <t>TC_075_2_CS</t>
  </si>
  <si>
    <t>TC_060_CS</t>
  </si>
  <si>
    <t>Data Transfer to a Charge Point</t>
  </si>
  <si>
    <t>Install a certificate on the Charge Point - CentralSystemRootCertificate</t>
  </si>
  <si>
    <t>NOT Product subtype Mode 1/2-only Charging Station AND NOT HFS-2 AND C.06.2</t>
  </si>
  <si>
    <t>Product subtype Mode 1/2-only Charging Station OR C.06.2</t>
  </si>
  <si>
    <t>NOT Product subtype Mode 1/2-only Charging Station</t>
  </si>
  <si>
    <t>This document must be used to define the system that you want to certify in the Open Charge Alliance OCPP Certification Program for OCPP 1.6. By defining a system / device using this document, a vendor or certification lab can determine the exact test cases that have to be performed during the certification run for OCPP 1.6 certification. 
This document is only intended to be updated using Microsoft Excel. It contains many calculations to ensure that the combination of values is sound and as a tool for the user it also calculates which testcases are required. We have locked the sheet to ensure only the fields that are intended for input can be modified and are fully aware that it is possible to remove this protection. We cannot accept any filled in PICS documents that have  the password protection removed or that have been modified using another program than Microsoft Excel. Doing so makes this PICS invalid and renders it unusable for starting your certification proces.</t>
  </si>
  <si>
    <t>Security extension (based on Security Whitepaper).</t>
  </si>
  <si>
    <t>&lt;-- This cell is based on a calculation: Local Authorization list profile supported OR C- 02="Yes" OR C-04="Yes"</t>
  </si>
  <si>
    <t>Support for local stop</t>
  </si>
  <si>
    <t>C-07 AND C-08</t>
  </si>
  <si>
    <t>C-04 AND C-07 AND C-08</t>
  </si>
  <si>
    <t>C-01 AND C-07 AND C-08</t>
  </si>
  <si>
    <t>Support for allowing Offline Authorization for Unknown Ids (AllowOfflineTxForUnknownId)</t>
  </si>
  <si>
    <t>AQ-7.1</t>
  </si>
  <si>
    <t>AQ-7.2</t>
  </si>
  <si>
    <t>Reporting of StopTransaction after power loss</t>
  </si>
  <si>
    <t>Charge Point configured to report StopTransaction(s) after going down and being back online again.</t>
  </si>
  <si>
    <t>Charge Point configured to report StopTransaction(s) before going down.</t>
  </si>
  <si>
    <t>Only applicable if the DUT does not support security. Should fail in case security supported.</t>
  </si>
  <si>
    <t xml:space="preserve">Only applicable if the DUT does not support security. </t>
  </si>
  <si>
    <t>NOT Security supported</t>
  </si>
  <si>
    <t>StopTransactionOnEVSideDisconnect = true
Condition:
The Charge Point does not have a fixed cable on Charge Point side 
AND 
The configuration key StopTransactionOnEVSideDisconnect does NOT have the accessibility ReadOnly in combination with value false.
Not applicable for product subtype Mode 1/2-only Charging Station.</t>
  </si>
  <si>
    <t>StopTransactionOnEVSideDisconnect = true
Condition:
The configuration key StopTransactionOnEVSideDisconnect does NOT have the accessibility ReadOnly in combination with value false.
Mandatory for product subtype Mode 1/2-only Charging Station.</t>
  </si>
  <si>
    <t>Upgrade security profile</t>
  </si>
  <si>
    <t>TC_083_CS</t>
  </si>
  <si>
    <t>TC_084_CS</t>
  </si>
  <si>
    <t>Downgrade security profile - Rejected</t>
  </si>
  <si>
    <t>Only applicable if the DUT supports multiple security profiles</t>
  </si>
  <si>
    <t>Certification Profile: Firmware Management</t>
  </si>
  <si>
    <t>F-1</t>
  </si>
  <si>
    <t>Support for Secure Firmware Updates</t>
  </si>
  <si>
    <t>EV Side Disconnected - StopTransactionOnEVSideDisconnect = true - UnlockConnectorOnEVSideDisconnect = true</t>
  </si>
  <si>
    <t>EV Side Disconnected - StopTransactionOnEVSideDisconnect = true - UnlockConnectorOnEVSideDisconnect = false</t>
  </si>
  <si>
    <t>EV Side Disconnected - StopTransactionOnEVSideDisconnect = false - UnlockConnectorOnEVSideDisconnect = false</t>
  </si>
  <si>
    <t>Remote Start Charging Session – Time Out</t>
  </si>
  <si>
    <t>Offline Start Transaction - Valid IdTag</t>
  </si>
  <si>
    <t>Offline Start Transaction - Invalid IdTag - StopTransactionOnInvalidId = false</t>
  </si>
  <si>
    <t>Offline Start Transaction - Invalid IdTag - StopTransactionOnInvalidId = true</t>
  </si>
  <si>
    <t>Configuration key - NotSupported</t>
  </si>
  <si>
    <t>Configuratoin key - Invalid value</t>
  </si>
  <si>
    <t>The timeout used for when waiting for an OCPP function with its corresponding request message (e.g. time between receiving ChangeAvailability.conf and StatusNotification.req). Messages to the DUT can be handled within this timeout.
This value excludes firmware, diagnostics and rebooting (e.g. based on a reset)</t>
  </si>
  <si>
    <t>Transaction authorization time by RemoteStartTransaction</t>
  </si>
  <si>
    <t>Transaction authorization end time by RemoteStopTransaction</t>
  </si>
  <si>
    <t>The time between the  RemoteStartTransaction.req message and the corresponding StartTransaction.req. Only cases where the RemoteStartTransaction immediately results in an authorization followed by a StartTransaction.req are included.</t>
  </si>
  <si>
    <t>The time between the RemoteStopTransaction.req message and the corresponding StopTransaction.req. Only cases where the RemoteStopTransaction immediately results in an end of the authorization followed by a StopTransaction.req are included.</t>
  </si>
  <si>
    <t>SEC-2</t>
  </si>
  <si>
    <t>SEC-4</t>
  </si>
  <si>
    <t>SEC-3</t>
  </si>
  <si>
    <t>Certification Profile / security</t>
  </si>
  <si>
    <t>Security extension</t>
  </si>
  <si>
    <t>Implementation of the whitepaper: Improved security for OCPP 1.6-J</t>
  </si>
  <si>
    <t>Certification Profile / Security</t>
  </si>
  <si>
    <t>Security Profile 3: TLS (1.2 or higher) with Client Side Certificates</t>
  </si>
  <si>
    <t>Security Profile 2: TLS (1.2 or higher) with Basic Authentication</t>
  </si>
  <si>
    <t>Security Profile 1: Unsecured Transport with Basic Authentication</t>
  </si>
  <si>
    <t>Basic Authentication - Valid username/password combination</t>
  </si>
  <si>
    <t>Only applicable if the DUT supports security profile 1.</t>
  </si>
  <si>
    <t>TLS - server-side certificate - Valid certificate</t>
  </si>
  <si>
    <t>Only applicable if the DUT supports security profile 2.</t>
  </si>
  <si>
    <t>TLS - Client-side certificate - valid certificate</t>
  </si>
  <si>
    <t>TC_085_CS</t>
  </si>
  <si>
    <t>TC_086_CS</t>
  </si>
  <si>
    <t>TC_087_CS</t>
  </si>
  <si>
    <t>Reservation of a Connector - Rejected</t>
  </si>
  <si>
    <t>Install a certificate on the Charge Point - ManufacturerRootCertificate</t>
  </si>
  <si>
    <t>Start Charging Session – Authorize invalid</t>
  </si>
  <si>
    <t>Start Charging Session - Lock Failure</t>
  </si>
  <si>
    <t>Reservation of a Connector - Local start transaction</t>
  </si>
  <si>
    <t>Reservation of a Connector - Remote start transaction</t>
  </si>
  <si>
    <t>Clock-aligned Meter Values</t>
  </si>
  <si>
    <t>...</t>
  </si>
  <si>
    <t>No. Connectors</t>
  </si>
  <si>
    <t>Connector Configuration</t>
  </si>
  <si>
    <t>Certification Extension</t>
  </si>
  <si>
    <t>Name reviewer</t>
  </si>
  <si>
    <t>&lt;optional testlab reviewer name&gt;</t>
  </si>
  <si>
    <t>Security Whitepaper Edition 3 (Improved security for OCPP 1.6-J v1.3, 2022-02-17)</t>
  </si>
  <si>
    <t>Errata v4.0 Release, 2019-10-23</t>
  </si>
  <si>
    <t>Security extension : Cipher Suites</t>
  </si>
  <si>
    <t>Test lab result</t>
  </si>
  <si>
    <t>Test lab remark</t>
  </si>
  <si>
    <t>NOT AQ-2</t>
  </si>
  <si>
    <t>R-1 AND NOT AQ-2</t>
  </si>
  <si>
    <t>C-07 AND C-08 AND NOT AQ-2</t>
  </si>
  <si>
    <t>Can the last CentralSystemRootCertificate can be removed? </t>
  </si>
  <si>
    <t>Can the last ChargePointCertificate be removed (via other means than OCPP)? </t>
  </si>
  <si>
    <t>Metervalues</t>
  </si>
  <si>
    <t>Tested during Certification**</t>
  </si>
  <si>
    <t>Supported
according to Vendor***</t>
  </si>
  <si>
    <t>&lt;list of supported values, at least one&gt;</t>
  </si>
  <si>
    <t>C-09</t>
  </si>
  <si>
    <t>C-09.1</t>
  </si>
  <si>
    <t>C-09.2</t>
  </si>
  <si>
    <t>Supported MeterValue Measurands</t>
  </si>
  <si>
    <t>{ list of supported } at least one</t>
  </si>
  <si>
    <t>MeterValuesSampledData</t>
  </si>
  <si>
    <t>StopTxnSampledData</t>
  </si>
  <si>
    <t>MeterValuesAlignedData</t>
  </si>
  <si>
    <t>StopTxnAlignedData</t>
  </si>
  <si>
    <t>1.1.1</t>
  </si>
  <si>
    <t>1.1.0</t>
  </si>
  <si>
    <t>Minor corrections (related to R-1 and AQ-2) and added Metervalues measurands</t>
  </si>
  <si>
    <t>Photo('s) of tested Charging Stations (taken and added by test lab):</t>
  </si>
  <si>
    <t>Added space for photo on statement of approval tab</t>
  </si>
  <si>
    <t>1.1.2</t>
  </si>
  <si>
    <t>Fixed formula references for performance measurements</t>
  </si>
  <si>
    <t>1.1.4</t>
  </si>
  <si>
    <t>1.1.3</t>
  </si>
  <si>
    <t>Updated Metervalues measurands table</t>
  </si>
  <si>
    <t>Fixed formula for &gt;2 connectors.</t>
  </si>
  <si>
    <t>1.1.5</t>
  </si>
  <si>
    <t>Fixed section for certificate generation</t>
  </si>
  <si>
    <t>1.1.6</t>
  </si>
  <si>
    <t>x</t>
  </si>
  <si>
    <t>NOT Product subtype Mode 1/2-only Charging Station AND C06.1</t>
  </si>
  <si>
    <t>StopTransactionOnEVSideDisconnect = false
Not applicable for product subtype Mode 1/2-only Charging Station.</t>
  </si>
  <si>
    <t>Fixed formula for test cases 083 and 084</t>
  </si>
  <si>
    <t>1.1.7</t>
  </si>
  <si>
    <t>Only applicable if the DUT supports security profile 1 or 2.</t>
  </si>
  <si>
    <t>Only applicable if the DUT supports security profile 2 or 3.</t>
  </si>
  <si>
    <t>Fixed formula for test cases 085 and 086</t>
  </si>
  <si>
    <t>&lt;select type of Device Under Test&gt;</t>
  </si>
  <si>
    <t>&lt;type software version of the product&gt;</t>
  </si>
  <si>
    <t>The complete PICS is currently</t>
  </si>
  <si>
    <t>ORS-17</t>
  </si>
  <si>
    <t>ORS-18</t>
  </si>
  <si>
    <t>CertificateSignedMaxChainSize</t>
  </si>
  <si>
    <t>CertificateStoreMaxLength</t>
  </si>
  <si>
    <t>Support reservations of entire Charging Station (ReserveConnectorZeroSupported)</t>
  </si>
  <si>
    <t>Authorization status after cable disconnected on EV side (StopTransactionOnEVSideDisconnect)</t>
  </si>
  <si>
    <t>Authorization Cache (AuthorizationCacheEnabled)</t>
  </si>
  <si>
    <t>OCPP Family Members</t>
  </si>
  <si>
    <t>Please specify the differences between Representative Product and Family members</t>
  </si>
  <si>
    <t>Representative product</t>
  </si>
  <si>
    <t>Family members</t>
  </si>
  <si>
    <t>Product designation:</t>
  </si>
  <si>
    <t>Configuration ID</t>
  </si>
  <si>
    <t>I hereby declare that the information provided about the product family members in this document is correct and complete.</t>
  </si>
  <si>
    <t>DC power level (kW)</t>
  </si>
  <si>
    <t>&lt;specify DC power level&gt;</t>
  </si>
  <si>
    <t>HFS-11</t>
  </si>
  <si>
    <t>The Hardware Feature set is the actual set of relevant hardware properties of the product tested, that influence the OCPP messaging behavior . In the table below you can see for each hardware feature relevant for OCPP whether this is applicable for this product.</t>
  </si>
  <si>
    <t>The OCPP specification contains many implementation options that can be selected by a vendor, often in the form of optional message fields or configuration variables, that can be used to support advanced functions. Whereas the certification profiles determine which OCPP functionality is implemented, the features describe how much of a certain functionality in a profile has been implemented. The tables below indicate per certification profiles, for each available optional feature within this profile, whether this has been implemented in this product and tested for conformance or not.</t>
  </si>
  <si>
    <t>The table below lists a number of questions that are needed for determining the complete list of conformance test for this product.</t>
  </si>
  <si>
    <t>The table below lists a number of settings that are needed for configuring the test setup for the conformance test for this product.</t>
  </si>
  <si>
    <t>The tables below shows the list of key performance indicators that are measured during the conformance test. The first table indicates the values that the vendor indicates that are valid maximum values for this product. The second table lists the actual performance measurements during the tests performed in a controlled environment.</t>
  </si>
  <si>
    <t>Additional DUT information</t>
  </si>
  <si>
    <t>Firmware image hash</t>
  </si>
  <si>
    <r>
      <t xml:space="preserve">Additional Network Communication Ports
</t>
    </r>
    <r>
      <rPr>
        <i/>
        <sz val="11"/>
        <color rgb="FF7030A0"/>
        <rFont val="Calibri"/>
        <family val="2"/>
        <scheme val="minor"/>
      </rPr>
      <t>Please list all communication ports besides the OCPP connection for this device (excl. ntp &amp; log upload / firmware download)</t>
    </r>
  </si>
  <si>
    <t>Protocol</t>
  </si>
  <si>
    <t>Network port</t>
  </si>
  <si>
    <t>Direction</t>
  </si>
  <si>
    <t>Secured</t>
  </si>
  <si>
    <r>
      <t xml:space="preserve">Vendor provided photo of tested Charging Station
</t>
    </r>
    <r>
      <rPr>
        <b/>
        <i/>
        <sz val="11"/>
        <color rgb="FF7030A0"/>
        <rFont val="Calibri"/>
        <family val="2"/>
        <scheme val="minor"/>
      </rPr>
      <t>(will be visible on certificate, do not use "picture in cell"</t>
    </r>
    <r>
      <rPr>
        <b/>
        <sz val="11"/>
        <color rgb="FF7030A0"/>
        <rFont val="Calibri"/>
        <family val="2"/>
        <scheme val="minor"/>
      </rPr>
      <t>)</t>
    </r>
  </si>
  <si>
    <t>Additional Test information</t>
  </si>
  <si>
    <t>OCTT version(s) used</t>
  </si>
  <si>
    <t>Config ID</t>
  </si>
  <si>
    <t>EVSE selection prior to authorization</t>
  </si>
  <si>
    <t>Supported Metervalue Measurands</t>
  </si>
  <si>
    <t>Family member photos</t>
  </si>
  <si>
    <t>Updated for new certification program</t>
  </si>
  <si>
    <t>FamilyConfigID</t>
  </si>
  <si>
    <t>FamilyMemberID</t>
  </si>
  <si>
    <t>ConfigID</t>
  </si>
  <si>
    <t>FamilyMember_1_ConfigID</t>
  </si>
  <si>
    <t>FamilyMember_2_ConfigID</t>
  </si>
  <si>
    <t>FamilyMember_3_ConfigID</t>
  </si>
  <si>
    <t>FamilyMember_4_ConfigID</t>
  </si>
  <si>
    <t>FamilyMember_5_ConfigID</t>
  </si>
  <si>
    <t>FamilyMember_6_ConfigID</t>
  </si>
  <si>
    <t>FamilyMember_7_ConfigID</t>
  </si>
  <si>
    <t>Config_ID</t>
  </si>
  <si>
    <t>Answer</t>
  </si>
  <si>
    <t>The following list contains all Test cases that are required for a full conformance test for a product that is defined as in the configuration in this document. This is the complete list of test cases for this configuration, each of these test cases has been passed using the Test System defined above. 
Please note that test cases that are not applicable for this configuration are left out of this list, so this is a subset of the test cases that are listed and described in the Test Case Document and Test Procedure &amp; Test Plan document.</t>
  </si>
  <si>
    <t>OCTT Instance ID</t>
  </si>
  <si>
    <t>2.0.0</t>
  </si>
  <si>
    <t>TLS_ECDHE_ECDSA_WITH_AES_128_GCM_SHA256 + TLS_ECDHE_ECDSA_WITH_AES_256_GCM_SHA384</t>
  </si>
  <si>
    <t>TLS_RSA_WITH_AES_128_GCM_SHA256 + TLS_RSA_WITH_AES_256_GCM_SHA384</t>
  </si>
  <si>
    <t>TLS_ECDHE_ECDSA_WITH_AES_128_GCM_SHA256 + TLS_ECDHE_ECDSA_WITH_AES_256_GCM_SHA384 + TLS_RSA_WITH_AES_128_GCM_SHA256 + TLS_RSA_WITH_AES_256_GCM_SHA384</t>
  </si>
  <si>
    <t>PICS Id:</t>
  </si>
  <si>
    <t>Required test based on configuration</t>
  </si>
  <si>
    <t>ORS-19</t>
  </si>
  <si>
    <t>MaxChargingProfilesInstalled</t>
  </si>
  <si>
    <t>2.0.1</t>
  </si>
  <si>
    <t>&lt;please provide a short description of your product family representative product&gt;</t>
  </si>
  <si>
    <t>&lt;please provide a short description for this product family member model&gt;</t>
  </si>
  <si>
    <t>&lt;family member 1 model&gt;</t>
  </si>
  <si>
    <t>Extension(s)</t>
  </si>
  <si>
    <t>Added ORS-19, made ORS-18 and other fields editable, added validations, fixed ConfigID Calculation, RFID Reader per Connector</t>
  </si>
  <si>
    <t>56c7f66e2644bc95f7a694ef4dbb6308b7d16bfbefa1bfff19436a1fc6351199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</si>
</sst>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yyyy\-mm\-dd;@"/>
  </numFmts>
  <fonts count="51" x14ac:knownFonts="1">
    <font>
      <sz val="12"/>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2"/>
      <color theme="1"/>
      <name val="Calibri"/>
      <family val="2"/>
      <scheme val="minor"/>
    </font>
    <font>
      <sz val="12"/>
      <color rgb="FF000000"/>
      <name val="Calibri"/>
      <family val="2"/>
    </font>
    <font>
      <b/>
      <sz val="11"/>
      <color rgb="FF7030A0"/>
      <name val="Arial"/>
      <family val="2"/>
    </font>
    <font>
      <b/>
      <sz val="11"/>
      <name val="Arial"/>
      <family val="2"/>
    </font>
    <font>
      <sz val="11"/>
      <name val="Arial"/>
      <family val="2"/>
    </font>
    <font>
      <sz val="11"/>
      <color rgb="FF7030A0"/>
      <name val="Arial"/>
      <family val="2"/>
    </font>
    <font>
      <sz val="11"/>
      <color rgb="FF000000"/>
      <name val="Arial"/>
      <family val="2"/>
    </font>
    <font>
      <i/>
      <sz val="11"/>
      <color rgb="FF000000"/>
      <name val="Arial"/>
      <family val="2"/>
    </font>
    <font>
      <i/>
      <sz val="10"/>
      <name val="Arial"/>
      <family val="2"/>
    </font>
    <font>
      <i/>
      <sz val="11"/>
      <name val="Arial"/>
      <family val="2"/>
    </font>
    <font>
      <b/>
      <sz val="11"/>
      <color theme="1"/>
      <name val="Arial"/>
      <family val="2"/>
    </font>
    <font>
      <sz val="16"/>
      <color theme="1"/>
      <name val="Calibri"/>
      <family val="2"/>
      <scheme val="minor"/>
    </font>
    <font>
      <sz val="28"/>
      <color theme="1"/>
      <name val="Calibri"/>
      <family val="2"/>
      <scheme val="minor"/>
    </font>
    <font>
      <i/>
      <sz val="12"/>
      <color theme="1"/>
      <name val="Calibri"/>
      <family val="2"/>
      <scheme val="minor"/>
    </font>
    <font>
      <i/>
      <sz val="12"/>
      <color rgb="FF000000"/>
      <name val="Calibri"/>
      <family val="2"/>
    </font>
    <font>
      <b/>
      <sz val="16"/>
      <color theme="1"/>
      <name val="Calibri"/>
      <family val="2"/>
      <scheme val="minor"/>
    </font>
    <font>
      <b/>
      <sz val="28"/>
      <color theme="1"/>
      <name val="Calibri"/>
      <family val="2"/>
      <scheme val="minor"/>
    </font>
    <font>
      <b/>
      <sz val="18"/>
      <color theme="1"/>
      <name val="Calibri"/>
      <family val="2"/>
      <scheme val="minor"/>
    </font>
    <font>
      <b/>
      <sz val="18"/>
      <name val="Arial"/>
      <family val="2"/>
    </font>
    <font>
      <sz val="11"/>
      <color theme="0" tint="-0.34998626667073579"/>
      <name val="Arial"/>
      <family val="2"/>
    </font>
    <font>
      <b/>
      <sz val="12"/>
      <color rgb="FFFF0000"/>
      <name val="Calibri"/>
      <family val="2"/>
      <scheme val="minor"/>
    </font>
    <font>
      <b/>
      <sz val="11"/>
      <color theme="1"/>
      <name val="Calibri"/>
      <family val="2"/>
      <scheme val="minor"/>
    </font>
    <font>
      <b/>
      <sz val="14"/>
      <color rgb="FF7030A0"/>
      <name val="Calibri"/>
      <family val="2"/>
      <scheme val="minor"/>
    </font>
    <font>
      <b/>
      <sz val="12"/>
      <name val="Arial"/>
      <family val="2"/>
    </font>
    <font>
      <b/>
      <sz val="14"/>
      <color rgb="FFFF0000"/>
      <name val="Calibri"/>
      <family val="2"/>
      <scheme val="minor"/>
    </font>
    <font>
      <b/>
      <sz val="11"/>
      <color theme="0" tint="-0.34998626667073579"/>
      <name val="Arial"/>
      <family val="2"/>
    </font>
    <font>
      <sz val="11"/>
      <color theme="1"/>
      <name val="Arial"/>
      <family val="2"/>
    </font>
    <font>
      <sz val="8"/>
      <name val="Calibri"/>
      <family val="2"/>
      <scheme val="minor"/>
    </font>
    <font>
      <i/>
      <sz val="10"/>
      <color rgb="FF000000"/>
      <name val="Arial"/>
      <family val="2"/>
    </font>
    <font>
      <b/>
      <sz val="11"/>
      <color rgb="FF7030A0"/>
      <name val="Calibri"/>
      <family val="2"/>
      <scheme val="minor"/>
    </font>
    <font>
      <sz val="8"/>
      <color theme="1"/>
      <name val="Calibri"/>
      <family val="2"/>
      <scheme val="minor"/>
    </font>
    <font>
      <b/>
      <i/>
      <sz val="14"/>
      <color rgb="FF7030A0"/>
      <name val="Arial"/>
      <family val="2"/>
    </font>
    <font>
      <b/>
      <sz val="12"/>
      <name val="Calibri"/>
      <family val="2"/>
      <scheme val="minor"/>
    </font>
    <font>
      <b/>
      <i/>
      <sz val="11"/>
      <name val="Arial"/>
      <family val="2"/>
    </font>
    <font>
      <b/>
      <sz val="9"/>
      <color rgb="FF7030A0"/>
      <name val="Arial"/>
      <family val="2"/>
    </font>
    <font>
      <i/>
      <sz val="11"/>
      <color theme="1"/>
      <name val="Calibri"/>
      <family val="2"/>
      <scheme val="minor"/>
    </font>
    <font>
      <i/>
      <sz val="11"/>
      <color rgb="FF7030A0"/>
      <name val="Calibri"/>
      <family val="2"/>
      <scheme val="minor"/>
    </font>
    <font>
      <b/>
      <i/>
      <sz val="11"/>
      <color rgb="FF7030A0"/>
      <name val="Calibri"/>
      <family val="2"/>
      <scheme val="minor"/>
    </font>
    <font>
      <sz val="11"/>
      <color theme="0" tint="-0.499984740745262"/>
      <name val="Arial"/>
      <family val="2"/>
    </font>
    <font>
      <b/>
      <i/>
      <sz val="11"/>
      <color rgb="FFFFF2CC"/>
      <name val="Arial"/>
      <family val="2"/>
    </font>
    <font>
      <b/>
      <sz val="11"/>
      <color theme="0"/>
      <name val="Arial"/>
      <family val="2"/>
    </font>
    <font>
      <sz val="12"/>
      <color rgb="FF7030A0"/>
      <name val="Calibri"/>
      <family val="2"/>
      <scheme val="minor"/>
    </font>
  </fonts>
  <fills count="6">
    <fill>
      <patternFill patternType="none"/>
    </fill>
    <fill>
      <patternFill patternType="gray125"/>
    </fill>
    <fill>
      <patternFill patternType="solid">
        <fgColor rgb="FFFFF2CC"/>
        <bgColor indexed="64"/>
      </patternFill>
    </fill>
    <fill>
      <patternFill patternType="solid">
        <fgColor rgb="FFFFC000"/>
        <bgColor indexed="64"/>
      </patternFill>
    </fill>
    <fill>
      <patternFill patternType="solid">
        <fgColor theme="7"/>
        <bgColor indexed="64"/>
      </patternFill>
    </fill>
    <fill>
      <patternFill patternType="solid">
        <fgColor theme="7" tint="0.79998168889431442"/>
        <bgColor indexed="64"/>
      </patternFill>
    </fill>
  </fills>
  <borders count="135">
    <border>
      <left/>
      <right/>
      <top/>
      <bottom/>
      <diagonal/>
    </border>
    <border>
      <left style="thin">
        <color rgb="FF000000"/>
      </left>
      <right/>
      <top style="thin">
        <color rgb="FF000000"/>
      </top>
      <bottom style="medium">
        <color rgb="FFFFD966"/>
      </bottom>
      <diagonal/>
    </border>
    <border>
      <left/>
      <right style="thin">
        <color rgb="FF000000"/>
      </right>
      <top style="thin">
        <color rgb="FF000000"/>
      </top>
      <bottom style="medium">
        <color rgb="FFFFD966"/>
      </bottom>
      <diagonal/>
    </border>
    <border>
      <left style="thin">
        <color rgb="FF000000"/>
      </left>
      <right/>
      <top style="medium">
        <color rgb="FFFFD966"/>
      </top>
      <bottom style="medium">
        <color rgb="FFFFD966"/>
      </bottom>
      <diagonal/>
    </border>
    <border>
      <left/>
      <right style="thin">
        <color rgb="FF000000"/>
      </right>
      <top style="medium">
        <color rgb="FFFFD966"/>
      </top>
      <bottom style="medium">
        <color rgb="FFFFD966"/>
      </bottom>
      <diagonal/>
    </border>
    <border>
      <left style="thin">
        <color rgb="FF000000"/>
      </left>
      <right/>
      <top style="medium">
        <color rgb="FFFFD966"/>
      </top>
      <bottom style="thin">
        <color rgb="FF000000"/>
      </bottom>
      <diagonal/>
    </border>
    <border>
      <left/>
      <right style="thin">
        <color rgb="FF000000"/>
      </right>
      <top style="medium">
        <color rgb="FFFFD966"/>
      </top>
      <bottom style="thin">
        <color rgb="FF000000"/>
      </bottom>
      <diagonal/>
    </border>
    <border>
      <left style="thin">
        <color rgb="FF000000"/>
      </left>
      <right/>
      <top style="thin">
        <color rgb="FF000000"/>
      </top>
      <bottom style="medium">
        <color rgb="FFFFC000"/>
      </bottom>
      <diagonal/>
    </border>
    <border>
      <left/>
      <right/>
      <top style="thin">
        <color rgb="FF000000"/>
      </top>
      <bottom style="medium">
        <color rgb="FFFFC000"/>
      </bottom>
      <diagonal/>
    </border>
    <border>
      <left style="medium">
        <color rgb="FFFFD966"/>
      </left>
      <right style="medium">
        <color rgb="FFFFD966"/>
      </right>
      <top style="medium">
        <color rgb="FFFFD966"/>
      </top>
      <bottom style="medium">
        <color rgb="FFFFD966"/>
      </bottom>
      <diagonal/>
    </border>
    <border>
      <left style="medium">
        <color rgb="FFFFD966"/>
      </left>
      <right style="medium">
        <color rgb="FFFFD966"/>
      </right>
      <top style="medium">
        <color rgb="FFFFD966"/>
      </top>
      <bottom/>
      <diagonal/>
    </border>
    <border>
      <left style="thin">
        <color rgb="FF000000"/>
      </left>
      <right style="medium">
        <color rgb="FFFFD966"/>
      </right>
      <top style="medium">
        <color rgb="FFFFD966"/>
      </top>
      <bottom/>
      <diagonal/>
    </border>
    <border>
      <left style="thin">
        <color rgb="FF000000"/>
      </left>
      <right style="medium">
        <color rgb="FFFFD966"/>
      </right>
      <top style="medium">
        <color rgb="FFFFD966"/>
      </top>
      <bottom style="medium">
        <color rgb="FFFFD966"/>
      </bottom>
      <diagonal/>
    </border>
    <border>
      <left style="medium">
        <color rgb="FFFFD966"/>
      </left>
      <right style="medium">
        <color rgb="FFFFD966"/>
      </right>
      <top style="medium">
        <color rgb="FFFFC000"/>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indexed="64"/>
      </left>
      <right/>
      <top style="thin">
        <color indexed="64"/>
      </top>
      <bottom style="medium">
        <color rgb="FFFFD966"/>
      </bottom>
      <diagonal/>
    </border>
    <border>
      <left/>
      <right style="thin">
        <color indexed="64"/>
      </right>
      <top style="thin">
        <color indexed="64"/>
      </top>
      <bottom style="medium">
        <color rgb="FFFFD966"/>
      </bottom>
      <diagonal/>
    </border>
    <border>
      <left style="thin">
        <color indexed="64"/>
      </left>
      <right/>
      <top style="medium">
        <color rgb="FFFFD966"/>
      </top>
      <bottom style="medium">
        <color rgb="FFFFD966"/>
      </bottom>
      <diagonal/>
    </border>
    <border>
      <left/>
      <right style="thin">
        <color indexed="64"/>
      </right>
      <top style="medium">
        <color rgb="FFFFD966"/>
      </top>
      <bottom style="medium">
        <color rgb="FFFFD966"/>
      </bottom>
      <diagonal/>
    </border>
    <border>
      <left style="thin">
        <color indexed="64"/>
      </left>
      <right/>
      <top style="medium">
        <color rgb="FFFFD966"/>
      </top>
      <bottom style="thin">
        <color indexed="64"/>
      </bottom>
      <diagonal/>
    </border>
    <border>
      <left/>
      <right style="thin">
        <color indexed="64"/>
      </right>
      <top style="medium">
        <color rgb="FFFFD966"/>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rgb="FFFFC000"/>
      </left>
      <right/>
      <top style="medium">
        <color rgb="FFFFC000"/>
      </top>
      <bottom style="medium">
        <color rgb="FFFFC000"/>
      </bottom>
      <diagonal/>
    </border>
    <border>
      <left/>
      <right style="medium">
        <color rgb="FFFFC000"/>
      </right>
      <top style="medium">
        <color rgb="FFFFC000"/>
      </top>
      <bottom style="medium">
        <color rgb="FFFFC000"/>
      </bottom>
      <diagonal/>
    </border>
    <border>
      <left style="medium">
        <color rgb="FFFFD966"/>
      </left>
      <right style="medium">
        <color rgb="FFFFD966"/>
      </right>
      <top style="medium">
        <color rgb="FFFFD966"/>
      </top>
      <bottom style="medium">
        <color rgb="FFFFC000"/>
      </bottom>
      <diagonal/>
    </border>
    <border>
      <left style="thin">
        <color rgb="FF000000"/>
      </left>
      <right/>
      <top style="thin">
        <color indexed="64"/>
      </top>
      <bottom style="medium">
        <color rgb="FFFFD966"/>
      </bottom>
      <diagonal/>
    </border>
    <border>
      <left style="thin">
        <color rgb="FF000000"/>
      </left>
      <right/>
      <top style="medium">
        <color rgb="FFFFD966"/>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right/>
      <top style="medium">
        <color rgb="FF000000"/>
      </top>
      <bottom style="thin">
        <color rgb="FF000000"/>
      </bottom>
      <diagonal/>
    </border>
    <border>
      <left/>
      <right/>
      <top style="thin">
        <color rgb="FF000000"/>
      </top>
      <bottom style="thin">
        <color rgb="FF000000"/>
      </bottom>
      <diagonal/>
    </border>
    <border>
      <left/>
      <right/>
      <top style="thin">
        <color rgb="FF000000"/>
      </top>
      <bottom style="medium">
        <color rgb="FF000000"/>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rgb="FF000000"/>
      </left>
      <right/>
      <top/>
      <bottom style="medium">
        <color rgb="FFFFC000"/>
      </bottom>
      <diagonal/>
    </border>
    <border>
      <left/>
      <right/>
      <top/>
      <bottom style="medium">
        <color rgb="FFFFC000"/>
      </bottom>
      <diagonal/>
    </border>
    <border>
      <left style="medium">
        <color rgb="FFFFD966"/>
      </left>
      <right/>
      <top style="medium">
        <color rgb="FFFFC000"/>
      </top>
      <bottom style="medium">
        <color rgb="FFFFD966"/>
      </bottom>
      <diagonal/>
    </border>
    <border>
      <left/>
      <right/>
      <top style="medium">
        <color rgb="FFFFC000"/>
      </top>
      <bottom style="medium">
        <color rgb="FFFFD966"/>
      </bottom>
      <diagonal/>
    </border>
    <border>
      <left/>
      <right style="medium">
        <color rgb="FFFFD966"/>
      </right>
      <top style="medium">
        <color rgb="FFFFC000"/>
      </top>
      <bottom style="medium">
        <color rgb="FFFFD966"/>
      </bottom>
      <diagonal/>
    </border>
    <border>
      <left style="medium">
        <color rgb="FFFFD966"/>
      </left>
      <right/>
      <top style="medium">
        <color rgb="FFFFD966"/>
      </top>
      <bottom style="medium">
        <color rgb="FFFFD966"/>
      </bottom>
      <diagonal/>
    </border>
    <border>
      <left/>
      <right/>
      <top style="medium">
        <color rgb="FFFFD966"/>
      </top>
      <bottom style="medium">
        <color rgb="FFFFD966"/>
      </bottom>
      <diagonal/>
    </border>
    <border>
      <left/>
      <right style="medium">
        <color rgb="FFFFD966"/>
      </right>
      <top style="medium">
        <color rgb="FFFFD966"/>
      </top>
      <bottom style="medium">
        <color rgb="FFFFD966"/>
      </bottom>
      <diagonal/>
    </border>
    <border>
      <left style="thin">
        <color indexed="64"/>
      </left>
      <right/>
      <top style="medium">
        <color rgb="FFFFD966"/>
      </top>
      <bottom style="medium">
        <color rgb="FFFFC000"/>
      </bottom>
      <diagonal/>
    </border>
    <border>
      <left style="thin">
        <color rgb="FF000000"/>
      </left>
      <right/>
      <top style="medium">
        <color rgb="FFFFD966"/>
      </top>
      <bottom style="medium">
        <color rgb="FFFFC000"/>
      </bottom>
      <diagonal/>
    </border>
    <border>
      <left/>
      <right style="thin">
        <color indexed="64"/>
      </right>
      <top style="medium">
        <color rgb="FFFFD966"/>
      </top>
      <bottom style="medium">
        <color rgb="FFFFC000"/>
      </bottom>
      <diagonal/>
    </border>
    <border>
      <left style="medium">
        <color indexed="64"/>
      </left>
      <right style="thin">
        <color indexed="64"/>
      </right>
      <top/>
      <bottom style="thin">
        <color indexed="64"/>
      </bottom>
      <diagonal/>
    </border>
    <border>
      <left/>
      <right style="medium">
        <color indexed="64"/>
      </right>
      <top/>
      <bottom style="thin">
        <color indexed="64"/>
      </bottom>
      <diagonal/>
    </border>
    <border>
      <left/>
      <right/>
      <top style="thin">
        <color rgb="FF000000"/>
      </top>
      <bottom style="thin">
        <color indexed="64"/>
      </bottom>
      <diagonal/>
    </border>
    <border>
      <left style="medium">
        <color rgb="FF000000"/>
      </left>
      <right/>
      <top style="medium">
        <color rgb="FF000000"/>
      </top>
      <bottom/>
      <diagonal/>
    </border>
    <border>
      <left/>
      <right style="medium">
        <color rgb="FF000000"/>
      </right>
      <top style="medium">
        <color rgb="FF000000"/>
      </top>
      <bottom/>
      <diagonal/>
    </border>
    <border>
      <left style="medium">
        <color indexed="64"/>
      </left>
      <right style="thin">
        <color indexed="64"/>
      </right>
      <top style="medium">
        <color indexed="64"/>
      </top>
      <bottom style="thin">
        <color indexed="64"/>
      </bottom>
      <diagonal/>
    </border>
    <border>
      <left style="medium">
        <color indexed="64"/>
      </left>
      <right style="thin">
        <color rgb="FF000000"/>
      </right>
      <top/>
      <bottom style="thin">
        <color rgb="FF000000"/>
      </bottom>
      <diagonal/>
    </border>
    <border>
      <left style="thin">
        <color rgb="FF000000"/>
      </left>
      <right style="medium">
        <color indexed="64"/>
      </right>
      <top/>
      <bottom style="thin">
        <color rgb="FF000000"/>
      </bottom>
      <diagonal/>
    </border>
    <border>
      <left style="medium">
        <color indexed="64"/>
      </left>
      <right style="thin">
        <color rgb="FF000000"/>
      </right>
      <top style="thin">
        <color rgb="FF000000"/>
      </top>
      <bottom style="thin">
        <color rgb="FF000000"/>
      </bottom>
      <diagonal/>
    </border>
    <border>
      <left style="thin">
        <color rgb="FF000000"/>
      </left>
      <right style="medium">
        <color indexed="64"/>
      </right>
      <top style="thin">
        <color rgb="FF000000"/>
      </top>
      <bottom style="thin">
        <color rgb="FF000000"/>
      </bottom>
      <diagonal/>
    </border>
    <border>
      <left style="medium">
        <color indexed="64"/>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right/>
      <top/>
      <bottom style="thin">
        <color rgb="FF000000"/>
      </bottom>
      <diagonal/>
    </border>
    <border>
      <left/>
      <right/>
      <top style="thin">
        <color rgb="FF000000"/>
      </top>
      <bottom/>
      <diagonal/>
    </border>
    <border>
      <left style="thin">
        <color indexed="64"/>
      </left>
      <right/>
      <top style="thin">
        <color theme="7" tint="0.39997558519241921"/>
      </top>
      <bottom style="thin">
        <color indexed="64"/>
      </bottom>
      <diagonal/>
    </border>
    <border>
      <left/>
      <right style="thin">
        <color indexed="64"/>
      </right>
      <top style="thin">
        <color theme="7" tint="0.39997558519241921"/>
      </top>
      <bottom style="thin">
        <color indexed="64"/>
      </bottom>
      <diagonal/>
    </border>
    <border>
      <left style="medium">
        <color rgb="FFFFD966"/>
      </left>
      <right style="medium">
        <color rgb="FFFFD966"/>
      </right>
      <top style="medium">
        <color rgb="FFFFC000"/>
      </top>
      <bottom style="medium">
        <color rgb="FFFFC000"/>
      </bottom>
      <diagonal/>
    </border>
    <border>
      <left style="medium">
        <color rgb="FFFFD966"/>
      </left>
      <right style="medium">
        <color rgb="FFFFC000"/>
      </right>
      <top style="medium">
        <color rgb="FFFFC000"/>
      </top>
      <bottom style="medium">
        <color rgb="FFFFC000"/>
      </bottom>
      <diagonal/>
    </border>
    <border>
      <left style="medium">
        <color rgb="FFFFD966"/>
      </left>
      <right/>
      <top style="medium">
        <color rgb="FFFFD966"/>
      </top>
      <bottom/>
      <diagonal/>
    </border>
    <border>
      <left/>
      <right/>
      <top style="medium">
        <color rgb="FFFFD966"/>
      </top>
      <bottom/>
      <diagonal/>
    </border>
    <border>
      <left/>
      <right style="medium">
        <color rgb="FFFFD966"/>
      </right>
      <top style="medium">
        <color rgb="FFFFD966"/>
      </top>
      <bottom/>
      <diagonal/>
    </border>
    <border>
      <left style="medium">
        <color rgb="FFFFD966"/>
      </left>
      <right/>
      <top style="medium">
        <color rgb="FFFFC000"/>
      </top>
      <bottom style="medium">
        <color rgb="FFFFC000"/>
      </bottom>
      <diagonal/>
    </border>
    <border>
      <left/>
      <right/>
      <top style="medium">
        <color rgb="FFFFC000"/>
      </top>
      <bottom style="medium">
        <color rgb="FFFFC000"/>
      </bottom>
      <diagonal/>
    </border>
    <border>
      <left style="thin">
        <color indexed="64"/>
      </left>
      <right style="medium">
        <color rgb="FFFFD966"/>
      </right>
      <top style="medium">
        <color rgb="FFFFC000"/>
      </top>
      <bottom style="medium">
        <color rgb="FFFFC000"/>
      </bottom>
      <diagonal/>
    </border>
    <border>
      <left style="medium">
        <color rgb="FFFFC000"/>
      </left>
      <right style="medium">
        <color rgb="FFFFD966"/>
      </right>
      <top style="medium">
        <color rgb="FFFFC000"/>
      </top>
      <bottom style="medium">
        <color rgb="FFFFC000"/>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theme="0" tint="-0.249977111117893"/>
      </right>
      <top style="thin">
        <color indexed="64"/>
      </top>
      <bottom/>
      <diagonal/>
    </border>
    <border>
      <left style="thin">
        <color theme="0" tint="-0.249977111117893"/>
      </left>
      <right style="thin">
        <color theme="0" tint="-0.249977111117893"/>
      </right>
      <top style="thin">
        <color indexed="64"/>
      </top>
      <bottom/>
      <diagonal/>
    </border>
    <border>
      <left style="thin">
        <color indexed="64"/>
      </left>
      <right style="thin">
        <color indexed="64"/>
      </right>
      <top/>
      <bottom style="thin">
        <color indexed="64"/>
      </bottom>
      <diagonal/>
    </border>
    <border>
      <left style="thin">
        <color indexed="64"/>
      </left>
      <right style="thin">
        <color theme="0" tint="-0.249977111117893"/>
      </right>
      <top/>
      <bottom/>
      <diagonal/>
    </border>
    <border>
      <left style="thin">
        <color theme="0" tint="-0.249977111117893"/>
      </left>
      <right style="thin">
        <color theme="0" tint="-0.249977111117893"/>
      </right>
      <top/>
      <bottom/>
      <diagonal/>
    </border>
    <border>
      <left style="thin">
        <color indexed="64"/>
      </left>
      <right style="thin">
        <color theme="0" tint="-0.249977111117893"/>
      </right>
      <top/>
      <bottom style="thin">
        <color indexed="64"/>
      </bottom>
      <diagonal/>
    </border>
    <border>
      <left style="thin">
        <color theme="0" tint="-0.249977111117893"/>
      </left>
      <right style="thin">
        <color theme="0" tint="-0.249977111117893"/>
      </right>
      <top/>
      <bottom style="thin">
        <color indexed="64"/>
      </bottom>
      <diagonal/>
    </border>
    <border>
      <left style="medium">
        <color indexed="64"/>
      </left>
      <right/>
      <top style="medium">
        <color indexed="64"/>
      </top>
      <bottom style="medium">
        <color rgb="FF000000"/>
      </bottom>
      <diagonal/>
    </border>
    <border>
      <left/>
      <right/>
      <top style="medium">
        <color indexed="64"/>
      </top>
      <bottom style="medium">
        <color rgb="FF000000"/>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thin">
        <color rgb="FF000000"/>
      </left>
      <right/>
      <top/>
      <bottom style="thin">
        <color rgb="FF000000"/>
      </bottom>
      <diagonal/>
    </border>
    <border>
      <left style="thin">
        <color rgb="FF000000"/>
      </left>
      <right/>
      <top style="thin">
        <color rgb="FF000000"/>
      </top>
      <bottom style="medium">
        <color indexed="64"/>
      </bottom>
      <diagonal/>
    </border>
    <border>
      <left style="thin">
        <color indexed="64"/>
      </left>
      <right/>
      <top/>
      <bottom style="medium">
        <color indexed="64"/>
      </bottom>
      <diagonal/>
    </border>
    <border>
      <left style="thin">
        <color theme="0" tint="-0.34998626667073579"/>
      </left>
      <right/>
      <top style="thin">
        <color indexed="64"/>
      </top>
      <bottom style="thin">
        <color indexed="64"/>
      </bottom>
      <diagonal/>
    </border>
    <border>
      <left style="thin">
        <color theme="0" tint="-0.34998626667073579"/>
      </left>
      <right style="thin">
        <color theme="0" tint="-0.34998626667073579"/>
      </right>
      <top style="thin">
        <color indexed="64"/>
      </top>
      <bottom style="thin">
        <color indexed="64"/>
      </bottom>
      <diagonal/>
    </border>
    <border>
      <left style="thin">
        <color theme="0" tint="-0.34998626667073579"/>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theme="0" tint="-0.249977111117893"/>
      </right>
      <top style="thin">
        <color indexed="64"/>
      </top>
      <bottom style="thin">
        <color indexed="64"/>
      </bottom>
      <diagonal/>
    </border>
    <border>
      <left style="thin">
        <color theme="0" tint="-0.249977111117893"/>
      </left>
      <right style="thin">
        <color theme="0" tint="-0.249977111117893"/>
      </right>
      <top style="thin">
        <color indexed="64"/>
      </top>
      <bottom style="thin">
        <color indexed="64"/>
      </bottom>
      <diagonal/>
    </border>
    <border>
      <left style="thin">
        <color indexed="64"/>
      </left>
      <right style="medium">
        <color indexed="64"/>
      </right>
      <top/>
      <bottom style="thin">
        <color indexed="64"/>
      </bottom>
      <diagonal/>
    </border>
  </borders>
  <cellStyleXfs count="5">
    <xf numFmtId="0" fontId="0" fillId="0" borderId="0"/>
    <xf numFmtId="0" fontId="8" fillId="0" borderId="0"/>
    <xf numFmtId="0" fontId="5" fillId="0" borderId="0"/>
    <xf numFmtId="0" fontId="3" fillId="0" borderId="0"/>
    <xf numFmtId="0" fontId="3" fillId="0" borderId="0"/>
  </cellStyleXfs>
  <cellXfs count="441">
    <xf numFmtId="0" fontId="0" fillId="0" borderId="0" xfId="0"/>
    <xf numFmtId="0" fontId="9" fillId="0" borderId="0" xfId="0" applyFont="1"/>
    <xf numFmtId="0" fontId="0" fillId="0" borderId="0" xfId="0" applyAlignment="1">
      <alignment wrapText="1"/>
    </xf>
    <xf numFmtId="0" fontId="13" fillId="0" borderId="0" xfId="0" applyFont="1" applyAlignment="1">
      <alignment horizontal="left" vertical="center" wrapText="1"/>
    </xf>
    <xf numFmtId="0" fontId="15" fillId="0" borderId="0" xfId="0" applyFont="1" applyAlignment="1">
      <alignment horizontal="left" vertical="center" wrapText="1"/>
    </xf>
    <xf numFmtId="0" fontId="11" fillId="3" borderId="7" xfId="0" applyFont="1" applyFill="1" applyBorder="1" applyAlignment="1">
      <alignment horizontal="left" vertical="center" wrapText="1"/>
    </xf>
    <xf numFmtId="0" fontId="11" fillId="3" borderId="8" xfId="0" applyFont="1" applyFill="1" applyBorder="1" applyAlignment="1">
      <alignment horizontal="left" vertical="center" wrapText="1"/>
    </xf>
    <xf numFmtId="0" fontId="12" fillId="0" borderId="14" xfId="0" applyFont="1" applyBorder="1" applyAlignment="1">
      <alignment horizontal="left" vertical="center" wrapText="1"/>
    </xf>
    <xf numFmtId="0" fontId="11" fillId="0" borderId="16" xfId="0" applyFont="1" applyBorder="1" applyAlignment="1">
      <alignment horizontal="left" vertical="center" wrapText="1"/>
    </xf>
    <xf numFmtId="0" fontId="15" fillId="2" borderId="26" xfId="0" applyFont="1" applyFill="1" applyBorder="1" applyAlignment="1">
      <alignment horizontal="center" vertical="center" wrapText="1"/>
    </xf>
    <xf numFmtId="0" fontId="0" fillId="0" borderId="0" xfId="0" applyAlignment="1">
      <alignment horizontal="center"/>
    </xf>
    <xf numFmtId="49" fontId="13" fillId="0" borderId="0" xfId="0" applyNumberFormat="1" applyFont="1" applyAlignment="1">
      <alignment horizontal="left" vertical="center" wrapText="1"/>
    </xf>
    <xf numFmtId="49" fontId="15" fillId="2" borderId="25" xfId="0" applyNumberFormat="1" applyFont="1" applyFill="1" applyBorder="1" applyAlignment="1">
      <alignment horizontal="left" vertical="center" wrapText="1"/>
    </xf>
    <xf numFmtId="49" fontId="15" fillId="0" borderId="25" xfId="0" applyNumberFormat="1" applyFont="1" applyBorder="1" applyAlignment="1">
      <alignment horizontal="left" vertical="center" wrapText="1"/>
    </xf>
    <xf numFmtId="49" fontId="0" fillId="0" borderId="0" xfId="0" applyNumberFormat="1"/>
    <xf numFmtId="49" fontId="15" fillId="0" borderId="0" xfId="0" applyNumberFormat="1" applyFont="1" applyAlignment="1">
      <alignment horizontal="left" vertical="center" wrapText="1"/>
    </xf>
    <xf numFmtId="0" fontId="11" fillId="3" borderId="30" xfId="0" applyFont="1" applyFill="1" applyBorder="1" applyAlignment="1">
      <alignment vertical="center" wrapText="1"/>
    </xf>
    <xf numFmtId="0" fontId="11" fillId="3" borderId="31" xfId="0" applyFont="1" applyFill="1" applyBorder="1" applyAlignment="1">
      <alignment horizontal="center" vertical="center" wrapText="1"/>
    </xf>
    <xf numFmtId="0" fontId="19" fillId="2" borderId="13" xfId="0" applyFont="1" applyFill="1" applyBorder="1" applyAlignment="1">
      <alignment vertical="center" wrapText="1"/>
    </xf>
    <xf numFmtId="0" fontId="19" fillId="0" borderId="10" xfId="0" applyFont="1" applyBorder="1" applyAlignment="1">
      <alignment vertical="center" wrapText="1"/>
    </xf>
    <xf numFmtId="0" fontId="11" fillId="3" borderId="30" xfId="0" applyFont="1" applyFill="1" applyBorder="1" applyAlignment="1">
      <alignment horizontal="center" vertical="center" wrapText="1"/>
    </xf>
    <xf numFmtId="0" fontId="9" fillId="0" borderId="0" xfId="0" applyFont="1" applyAlignment="1">
      <alignment horizontal="center"/>
    </xf>
    <xf numFmtId="0" fontId="13" fillId="2" borderId="3" xfId="0" applyFont="1" applyFill="1" applyBorder="1" applyAlignment="1">
      <alignment horizontal="left" vertical="center" wrapText="1"/>
    </xf>
    <xf numFmtId="49" fontId="16" fillId="0" borderId="25" xfId="0" applyNumberFormat="1" applyFont="1" applyBorder="1" applyAlignment="1">
      <alignment horizontal="left" vertical="center" wrapText="1"/>
    </xf>
    <xf numFmtId="49" fontId="16" fillId="2" borderId="27" xfId="0" applyNumberFormat="1" applyFont="1" applyFill="1" applyBorder="1" applyAlignment="1">
      <alignment horizontal="left" vertical="center" wrapText="1"/>
    </xf>
    <xf numFmtId="0" fontId="13" fillId="0" borderId="3" xfId="0" applyFont="1" applyBorder="1" applyAlignment="1">
      <alignment horizontal="left" vertical="center" wrapText="1"/>
    </xf>
    <xf numFmtId="0" fontId="11" fillId="0" borderId="33" xfId="0" applyFont="1" applyBorder="1" applyAlignment="1">
      <alignment horizontal="left" vertical="center" wrapText="1"/>
    </xf>
    <xf numFmtId="0" fontId="13" fillId="2" borderId="18" xfId="0" applyFont="1" applyFill="1" applyBorder="1" applyAlignment="1">
      <alignment horizontal="left" vertical="center" wrapText="1"/>
    </xf>
    <xf numFmtId="0" fontId="13" fillId="0" borderId="18" xfId="0" applyFont="1" applyBorder="1" applyAlignment="1">
      <alignment horizontal="left" vertical="center" wrapText="1"/>
    </xf>
    <xf numFmtId="49" fontId="15" fillId="0" borderId="27" xfId="0" applyNumberFormat="1" applyFont="1" applyBorder="1" applyAlignment="1">
      <alignment horizontal="left" vertical="center" wrapText="1"/>
    </xf>
    <xf numFmtId="0" fontId="12" fillId="0" borderId="0" xfId="0" applyFont="1" applyAlignment="1">
      <alignment horizontal="left" vertical="center" wrapText="1"/>
    </xf>
    <xf numFmtId="0" fontId="20" fillId="0" borderId="0" xfId="0" applyFont="1"/>
    <xf numFmtId="0" fontId="21" fillId="0" borderId="0" xfId="0" applyFont="1"/>
    <xf numFmtId="0" fontId="22" fillId="0" borderId="0" xfId="0" applyFont="1"/>
    <xf numFmtId="0" fontId="0" fillId="0" borderId="0" xfId="0" applyAlignment="1">
      <alignment vertical="top"/>
    </xf>
    <xf numFmtId="14" fontId="0" fillId="0" borderId="0" xfId="0" applyNumberFormat="1" applyAlignment="1">
      <alignment horizontal="left"/>
    </xf>
    <xf numFmtId="0" fontId="0" fillId="0" borderId="0" xfId="0" applyAlignment="1">
      <alignment vertical="top" wrapText="1"/>
    </xf>
    <xf numFmtId="0" fontId="24" fillId="0" borderId="0" xfId="0" applyFont="1"/>
    <xf numFmtId="0" fontId="25" fillId="0" borderId="0" xfId="0" applyFont="1"/>
    <xf numFmtId="0" fontId="11" fillId="0" borderId="23" xfId="0" applyFont="1" applyBorder="1" applyAlignment="1">
      <alignment horizontal="left" vertical="center" wrapText="1"/>
    </xf>
    <xf numFmtId="0" fontId="11" fillId="0" borderId="24" xfId="0" applyFont="1" applyBorder="1" applyAlignment="1">
      <alignment horizontal="center" vertical="center" wrapText="1"/>
    </xf>
    <xf numFmtId="0" fontId="9" fillId="3" borderId="0" xfId="0" applyFont="1" applyFill="1"/>
    <xf numFmtId="0" fontId="9" fillId="3" borderId="0" xfId="0" applyFont="1" applyFill="1" applyAlignment="1">
      <alignment horizontal="center"/>
    </xf>
    <xf numFmtId="0" fontId="12" fillId="2" borderId="0" xfId="0" applyFont="1" applyFill="1" applyAlignment="1">
      <alignment horizontal="left" vertical="center" wrapText="1"/>
    </xf>
    <xf numFmtId="0" fontId="11" fillId="0" borderId="22" xfId="0" applyFont="1" applyBorder="1" applyAlignment="1">
      <alignment horizontal="center" vertical="center" wrapText="1"/>
    </xf>
    <xf numFmtId="0" fontId="18" fillId="2" borderId="25" xfId="0" applyFont="1" applyFill="1" applyBorder="1" applyAlignment="1">
      <alignment horizontal="center" vertical="center" wrapText="1"/>
    </xf>
    <xf numFmtId="0" fontId="18" fillId="0" borderId="25" xfId="0" applyFont="1" applyBorder="1" applyAlignment="1">
      <alignment horizontal="center" vertical="center" wrapText="1"/>
    </xf>
    <xf numFmtId="0" fontId="26" fillId="0" borderId="0" xfId="0" applyFont="1" applyAlignment="1">
      <alignment horizontal="center" vertical="center"/>
    </xf>
    <xf numFmtId="0" fontId="13" fillId="2" borderId="4" xfId="0" applyFont="1" applyFill="1" applyBorder="1" applyAlignment="1" applyProtection="1">
      <alignment horizontal="left" vertical="center" wrapText="1"/>
      <protection locked="0"/>
    </xf>
    <xf numFmtId="0" fontId="13" fillId="0" borderId="4" xfId="0" applyFont="1" applyBorder="1" applyAlignment="1" applyProtection="1">
      <alignment horizontal="left" vertical="center" wrapText="1"/>
      <protection locked="0"/>
    </xf>
    <xf numFmtId="0" fontId="0" fillId="0" borderId="0" xfId="0" applyProtection="1">
      <protection locked="0"/>
    </xf>
    <xf numFmtId="0" fontId="13" fillId="0" borderId="0" xfId="0" applyFont="1" applyAlignment="1" applyProtection="1">
      <alignment horizontal="left" vertical="center" wrapText="1"/>
      <protection locked="0"/>
    </xf>
    <xf numFmtId="0" fontId="19" fillId="0" borderId="10" xfId="0" applyFont="1" applyBorder="1" applyAlignment="1" applyProtection="1">
      <alignment horizontal="center" vertical="center" wrapText="1"/>
      <protection locked="0"/>
    </xf>
    <xf numFmtId="0" fontId="15" fillId="2" borderId="26" xfId="0" applyFont="1" applyFill="1" applyBorder="1" applyAlignment="1" applyProtection="1">
      <alignment horizontal="center" vertical="center" wrapText="1"/>
      <protection locked="0"/>
    </xf>
    <xf numFmtId="0" fontId="15" fillId="0" borderId="26" xfId="0" applyFont="1" applyBorder="1" applyAlignment="1" applyProtection="1">
      <alignment horizontal="center" vertical="center" wrapText="1"/>
      <protection locked="0"/>
    </xf>
    <xf numFmtId="0" fontId="13" fillId="2" borderId="19" xfId="0" applyFont="1" applyFill="1" applyBorder="1" applyAlignment="1" applyProtection="1">
      <alignment horizontal="left" vertical="center" wrapText="1"/>
      <protection locked="0"/>
    </xf>
    <xf numFmtId="0" fontId="13" fillId="0" borderId="19" xfId="0" applyFont="1" applyBorder="1" applyAlignment="1" applyProtection="1">
      <alignment horizontal="left" vertical="center" wrapText="1"/>
      <protection locked="0"/>
    </xf>
    <xf numFmtId="49" fontId="11" fillId="0" borderId="35" xfId="0" applyNumberFormat="1" applyFont="1" applyBorder="1" applyAlignment="1">
      <alignment horizontal="left" vertical="center" wrapText="1"/>
    </xf>
    <xf numFmtId="0" fontId="11" fillId="0" borderId="36" xfId="0" applyFont="1" applyBorder="1" applyAlignment="1">
      <alignment horizontal="left" vertical="center" wrapText="1"/>
    </xf>
    <xf numFmtId="49" fontId="15" fillId="2" borderId="0" xfId="0" applyNumberFormat="1" applyFont="1" applyFill="1" applyAlignment="1">
      <alignment horizontal="left" vertical="center" wrapText="1"/>
    </xf>
    <xf numFmtId="49" fontId="16" fillId="0" borderId="0" xfId="0" applyNumberFormat="1" applyFont="1" applyAlignment="1">
      <alignment horizontal="left" vertical="center" wrapText="1" indent="2"/>
    </xf>
    <xf numFmtId="49" fontId="16" fillId="2" borderId="28" xfId="0" applyNumberFormat="1" applyFont="1" applyFill="1" applyBorder="1" applyAlignment="1">
      <alignment horizontal="left" vertical="center" wrapText="1" indent="2"/>
    </xf>
    <xf numFmtId="0" fontId="19" fillId="2" borderId="13" xfId="0" applyFont="1" applyFill="1" applyBorder="1" applyAlignment="1">
      <alignment horizontal="center" vertical="center" wrapText="1"/>
    </xf>
    <xf numFmtId="0" fontId="15" fillId="0" borderId="0" xfId="0" applyFont="1" applyAlignment="1" applyProtection="1">
      <alignment horizontal="center" vertical="center" wrapText="1"/>
      <protection locked="0"/>
    </xf>
    <xf numFmtId="0" fontId="15" fillId="2" borderId="29" xfId="0" applyFont="1" applyFill="1" applyBorder="1" applyAlignment="1" applyProtection="1">
      <alignment horizontal="center" vertical="center" wrapText="1"/>
      <protection locked="0"/>
    </xf>
    <xf numFmtId="0" fontId="29" fillId="0" borderId="0" xfId="0" applyFont="1"/>
    <xf numFmtId="0" fontId="10" fillId="0" borderId="0" xfId="0" applyFont="1" applyAlignment="1">
      <alignment wrapText="1"/>
    </xf>
    <xf numFmtId="0" fontId="8" fillId="0" borderId="0" xfId="1"/>
    <xf numFmtId="0" fontId="30" fillId="0" borderId="40" xfId="1" applyFont="1" applyBorder="1" applyAlignment="1">
      <alignment vertical="center"/>
    </xf>
    <xf numFmtId="0" fontId="30" fillId="0" borderId="42" xfId="1" applyFont="1" applyBorder="1" applyAlignment="1">
      <alignment vertical="center"/>
    </xf>
    <xf numFmtId="0" fontId="30" fillId="0" borderId="44" xfId="1" applyFont="1" applyBorder="1" applyAlignment="1">
      <alignment vertical="center"/>
    </xf>
    <xf numFmtId="0" fontId="12" fillId="0" borderId="0" xfId="0" applyFont="1" applyAlignment="1" applyProtection="1">
      <alignment horizontal="left" vertical="center" wrapText="1"/>
      <protection locked="0"/>
    </xf>
    <xf numFmtId="0" fontId="15" fillId="0" borderId="26" xfId="0" applyFont="1" applyBorder="1" applyAlignment="1" applyProtection="1">
      <alignment horizontal="left" vertical="center" wrapText="1"/>
      <protection locked="0"/>
    </xf>
    <xf numFmtId="0" fontId="15" fillId="2" borderId="26" xfId="0" applyFont="1" applyFill="1" applyBorder="1" applyAlignment="1" applyProtection="1">
      <alignment horizontal="left" vertical="center" wrapText="1"/>
      <protection locked="0"/>
    </xf>
    <xf numFmtId="0" fontId="11" fillId="0" borderId="3" xfId="0" applyFont="1" applyBorder="1" applyAlignment="1">
      <alignment horizontal="left" vertical="center" wrapText="1"/>
    </xf>
    <xf numFmtId="0" fontId="11" fillId="0" borderId="3" xfId="0" applyFont="1" applyBorder="1" applyAlignment="1">
      <alignment vertical="center" wrapText="1"/>
    </xf>
    <xf numFmtId="0" fontId="11" fillId="0" borderId="18" xfId="0" applyFont="1" applyBorder="1" applyAlignment="1">
      <alignment horizontal="left" vertical="center" wrapText="1"/>
    </xf>
    <xf numFmtId="0" fontId="8" fillId="0" borderId="46" xfId="1" applyBorder="1"/>
    <xf numFmtId="0" fontId="8" fillId="0" borderId="47" xfId="1" applyBorder="1"/>
    <xf numFmtId="0" fontId="8" fillId="0" borderId="48" xfId="1" applyBorder="1"/>
    <xf numFmtId="0" fontId="8" fillId="0" borderId="49" xfId="1" applyBorder="1" applyAlignment="1">
      <alignment vertical="center"/>
    </xf>
    <xf numFmtId="0" fontId="13" fillId="0" borderId="6" xfId="0" applyFont="1" applyBorder="1" applyAlignment="1" applyProtection="1">
      <alignment horizontal="left" vertical="center" wrapText="1"/>
      <protection locked="0"/>
    </xf>
    <xf numFmtId="0" fontId="11" fillId="3" borderId="57" xfId="0" applyFont="1" applyFill="1" applyBorder="1" applyAlignment="1">
      <alignment horizontal="left" vertical="center" wrapText="1"/>
    </xf>
    <xf numFmtId="0" fontId="0" fillId="0" borderId="28" xfId="0" applyBorder="1" applyProtection="1">
      <protection locked="0"/>
    </xf>
    <xf numFmtId="0" fontId="32" fillId="0" borderId="28" xfId="0" applyFont="1" applyBorder="1" applyAlignment="1">
      <alignment horizontal="left" vertical="center" wrapText="1"/>
    </xf>
    <xf numFmtId="0" fontId="12" fillId="0" borderId="12" xfId="0" applyFont="1" applyBorder="1" applyAlignment="1">
      <alignment horizontal="left" vertical="center" wrapText="1"/>
    </xf>
    <xf numFmtId="0" fontId="13" fillId="0" borderId="9" xfId="0" applyFont="1" applyBorder="1" applyAlignment="1">
      <alignment horizontal="left" vertical="center" wrapText="1"/>
    </xf>
    <xf numFmtId="0" fontId="12" fillId="5" borderId="11" xfId="0" applyFont="1" applyFill="1" applyBorder="1" applyAlignment="1">
      <alignment vertical="center" wrapText="1"/>
    </xf>
    <xf numFmtId="0" fontId="13" fillId="5" borderId="10" xfId="0" applyFont="1" applyFill="1" applyBorder="1" applyAlignment="1">
      <alignment vertical="center" wrapText="1"/>
    </xf>
    <xf numFmtId="0" fontId="11" fillId="0" borderId="17" xfId="0" applyFont="1" applyBorder="1" applyAlignment="1">
      <alignment horizontal="left" vertical="center" wrapText="1"/>
    </xf>
    <xf numFmtId="0" fontId="12" fillId="0" borderId="0" xfId="0" applyFont="1" applyAlignment="1" applyProtection="1">
      <alignment horizontal="center" vertical="center" wrapText="1"/>
      <protection locked="0"/>
    </xf>
    <xf numFmtId="0" fontId="12" fillId="0" borderId="0" xfId="0" applyFont="1" applyAlignment="1" applyProtection="1">
      <alignment vertical="center" wrapText="1"/>
      <protection locked="0"/>
    </xf>
    <xf numFmtId="0" fontId="18" fillId="0" borderId="0" xfId="0" applyFont="1" applyAlignment="1" applyProtection="1">
      <alignment vertical="center" wrapText="1"/>
      <protection locked="0"/>
    </xf>
    <xf numFmtId="0" fontId="18" fillId="0" borderId="0" xfId="0" applyFont="1" applyAlignment="1" applyProtection="1">
      <alignment horizontal="left" vertical="center" wrapText="1"/>
      <protection locked="0"/>
    </xf>
    <xf numFmtId="0" fontId="18" fillId="2" borderId="27" xfId="0" applyFont="1" applyFill="1" applyBorder="1" applyAlignment="1">
      <alignment horizontal="center" vertical="center" wrapText="1"/>
    </xf>
    <xf numFmtId="0" fontId="30" fillId="0" borderId="68" xfId="1" applyFont="1" applyBorder="1" applyAlignment="1">
      <alignment horizontal="left"/>
    </xf>
    <xf numFmtId="0" fontId="8" fillId="0" borderId="70" xfId="1" applyBorder="1"/>
    <xf numFmtId="0" fontId="30" fillId="0" borderId="73" xfId="1" applyFont="1" applyBorder="1" applyAlignment="1">
      <alignment horizontal="left"/>
    </xf>
    <xf numFmtId="0" fontId="30" fillId="0" borderId="74" xfId="1" applyFont="1" applyBorder="1" applyAlignment="1">
      <alignment vertical="center"/>
    </xf>
    <xf numFmtId="0" fontId="30" fillId="0" borderId="76" xfId="1" applyFont="1" applyBorder="1" applyAlignment="1">
      <alignment vertical="center"/>
    </xf>
    <xf numFmtId="0" fontId="30" fillId="0" borderId="78" xfId="1" applyFont="1" applyBorder="1" applyAlignment="1">
      <alignment vertical="center"/>
    </xf>
    <xf numFmtId="164" fontId="22" fillId="0" borderId="0" xfId="0" quotePrefix="1" applyNumberFormat="1" applyFont="1" applyAlignment="1">
      <alignment horizontal="left"/>
    </xf>
    <xf numFmtId="165" fontId="22" fillId="0" borderId="0" xfId="0" applyNumberFormat="1" applyFont="1" applyAlignment="1">
      <alignment horizontal="left"/>
    </xf>
    <xf numFmtId="0" fontId="15" fillId="0" borderId="0" xfId="0" applyFont="1" applyAlignment="1">
      <alignment horizontal="center" vertical="center" wrapText="1"/>
    </xf>
    <xf numFmtId="0" fontId="11" fillId="0" borderId="37" xfId="0" applyFont="1" applyBorder="1" applyAlignment="1">
      <alignment horizontal="center" vertical="center" wrapText="1"/>
    </xf>
    <xf numFmtId="0" fontId="13" fillId="2" borderId="19" xfId="0" applyFont="1" applyFill="1" applyBorder="1" applyAlignment="1">
      <alignment horizontal="left" vertical="center" wrapText="1"/>
    </xf>
    <xf numFmtId="0" fontId="14" fillId="0" borderId="9" xfId="0" applyFont="1" applyBorder="1" applyAlignment="1">
      <alignment horizontal="left" vertical="center" wrapText="1"/>
    </xf>
    <xf numFmtId="0" fontId="14" fillId="5" borderId="10" xfId="0" applyFont="1" applyFill="1" applyBorder="1" applyAlignment="1">
      <alignment vertical="center" wrapText="1"/>
    </xf>
    <xf numFmtId="0" fontId="11" fillId="3" borderId="58" xfId="0" applyFont="1" applyFill="1" applyBorder="1" applyAlignment="1">
      <alignment horizontal="center" vertical="center" wrapText="1"/>
    </xf>
    <xf numFmtId="0" fontId="11" fillId="3" borderId="8" xfId="0" applyFont="1" applyFill="1" applyBorder="1" applyAlignment="1">
      <alignment horizontal="center" vertical="center" wrapText="1"/>
    </xf>
    <xf numFmtId="0" fontId="13" fillId="0" borderId="18" xfId="0" applyFont="1" applyBorder="1" applyAlignment="1" applyProtection="1">
      <alignment horizontal="left" vertical="center" wrapText="1"/>
      <protection locked="0"/>
    </xf>
    <xf numFmtId="0" fontId="13" fillId="0" borderId="3" xfId="0" applyFont="1" applyBorder="1" applyAlignment="1" applyProtection="1">
      <alignment horizontal="left" vertical="center" wrapText="1"/>
      <protection locked="0"/>
    </xf>
    <xf numFmtId="0" fontId="13" fillId="0" borderId="19" xfId="0" applyFont="1" applyBorder="1" applyAlignment="1">
      <alignment horizontal="left" vertical="center" wrapText="1"/>
    </xf>
    <xf numFmtId="0" fontId="11" fillId="2" borderId="18" xfId="0" applyFont="1" applyFill="1" applyBorder="1" applyAlignment="1">
      <alignment horizontal="left" vertical="center" wrapText="1"/>
    </xf>
    <xf numFmtId="0" fontId="11" fillId="2" borderId="3" xfId="0" applyFont="1" applyFill="1" applyBorder="1" applyAlignment="1">
      <alignment horizontal="left" vertical="center" wrapText="1"/>
    </xf>
    <xf numFmtId="0" fontId="13" fillId="0" borderId="20" xfId="0" applyFont="1" applyBorder="1" applyAlignment="1">
      <alignment horizontal="left" vertical="center" wrapText="1"/>
    </xf>
    <xf numFmtId="0" fontId="13" fillId="0" borderId="34" xfId="0" applyFont="1" applyBorder="1" applyAlignment="1">
      <alignment horizontal="left" vertical="center" wrapText="1"/>
    </xf>
    <xf numFmtId="0" fontId="13" fillId="0" borderId="21" xfId="0" applyFont="1" applyBorder="1" applyAlignment="1">
      <alignment horizontal="left" vertical="center" wrapText="1"/>
    </xf>
    <xf numFmtId="0" fontId="11" fillId="2" borderId="19" xfId="0" applyFont="1" applyFill="1" applyBorder="1" applyAlignment="1">
      <alignment horizontal="left" vertical="center" wrapText="1"/>
    </xf>
    <xf numFmtId="0" fontId="14" fillId="0" borderId="15" xfId="0" applyFont="1" applyBorder="1" applyAlignment="1" applyProtection="1">
      <alignment horizontal="left" vertical="center" wrapText="1"/>
      <protection locked="0"/>
    </xf>
    <xf numFmtId="14" fontId="8" fillId="0" borderId="50" xfId="1" applyNumberFormat="1" applyBorder="1" applyAlignment="1" applyProtection="1">
      <alignment vertical="center"/>
      <protection locked="0"/>
    </xf>
    <xf numFmtId="0" fontId="8" fillId="0" borderId="51" xfId="1" applyBorder="1" applyAlignment="1">
      <alignment vertical="center"/>
    </xf>
    <xf numFmtId="14" fontId="8" fillId="0" borderId="52" xfId="1" applyNumberFormat="1" applyBorder="1" applyAlignment="1">
      <alignment vertical="center"/>
    </xf>
    <xf numFmtId="0" fontId="8" fillId="0" borderId="52" xfId="1" applyBorder="1" applyAlignment="1">
      <alignment vertical="center"/>
    </xf>
    <xf numFmtId="0" fontId="7" fillId="0" borderId="41" xfId="1" applyFont="1" applyBorder="1" applyAlignment="1" applyProtection="1">
      <alignment vertical="center"/>
      <protection locked="0"/>
    </xf>
    <xf numFmtId="0" fontId="8" fillId="0" borderId="43" xfId="1" applyBorder="1" applyAlignment="1" applyProtection="1">
      <alignment vertical="center"/>
      <protection locked="0"/>
    </xf>
    <xf numFmtId="0" fontId="7" fillId="0" borderId="43" xfId="1" applyFont="1" applyBorder="1" applyAlignment="1" applyProtection="1">
      <alignment vertical="center"/>
      <protection locked="0"/>
    </xf>
    <xf numFmtId="0" fontId="7" fillId="0" borderId="45" xfId="1" applyFont="1" applyBorder="1" applyAlignment="1" applyProtection="1">
      <alignment vertical="center"/>
      <protection locked="0"/>
    </xf>
    <xf numFmtId="14" fontId="7" fillId="0" borderId="50" xfId="1" applyNumberFormat="1" applyFont="1" applyBorder="1" applyAlignment="1" applyProtection="1">
      <alignment horizontal="left" vertical="center"/>
      <protection locked="0"/>
    </xf>
    <xf numFmtId="14" fontId="7" fillId="0" borderId="69" xfId="1" applyNumberFormat="1" applyFont="1" applyBorder="1" applyAlignment="1" applyProtection="1">
      <alignment horizontal="left" vertical="center"/>
      <protection locked="0"/>
    </xf>
    <xf numFmtId="0" fontId="7" fillId="0" borderId="69" xfId="1" applyFont="1" applyBorder="1" applyAlignment="1" applyProtection="1">
      <alignment horizontal="left" vertical="center"/>
      <protection locked="0"/>
    </xf>
    <xf numFmtId="0" fontId="7" fillId="0" borderId="75" xfId="1" applyFont="1" applyBorder="1" applyAlignment="1" applyProtection="1">
      <alignment vertical="center"/>
      <protection locked="0"/>
    </xf>
    <xf numFmtId="0" fontId="7" fillId="0" borderId="77" xfId="1" applyFont="1" applyBorder="1" applyAlignment="1" applyProtection="1">
      <alignment vertical="center"/>
      <protection locked="0"/>
    </xf>
    <xf numFmtId="0" fontId="7" fillId="0" borderId="79" xfId="1" applyFont="1" applyBorder="1" applyAlignment="1" applyProtection="1">
      <alignment vertical="center"/>
      <protection locked="0"/>
    </xf>
    <xf numFmtId="0" fontId="9" fillId="0" borderId="0" xfId="0" applyFont="1" applyAlignment="1">
      <alignment vertical="center"/>
    </xf>
    <xf numFmtId="0" fontId="35" fillId="0" borderId="3" xfId="0" applyFont="1" applyBorder="1" applyAlignment="1">
      <alignment horizontal="left" vertical="center" wrapText="1"/>
    </xf>
    <xf numFmtId="0" fontId="35" fillId="2" borderId="3" xfId="0" applyFont="1" applyFill="1" applyBorder="1" applyAlignment="1">
      <alignment horizontal="left" vertical="center" wrapText="1"/>
    </xf>
    <xf numFmtId="0" fontId="29" fillId="0" borderId="0" xfId="0" applyFont="1" applyAlignment="1">
      <alignment vertical="center"/>
    </xf>
    <xf numFmtId="49" fontId="11" fillId="2" borderId="35" xfId="0" applyNumberFormat="1" applyFont="1" applyFill="1" applyBorder="1" applyAlignment="1">
      <alignment horizontal="left" vertical="center" wrapText="1"/>
    </xf>
    <xf numFmtId="0" fontId="11" fillId="2" borderId="36" xfId="0" applyFont="1" applyFill="1" applyBorder="1" applyAlignment="1">
      <alignment horizontal="left" vertical="center" wrapText="1"/>
    </xf>
    <xf numFmtId="0" fontId="14" fillId="2" borderId="37" xfId="0" applyFont="1" applyFill="1" applyBorder="1" applyAlignment="1">
      <alignment horizontal="center" vertical="center" wrapText="1"/>
    </xf>
    <xf numFmtId="0" fontId="13" fillId="2" borderId="65" xfId="0" applyFont="1" applyFill="1" applyBorder="1" applyAlignment="1" applyProtection="1">
      <alignment vertical="center" wrapText="1"/>
      <protection locked="0"/>
    </xf>
    <xf numFmtId="0" fontId="13" fillId="5" borderId="66" xfId="0" applyFont="1" applyFill="1" applyBorder="1" applyAlignment="1" applyProtection="1">
      <alignment horizontal="left" vertical="center" wrapText="1"/>
      <protection locked="0"/>
    </xf>
    <xf numFmtId="0" fontId="13" fillId="2" borderId="67" xfId="0" applyFont="1" applyFill="1" applyBorder="1" applyAlignment="1" applyProtection="1">
      <alignment vertical="center" wrapText="1"/>
      <protection locked="0"/>
    </xf>
    <xf numFmtId="0" fontId="0" fillId="0" borderId="0" xfId="0" applyAlignment="1">
      <alignment horizontal="center" wrapText="1"/>
    </xf>
    <xf numFmtId="2" fontId="14" fillId="0" borderId="10" xfId="0" applyNumberFormat="1" applyFont="1" applyBorder="1" applyAlignment="1">
      <alignment horizontal="center" vertical="center" wrapText="1"/>
    </xf>
    <xf numFmtId="0" fontId="13" fillId="0" borderId="2" xfId="0" applyFont="1" applyBorder="1" applyAlignment="1" applyProtection="1">
      <alignment horizontal="left" vertical="center" wrapText="1"/>
      <protection locked="0"/>
    </xf>
    <xf numFmtId="49" fontId="11" fillId="0" borderId="22" xfId="0" applyNumberFormat="1" applyFont="1" applyBorder="1" applyAlignment="1">
      <alignment horizontal="center" vertical="center" wrapText="1"/>
    </xf>
    <xf numFmtId="0" fontId="11" fillId="0" borderId="24" xfId="0" applyFont="1" applyBorder="1" applyAlignment="1">
      <alignment horizontal="left" vertical="center" wrapText="1"/>
    </xf>
    <xf numFmtId="0" fontId="18" fillId="2" borderId="25" xfId="0" applyFont="1" applyFill="1" applyBorder="1" applyAlignment="1">
      <alignment horizontal="center" vertical="center" wrapText="1" indent="1"/>
    </xf>
    <xf numFmtId="0" fontId="18" fillId="2" borderId="0" xfId="0" applyFont="1" applyFill="1" applyAlignment="1">
      <alignment horizontal="center" vertical="center" wrapText="1" indent="1"/>
    </xf>
    <xf numFmtId="0" fontId="18" fillId="2" borderId="26" xfId="0" applyFont="1" applyFill="1" applyBorder="1" applyAlignment="1">
      <alignment horizontal="center" vertical="center" wrapText="1" indent="1"/>
    </xf>
    <xf numFmtId="0" fontId="18" fillId="0" borderId="0" xfId="0" applyFont="1" applyAlignment="1">
      <alignment horizontal="center" vertical="center" wrapText="1" indent="1"/>
    </xf>
    <xf numFmtId="0" fontId="18" fillId="0" borderId="0" xfId="0" applyFont="1" applyAlignment="1">
      <alignment horizontal="left" vertical="center" wrapText="1" indent="1"/>
    </xf>
    <xf numFmtId="0" fontId="17" fillId="0" borderId="0" xfId="0" applyFont="1" applyAlignment="1">
      <alignment horizontal="center" vertical="center" indent="2"/>
    </xf>
    <xf numFmtId="0" fontId="18" fillId="0" borderId="0" xfId="0" applyFont="1" applyAlignment="1">
      <alignment horizontal="left" vertical="center" wrapText="1" indent="2"/>
    </xf>
    <xf numFmtId="0" fontId="0" fillId="0" borderId="0" xfId="0" applyAlignment="1">
      <alignment horizontal="right"/>
    </xf>
    <xf numFmtId="0" fontId="11" fillId="0" borderId="1" xfId="0" applyFont="1" applyBorder="1" applyAlignment="1">
      <alignment horizontal="left" vertical="center" wrapText="1"/>
    </xf>
    <xf numFmtId="0" fontId="12" fillId="2" borderId="3" xfId="0" applyFont="1" applyFill="1" applyBorder="1" applyAlignment="1">
      <alignment horizontal="left" vertical="center" wrapText="1"/>
    </xf>
    <xf numFmtId="0" fontId="12" fillId="0" borderId="3" xfId="0" applyFont="1" applyBorder="1" applyAlignment="1">
      <alignment horizontal="left" vertical="center" wrapText="1"/>
    </xf>
    <xf numFmtId="0" fontId="33" fillId="0" borderId="0" xfId="0" applyFont="1"/>
    <xf numFmtId="0" fontId="12" fillId="0" borderId="5" xfId="0" applyFont="1" applyBorder="1" applyAlignment="1">
      <alignment horizontal="left" vertical="center" wrapText="1"/>
    </xf>
    <xf numFmtId="0" fontId="11" fillId="0" borderId="0" xfId="0" applyFont="1" applyAlignment="1">
      <alignment vertical="center" wrapText="1"/>
    </xf>
    <xf numFmtId="0" fontId="17" fillId="0" borderId="25" xfId="0" applyFont="1" applyBorder="1" applyAlignment="1">
      <alignment horizontal="center" vertical="center"/>
    </xf>
    <xf numFmtId="0" fontId="34" fillId="0" borderId="26" xfId="0" applyFont="1" applyBorder="1" applyAlignment="1">
      <alignment horizontal="left" vertical="center" wrapText="1"/>
    </xf>
    <xf numFmtId="0" fontId="17" fillId="2" borderId="25" xfId="0" applyFont="1" applyFill="1" applyBorder="1" applyAlignment="1">
      <alignment horizontal="center" vertical="center" wrapText="1" indent="1"/>
    </xf>
    <xf numFmtId="0" fontId="34" fillId="2" borderId="26" xfId="0" applyFont="1" applyFill="1" applyBorder="1" applyAlignment="1">
      <alignment horizontal="left" vertical="center" wrapText="1"/>
    </xf>
    <xf numFmtId="0" fontId="12" fillId="0" borderId="0" xfId="0" applyFont="1" applyAlignment="1">
      <alignment vertical="center" wrapText="1"/>
    </xf>
    <xf numFmtId="0" fontId="0" fillId="0" borderId="0" xfId="0" applyAlignment="1">
      <alignment vertical="center"/>
    </xf>
    <xf numFmtId="0" fontId="13" fillId="0" borderId="9" xfId="0" applyFont="1" applyBorder="1" applyAlignment="1" applyProtection="1">
      <alignment horizontal="center" vertical="center" wrapText="1"/>
      <protection locked="0"/>
    </xf>
    <xf numFmtId="0" fontId="13" fillId="2" borderId="9" xfId="0" applyFont="1" applyFill="1" applyBorder="1" applyAlignment="1" applyProtection="1">
      <alignment horizontal="center" vertical="center" wrapText="1"/>
      <protection locked="0"/>
    </xf>
    <xf numFmtId="0" fontId="0" fillId="2" borderId="25" xfId="0" applyFill="1" applyBorder="1" applyAlignment="1">
      <alignment horizontal="center"/>
    </xf>
    <xf numFmtId="0" fontId="0" fillId="0" borderId="25" xfId="0" applyBorder="1" applyAlignment="1">
      <alignment horizontal="center"/>
    </xf>
    <xf numFmtId="0" fontId="0" fillId="2" borderId="25" xfId="0" applyFill="1" applyBorder="1" applyAlignment="1" applyProtection="1">
      <alignment horizontal="center"/>
      <protection locked="0"/>
    </xf>
    <xf numFmtId="0" fontId="0" fillId="0" borderId="25" xfId="0" applyBorder="1" applyAlignment="1" applyProtection="1">
      <alignment horizontal="center"/>
      <protection locked="0"/>
    </xf>
    <xf numFmtId="0" fontId="0" fillId="2" borderId="27" xfId="0" applyFill="1" applyBorder="1" applyAlignment="1" applyProtection="1">
      <alignment horizontal="center"/>
      <protection locked="0"/>
    </xf>
    <xf numFmtId="0" fontId="0" fillId="2" borderId="0" xfId="0" applyFill="1" applyAlignment="1">
      <alignment horizontal="center"/>
    </xf>
    <xf numFmtId="0" fontId="0" fillId="2" borderId="0" xfId="0" applyFill="1" applyAlignment="1" applyProtection="1">
      <alignment horizontal="center"/>
      <protection locked="0"/>
    </xf>
    <xf numFmtId="0" fontId="0" fillId="0" borderId="0" xfId="0" applyAlignment="1" applyProtection="1">
      <alignment horizontal="center"/>
      <protection locked="0"/>
    </xf>
    <xf numFmtId="0" fontId="0" fillId="2" borderId="28" xfId="0" applyFill="1" applyBorder="1" applyAlignment="1" applyProtection="1">
      <alignment horizontal="center"/>
      <protection locked="0"/>
    </xf>
    <xf numFmtId="0" fontId="0" fillId="2" borderId="26" xfId="0" applyFill="1" applyBorder="1" applyAlignment="1">
      <alignment horizontal="center"/>
    </xf>
    <xf numFmtId="0" fontId="8" fillId="0" borderId="81" xfId="1" applyBorder="1"/>
    <xf numFmtId="0" fontId="12" fillId="2" borderId="10" xfId="0" applyFont="1" applyFill="1" applyBorder="1" applyAlignment="1">
      <alignment vertical="center" wrapText="1"/>
    </xf>
    <xf numFmtId="0" fontId="12" fillId="0" borderId="10" xfId="0" applyFont="1" applyBorder="1" applyAlignment="1">
      <alignment vertical="center" wrapText="1"/>
    </xf>
    <xf numFmtId="0" fontId="12" fillId="0" borderId="32" xfId="0" applyFont="1" applyBorder="1" applyAlignment="1">
      <alignment vertical="center" wrapText="1"/>
    </xf>
    <xf numFmtId="49" fontId="11" fillId="0" borderId="22" xfId="0" applyNumberFormat="1" applyFont="1" applyBorder="1" applyAlignment="1">
      <alignment horizontal="left" vertical="center" wrapText="1"/>
    </xf>
    <xf numFmtId="49" fontId="15" fillId="2" borderId="82" xfId="0" applyNumberFormat="1" applyFont="1" applyFill="1" applyBorder="1" applyAlignment="1">
      <alignment horizontal="left" vertical="center" wrapText="1"/>
    </xf>
    <xf numFmtId="0" fontId="15" fillId="2" borderId="83" xfId="0" applyFont="1" applyFill="1" applyBorder="1" applyAlignment="1" applyProtection="1">
      <alignment horizontal="center" vertical="center" wrapText="1"/>
      <protection locked="0"/>
    </xf>
    <xf numFmtId="49" fontId="15" fillId="0" borderId="22" xfId="0" applyNumberFormat="1" applyFont="1" applyBorder="1" applyAlignment="1">
      <alignment horizontal="left" vertical="center" wrapText="1"/>
    </xf>
    <xf numFmtId="49" fontId="15" fillId="0" borderId="23" xfId="0" applyNumberFormat="1" applyFont="1" applyBorder="1" applyAlignment="1">
      <alignment horizontal="left" vertical="center" wrapText="1"/>
    </xf>
    <xf numFmtId="0" fontId="28" fillId="0" borderId="24" xfId="0" applyFont="1" applyBorder="1" applyAlignment="1">
      <alignment horizontal="center" vertical="center" wrapText="1"/>
    </xf>
    <xf numFmtId="49" fontId="16" fillId="2" borderId="0" xfId="0" applyNumberFormat="1" applyFont="1" applyFill="1" applyAlignment="1">
      <alignment horizontal="left" vertical="center" wrapText="1" indent="2"/>
    </xf>
    <xf numFmtId="49" fontId="15" fillId="2" borderId="28" xfId="0" applyNumberFormat="1" applyFont="1" applyFill="1" applyBorder="1" applyAlignment="1">
      <alignment horizontal="left" vertical="center" wrapText="1"/>
    </xf>
    <xf numFmtId="49" fontId="15" fillId="0" borderId="28" xfId="0" applyNumberFormat="1" applyFont="1" applyBorder="1" applyAlignment="1">
      <alignment horizontal="left" vertical="center" wrapText="1"/>
    </xf>
    <xf numFmtId="0" fontId="15" fillId="0" borderId="29" xfId="0" applyFont="1" applyBorder="1" applyAlignment="1" applyProtection="1">
      <alignment horizontal="center" vertical="center" wrapText="1"/>
      <protection locked="0"/>
    </xf>
    <xf numFmtId="2" fontId="14" fillId="2" borderId="10" xfId="0" applyNumberFormat="1" applyFont="1" applyFill="1" applyBorder="1" applyAlignment="1">
      <alignment horizontal="center" vertical="center" wrapText="1"/>
    </xf>
    <xf numFmtId="2" fontId="14" fillId="0" borderId="84" xfId="0" applyNumberFormat="1" applyFont="1" applyBorder="1" applyAlignment="1">
      <alignment horizontal="center" vertical="center" wrapText="1"/>
    </xf>
    <xf numFmtId="0" fontId="14" fillId="0" borderId="85" xfId="0" applyFont="1" applyBorder="1" applyAlignment="1">
      <alignment horizontal="left" vertical="center" wrapText="1"/>
    </xf>
    <xf numFmtId="0" fontId="18" fillId="2" borderId="22" xfId="0" applyFont="1" applyFill="1" applyBorder="1" applyAlignment="1">
      <alignment horizontal="center" vertical="center" wrapText="1"/>
    </xf>
    <xf numFmtId="0" fontId="12" fillId="2" borderId="23" xfId="0" applyFont="1" applyFill="1" applyBorder="1" applyAlignment="1">
      <alignment horizontal="left" vertical="center" wrapText="1"/>
    </xf>
    <xf numFmtId="0" fontId="15" fillId="2" borderId="24" xfId="0" applyFont="1" applyFill="1" applyBorder="1" applyAlignment="1" applyProtection="1">
      <alignment horizontal="center" vertical="center" wrapText="1"/>
      <protection locked="0"/>
    </xf>
    <xf numFmtId="0" fontId="18" fillId="0" borderId="0" xfId="0" applyFont="1" applyAlignment="1">
      <alignment horizontal="left" vertical="center" wrapText="1" indent="3"/>
    </xf>
    <xf numFmtId="0" fontId="18" fillId="2" borderId="28" xfId="0" applyFont="1" applyFill="1" applyBorder="1" applyAlignment="1">
      <alignment horizontal="left" vertical="center" wrapText="1" indent="3"/>
    </xf>
    <xf numFmtId="0" fontId="37" fillId="2" borderId="26" xfId="0" applyFont="1" applyFill="1" applyBorder="1" applyAlignment="1" applyProtection="1">
      <alignment horizontal="center" vertical="center" wrapText="1"/>
      <protection locked="0"/>
    </xf>
    <xf numFmtId="49" fontId="15" fillId="2" borderId="27" xfId="0" applyNumberFormat="1" applyFont="1" applyFill="1" applyBorder="1" applyAlignment="1">
      <alignment horizontal="left" vertical="center" wrapText="1"/>
    </xf>
    <xf numFmtId="0" fontId="28" fillId="2" borderId="29" xfId="0" applyFont="1" applyFill="1" applyBorder="1" applyAlignment="1">
      <alignment horizontal="center" vertical="center" wrapText="1"/>
    </xf>
    <xf numFmtId="2" fontId="14" fillId="2" borderId="84" xfId="0" applyNumberFormat="1" applyFont="1" applyFill="1" applyBorder="1" applyAlignment="1">
      <alignment horizontal="center" vertical="center" wrapText="1"/>
    </xf>
    <xf numFmtId="0" fontId="14" fillId="5" borderId="85" xfId="0" applyFont="1" applyFill="1" applyBorder="1" applyAlignment="1">
      <alignment vertical="center" wrapText="1"/>
    </xf>
    <xf numFmtId="0" fontId="12" fillId="0" borderId="11" xfId="0" applyFont="1" applyBorder="1" applyAlignment="1">
      <alignment horizontal="left" vertical="center" wrapText="1"/>
    </xf>
    <xf numFmtId="0" fontId="13" fillId="0" borderId="10" xfId="0" applyFont="1" applyBorder="1" applyAlignment="1" applyProtection="1">
      <alignment horizontal="center" vertical="center" wrapText="1"/>
      <protection locked="0"/>
    </xf>
    <xf numFmtId="0" fontId="13" fillId="0" borderId="10" xfId="0" applyFont="1" applyBorder="1" applyAlignment="1">
      <alignment horizontal="left" vertical="center" wrapText="1"/>
    </xf>
    <xf numFmtId="0" fontId="13" fillId="2" borderId="84" xfId="0" applyFont="1" applyFill="1" applyBorder="1" applyAlignment="1" applyProtection="1">
      <alignment horizontal="center" vertical="center" wrapText="1"/>
      <protection locked="0"/>
    </xf>
    <xf numFmtId="0" fontId="13" fillId="5" borderId="84" xfId="0" applyFont="1" applyFill="1" applyBorder="1" applyAlignment="1">
      <alignment vertical="center" wrapText="1"/>
    </xf>
    <xf numFmtId="0" fontId="12" fillId="5" borderId="91" xfId="0" applyFont="1" applyFill="1" applyBorder="1" applyAlignment="1">
      <alignment vertical="center" wrapText="1"/>
    </xf>
    <xf numFmtId="0" fontId="12" fillId="0" borderId="91" xfId="0" applyFont="1" applyBorder="1" applyAlignment="1">
      <alignment horizontal="left" vertical="center" wrapText="1"/>
    </xf>
    <xf numFmtId="0" fontId="15" fillId="0" borderId="24" xfId="0" applyFont="1" applyBorder="1" applyAlignment="1" applyProtection="1">
      <alignment horizontal="center" vertical="center" wrapText="1"/>
      <protection locked="0"/>
    </xf>
    <xf numFmtId="0" fontId="19" fillId="2" borderId="92" xfId="0" applyFont="1" applyFill="1" applyBorder="1" applyAlignment="1">
      <alignment vertical="center" wrapText="1"/>
    </xf>
    <xf numFmtId="0" fontId="19" fillId="2" borderId="85" xfId="0" applyFont="1" applyFill="1" applyBorder="1" applyAlignment="1">
      <alignment vertical="center" wrapText="1"/>
    </xf>
    <xf numFmtId="49" fontId="11" fillId="2" borderId="22" xfId="0" applyNumberFormat="1" applyFont="1" applyFill="1" applyBorder="1" applyAlignment="1">
      <alignment horizontal="left" vertical="center" wrapText="1"/>
    </xf>
    <xf numFmtId="0" fontId="11" fillId="2" borderId="23" xfId="0" applyFont="1" applyFill="1" applyBorder="1" applyAlignment="1">
      <alignment horizontal="left" vertical="center" wrapText="1"/>
    </xf>
    <xf numFmtId="0" fontId="11" fillId="2" borderId="24" xfId="0" applyFont="1" applyFill="1" applyBorder="1" applyAlignment="1">
      <alignment horizontal="center" vertical="center" wrapText="1"/>
    </xf>
    <xf numFmtId="0" fontId="12" fillId="2" borderId="10" xfId="0" applyFont="1" applyFill="1" applyBorder="1" applyAlignment="1" applyProtection="1">
      <alignment horizontal="center" vertical="center" wrapText="1"/>
      <protection locked="0"/>
    </xf>
    <xf numFmtId="0" fontId="12" fillId="0" borderId="10" xfId="0" applyFont="1" applyBorder="1" applyAlignment="1" applyProtection="1">
      <alignment horizontal="center" vertical="center" wrapText="1"/>
      <protection locked="0"/>
    </xf>
    <xf numFmtId="0" fontId="12" fillId="0" borderId="32" xfId="0" applyFont="1" applyBorder="1" applyAlignment="1" applyProtection="1">
      <alignment horizontal="center" vertical="center" wrapText="1"/>
      <protection locked="0"/>
    </xf>
    <xf numFmtId="0" fontId="12" fillId="2" borderId="84" xfId="0" applyFont="1" applyFill="1" applyBorder="1" applyAlignment="1" applyProtection="1">
      <alignment horizontal="center" vertical="center" wrapText="1"/>
      <protection locked="0"/>
    </xf>
    <xf numFmtId="0" fontId="29" fillId="0" borderId="0" xfId="0" applyFont="1" applyAlignment="1">
      <alignment horizontal="left"/>
    </xf>
    <xf numFmtId="0" fontId="6" fillId="0" borderId="75" xfId="1" applyFont="1" applyBorder="1" applyAlignment="1" applyProtection="1">
      <alignment vertical="center"/>
      <protection locked="0"/>
    </xf>
    <xf numFmtId="0" fontId="0" fillId="0" borderId="0" xfId="0" applyAlignment="1" applyProtection="1">
      <alignment wrapText="1"/>
      <protection locked="0"/>
    </xf>
    <xf numFmtId="0" fontId="11" fillId="0" borderId="35" xfId="0" applyFont="1" applyBorder="1" applyAlignment="1" applyProtection="1">
      <alignment vertical="center" wrapText="1"/>
      <protection locked="0"/>
    </xf>
    <xf numFmtId="0" fontId="11" fillId="0" borderId="36" xfId="0" applyFont="1" applyBorder="1" applyAlignment="1" applyProtection="1">
      <alignment vertical="center" wrapText="1"/>
      <protection locked="0"/>
    </xf>
    <xf numFmtId="0" fontId="11" fillId="0" borderId="36" xfId="0" applyFont="1" applyBorder="1" applyAlignment="1">
      <alignment horizontal="center" vertical="center" wrapText="1"/>
    </xf>
    <xf numFmtId="0" fontId="8" fillId="0" borderId="53" xfId="1" applyBorder="1" applyProtection="1">
      <protection locked="0"/>
    </xf>
    <xf numFmtId="0" fontId="8" fillId="0" borderId="0" xfId="1" applyProtection="1">
      <protection locked="0"/>
    </xf>
    <xf numFmtId="0" fontId="8" fillId="0" borderId="54" xfId="1" applyBorder="1" applyProtection="1">
      <protection locked="0"/>
    </xf>
    <xf numFmtId="0" fontId="8" fillId="0" borderId="55" xfId="1" applyBorder="1" applyProtection="1">
      <protection locked="0"/>
    </xf>
    <xf numFmtId="0" fontId="8" fillId="0" borderId="96" xfId="1" applyBorder="1" applyProtection="1">
      <protection locked="0"/>
    </xf>
    <xf numFmtId="0" fontId="8" fillId="0" borderId="56" xfId="1" applyBorder="1" applyProtection="1">
      <protection locked="0"/>
    </xf>
    <xf numFmtId="49" fontId="15" fillId="2" borderId="22" xfId="0" applyNumberFormat="1" applyFont="1" applyFill="1" applyBorder="1" applyAlignment="1">
      <alignment horizontal="left" vertical="center" wrapText="1"/>
    </xf>
    <xf numFmtId="0" fontId="15" fillId="2" borderId="23" xfId="0" applyFont="1" applyFill="1" applyBorder="1" applyAlignment="1">
      <alignment horizontal="left" vertical="center" wrapText="1"/>
    </xf>
    <xf numFmtId="0" fontId="14" fillId="2" borderId="23" xfId="0" applyFont="1" applyFill="1" applyBorder="1" applyAlignment="1">
      <alignment horizontal="center" vertical="center" wrapText="1"/>
    </xf>
    <xf numFmtId="0" fontId="15" fillId="2" borderId="24" xfId="0" applyFont="1" applyFill="1" applyBorder="1" applyAlignment="1">
      <alignment horizontal="center" vertical="center" wrapText="1"/>
    </xf>
    <xf numFmtId="0" fontId="14" fillId="0" borderId="0" xfId="0" applyFont="1" applyAlignment="1">
      <alignment horizontal="center" vertical="center" wrapText="1"/>
    </xf>
    <xf numFmtId="0" fontId="15" fillId="2" borderId="28" xfId="0" applyFont="1" applyFill="1" applyBorder="1" applyAlignment="1">
      <alignment horizontal="left" vertical="center" wrapText="1"/>
    </xf>
    <xf numFmtId="0" fontId="14" fillId="2" borderId="28" xfId="0" applyFont="1" applyFill="1" applyBorder="1" applyAlignment="1">
      <alignment horizontal="center" vertical="center" wrapText="1"/>
    </xf>
    <xf numFmtId="0" fontId="13" fillId="0" borderId="0" xfId="0" applyFont="1" applyAlignment="1">
      <alignment vertical="center" wrapText="1"/>
    </xf>
    <xf numFmtId="0" fontId="39" fillId="0" borderId="0" xfId="0" applyFont="1" applyAlignment="1">
      <alignment wrapText="1"/>
    </xf>
    <xf numFmtId="0" fontId="9" fillId="0" borderId="0" xfId="0" applyFont="1" applyAlignment="1">
      <alignment horizontal="center" vertical="center"/>
    </xf>
    <xf numFmtId="0" fontId="41" fillId="0" borderId="0" xfId="0" applyFont="1" applyAlignment="1">
      <alignment vertical="center"/>
    </xf>
    <xf numFmtId="0" fontId="11" fillId="0" borderId="0" xfId="0" applyFont="1" applyAlignment="1">
      <alignment horizontal="center" vertical="center" wrapText="1"/>
    </xf>
    <xf numFmtId="0" fontId="43" fillId="0" borderId="0" xfId="0" applyFont="1" applyAlignment="1">
      <alignment horizontal="center" vertical="center" wrapText="1"/>
    </xf>
    <xf numFmtId="0" fontId="5" fillId="0" borderId="0" xfId="2"/>
    <xf numFmtId="14" fontId="5" fillId="0" borderId="50" xfId="2" applyNumberFormat="1" applyBorder="1" applyAlignment="1" applyProtection="1">
      <alignment vertical="center"/>
      <protection locked="0"/>
    </xf>
    <xf numFmtId="14" fontId="5" fillId="0" borderId="54" xfId="2" applyNumberFormat="1" applyBorder="1" applyAlignment="1">
      <alignment vertical="center"/>
    </xf>
    <xf numFmtId="0" fontId="17" fillId="2" borderId="27" xfId="0" applyFont="1" applyFill="1" applyBorder="1" applyAlignment="1">
      <alignment horizontal="center" vertical="center" indent="2"/>
    </xf>
    <xf numFmtId="0" fontId="12" fillId="2" borderId="28" xfId="0" applyFont="1" applyFill="1" applyBorder="1" applyAlignment="1">
      <alignment horizontal="left" vertical="center" wrapText="1"/>
    </xf>
    <xf numFmtId="0" fontId="15" fillId="2" borderId="29" xfId="0" applyFont="1" applyFill="1" applyBorder="1" applyAlignment="1">
      <alignment horizontal="left" vertical="center" wrapText="1"/>
    </xf>
    <xf numFmtId="49" fontId="11" fillId="0" borderId="0" xfId="0" applyNumberFormat="1" applyFont="1" applyAlignment="1">
      <alignment horizontal="center" vertical="center" wrapText="1"/>
    </xf>
    <xf numFmtId="0" fontId="11" fillId="0" borderId="0" xfId="0" applyFont="1" applyAlignment="1">
      <alignment horizontal="left" vertical="center" wrapText="1"/>
    </xf>
    <xf numFmtId="0" fontId="42" fillId="2" borderId="37" xfId="0" applyFont="1" applyFill="1" applyBorder="1" applyAlignment="1">
      <alignment horizontal="center" vertical="center" wrapText="1" indent="1"/>
    </xf>
    <xf numFmtId="0" fontId="42" fillId="2" borderId="97" xfId="0" applyFont="1" applyFill="1" applyBorder="1" applyAlignment="1">
      <alignment horizontal="center" vertical="center" wrapText="1" indent="1"/>
    </xf>
    <xf numFmtId="0" fontId="11" fillId="0" borderId="97" xfId="0" applyFont="1" applyBorder="1" applyAlignment="1">
      <alignment horizontal="center" vertical="center" wrapText="1"/>
    </xf>
    <xf numFmtId="49" fontId="12" fillId="0" borderId="97" xfId="0" applyNumberFormat="1" applyFont="1" applyBorder="1" applyAlignment="1">
      <alignment horizontal="center" vertical="center" wrapText="1"/>
    </xf>
    <xf numFmtId="0" fontId="12" fillId="0" borderId="97" xfId="0" applyFont="1" applyBorder="1" applyAlignment="1">
      <alignment horizontal="center" vertical="center" wrapText="1"/>
    </xf>
    <xf numFmtId="0" fontId="43" fillId="0" borderId="97" xfId="0" applyFont="1" applyBorder="1" applyAlignment="1">
      <alignment horizontal="center" vertical="center" wrapText="1"/>
    </xf>
    <xf numFmtId="0" fontId="30" fillId="0" borderId="74" xfId="2" applyFont="1" applyBorder="1" applyAlignment="1">
      <alignment vertical="center"/>
    </xf>
    <xf numFmtId="0" fontId="5" fillId="0" borderId="110" xfId="2" applyBorder="1" applyAlignment="1">
      <alignment vertical="center"/>
    </xf>
    <xf numFmtId="0" fontId="30" fillId="0" borderId="76" xfId="2" applyFont="1" applyBorder="1" applyAlignment="1">
      <alignment vertical="center"/>
    </xf>
    <xf numFmtId="0" fontId="5" fillId="0" borderId="14" xfId="2" applyBorder="1" applyAlignment="1">
      <alignment vertical="center"/>
    </xf>
    <xf numFmtId="0" fontId="30" fillId="0" borderId="78" xfId="2" applyFont="1" applyBorder="1" applyAlignment="1">
      <alignment vertical="center"/>
    </xf>
    <xf numFmtId="0" fontId="5" fillId="0" borderId="111" xfId="2" applyBorder="1" applyAlignment="1">
      <alignment vertical="center"/>
    </xf>
    <xf numFmtId="0" fontId="26" fillId="0" borderId="0" xfId="0" applyFont="1" applyAlignment="1">
      <alignment horizontal="center"/>
    </xf>
    <xf numFmtId="49" fontId="26" fillId="0" borderId="0" xfId="0" applyNumberFormat="1" applyFont="1" applyAlignment="1">
      <alignment horizontal="center"/>
    </xf>
    <xf numFmtId="0" fontId="0" fillId="0" borderId="102" xfId="0" applyBorder="1" applyProtection="1">
      <protection locked="0"/>
    </xf>
    <xf numFmtId="0" fontId="0" fillId="0" borderId="103" xfId="0" applyBorder="1" applyProtection="1">
      <protection locked="0"/>
    </xf>
    <xf numFmtId="0" fontId="0" fillId="0" borderId="103" xfId="0" applyBorder="1" applyAlignment="1" applyProtection="1">
      <alignment horizontal="center" vertical="center"/>
      <protection locked="0"/>
    </xf>
    <xf numFmtId="0" fontId="0" fillId="0" borderId="26" xfId="0" applyBorder="1" applyAlignment="1" applyProtection="1">
      <alignment horizontal="center" vertical="center"/>
      <protection locked="0"/>
    </xf>
    <xf numFmtId="0" fontId="0" fillId="2" borderId="102" xfId="0" applyFill="1" applyBorder="1" applyProtection="1">
      <protection locked="0"/>
    </xf>
    <xf numFmtId="0" fontId="0" fillId="2" borderId="103" xfId="0" applyFill="1" applyBorder="1" applyProtection="1">
      <protection locked="0"/>
    </xf>
    <xf numFmtId="0" fontId="0" fillId="2" borderId="103" xfId="0" applyFill="1" applyBorder="1" applyAlignment="1" applyProtection="1">
      <alignment horizontal="center" vertical="center"/>
      <protection locked="0"/>
    </xf>
    <xf numFmtId="0" fontId="0" fillId="2" borderId="26" xfId="0" applyFill="1" applyBorder="1" applyAlignment="1" applyProtection="1">
      <alignment horizontal="center" vertical="center"/>
      <protection locked="0"/>
    </xf>
    <xf numFmtId="0" fontId="22" fillId="0" borderId="0" xfId="0" applyFont="1" applyAlignment="1">
      <alignment wrapText="1"/>
    </xf>
    <xf numFmtId="0" fontId="30" fillId="0" borderId="0" xfId="1" applyFont="1" applyAlignment="1">
      <alignment horizontal="left"/>
    </xf>
    <xf numFmtId="14" fontId="4" fillId="0" borderId="0" xfId="1" applyNumberFormat="1" applyFont="1" applyAlignment="1">
      <alignment horizontal="left" vertical="center"/>
    </xf>
    <xf numFmtId="0" fontId="30" fillId="0" borderId="119" xfId="1" applyFont="1" applyBorder="1" applyAlignment="1">
      <alignment horizontal="left"/>
    </xf>
    <xf numFmtId="0" fontId="30" fillId="0" borderId="120" xfId="1" applyFont="1" applyBorder="1" applyAlignment="1">
      <alignment horizontal="left"/>
    </xf>
    <xf numFmtId="0" fontId="30" fillId="0" borderId="121" xfId="1" applyFont="1" applyBorder="1" applyAlignment="1">
      <alignment horizontal="left"/>
    </xf>
    <xf numFmtId="0" fontId="30" fillId="0" borderId="124" xfId="1" applyFont="1" applyBorder="1" applyAlignment="1">
      <alignment horizontal="left"/>
    </xf>
    <xf numFmtId="0" fontId="17" fillId="0" borderId="25" xfId="0" applyFont="1" applyBorder="1" applyAlignment="1">
      <alignment horizontal="center" vertical="center" wrapText="1" indent="1"/>
    </xf>
    <xf numFmtId="0" fontId="12" fillId="0" borderId="0" xfId="0" applyFont="1" applyAlignment="1">
      <alignment horizontal="center" vertical="center" wrapText="1"/>
    </xf>
    <xf numFmtId="0" fontId="0" fillId="0" borderId="36" xfId="0" applyBorder="1"/>
    <xf numFmtId="0" fontId="0" fillId="0" borderId="37" xfId="0" applyBorder="1"/>
    <xf numFmtId="0" fontId="9" fillId="0" borderId="36" xfId="0" applyFont="1" applyBorder="1"/>
    <xf numFmtId="0" fontId="9" fillId="0" borderId="37" xfId="0" applyFont="1" applyBorder="1"/>
    <xf numFmtId="0" fontId="12" fillId="0" borderId="35" xfId="0" applyFont="1" applyBorder="1" applyAlignment="1">
      <alignment horizontal="left" vertical="center"/>
    </xf>
    <xf numFmtId="0" fontId="0" fillId="2" borderId="0" xfId="0" applyFill="1" applyProtection="1">
      <protection locked="0"/>
    </xf>
    <xf numFmtId="0" fontId="0" fillId="2" borderId="104" xfId="0" applyFill="1" applyBorder="1" applyProtection="1">
      <protection locked="0"/>
    </xf>
    <xf numFmtId="0" fontId="0" fillId="2" borderId="28" xfId="0" applyFill="1" applyBorder="1" applyProtection="1">
      <protection locked="0"/>
    </xf>
    <xf numFmtId="0" fontId="0" fillId="2" borderId="105" xfId="0" applyFill="1" applyBorder="1" applyProtection="1">
      <protection locked="0"/>
    </xf>
    <xf numFmtId="0" fontId="0" fillId="2" borderId="105" xfId="0" applyFill="1" applyBorder="1" applyAlignment="1" applyProtection="1">
      <alignment horizontal="center" vertical="center"/>
      <protection locked="0"/>
    </xf>
    <xf numFmtId="0" fontId="0" fillId="2" borderId="29" xfId="0" applyFill="1" applyBorder="1" applyAlignment="1" applyProtection="1">
      <alignment horizontal="center" vertical="center"/>
      <protection locked="0"/>
    </xf>
    <xf numFmtId="0" fontId="0" fillId="0" borderId="132" xfId="0" applyBorder="1" applyProtection="1">
      <protection locked="0"/>
    </xf>
    <xf numFmtId="0" fontId="0" fillId="0" borderId="36" xfId="0" applyBorder="1" applyProtection="1">
      <protection locked="0"/>
    </xf>
    <xf numFmtId="0" fontId="0" fillId="0" borderId="133" xfId="0" applyBorder="1" applyProtection="1">
      <protection locked="0"/>
    </xf>
    <xf numFmtId="0" fontId="0" fillId="0" borderId="133" xfId="0" applyBorder="1" applyAlignment="1" applyProtection="1">
      <alignment horizontal="center" vertical="center"/>
      <protection locked="0"/>
    </xf>
    <xf numFmtId="0" fontId="0" fillId="0" borderId="37" xfId="0" applyBorder="1" applyAlignment="1" applyProtection="1">
      <alignment horizontal="center" vertical="center"/>
      <protection locked="0"/>
    </xf>
    <xf numFmtId="0" fontId="30" fillId="0" borderId="126" xfId="1" applyFont="1" applyBorder="1" applyAlignment="1">
      <alignment horizontal="left"/>
    </xf>
    <xf numFmtId="0" fontId="9" fillId="0" borderId="35" xfId="0" applyFont="1" applyBorder="1" applyAlignment="1">
      <alignment horizontal="center"/>
    </xf>
    <xf numFmtId="0" fontId="12" fillId="0" borderId="35" xfId="0" applyFont="1" applyBorder="1" applyAlignment="1">
      <alignment horizontal="center" vertical="center"/>
    </xf>
    <xf numFmtId="0" fontId="47" fillId="2" borderId="26" xfId="0" applyFont="1" applyFill="1" applyBorder="1" applyAlignment="1">
      <alignment horizontal="center" vertical="center" wrapText="1"/>
    </xf>
    <xf numFmtId="0" fontId="48" fillId="2" borderId="97" xfId="0" applyFont="1" applyFill="1" applyBorder="1" applyAlignment="1">
      <alignment horizontal="center" vertical="center" wrapText="1" indent="1"/>
    </xf>
    <xf numFmtId="0" fontId="49" fillId="0" borderId="98" xfId="0" applyFont="1" applyBorder="1" applyAlignment="1">
      <alignment horizontal="center" vertical="center" wrapText="1"/>
    </xf>
    <xf numFmtId="0" fontId="49" fillId="0" borderId="101" xfId="0" applyFont="1" applyBorder="1" applyAlignment="1">
      <alignment horizontal="center" vertical="center" wrapText="1"/>
    </xf>
    <xf numFmtId="14" fontId="4" fillId="0" borderId="123" xfId="1" applyNumberFormat="1" applyFont="1" applyBorder="1" applyAlignment="1">
      <alignment horizontal="left" vertical="center"/>
    </xf>
    <xf numFmtId="14" fontId="4" fillId="0" borderId="125" xfId="1" applyNumberFormat="1" applyFont="1" applyBorder="1" applyAlignment="1">
      <alignment horizontal="left" vertical="center"/>
    </xf>
    <xf numFmtId="0" fontId="30" fillId="0" borderId="126" xfId="1" applyFont="1" applyBorder="1" applyAlignment="1">
      <alignment vertical="center"/>
    </xf>
    <xf numFmtId="0" fontId="4" fillId="0" borderId="128" xfId="1" applyFont="1" applyBorder="1" applyAlignment="1">
      <alignment vertical="center"/>
    </xf>
    <xf numFmtId="0" fontId="22" fillId="0" borderId="0" xfId="0" applyFont="1" applyAlignment="1">
      <alignment horizontal="right"/>
    </xf>
    <xf numFmtId="0" fontId="0" fillId="0" borderId="0" xfId="0" applyAlignment="1">
      <alignment horizontal="right" vertical="center"/>
    </xf>
    <xf numFmtId="0" fontId="1" fillId="0" borderId="0" xfId="1" applyFont="1" applyAlignment="1">
      <alignment horizontal="left"/>
    </xf>
    <xf numFmtId="14" fontId="0" fillId="0" borderId="0" xfId="0" applyNumberFormat="1"/>
    <xf numFmtId="0" fontId="30" fillId="0" borderId="73" xfId="1" applyFont="1" applyBorder="1" applyAlignment="1" applyProtection="1">
      <alignment horizontal="left"/>
      <protection locked="0"/>
    </xf>
    <xf numFmtId="14" fontId="4" fillId="0" borderId="122" xfId="1" applyNumberFormat="1" applyFont="1" applyBorder="1" applyAlignment="1" applyProtection="1">
      <alignment horizontal="left" vertical="center"/>
      <protection locked="0"/>
    </xf>
    <xf numFmtId="0" fontId="8" fillId="0" borderId="122" xfId="1" applyBorder="1" applyAlignment="1" applyProtection="1">
      <alignment horizontal="left"/>
      <protection locked="0"/>
    </xf>
    <xf numFmtId="0" fontId="8" fillId="0" borderId="123" xfId="1" applyBorder="1" applyAlignment="1" applyProtection="1">
      <alignment horizontal="left"/>
      <protection locked="0"/>
    </xf>
    <xf numFmtId="0" fontId="30" fillId="0" borderId="124" xfId="1" applyFont="1" applyBorder="1" applyAlignment="1" applyProtection="1">
      <alignment horizontal="left"/>
      <protection locked="0"/>
    </xf>
    <xf numFmtId="14" fontId="4" fillId="0" borderId="97" xfId="1" applyNumberFormat="1" applyFont="1" applyBorder="1" applyAlignment="1" applyProtection="1">
      <alignment horizontal="left" vertical="center"/>
      <protection locked="0"/>
    </xf>
    <xf numFmtId="0" fontId="8" fillId="0" borderId="97" xfId="1" applyBorder="1" applyAlignment="1" applyProtection="1">
      <alignment horizontal="left"/>
      <protection locked="0"/>
    </xf>
    <xf numFmtId="0" fontId="8" fillId="0" borderId="125" xfId="1" applyBorder="1" applyAlignment="1" applyProtection="1">
      <alignment horizontal="left"/>
      <protection locked="0"/>
    </xf>
    <xf numFmtId="0" fontId="30" fillId="0" borderId="126" xfId="1" applyFont="1" applyBorder="1" applyAlignment="1" applyProtection="1">
      <alignment horizontal="left" vertical="center"/>
      <protection locked="0"/>
    </xf>
    <xf numFmtId="0" fontId="4" fillId="0" borderId="127" xfId="1" applyFont="1" applyBorder="1" applyAlignment="1" applyProtection="1">
      <alignment horizontal="left" vertical="center"/>
      <protection locked="0"/>
    </xf>
    <xf numFmtId="0" fontId="8" fillId="0" borderId="127" xfId="1" applyBorder="1" applyAlignment="1" applyProtection="1">
      <alignment horizontal="left"/>
      <protection locked="0"/>
    </xf>
    <xf numFmtId="0" fontId="8" fillId="0" borderId="128" xfId="1" applyBorder="1" applyAlignment="1" applyProtection="1">
      <alignment horizontal="left"/>
      <protection locked="0"/>
    </xf>
    <xf numFmtId="0" fontId="0" fillId="2" borderId="102" xfId="0" applyFill="1" applyBorder="1"/>
    <xf numFmtId="0" fontId="0" fillId="2" borderId="0" xfId="0" applyFill="1"/>
    <xf numFmtId="0" fontId="0" fillId="2" borderId="103" xfId="0" applyFill="1" applyBorder="1"/>
    <xf numFmtId="0" fontId="0" fillId="2" borderId="103" xfId="0" applyFill="1" applyBorder="1" applyAlignment="1">
      <alignment horizontal="center" vertical="center"/>
    </xf>
    <xf numFmtId="0" fontId="0" fillId="2" borderId="26" xfId="0" applyFill="1" applyBorder="1" applyAlignment="1">
      <alignment horizontal="center" vertical="center"/>
    </xf>
    <xf numFmtId="0" fontId="0" fillId="0" borderId="102" xfId="0" applyBorder="1"/>
    <xf numFmtId="0" fontId="0" fillId="0" borderId="103" xfId="0" applyBorder="1"/>
    <xf numFmtId="0" fontId="0" fillId="0" borderId="103" xfId="0" applyBorder="1" applyAlignment="1">
      <alignment horizontal="center" vertical="center"/>
    </xf>
    <xf numFmtId="0" fontId="0" fillId="0" borderId="26" xfId="0" applyBorder="1" applyAlignment="1">
      <alignment horizontal="center" vertical="center"/>
    </xf>
    <xf numFmtId="0" fontId="0" fillId="0" borderId="26" xfId="0" applyBorder="1" applyAlignment="1">
      <alignment horizontal="center"/>
    </xf>
    <xf numFmtId="0" fontId="11" fillId="0" borderId="97" xfId="0" applyFont="1" applyBorder="1" applyAlignment="1" applyProtection="1">
      <alignment horizontal="center" vertical="center" wrapText="1"/>
      <protection locked="0"/>
    </xf>
    <xf numFmtId="0" fontId="50" fillId="2" borderId="99" xfId="0" applyFont="1" applyFill="1" applyBorder="1" applyAlignment="1">
      <alignment horizontal="center"/>
    </xf>
    <xf numFmtId="0" fontId="50" fillId="2" borderId="23" xfId="0" applyFont="1" applyFill="1" applyBorder="1" applyAlignment="1">
      <alignment horizontal="center"/>
    </xf>
    <xf numFmtId="0" fontId="50" fillId="2" borderId="100" xfId="0" applyFont="1" applyFill="1" applyBorder="1" applyAlignment="1">
      <alignment horizontal="center"/>
    </xf>
    <xf numFmtId="0" fontId="50" fillId="2" borderId="100" xfId="0" applyFont="1" applyFill="1" applyBorder="1" applyAlignment="1">
      <alignment horizontal="center" vertical="center"/>
    </xf>
    <xf numFmtId="0" fontId="50" fillId="2" borderId="24" xfId="0" applyFont="1" applyFill="1" applyBorder="1" applyAlignment="1">
      <alignment horizontal="center" vertical="center"/>
    </xf>
    <xf numFmtId="0" fontId="0" fillId="0" borderId="103" xfId="0"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49" fontId="22" fillId="2" borderId="35" xfId="0" applyNumberFormat="1" applyFont="1" applyFill="1" applyBorder="1" applyAlignment="1" applyProtection="1">
      <alignment horizontal="center"/>
      <protection locked="0"/>
    </xf>
    <xf numFmtId="49" fontId="0" fillId="2" borderId="113" xfId="0" applyNumberFormat="1" applyFill="1" applyBorder="1" applyAlignment="1" applyProtection="1">
      <alignment horizontal="center"/>
      <protection locked="0"/>
    </xf>
    <xf numFmtId="49" fontId="0" fillId="2" borderId="114" xfId="0" applyNumberFormat="1" applyFill="1" applyBorder="1" applyAlignment="1" applyProtection="1">
      <alignment horizontal="center"/>
      <protection locked="0"/>
    </xf>
    <xf numFmtId="49" fontId="0" fillId="2" borderId="36" xfId="0" applyNumberFormat="1" applyFill="1" applyBorder="1" applyAlignment="1" applyProtection="1">
      <alignment horizontal="center"/>
      <protection locked="0"/>
    </xf>
    <xf numFmtId="49" fontId="0" fillId="2" borderId="115" xfId="0" applyNumberFormat="1" applyFill="1" applyBorder="1" applyAlignment="1" applyProtection="1">
      <alignment horizontal="center"/>
      <protection locked="0"/>
    </xf>
    <xf numFmtId="0" fontId="0" fillId="0" borderId="102" xfId="0"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0" fillId="2" borderId="29" xfId="0" applyFill="1" applyBorder="1" applyAlignment="1">
      <alignment horizontal="center"/>
    </xf>
    <xf numFmtId="0" fontId="26" fillId="0" borderId="0" xfId="0" applyFont="1" applyAlignment="1">
      <alignment horizontal="center"/>
    </xf>
    <xf numFmtId="0" fontId="11" fillId="0" borderId="22" xfId="0" applyFont="1" applyBorder="1" applyAlignment="1">
      <alignment horizontal="center" vertical="center" wrapText="1"/>
    </xf>
    <xf numFmtId="0" fontId="11" fillId="0" borderId="23" xfId="0" applyFont="1" applyBorder="1" applyAlignment="1">
      <alignment horizontal="center" vertical="center" wrapText="1"/>
    </xf>
    <xf numFmtId="0" fontId="11" fillId="0" borderId="24" xfId="0" applyFont="1" applyBorder="1" applyAlignment="1">
      <alignment horizontal="center" vertical="center" wrapText="1"/>
    </xf>
    <xf numFmtId="0" fontId="44" fillId="0" borderId="0" xfId="0" applyFont="1" applyAlignment="1">
      <alignment wrapText="1"/>
    </xf>
    <xf numFmtId="0" fontId="0" fillId="0" borderId="0" xfId="0" applyAlignment="1">
      <alignment horizontal="center"/>
    </xf>
    <xf numFmtId="49" fontId="26" fillId="0" borderId="0" xfId="0" applyNumberFormat="1" applyFont="1" applyAlignment="1">
      <alignment horizontal="center"/>
    </xf>
    <xf numFmtId="0" fontId="27" fillId="0" borderId="0" xfId="0" applyFont="1" applyAlignment="1">
      <alignment horizontal="center" vertical="center"/>
    </xf>
    <xf numFmtId="0" fontId="18" fillId="0" borderId="0" xfId="0" applyFont="1" applyAlignment="1">
      <alignment vertical="center" wrapText="1"/>
    </xf>
    <xf numFmtId="0" fontId="32" fillId="0" borderId="80" xfId="0" applyFont="1" applyBorder="1" applyAlignment="1">
      <alignment vertical="center" wrapText="1"/>
    </xf>
    <xf numFmtId="0" fontId="27" fillId="0" borderId="0" xfId="0" applyFont="1" applyAlignment="1">
      <alignment horizontal="center" vertical="center" wrapText="1"/>
    </xf>
    <xf numFmtId="0" fontId="11" fillId="3" borderId="8" xfId="0" applyFont="1" applyFill="1" applyBorder="1" applyAlignment="1">
      <alignment vertical="center" wrapText="1"/>
    </xf>
    <xf numFmtId="0" fontId="13" fillId="0" borderId="62" xfId="0" applyFont="1" applyBorder="1" applyAlignment="1">
      <alignment vertical="center" wrapText="1"/>
    </xf>
    <xf numFmtId="0" fontId="13" fillId="0" borderId="63" xfId="0" applyFont="1" applyBorder="1" applyAlignment="1">
      <alignment vertical="center" wrapText="1"/>
    </xf>
    <xf numFmtId="0" fontId="13" fillId="0" borderId="64" xfId="0" applyFont="1" applyBorder="1" applyAlignment="1">
      <alignment vertical="center" wrapText="1"/>
    </xf>
    <xf numFmtId="0" fontId="13" fillId="5" borderId="59" xfId="0" applyFont="1" applyFill="1" applyBorder="1" applyAlignment="1">
      <alignment vertical="center" wrapText="1"/>
    </xf>
    <xf numFmtId="0" fontId="13" fillId="5" borderId="60" xfId="0" applyFont="1" applyFill="1" applyBorder="1" applyAlignment="1">
      <alignment vertical="center" wrapText="1"/>
    </xf>
    <xf numFmtId="0" fontId="13" fillId="5" borderId="61" xfId="0" applyFont="1" applyFill="1" applyBorder="1" applyAlignment="1">
      <alignment vertical="center" wrapText="1"/>
    </xf>
    <xf numFmtId="0" fontId="13" fillId="5" borderId="89" xfId="0" applyFont="1" applyFill="1" applyBorder="1" applyAlignment="1">
      <alignment vertical="center" wrapText="1"/>
    </xf>
    <xf numFmtId="0" fontId="13" fillId="5" borderId="90" xfId="0" applyFont="1" applyFill="1" applyBorder="1" applyAlignment="1">
      <alignment vertical="center" wrapText="1"/>
    </xf>
    <xf numFmtId="0" fontId="13" fillId="5" borderId="31" xfId="0" applyFont="1" applyFill="1" applyBorder="1" applyAlignment="1">
      <alignment vertical="center" wrapText="1"/>
    </xf>
    <xf numFmtId="0" fontId="13" fillId="0" borderId="86" xfId="0" applyFont="1" applyBorder="1" applyAlignment="1">
      <alignment vertical="center" wrapText="1"/>
    </xf>
    <xf numFmtId="0" fontId="13" fillId="0" borderId="87" xfId="0" applyFont="1" applyBorder="1" applyAlignment="1">
      <alignment vertical="center" wrapText="1"/>
    </xf>
    <xf numFmtId="0" fontId="13" fillId="0" borderId="88" xfId="0" applyFont="1" applyBorder="1" applyAlignment="1">
      <alignment vertical="center" wrapText="1"/>
    </xf>
    <xf numFmtId="0" fontId="22" fillId="0" borderId="0" xfId="0" applyFont="1" applyAlignment="1">
      <alignment vertical="top" wrapText="1"/>
    </xf>
    <xf numFmtId="0" fontId="2" fillId="0" borderId="0" xfId="0" applyFont="1" applyAlignment="1">
      <alignment horizontal="left" wrapText="1"/>
    </xf>
    <xf numFmtId="0" fontId="38" fillId="4" borderId="129" xfId="1" applyFont="1" applyFill="1" applyBorder="1" applyAlignment="1">
      <alignment horizontal="center" vertical="center" wrapText="1"/>
    </xf>
    <xf numFmtId="0" fontId="38" fillId="4" borderId="130" xfId="1" applyFont="1" applyFill="1" applyBorder="1" applyAlignment="1">
      <alignment horizontal="center" vertical="center" wrapText="1"/>
    </xf>
    <xf numFmtId="0" fontId="38" fillId="4" borderId="131" xfId="1" applyFont="1" applyFill="1" applyBorder="1" applyAlignment="1">
      <alignment horizontal="center" vertical="center" wrapText="1"/>
    </xf>
    <xf numFmtId="0" fontId="38" fillId="4" borderId="55" xfId="1" applyFont="1" applyFill="1" applyBorder="1" applyAlignment="1">
      <alignment horizontal="center" vertical="center" wrapText="1"/>
    </xf>
    <xf numFmtId="0" fontId="38" fillId="4" borderId="96" xfId="1" applyFont="1" applyFill="1" applyBorder="1" applyAlignment="1">
      <alignment horizontal="center" vertical="center" wrapText="1"/>
    </xf>
    <xf numFmtId="0" fontId="38" fillId="4" borderId="56" xfId="1" applyFont="1" applyFill="1" applyBorder="1" applyAlignment="1">
      <alignment horizontal="center" vertical="center" wrapText="1"/>
    </xf>
    <xf numFmtId="0" fontId="8" fillId="0" borderId="129" xfId="1" applyBorder="1" applyAlignment="1" applyProtection="1">
      <alignment horizontal="center"/>
      <protection locked="0"/>
    </xf>
    <xf numFmtId="0" fontId="8" fillId="0" borderId="130" xfId="1" applyBorder="1" applyAlignment="1" applyProtection="1">
      <alignment horizontal="center"/>
      <protection locked="0"/>
    </xf>
    <xf numFmtId="0" fontId="8" fillId="0" borderId="131" xfId="1" applyBorder="1" applyAlignment="1" applyProtection="1">
      <alignment horizontal="center"/>
      <protection locked="0"/>
    </xf>
    <xf numFmtId="0" fontId="8" fillId="0" borderId="53" xfId="1" applyBorder="1" applyAlignment="1" applyProtection="1">
      <alignment horizontal="center"/>
      <protection locked="0"/>
    </xf>
    <xf numFmtId="0" fontId="8" fillId="0" borderId="0" xfId="1" applyAlignment="1" applyProtection="1">
      <alignment horizontal="center"/>
      <protection locked="0"/>
    </xf>
    <xf numFmtId="0" fontId="8" fillId="0" borderId="54" xfId="1" applyBorder="1" applyAlignment="1" applyProtection="1">
      <alignment horizontal="center"/>
      <protection locked="0"/>
    </xf>
    <xf numFmtId="0" fontId="8" fillId="0" borderId="55" xfId="1" applyBorder="1" applyAlignment="1" applyProtection="1">
      <alignment horizontal="center"/>
      <protection locked="0"/>
    </xf>
    <xf numFmtId="0" fontId="8" fillId="0" borderId="96" xfId="1" applyBorder="1" applyAlignment="1" applyProtection="1">
      <alignment horizontal="center"/>
      <protection locked="0"/>
    </xf>
    <xf numFmtId="0" fontId="8" fillId="0" borderId="56" xfId="1" applyBorder="1" applyAlignment="1" applyProtection="1">
      <alignment horizontal="center"/>
      <protection locked="0"/>
    </xf>
    <xf numFmtId="0" fontId="31" fillId="4" borderId="71" xfId="1" applyFont="1" applyFill="1" applyBorder="1" applyAlignment="1">
      <alignment horizontal="left" vertical="center"/>
    </xf>
    <xf numFmtId="0" fontId="31" fillId="4" borderId="72" xfId="1" applyFont="1" applyFill="1" applyBorder="1" applyAlignment="1">
      <alignment horizontal="left" vertical="center"/>
    </xf>
    <xf numFmtId="0" fontId="13" fillId="0" borderId="0" xfId="0" applyFont="1" applyAlignment="1">
      <alignment horizontal="left" vertical="center" wrapText="1"/>
    </xf>
    <xf numFmtId="0" fontId="31" fillId="4" borderId="116" xfId="1" applyFont="1" applyFill="1" applyBorder="1" applyAlignment="1">
      <alignment horizontal="left" vertical="center" wrapText="1"/>
    </xf>
    <xf numFmtId="0" fontId="31" fillId="4" borderId="117" xfId="1" applyFont="1" applyFill="1" applyBorder="1" applyAlignment="1">
      <alignment horizontal="left" vertical="center" wrapText="1"/>
    </xf>
    <xf numFmtId="0" fontId="31" fillId="4" borderId="118" xfId="1" applyFont="1" applyFill="1" applyBorder="1" applyAlignment="1">
      <alignment horizontal="left" vertical="center" wrapText="1"/>
    </xf>
    <xf numFmtId="0" fontId="30" fillId="0" borderId="120" xfId="1" applyFont="1" applyBorder="1" applyAlignment="1">
      <alignment horizontal="left"/>
    </xf>
    <xf numFmtId="0" fontId="8" fillId="0" borderId="122" xfId="1" applyBorder="1" applyAlignment="1" applyProtection="1">
      <alignment horizontal="left"/>
      <protection locked="0"/>
    </xf>
    <xf numFmtId="0" fontId="8" fillId="0" borderId="97" xfId="1" applyBorder="1" applyAlignment="1" applyProtection="1">
      <alignment horizontal="left"/>
      <protection locked="0"/>
    </xf>
    <xf numFmtId="0" fontId="8" fillId="0" borderId="127" xfId="1" applyBorder="1" applyAlignment="1" applyProtection="1">
      <alignment horizontal="left"/>
      <protection locked="0"/>
    </xf>
    <xf numFmtId="0" fontId="31" fillId="4" borderId="116" xfId="1" applyFont="1" applyFill="1" applyBorder="1" applyAlignment="1">
      <alignment horizontal="center" vertical="center"/>
    </xf>
    <xf numFmtId="0" fontId="31" fillId="4" borderId="117" xfId="1" applyFont="1" applyFill="1" applyBorder="1" applyAlignment="1">
      <alignment horizontal="center" vertical="center"/>
    </xf>
    <xf numFmtId="0" fontId="31" fillId="4" borderId="118" xfId="1" applyFont="1" applyFill="1" applyBorder="1" applyAlignment="1">
      <alignment horizontal="center" vertical="center"/>
    </xf>
    <xf numFmtId="0" fontId="4" fillId="0" borderId="101" xfId="1" applyFont="1" applyBorder="1" applyAlignment="1">
      <alignment horizontal="left" vertical="center"/>
    </xf>
    <xf numFmtId="0" fontId="4" fillId="0" borderId="134" xfId="1" applyFont="1" applyBorder="1" applyAlignment="1">
      <alignment horizontal="left" vertical="center"/>
    </xf>
    <xf numFmtId="14" fontId="4" fillId="0" borderId="127" xfId="1" applyNumberFormat="1" applyFont="1" applyBorder="1" applyAlignment="1">
      <alignment horizontal="left" vertical="center"/>
    </xf>
    <xf numFmtId="14" fontId="4" fillId="0" borderId="128" xfId="1" applyNumberFormat="1" applyFont="1" applyBorder="1" applyAlignment="1">
      <alignment horizontal="left" vertical="center"/>
    </xf>
    <xf numFmtId="0" fontId="38" fillId="4" borderId="93" xfId="1" applyFont="1" applyFill="1" applyBorder="1" applyAlignment="1">
      <alignment horizontal="center" vertical="center"/>
    </xf>
    <xf numFmtId="0" fontId="38" fillId="4" borderId="94" xfId="1" applyFont="1" applyFill="1" applyBorder="1" applyAlignment="1">
      <alignment horizontal="center" vertical="center"/>
    </xf>
    <xf numFmtId="0" fontId="38" fillId="4" borderId="95" xfId="1" applyFont="1" applyFill="1" applyBorder="1" applyAlignment="1">
      <alignment horizontal="center" vertical="center"/>
    </xf>
    <xf numFmtId="0" fontId="31" fillId="4" borderId="38" xfId="1" applyFont="1" applyFill="1" applyBorder="1" applyAlignment="1">
      <alignment horizontal="left" vertical="center"/>
    </xf>
    <xf numFmtId="0" fontId="31" fillId="4" borderId="39" xfId="1" applyFont="1" applyFill="1" applyBorder="1" applyAlignment="1">
      <alignment horizontal="left" vertical="center"/>
    </xf>
    <xf numFmtId="0" fontId="8" fillId="0" borderId="53" xfId="1" applyBorder="1" applyAlignment="1" applyProtection="1">
      <alignment horizontal="center" vertical="center"/>
      <protection locked="0"/>
    </xf>
    <xf numFmtId="0" fontId="8" fillId="0" borderId="54" xfId="1" applyBorder="1" applyAlignment="1" applyProtection="1">
      <alignment horizontal="center" vertical="center"/>
      <protection locked="0"/>
    </xf>
    <xf numFmtId="0" fontId="8" fillId="0" borderId="55" xfId="1" applyBorder="1" applyAlignment="1" applyProtection="1">
      <alignment horizontal="center" vertical="center"/>
      <protection locked="0"/>
    </xf>
    <xf numFmtId="0" fontId="8" fillId="0" borderId="56" xfId="1" applyBorder="1" applyAlignment="1" applyProtection="1">
      <alignment horizontal="center" vertical="center"/>
      <protection locked="0"/>
    </xf>
    <xf numFmtId="0" fontId="13" fillId="0" borderId="0" xfId="0" applyFont="1" applyAlignment="1">
      <alignment horizontal="center" vertical="center" wrapText="1"/>
    </xf>
    <xf numFmtId="0" fontId="31" fillId="4" borderId="106" xfId="2" applyFont="1" applyFill="1" applyBorder="1" applyAlignment="1">
      <alignment horizontal="left" vertical="center"/>
    </xf>
    <xf numFmtId="0" fontId="31" fillId="4" borderId="107" xfId="2" applyFont="1" applyFill="1" applyBorder="1" applyAlignment="1">
      <alignment horizontal="left" vertical="center"/>
    </xf>
    <xf numFmtId="0" fontId="5" fillId="0" borderId="25" xfId="2" applyBorder="1" applyAlignment="1" applyProtection="1">
      <alignment horizontal="center"/>
      <protection locked="0"/>
    </xf>
    <xf numFmtId="0" fontId="5" fillId="0" borderId="0" xfId="2" applyAlignment="1" applyProtection="1">
      <alignment horizontal="center"/>
      <protection locked="0"/>
    </xf>
    <xf numFmtId="0" fontId="5" fillId="0" borderId="54" xfId="2" applyBorder="1" applyAlignment="1" applyProtection="1">
      <alignment horizontal="center"/>
      <protection locked="0"/>
    </xf>
    <xf numFmtId="0" fontId="5" fillId="0" borderId="112" xfId="2" applyBorder="1" applyAlignment="1" applyProtection="1">
      <alignment horizontal="center"/>
      <protection locked="0"/>
    </xf>
    <xf numFmtId="0" fontId="5" fillId="0" borderId="96" xfId="2" applyBorder="1" applyAlignment="1" applyProtection="1">
      <alignment horizontal="center"/>
      <protection locked="0"/>
    </xf>
    <xf numFmtId="0" fontId="5" fillId="0" borderId="56" xfId="2" applyBorder="1" applyAlignment="1" applyProtection="1">
      <alignment horizontal="center"/>
      <protection locked="0"/>
    </xf>
    <xf numFmtId="0" fontId="40" fillId="2" borderId="35" xfId="0" applyFont="1" applyFill="1" applyBorder="1" applyAlignment="1">
      <alignment horizontal="center" vertical="center" wrapText="1"/>
    </xf>
    <xf numFmtId="0" fontId="40" fillId="2" borderId="36" xfId="0" applyFont="1" applyFill="1" applyBorder="1" applyAlignment="1">
      <alignment horizontal="center" vertical="center" wrapText="1"/>
    </xf>
    <xf numFmtId="0" fontId="40" fillId="2" borderId="37" xfId="0" applyFont="1" applyFill="1" applyBorder="1" applyAlignment="1">
      <alignment horizontal="center" vertical="center" wrapText="1"/>
    </xf>
    <xf numFmtId="0" fontId="5" fillId="0" borderId="22" xfId="2" applyBorder="1" applyAlignment="1">
      <alignment horizontal="left" vertical="center"/>
    </xf>
    <xf numFmtId="0" fontId="5" fillId="0" borderId="23" xfId="2" applyBorder="1" applyAlignment="1">
      <alignment horizontal="left" vertical="center"/>
    </xf>
    <xf numFmtId="0" fontId="5" fillId="0" borderId="108" xfId="2" applyBorder="1" applyAlignment="1">
      <alignment horizontal="left" vertical="center"/>
    </xf>
    <xf numFmtId="0" fontId="5" fillId="0" borderId="109" xfId="2" applyBorder="1" applyAlignment="1">
      <alignment horizontal="left" vertical="center"/>
    </xf>
  </cellXfs>
  <cellStyles count="5">
    <cellStyle name="Normal" xfId="0" builtinId="0"/>
    <cellStyle name="Normal 2" xfId="1" xr:uid="{32107AFE-C5A6-4933-9185-2909303881BF}"/>
    <cellStyle name="Normal 2 2" xfId="2" xr:uid="{983EE561-11A6-4AB8-94AC-751AD6069A8B}"/>
    <cellStyle name="Normal 2 2 2" xfId="4" xr:uid="{898835BE-DEBD-4D36-848E-DD7AFB054393}"/>
    <cellStyle name="Normal 2 3" xfId="3" xr:uid="{9AF4075B-98A3-4646-BDFB-E13AE9EE11E0}"/>
  </cellStyles>
  <dxfs count="14">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s>
  <tableStyles count="0" defaultTableStyle="TableStyleMedium2" defaultPivotStyle="PivotStyleLight16"/>
  <colors>
    <mruColors>
      <color rgb="FFFFF2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5" Type="http://schemas.microsoft.com/office/2017/06/relationships/rdRichValueTypes" Target="richData/rdRichValueTyp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29"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microsoft.com/office/2017/06/relationships/rdRichValueStructure" Target="richData/rdrichvaluestructure.xml"/><Relationship Id="rId5" Type="http://schemas.openxmlformats.org/officeDocument/2006/relationships/worksheet" Target="worksheets/sheet5.xml"/><Relationship Id="rId15" Type="http://schemas.openxmlformats.org/officeDocument/2006/relationships/worksheet" Target="worksheets/sheet15.xml"/><Relationship Id="rId23" Type="http://schemas.microsoft.com/office/2017/06/relationships/rdRichValue" Target="richData/rdrichvalue.xml"/><Relationship Id="rId28"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connections" Target="connection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eetMetadata" Target="metadata.xml"/><Relationship Id="rId27"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133350</xdr:colOff>
      <xdr:row>0</xdr:row>
      <xdr:rowOff>57150</xdr:rowOff>
    </xdr:from>
    <xdr:to>
      <xdr:col>1</xdr:col>
      <xdr:colOff>398145</xdr:colOff>
      <xdr:row>2</xdr:row>
      <xdr:rowOff>381000</xdr:rowOff>
    </xdr:to>
    <xdr:pic>
      <xdr:nvPicPr>
        <xdr:cNvPr id="2" name="Picture 1">
          <a:extLst>
            <a:ext uri="{FF2B5EF4-FFF2-40B4-BE49-F238E27FC236}">
              <a16:creationId xmlns:a16="http://schemas.microsoft.com/office/drawing/2014/main" id="{5CBD6711-EF21-A1F2-E0DC-0E507699C141}"/>
            </a:ext>
          </a:extLst>
        </xdr:cNvPr>
        <xdr:cNvPicPr>
          <a:picLocks noChangeAspect="1"/>
        </xdr:cNvPicPr>
      </xdr:nvPicPr>
      <xdr:blipFill>
        <a:blip xmlns:r="http://schemas.openxmlformats.org/officeDocument/2006/relationships" r:embed="rId1"/>
        <a:stretch>
          <a:fillRect/>
        </a:stretch>
      </xdr:blipFill>
      <xdr:spPr>
        <a:xfrm>
          <a:off x="133350" y="57150"/>
          <a:ext cx="962025" cy="70485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701040</xdr:colOff>
      <xdr:row>1</xdr:row>
      <xdr:rowOff>316006</xdr:rowOff>
    </xdr:to>
    <xdr:pic>
      <xdr:nvPicPr>
        <xdr:cNvPr id="8" name="Picture 1">
          <a:extLst>
            <a:ext uri="{FF2B5EF4-FFF2-40B4-BE49-F238E27FC236}">
              <a16:creationId xmlns:a16="http://schemas.microsoft.com/office/drawing/2014/main" id="{5183FD30-7A3E-469C-893D-BC68CEEFB765}"/>
            </a:ext>
          </a:extLst>
        </xdr:cNvPr>
        <xdr:cNvPicPr>
          <a:picLocks noChangeAspect="1"/>
        </xdr:cNvPicPr>
      </xdr:nvPicPr>
      <xdr:blipFill>
        <a:blip xmlns:r="http://schemas.openxmlformats.org/officeDocument/2006/relationships" r:embed="rId1"/>
        <a:stretch>
          <a:fillRect/>
        </a:stretch>
      </xdr:blipFill>
      <xdr:spPr>
        <a:xfrm>
          <a:off x="0" y="0"/>
          <a:ext cx="962025" cy="70485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285750</xdr:colOff>
      <xdr:row>1</xdr:row>
      <xdr:rowOff>323850</xdr:rowOff>
    </xdr:to>
    <xdr:pic>
      <xdr:nvPicPr>
        <xdr:cNvPr id="3" name="Picture 1">
          <a:extLst>
            <a:ext uri="{FF2B5EF4-FFF2-40B4-BE49-F238E27FC236}">
              <a16:creationId xmlns:a16="http://schemas.microsoft.com/office/drawing/2014/main" id="{59AE21A7-3A90-4DE6-AFF9-A2110104583B}"/>
            </a:ext>
          </a:extLst>
        </xdr:cNvPr>
        <xdr:cNvPicPr>
          <a:picLocks noChangeAspect="1"/>
        </xdr:cNvPicPr>
      </xdr:nvPicPr>
      <xdr:blipFill>
        <a:blip xmlns:r="http://schemas.openxmlformats.org/officeDocument/2006/relationships" r:embed="rId1"/>
        <a:stretch>
          <a:fillRect/>
        </a:stretch>
      </xdr:blipFill>
      <xdr:spPr>
        <a:xfrm>
          <a:off x="0" y="0"/>
          <a:ext cx="962025" cy="70485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971550</xdr:colOff>
      <xdr:row>1</xdr:row>
      <xdr:rowOff>317867</xdr:rowOff>
    </xdr:to>
    <xdr:pic>
      <xdr:nvPicPr>
        <xdr:cNvPr id="3" name="Picture 1">
          <a:extLst>
            <a:ext uri="{FF2B5EF4-FFF2-40B4-BE49-F238E27FC236}">
              <a16:creationId xmlns:a16="http://schemas.microsoft.com/office/drawing/2014/main" id="{E2706624-041D-43A2-ACA8-6C91225CDFBF}"/>
            </a:ext>
          </a:extLst>
        </xdr:cNvPr>
        <xdr:cNvPicPr>
          <a:picLocks noChangeAspect="1"/>
        </xdr:cNvPicPr>
      </xdr:nvPicPr>
      <xdr:blipFill>
        <a:blip xmlns:r="http://schemas.openxmlformats.org/officeDocument/2006/relationships" r:embed="rId1"/>
        <a:stretch>
          <a:fillRect/>
        </a:stretch>
      </xdr:blipFill>
      <xdr:spPr>
        <a:xfrm>
          <a:off x="0" y="0"/>
          <a:ext cx="962025" cy="70485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76200</xdr:colOff>
      <xdr:row>1</xdr:row>
      <xdr:rowOff>32273</xdr:rowOff>
    </xdr:to>
    <xdr:pic>
      <xdr:nvPicPr>
        <xdr:cNvPr id="2" name="Picture 1">
          <a:extLst>
            <a:ext uri="{FF2B5EF4-FFF2-40B4-BE49-F238E27FC236}">
              <a16:creationId xmlns:a16="http://schemas.microsoft.com/office/drawing/2014/main" id="{385DC840-BAC5-41A3-B363-494F7D3193CF}"/>
            </a:ext>
          </a:extLst>
        </xdr:cNvPr>
        <xdr:cNvPicPr>
          <a:picLocks noChangeAspect="1"/>
        </xdr:cNvPicPr>
      </xdr:nvPicPr>
      <xdr:blipFill>
        <a:blip xmlns:r="http://schemas.openxmlformats.org/officeDocument/2006/relationships" r:embed="rId1"/>
        <a:stretch>
          <a:fillRect/>
        </a:stretch>
      </xdr:blipFill>
      <xdr:spPr>
        <a:xfrm>
          <a:off x="0" y="0"/>
          <a:ext cx="962025" cy="70092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963930</xdr:colOff>
      <xdr:row>1</xdr:row>
      <xdr:rowOff>248883</xdr:rowOff>
    </xdr:to>
    <xdr:pic>
      <xdr:nvPicPr>
        <xdr:cNvPr id="3" name="Picture 1">
          <a:extLst>
            <a:ext uri="{FF2B5EF4-FFF2-40B4-BE49-F238E27FC236}">
              <a16:creationId xmlns:a16="http://schemas.microsoft.com/office/drawing/2014/main" id="{71F137CD-8168-44EC-9E94-02A3BD1477B2}"/>
            </a:ext>
          </a:extLst>
        </xdr:cNvPr>
        <xdr:cNvPicPr>
          <a:picLocks noChangeAspect="1"/>
        </xdr:cNvPicPr>
      </xdr:nvPicPr>
      <xdr:blipFill>
        <a:blip xmlns:r="http://schemas.openxmlformats.org/officeDocument/2006/relationships" r:embed="rId1"/>
        <a:stretch>
          <a:fillRect/>
        </a:stretch>
      </xdr:blipFill>
      <xdr:spPr>
        <a:xfrm>
          <a:off x="0" y="0"/>
          <a:ext cx="962025" cy="70485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960120</xdr:colOff>
      <xdr:row>1</xdr:row>
      <xdr:rowOff>516255</xdr:rowOff>
    </xdr:to>
    <xdr:pic>
      <xdr:nvPicPr>
        <xdr:cNvPr id="2" name="Picture 1">
          <a:extLst>
            <a:ext uri="{FF2B5EF4-FFF2-40B4-BE49-F238E27FC236}">
              <a16:creationId xmlns:a16="http://schemas.microsoft.com/office/drawing/2014/main" id="{24941836-F1D9-478D-9470-4303AEC40225}"/>
            </a:ext>
          </a:extLst>
        </xdr:cNvPr>
        <xdr:cNvPicPr>
          <a:picLocks noChangeAspect="1"/>
        </xdr:cNvPicPr>
      </xdr:nvPicPr>
      <xdr:blipFill>
        <a:blip xmlns:r="http://schemas.openxmlformats.org/officeDocument/2006/relationships" r:embed="rId1"/>
        <a:stretch>
          <a:fillRect/>
        </a:stretch>
      </xdr:blipFill>
      <xdr:spPr>
        <a:xfrm>
          <a:off x="0" y="0"/>
          <a:ext cx="960120" cy="71628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67236</xdr:colOff>
      <xdr:row>0</xdr:row>
      <xdr:rowOff>100853</xdr:rowOff>
    </xdr:from>
    <xdr:to>
      <xdr:col>0</xdr:col>
      <xdr:colOff>1006401</xdr:colOff>
      <xdr:row>0</xdr:row>
      <xdr:rowOff>820943</xdr:rowOff>
    </xdr:to>
    <xdr:pic>
      <xdr:nvPicPr>
        <xdr:cNvPr id="2" name="Picture 1">
          <a:extLst>
            <a:ext uri="{FF2B5EF4-FFF2-40B4-BE49-F238E27FC236}">
              <a16:creationId xmlns:a16="http://schemas.microsoft.com/office/drawing/2014/main" id="{212488FC-7ADD-4F00-A22D-B3F523386B36}"/>
            </a:ext>
          </a:extLst>
        </xdr:cNvPr>
        <xdr:cNvPicPr>
          <a:picLocks noChangeAspect="1"/>
        </xdr:cNvPicPr>
      </xdr:nvPicPr>
      <xdr:blipFill>
        <a:blip xmlns:r="http://schemas.openxmlformats.org/officeDocument/2006/relationships" r:embed="rId1"/>
        <a:stretch>
          <a:fillRect/>
        </a:stretch>
      </xdr:blipFill>
      <xdr:spPr>
        <a:xfrm>
          <a:off x="67236" y="100853"/>
          <a:ext cx="935355" cy="71628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oneCellAnchor>
    <xdr:from>
      <xdr:col>1</xdr:col>
      <xdr:colOff>0</xdr:colOff>
      <xdr:row>0</xdr:row>
      <xdr:rowOff>0</xdr:rowOff>
    </xdr:from>
    <xdr:ext cx="960120" cy="719455"/>
    <xdr:pic>
      <xdr:nvPicPr>
        <xdr:cNvPr id="3" name="Picture 2">
          <a:extLst>
            <a:ext uri="{FF2B5EF4-FFF2-40B4-BE49-F238E27FC236}">
              <a16:creationId xmlns:a16="http://schemas.microsoft.com/office/drawing/2014/main" id="{5726B02A-B7EE-6048-A93E-6A4AAFC23179}"/>
            </a:ext>
          </a:extLst>
        </xdr:cNvPr>
        <xdr:cNvPicPr>
          <a:picLocks noChangeAspect="1"/>
        </xdr:cNvPicPr>
      </xdr:nvPicPr>
      <xdr:blipFill>
        <a:blip xmlns:r="http://schemas.openxmlformats.org/officeDocument/2006/relationships" r:embed="rId1"/>
        <a:stretch>
          <a:fillRect/>
        </a:stretch>
      </xdr:blipFill>
      <xdr:spPr>
        <a:xfrm>
          <a:off x="177800" y="0"/>
          <a:ext cx="960120" cy="719455"/>
        </a:xfrm>
        <a:prstGeom prst="rect">
          <a:avLst/>
        </a:prstGeom>
      </xdr:spPr>
    </xdr:pic>
    <xdr:clientData/>
  </xdr:oneCellAnchor>
</xdr:wsDr>
</file>

<file path=xl/drawings/drawing10.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2</xdr:col>
      <xdr:colOff>686072</xdr:colOff>
      <xdr:row>2</xdr:row>
      <xdr:rowOff>9525</xdr:rowOff>
    </xdr:to>
    <xdr:pic>
      <xdr:nvPicPr>
        <xdr:cNvPr id="2" name="Picture 1">
          <a:extLst>
            <a:ext uri="{FF2B5EF4-FFF2-40B4-BE49-F238E27FC236}">
              <a16:creationId xmlns:a16="http://schemas.microsoft.com/office/drawing/2014/main" id="{71D9CC5D-ECE8-46D3-A51F-51882D51B77E}"/>
            </a:ext>
          </a:extLst>
        </xdr:cNvPr>
        <xdr:cNvPicPr>
          <a:picLocks noChangeAspect="1"/>
        </xdr:cNvPicPr>
      </xdr:nvPicPr>
      <xdr:blipFill>
        <a:blip xmlns:r="http://schemas.openxmlformats.org/officeDocument/2006/relationships" r:embed="rId1"/>
        <a:stretch>
          <a:fillRect/>
        </a:stretch>
      </xdr:blipFill>
      <xdr:spPr>
        <a:xfrm>
          <a:off x="123825" y="0"/>
          <a:ext cx="958215" cy="7048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wsl.localhost\wsl.localhost\wsl.localhost\Ubuntu\home\paul\local_git\OCTT-certification\PICS\OCPP%202.0.1%20PICS%20CS%20-%20UNLOCKED%20-%20voorzet%202.0.xlsx" TargetMode="External"/><Relationship Id="rId1" Type="http://schemas.openxmlformats.org/officeDocument/2006/relationships/externalLinkPath" Target="/wsl.localhost/wsl.localhost/Ubuntu/home/paul/local_git/OCTT-certification/PICS/OCPP%202.0.1%20PICS%20CS%20-%20UNLOCKED%20-%20voorzet%20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Explanation"/>
      <sheetName val="Hardware Feature set"/>
      <sheetName val="OCPP family members"/>
      <sheetName val="OCPP family members 2"/>
      <sheetName val="OCPP family members 3"/>
      <sheetName val="Profile selection"/>
      <sheetName val="Optional features"/>
      <sheetName val="Additional questions"/>
      <sheetName val="Other relevant settings"/>
      <sheetName val="Vendor Specific Settings"/>
      <sheetName val="Performance Measurement"/>
      <sheetName val="Charging Station Testcases"/>
      <sheetName val="Statement of Approval"/>
      <sheetName val="HIDDEN Testrun Results"/>
      <sheetName val="HIDDEN calc sheet"/>
      <sheetName val="HIDDEN features"/>
      <sheetName val="HIDDEN import"/>
      <sheetName val="MD"/>
    </sheetNames>
    <sheetDataSet>
      <sheetData sheetId="0"/>
      <sheetData sheetId="1"/>
      <sheetData sheetId="2"/>
      <sheetData sheetId="3"/>
      <sheetData sheetId="4"/>
      <sheetData sheetId="5">
        <row r="3">
          <cell r="B3" t="str">
            <v>Certification Profile</v>
          </cell>
          <cell r="C3" t="str">
            <v>Supported</v>
          </cell>
          <cell r="D3" t="str">
            <v>Description</v>
          </cell>
        </row>
        <row r="4">
          <cell r="B4" t="str">
            <v>Core</v>
          </cell>
          <cell r="C4" t="str">
            <v>Yes</v>
          </cell>
          <cell r="D4" t="str">
            <v>Basic Charging Station functionality for booting, authorization (incl. cache if available), configuration, transactions, remote control, including basic security.</v>
          </cell>
        </row>
        <row r="5">
          <cell r="B5" t="str">
            <v>Advanced Security</v>
          </cell>
          <cell r="C5" t="str">
            <v>Yes</v>
          </cell>
          <cell r="D5" t="str">
            <v>Support for TLS with client authentication.</v>
          </cell>
        </row>
        <row r="6">
          <cell r="B6" t="str">
            <v>Local Authorization List Management</v>
          </cell>
          <cell r="C6" t="str">
            <v>No</v>
          </cell>
          <cell r="D6" t="str">
            <v>Support for local authorization list management and optionally of an authorization cache.</v>
          </cell>
        </row>
        <row r="7">
          <cell r="B7" t="str">
            <v>Smart Charging</v>
          </cell>
          <cell r="C7" t="str">
            <v>No</v>
          </cell>
          <cell r="D7" t="str">
            <v>Support for Smart Charging (all profile types, including stacking), to control charging.</v>
          </cell>
        </row>
        <row r="8">
          <cell r="B8" t="str">
            <v>Advanced Device Management</v>
          </cell>
          <cell r="C8" t="str">
            <v>No</v>
          </cell>
          <cell r="D8" t="str">
            <v>Support for the OCPP Device Model and advanced logging and monitoring.</v>
          </cell>
        </row>
        <row r="9">
          <cell r="B9" t="str">
            <v>Reservation</v>
          </cell>
          <cell r="C9" t="str">
            <v>No</v>
          </cell>
          <cell r="D9" t="str">
            <v>Support for reservation of a connector of a Charging Station.</v>
          </cell>
        </row>
        <row r="10">
          <cell r="B10" t="str">
            <v>Advanced User Interface</v>
          </cell>
          <cell r="C10" t="str">
            <v>No</v>
          </cell>
          <cell r="D10" t="str">
            <v>Support for tariff &amp; cost and DisplayMessage functionality.</v>
          </cell>
        </row>
        <row r="11">
          <cell r="B11" t="str">
            <v>ISO 15118 Support</v>
          </cell>
          <cell r="C11" t="str">
            <v>No</v>
          </cell>
          <cell r="D11" t="str">
            <v>Support for ISO 15118 Smart Charging and Plug and Charge authorization.</v>
          </cell>
        </row>
      </sheetData>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testresults" connectionId="1" xr16:uid="{9A1D5199-9191-6742-B6BC-85C5C6FCE6A0}" autoFormatId="16" applyNumberFormats="0" applyBorderFormats="0" applyFontFormats="1" applyPatternFormats="1" applyAlignmentFormats="0" applyWidthHeightFormats="0"/>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v>13</v>
    <v>3</v>
  </rv>
</rvData>
</file>

<file path=xl/richData/rdrichvaluestructure.xml><?xml version="1.0" encoding="utf-8"?>
<rvStructures xmlns="http://schemas.microsoft.com/office/spreadsheetml/2017/richdata" count="1">
  <s t="_error">
    <k n="errorType" t="i"/>
    <k n="subType" t="i"/>
  </s>
</rvStructure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queryTable" Target="../queryTables/queryTable1.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6C46F2-8B40-4AD7-ACA7-4A71245440B3}">
  <dimension ref="C3:E45"/>
  <sheetViews>
    <sheetView showGridLines="0" tabSelected="1" zoomScaleNormal="100" workbookViewId="0"/>
  </sheetViews>
  <sheetFormatPr defaultColWidth="8.875" defaultRowHeight="15.75" x14ac:dyDescent="0.25"/>
  <cols>
    <col min="3" max="3" width="22.375" customWidth="1"/>
    <col min="4" max="4" width="94.625" customWidth="1"/>
  </cols>
  <sheetData>
    <row r="3" spans="3:4" ht="36" x14ac:dyDescent="0.55000000000000004">
      <c r="C3" s="38" t="s">
        <v>0</v>
      </c>
      <c r="D3" s="32"/>
    </row>
    <row r="5" spans="3:4" ht="21" x14ac:dyDescent="0.35">
      <c r="C5" s="37" t="s">
        <v>215</v>
      </c>
      <c r="D5" s="31"/>
    </row>
    <row r="6" spans="3:4" x14ac:dyDescent="0.25">
      <c r="C6" s="33" t="s">
        <v>152</v>
      </c>
      <c r="D6" s="101" t="s">
        <v>631</v>
      </c>
    </row>
    <row r="7" spans="3:4" x14ac:dyDescent="0.25">
      <c r="C7" s="33" t="s">
        <v>1</v>
      </c>
      <c r="D7" s="102">
        <v>45734</v>
      </c>
    </row>
    <row r="8" spans="3:4" x14ac:dyDescent="0.25">
      <c r="D8" s="35" t="s">
        <v>2</v>
      </c>
    </row>
    <row r="9" spans="3:4" x14ac:dyDescent="0.25">
      <c r="C9" s="33" t="s">
        <v>154</v>
      </c>
      <c r="D9" s="35" t="s">
        <v>216</v>
      </c>
    </row>
    <row r="10" spans="3:4" x14ac:dyDescent="0.25">
      <c r="C10" s="33" t="s">
        <v>153</v>
      </c>
      <c r="D10" s="35" t="s">
        <v>525</v>
      </c>
    </row>
    <row r="11" spans="3:4" x14ac:dyDescent="0.25">
      <c r="C11" s="33" t="s">
        <v>635</v>
      </c>
      <c r="D11" s="35" t="s">
        <v>524</v>
      </c>
    </row>
    <row r="13" spans="3:4" x14ac:dyDescent="0.25">
      <c r="D13" s="33" t="s">
        <v>3</v>
      </c>
    </row>
    <row r="14" spans="3:4" ht="173.25" x14ac:dyDescent="0.25">
      <c r="D14" s="36" t="s">
        <v>453</v>
      </c>
    </row>
    <row r="16" spans="3:4" x14ac:dyDescent="0.25">
      <c r="D16" s="1" t="s">
        <v>4</v>
      </c>
    </row>
    <row r="17" spans="3:5" x14ac:dyDescent="0.25">
      <c r="C17" s="34">
        <v>1</v>
      </c>
      <c r="D17" s="66" t="s">
        <v>5</v>
      </c>
    </row>
    <row r="18" spans="3:5" ht="31.5" x14ac:dyDescent="0.25">
      <c r="C18" s="34">
        <v>2</v>
      </c>
      <c r="D18" s="66" t="s">
        <v>6</v>
      </c>
    </row>
    <row r="19" spans="3:5" ht="31.5" x14ac:dyDescent="0.25">
      <c r="C19" s="34">
        <v>3</v>
      </c>
      <c r="D19" s="66" t="s">
        <v>198</v>
      </c>
    </row>
    <row r="20" spans="3:5" x14ac:dyDescent="0.25">
      <c r="C20" s="34">
        <v>4</v>
      </c>
      <c r="D20" s="2" t="s">
        <v>7</v>
      </c>
      <c r="E20" s="2"/>
    </row>
    <row r="21" spans="3:5" x14ac:dyDescent="0.25">
      <c r="C21" s="34">
        <v>5</v>
      </c>
      <c r="D21" s="66" t="s">
        <v>8</v>
      </c>
    </row>
    <row r="22" spans="3:5" ht="31.5" x14ac:dyDescent="0.25">
      <c r="C22" s="34">
        <v>6</v>
      </c>
      <c r="D22" s="66" t="s">
        <v>161</v>
      </c>
    </row>
    <row r="23" spans="3:5" ht="31.5" x14ac:dyDescent="0.25">
      <c r="C23" s="34">
        <v>7</v>
      </c>
      <c r="D23" s="66" t="s">
        <v>203</v>
      </c>
    </row>
    <row r="25" spans="3:5" x14ac:dyDescent="0.25">
      <c r="D25" s="1" t="s">
        <v>199</v>
      </c>
    </row>
    <row r="26" spans="3:5" ht="36" customHeight="1" x14ac:dyDescent="0.25">
      <c r="C26" s="34">
        <v>8</v>
      </c>
      <c r="D26" s="36" t="s">
        <v>205</v>
      </c>
    </row>
    <row r="27" spans="3:5" ht="31.5" x14ac:dyDescent="0.25">
      <c r="C27" s="34">
        <v>9</v>
      </c>
      <c r="D27" s="2" t="s">
        <v>200</v>
      </c>
    </row>
    <row r="28" spans="3:5" x14ac:dyDescent="0.25">
      <c r="C28" s="34">
        <v>10</v>
      </c>
      <c r="D28" t="s">
        <v>201</v>
      </c>
    </row>
    <row r="31" spans="3:5" x14ac:dyDescent="0.25">
      <c r="C31" s="33" t="s">
        <v>213</v>
      </c>
      <c r="D31" s="1"/>
    </row>
    <row r="32" spans="3:5" x14ac:dyDescent="0.25">
      <c r="C32" s="156" t="s">
        <v>631</v>
      </c>
      <c r="D32" t="s">
        <v>636</v>
      </c>
    </row>
    <row r="33" spans="3:4" x14ac:dyDescent="0.25">
      <c r="C33" s="156" t="s">
        <v>623</v>
      </c>
      <c r="D33" t="s">
        <v>608</v>
      </c>
    </row>
    <row r="34" spans="3:4" x14ac:dyDescent="0.25">
      <c r="C34" s="156" t="s">
        <v>565</v>
      </c>
      <c r="D34" t="s">
        <v>568</v>
      </c>
    </row>
    <row r="35" spans="3:4" x14ac:dyDescent="0.25">
      <c r="C35" s="156" t="s">
        <v>560</v>
      </c>
      <c r="D35" t="s">
        <v>564</v>
      </c>
    </row>
    <row r="36" spans="3:4" x14ac:dyDescent="0.25">
      <c r="C36" s="156" t="s">
        <v>558</v>
      </c>
      <c r="D36" t="s">
        <v>559</v>
      </c>
    </row>
    <row r="37" spans="3:4" x14ac:dyDescent="0.25">
      <c r="C37" s="156" t="s">
        <v>554</v>
      </c>
      <c r="D37" t="s">
        <v>557</v>
      </c>
    </row>
    <row r="38" spans="3:4" x14ac:dyDescent="0.25">
      <c r="C38" s="156" t="s">
        <v>555</v>
      </c>
      <c r="D38" t="s">
        <v>556</v>
      </c>
    </row>
    <row r="39" spans="3:4" x14ac:dyDescent="0.25">
      <c r="C39" s="156" t="s">
        <v>552</v>
      </c>
      <c r="D39" t="s">
        <v>553</v>
      </c>
    </row>
    <row r="40" spans="3:4" x14ac:dyDescent="0.25">
      <c r="C40" s="156" t="s">
        <v>547</v>
      </c>
      <c r="D40" t="s">
        <v>551</v>
      </c>
    </row>
    <row r="41" spans="3:4" x14ac:dyDescent="0.25">
      <c r="C41" s="156" t="s">
        <v>548</v>
      </c>
      <c r="D41" t="s">
        <v>549</v>
      </c>
    </row>
    <row r="42" spans="3:4" x14ac:dyDescent="0.25">
      <c r="C42" s="156" t="s">
        <v>211</v>
      </c>
      <c r="D42" t="s">
        <v>212</v>
      </c>
    </row>
    <row r="43" spans="3:4" x14ac:dyDescent="0.25">
      <c r="C43" s="156"/>
    </row>
    <row r="44" spans="3:4" x14ac:dyDescent="0.25">
      <c r="C44" s="316" t="s">
        <v>627</v>
      </c>
      <c r="D44" t="s">
        <v>637</v>
      </c>
    </row>
    <row r="45" spans="3:4" x14ac:dyDescent="0.25">
      <c r="C45" s="156"/>
    </row>
  </sheetData>
  <sheetProtection algorithmName="SHA-512" hashValue="t8TkNVPMNMJO7JxyHnyjqv+0qj9NCcTsBDEcMpcQa1LuN+o4ECoCwdqf3b+kWZZSJX6E93bKDKhf8NRG5ahrhw==" saltValue="mLaVb0d7I7nlOL7oCLv1cw==" spinCount="100000" sheet="1" objects="1" scenarios="1"/>
  <pageMargins left="0.7" right="0.7" top="0.75" bottom="0.75" header="0.3" footer="0.3"/>
  <pageSetup paperSize="9" orientation="portrait" r:id="rId1"/>
  <headerFooter>
    <oddFooter>&amp;C_x000D_&amp;1#&amp;"Arial"&amp;9&amp;K000000 Internal</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364C14-D9E2-46BD-862C-4AA098EB5D2F}">
  <dimension ref="B1:M43"/>
  <sheetViews>
    <sheetView showGridLines="0" topLeftCell="A2" zoomScale="70" zoomScaleNormal="70" workbookViewId="0">
      <selection activeCell="D4" sqref="D4"/>
    </sheetView>
  </sheetViews>
  <sheetFormatPr defaultColWidth="28.375" defaultRowHeight="15.75" customHeight="1" x14ac:dyDescent="0.25"/>
  <cols>
    <col min="1" max="1" width="3.375" customWidth="1"/>
    <col min="2" max="2" width="11.5" style="10" customWidth="1"/>
    <col min="4" max="4" width="54.875" customWidth="1"/>
    <col min="5" max="5" width="31.125" customWidth="1"/>
    <col min="6" max="6" width="11.125" style="10" customWidth="1"/>
    <col min="7" max="7" width="7.375" style="10" bestFit="1" customWidth="1"/>
    <col min="8" max="8" width="6.625" style="10" bestFit="1" customWidth="1"/>
    <col min="9" max="9" width="16.125" style="10" bestFit="1" customWidth="1"/>
    <col min="10" max="10" width="15.375" style="10" bestFit="1" customWidth="1"/>
    <col min="11" max="11" width="10" bestFit="1" customWidth="1"/>
    <col min="13" max="13" width="8" customWidth="1"/>
    <col min="14" max="14" width="6.125" bestFit="1" customWidth="1"/>
    <col min="15" max="15" width="6.625" bestFit="1" customWidth="1"/>
    <col min="16" max="16" width="14" bestFit="1" customWidth="1"/>
    <col min="17" max="17" width="10" bestFit="1" customWidth="1"/>
  </cols>
  <sheetData>
    <row r="1" spans="2:13" ht="30.75" customHeight="1" x14ac:dyDescent="0.35">
      <c r="B1" s="358" t="s">
        <v>9</v>
      </c>
      <c r="C1" s="358"/>
      <c r="D1" s="358"/>
      <c r="L1" s="156" t="s">
        <v>169</v>
      </c>
      <c r="M1" s="1" t="str">
        <f>IF(AND(_xlfn.CONCAT(K:K,E:E)="",ISERROR(FIND("&lt;",_xlfn.CONCAT(D6:D8,D4,D21:D22)))),"VALID","INVALID")</f>
        <v>INVALID</v>
      </c>
    </row>
    <row r="2" spans="2:13" ht="55.5" customHeight="1" x14ac:dyDescent="0.35">
      <c r="B2" s="270"/>
      <c r="C2" s="362" t="s">
        <v>589</v>
      </c>
      <c r="D2" s="362"/>
      <c r="L2" s="156"/>
      <c r="M2" s="1"/>
    </row>
    <row r="4" spans="2:13" ht="30.95" customHeight="1" thickBot="1" x14ac:dyDescent="0.3">
      <c r="C4" s="157" t="s">
        <v>189</v>
      </c>
      <c r="D4" s="146" t="s">
        <v>166</v>
      </c>
      <c r="E4" s="137" t="str">
        <f>IF(ISBLANK(D4),"&lt;---- This field cannot be left empty!","")</f>
        <v/>
      </c>
      <c r="F4" s="359" t="s">
        <v>520</v>
      </c>
      <c r="G4" s="360"/>
      <c r="H4" s="360"/>
      <c r="I4" s="360"/>
      <c r="J4" s="361"/>
    </row>
    <row r="5" spans="2:13" ht="16.5" thickBot="1" x14ac:dyDescent="0.3">
      <c r="C5" s="158" t="s">
        <v>10</v>
      </c>
      <c r="D5" s="48" t="s">
        <v>569</v>
      </c>
      <c r="E5" s="137" t="str">
        <f>IF(ISBLANK(D5),"&lt;---- This field cannot be left empty!","")</f>
        <v/>
      </c>
      <c r="F5" s="171" t="s">
        <v>131</v>
      </c>
      <c r="G5" s="176" t="s">
        <v>143</v>
      </c>
      <c r="H5" s="176" t="s">
        <v>130</v>
      </c>
      <c r="I5" s="176" t="s">
        <v>159</v>
      </c>
      <c r="J5" s="180" t="s">
        <v>149</v>
      </c>
    </row>
    <row r="6" spans="2:13" ht="19.5" thickBot="1" x14ac:dyDescent="0.35">
      <c r="C6" s="159" t="s">
        <v>129</v>
      </c>
      <c r="D6" s="49" t="s">
        <v>444</v>
      </c>
      <c r="E6" s="137" t="str">
        <f>IF(ISBLANK(D6),"&lt;---- This field cannot be left empty!","")</f>
        <v/>
      </c>
      <c r="F6" s="172">
        <v>1</v>
      </c>
      <c r="G6" s="178"/>
      <c r="H6" s="178"/>
      <c r="I6" s="178"/>
      <c r="J6" s="341" t="str">
        <f>IF(OR(LEFT(I6,1)= "s",LEFT(I6,1)="O"), "Detachable Cable",IF(LEFT(I6,1)="c", "Fixed Cable",IF(OR(LEFT(I6,1)="w",LEFT(I6,1)="P"),"Other","")))</f>
        <v/>
      </c>
      <c r="K6" s="160" t="str">
        <f>IF(AND($G6=MD!$E$3,OR($D$5&lt;&gt;"Charging Station Software Stack",COUNTA($F$7:$J$43)&gt;0)),"AC &amp; DC is only allowed for a single-EVSE Software Stack",IF(AND(NOT(ISNUMBER(F5)),F6&lt;&gt;1),"First Connector must be Connector 1",IF(AND(ISNUMBER(F5),F6-1&lt;&gt;F5),_xlfn.CONCAT("Connector id must be ",F5+1),IF(ISBLANK(G6),"Please specify Current Type",IF(AND(G6="DC",NOT(ISBLANK(H6))),"You cannot specify number of phases for DC!",IF(AND(G6="AC",ISBLANK(H6)),"You Must specify number of phases for AC!",IF(ISBLANK(I6),"Please fill in Connector Type",IF(ISBLANK(J6),"Please fill in Cable Type",""))))))))</f>
        <v>Please specify Current Type</v>
      </c>
    </row>
    <row r="7" spans="2:13" ht="19.5" thickBot="1" x14ac:dyDescent="0.35">
      <c r="C7" s="158" t="s">
        <v>167</v>
      </c>
      <c r="D7" s="48" t="s">
        <v>11</v>
      </c>
      <c r="E7" s="137" t="str">
        <f>IF(ISBLANK(D7),"&lt;---- This field cannot be left empty!","")</f>
        <v/>
      </c>
      <c r="F7" s="173"/>
      <c r="G7" s="177"/>
      <c r="H7" s="177"/>
      <c r="I7" s="177"/>
      <c r="J7" s="180" t="str">
        <f t="shared" ref="J7:J43" si="0">IF(OR(LEFT(I7,1)= "s",LEFT(I7,1)="O"), "Detachable Cable",IF(LEFT(I7,1)="c", "Fixed Cable",IF(OR(LEFT(I7,1)="w",LEFT(I7,1)="P"),"Other","")))</f>
        <v/>
      </c>
      <c r="K7" s="160" t="str">
        <f>IF(_xlfn.CONCAT(F7:J7)="","",IF(AND(ISBLANK(F6),ISNUMBER(F7)),"Empty lines are not allowed in this table",IF(AND(NOT(ISNUMBER(F6)),F7&lt;&gt;1),"First Connector must be Connector 1",IF(AND(ISNUMBER(F6),F7-1&lt;&gt;F6),_xlfn.CONCAT("Connector id must be ",F6+1),IF(ISBLANK(G7),"Please specify Current Type",IF(AND(G7="DC",NOT(ISBLANK(H7))),"You cannot specify number of phases for DC!",IF(AND(G7="AC",ISBLANK(H7)),"You Must specify number of phases for AC!",IF(ISBLANK(I7),"Please fill in Connector Type",IF(ISBLANK(J7),"Please fill in Cable Type","")))))))))</f>
        <v/>
      </c>
    </row>
    <row r="8" spans="2:13" ht="18.75" x14ac:dyDescent="0.3">
      <c r="C8" s="161" t="str">
        <f>IF(D5="Charging Station","Firmware Version","OCPP Software Version")</f>
        <v>OCPP Software Version</v>
      </c>
      <c r="D8" s="81" t="s">
        <v>570</v>
      </c>
      <c r="E8" s="137" t="str">
        <f>IF(ISBLANK(D8),"&lt;---- This field cannot be left empty!",IF(D8="&lt;type software version of the product&gt;","",IF(ISERROR(VLOOKUP("firmwareVersion",'HIDDEN Testrun Results'!A:B,2,FALSE)),"",IF(VLOOKUP("firmwareVersion",'HIDDEN Testrun Results'!A:B,2,FALSE)=D8,"","&lt;---- Version does not match firmware version from log files"))))</f>
        <v/>
      </c>
      <c r="F8" s="174"/>
      <c r="G8" s="178"/>
      <c r="H8" s="178"/>
      <c r="I8" s="178"/>
      <c r="J8" s="341" t="str">
        <f t="shared" si="0"/>
        <v/>
      </c>
      <c r="K8" s="160" t="str">
        <f t="shared" ref="K8:K43" si="1">IF(_xlfn.CONCAT(F8:J8)="","",IF(AND(ISBLANK(F7),ISNUMBER(F8)),"Empty lines are not allowed in this table",IF(AND(NOT(ISNUMBER(F7)),F8&lt;&gt;1),"First Connector must be Connector 1",IF(AND(ISNUMBER(F7),F8-1&lt;&gt;F7),_xlfn.CONCAT("Connector id must be ",F7+1),IF(ISBLANK(G8),"Please specify Current Type",IF(AND(G8="DC",NOT(ISBLANK(H8))),"You cannot specify number of phases for DC!",IF(AND(G8="AC",ISBLANK(H8)),"You Must specify number of phases for AC!",IF(ISBLANK(I8),"Please fill in Connector Type",IF(ISBLANK(J8),"Please fill in Cable Type","")))))))))</f>
        <v/>
      </c>
    </row>
    <row r="9" spans="2:13" ht="18.75" x14ac:dyDescent="0.3">
      <c r="F9" s="173"/>
      <c r="G9" s="177"/>
      <c r="H9" s="177"/>
      <c r="I9" s="177"/>
      <c r="J9" s="180" t="str">
        <f t="shared" si="0"/>
        <v/>
      </c>
      <c r="K9" s="160" t="str">
        <f t="shared" si="1"/>
        <v/>
      </c>
    </row>
    <row r="10" spans="2:13" ht="18.75" x14ac:dyDescent="0.3">
      <c r="C10" s="3"/>
      <c r="F10" s="174"/>
      <c r="G10" s="178"/>
      <c r="H10" s="178"/>
      <c r="I10" s="178"/>
      <c r="J10" s="341" t="str">
        <f t="shared" si="0"/>
        <v/>
      </c>
      <c r="K10" s="160" t="str">
        <f t="shared" si="1"/>
        <v/>
      </c>
    </row>
    <row r="11" spans="2:13" ht="15.75" customHeight="1" x14ac:dyDescent="0.3">
      <c r="B11" s="147" t="s">
        <v>12</v>
      </c>
      <c r="C11" s="39" t="s">
        <v>35</v>
      </c>
      <c r="D11" s="148" t="s">
        <v>190</v>
      </c>
      <c r="F11" s="173"/>
      <c r="G11" s="177"/>
      <c r="H11" s="177"/>
      <c r="I11" s="177"/>
      <c r="J11" s="180" t="str">
        <f t="shared" si="0"/>
        <v/>
      </c>
      <c r="K11" s="160" t="str">
        <f t="shared" si="1"/>
        <v/>
      </c>
      <c r="L11" s="162"/>
      <c r="M11" s="162"/>
    </row>
    <row r="12" spans="2:13" ht="18.75" x14ac:dyDescent="0.3">
      <c r="B12" s="149"/>
      <c r="C12" s="150"/>
      <c r="D12" s="151"/>
      <c r="F12" s="174"/>
      <c r="G12" s="178"/>
      <c r="H12" s="178"/>
      <c r="I12" s="178"/>
      <c r="J12" s="341" t="str">
        <f t="shared" si="0"/>
        <v/>
      </c>
      <c r="K12" s="160" t="str">
        <f t="shared" si="1"/>
        <v/>
      </c>
    </row>
    <row r="13" spans="2:13" ht="18.75" x14ac:dyDescent="0.3">
      <c r="B13" s="163" t="s">
        <v>13</v>
      </c>
      <c r="C13" s="30" t="s">
        <v>14</v>
      </c>
      <c r="D13" s="164" t="str">
        <f>IF(NOT(ISERROR(VLOOKUP("Detachable Cable",J:J,1,FALSE))),"Yes","No")</f>
        <v>No</v>
      </c>
      <c r="F13" s="173"/>
      <c r="G13" s="177"/>
      <c r="H13" s="177"/>
      <c r="I13" s="177"/>
      <c r="J13" s="180" t="str">
        <f t="shared" si="0"/>
        <v/>
      </c>
      <c r="K13" s="160" t="str">
        <f t="shared" si="1"/>
        <v/>
      </c>
    </row>
    <row r="14" spans="2:13" ht="18.75" x14ac:dyDescent="0.3">
      <c r="B14" s="165" t="s">
        <v>16</v>
      </c>
      <c r="C14" s="43" t="s">
        <v>17</v>
      </c>
      <c r="D14" s="166" t="str">
        <f>IF(NOT(ISERROR(VLOOKUP("Fixed Cable",J:J,1,FALSE))),"Yes","No")</f>
        <v>No</v>
      </c>
      <c r="F14" s="174"/>
      <c r="G14" s="178"/>
      <c r="H14" s="178"/>
      <c r="I14" s="178"/>
      <c r="J14" s="341" t="str">
        <f t="shared" si="0"/>
        <v/>
      </c>
      <c r="K14" s="160" t="str">
        <f t="shared" si="1"/>
        <v/>
      </c>
    </row>
    <row r="15" spans="2:13" ht="16.350000000000001" customHeight="1" x14ac:dyDescent="0.3">
      <c r="B15" s="163" t="s">
        <v>18</v>
      </c>
      <c r="C15" s="30" t="s">
        <v>19</v>
      </c>
      <c r="D15" s="164" t="str">
        <f>IF(NOT(AND(ISERROR(VLOOKUP("AC",G:G,1,FALSE)),ISERROR(VLOOKUP("AC &amp; DC",G:G,1,FALSE)))),"Yes","No")</f>
        <v>No</v>
      </c>
      <c r="F15" s="173"/>
      <c r="G15" s="177"/>
      <c r="H15" s="177"/>
      <c r="I15" s="177"/>
      <c r="J15" s="180" t="str">
        <f t="shared" si="0"/>
        <v/>
      </c>
      <c r="K15" s="160" t="str">
        <f t="shared" si="1"/>
        <v/>
      </c>
    </row>
    <row r="16" spans="2:13" ht="16.350000000000001" customHeight="1" x14ac:dyDescent="0.3">
      <c r="B16" s="165" t="s">
        <v>21</v>
      </c>
      <c r="C16" s="43" t="s">
        <v>22</v>
      </c>
      <c r="D16" s="166" t="str">
        <f>IF(NOT(AND(ISERROR(VLOOKUP("DC",G:G,1,FALSE)),ISERROR(VLOOKUP("AC &amp; DC",G:G,1,FALSE)))),"Yes","No")</f>
        <v>No</v>
      </c>
      <c r="F16" s="174"/>
      <c r="G16" s="178"/>
      <c r="H16" s="178"/>
      <c r="I16" s="178"/>
      <c r="J16" s="341" t="str">
        <f t="shared" si="0"/>
        <v/>
      </c>
      <c r="K16" s="160" t="str">
        <f t="shared" si="1"/>
        <v/>
      </c>
    </row>
    <row r="17" spans="2:11" ht="16.350000000000001" customHeight="1" x14ac:dyDescent="0.3">
      <c r="B17" s="163" t="s">
        <v>23</v>
      </c>
      <c r="C17" s="30" t="s">
        <v>24</v>
      </c>
      <c r="D17" s="164" t="str">
        <f>IF(NOT(ISERROR(FIND("1",_xlfn.CONCAT(H:H)))),"Yes","No")</f>
        <v>No</v>
      </c>
      <c r="F17" s="173"/>
      <c r="G17" s="177"/>
      <c r="H17" s="177"/>
      <c r="I17" s="177"/>
      <c r="J17" s="180" t="str">
        <f t="shared" si="0"/>
        <v/>
      </c>
      <c r="K17" s="160" t="str">
        <f t="shared" si="1"/>
        <v/>
      </c>
    </row>
    <row r="18" spans="2:11" ht="16.350000000000001" customHeight="1" x14ac:dyDescent="0.3">
      <c r="B18" s="165" t="s">
        <v>25</v>
      </c>
      <c r="C18" s="43" t="s">
        <v>26</v>
      </c>
      <c r="D18" s="166" t="str">
        <f>IF(NOT(ISERROR(FIND("2",_xlfn.CONCAT(H:H)))),"Yes","No")</f>
        <v>No</v>
      </c>
      <c r="F18" s="174"/>
      <c r="G18" s="178"/>
      <c r="H18" s="178"/>
      <c r="I18" s="178"/>
      <c r="J18" s="341" t="str">
        <f t="shared" si="0"/>
        <v/>
      </c>
      <c r="K18" s="160" t="str">
        <f t="shared" si="1"/>
        <v/>
      </c>
    </row>
    <row r="19" spans="2:11" ht="16.350000000000001" customHeight="1" x14ac:dyDescent="0.3">
      <c r="B19" s="163" t="s">
        <v>27</v>
      </c>
      <c r="C19" s="30" t="s">
        <v>28</v>
      </c>
      <c r="D19" s="164" t="str">
        <f>IF(NOT(ISERROR(FIND("3",_xlfn.CONCAT(H:H)))),"Yes","No")</f>
        <v>No</v>
      </c>
      <c r="E19" s="30"/>
      <c r="F19" s="173"/>
      <c r="G19" s="177"/>
      <c r="H19" s="177"/>
      <c r="I19" s="177"/>
      <c r="J19" s="180" t="str">
        <f t="shared" si="0"/>
        <v/>
      </c>
      <c r="K19" s="160" t="str">
        <f t="shared" si="1"/>
        <v/>
      </c>
    </row>
    <row r="20" spans="2:11" ht="18.75" x14ac:dyDescent="0.3">
      <c r="B20" s="165" t="s">
        <v>29</v>
      </c>
      <c r="C20" s="43" t="s">
        <v>519</v>
      </c>
      <c r="D20" s="166">
        <f>MAX(F:F)</f>
        <v>1</v>
      </c>
      <c r="F20" s="174"/>
      <c r="G20" s="178"/>
      <c r="H20" s="178"/>
      <c r="I20" s="178"/>
      <c r="J20" s="341" t="str">
        <f t="shared" si="0"/>
        <v/>
      </c>
      <c r="K20" s="160" t="str">
        <f t="shared" si="1"/>
        <v/>
      </c>
    </row>
    <row r="21" spans="2:11" ht="18.75" x14ac:dyDescent="0.3">
      <c r="B21" s="163" t="s">
        <v>150</v>
      </c>
      <c r="C21" s="30" t="s">
        <v>30</v>
      </c>
      <c r="D21" s="72" t="s">
        <v>175</v>
      </c>
      <c r="E21" s="137" t="str">
        <f>IF(AND(NOT(ISBLANK(B21)),ISBLANK(D21)),"&lt;---- This field cannot be left empty!",IF(NOT(ISERROR(FIND("&lt;",D21))),"&lt;---- Please enter a valid value or list",""))</f>
        <v>&lt;---- Please enter a valid value or list</v>
      </c>
      <c r="F21" s="173"/>
      <c r="G21" s="177"/>
      <c r="H21" s="177"/>
      <c r="I21" s="177"/>
      <c r="J21" s="180" t="str">
        <f t="shared" si="0"/>
        <v/>
      </c>
      <c r="K21" s="160" t="str">
        <f t="shared" si="1"/>
        <v/>
      </c>
    </row>
    <row r="22" spans="2:11" ht="18.75" x14ac:dyDescent="0.3">
      <c r="B22" s="165" t="s">
        <v>151</v>
      </c>
      <c r="C22" s="43" t="s">
        <v>31</v>
      </c>
      <c r="D22" s="73" t="s">
        <v>168</v>
      </c>
      <c r="E22" s="137" t="str">
        <f>IF(AND(NOT(ISBLANK(B22)),ISBLANK(D22)),"&lt;---- This field cannot be left empty!",IF(NOT(ISERROR(FIND("&lt;",D22))),"&lt;---- Please enter a valid value",""))</f>
        <v>&lt;---- Please enter a valid value</v>
      </c>
      <c r="F22" s="174"/>
      <c r="G22" s="178"/>
      <c r="H22" s="178"/>
      <c r="I22" s="178"/>
      <c r="J22" s="341" t="str">
        <f t="shared" si="0"/>
        <v/>
      </c>
      <c r="K22" s="160" t="str">
        <f t="shared" si="1"/>
        <v/>
      </c>
    </row>
    <row r="23" spans="2:11" ht="18.75" x14ac:dyDescent="0.3">
      <c r="B23" s="287" t="s">
        <v>588</v>
      </c>
      <c r="C23" s="30" t="s">
        <v>586</v>
      </c>
      <c r="D23" s="72" t="s">
        <v>587</v>
      </c>
      <c r="E23" s="137" t="str">
        <f>IF(VLOOKUP("HFS-4",B11:D25,3,FALSE)="No",IF(OR(NOT((ISERROR(FIND("&lt;", D23)))),NOT(ISBLANK(D23))),"&lt;---- Leave empty without DC support",""),IF(NOT(ISNUMBER(D23)),"&lt;---- Please enter a valid value",""))</f>
        <v>&lt;---- Leave empty without DC support</v>
      </c>
      <c r="F23" s="173"/>
      <c r="G23" s="177"/>
      <c r="H23" s="177"/>
      <c r="I23" s="177"/>
      <c r="J23" s="180" t="str">
        <f t="shared" si="0"/>
        <v/>
      </c>
      <c r="K23" s="160" t="str">
        <f t="shared" si="1"/>
        <v/>
      </c>
    </row>
    <row r="24" spans="2:11" ht="18.75" x14ac:dyDescent="0.3">
      <c r="B24" s="253"/>
      <c r="C24" s="254"/>
      <c r="D24" s="255"/>
      <c r="F24" s="174"/>
      <c r="G24" s="178"/>
      <c r="H24" s="178"/>
      <c r="I24" s="178"/>
      <c r="J24" s="341" t="str">
        <f t="shared" si="0"/>
        <v/>
      </c>
      <c r="K24" s="160" t="str">
        <f t="shared" si="1"/>
        <v/>
      </c>
    </row>
    <row r="25" spans="2:11" ht="18.75" x14ac:dyDescent="0.3">
      <c r="B25" s="152"/>
      <c r="C25" s="153"/>
      <c r="D25" s="4"/>
      <c r="F25" s="173"/>
      <c r="G25" s="177"/>
      <c r="H25" s="177"/>
      <c r="I25" s="177"/>
      <c r="J25" s="180" t="str">
        <f t="shared" si="0"/>
        <v/>
      </c>
      <c r="K25" s="160" t="str">
        <f t="shared" si="1"/>
        <v/>
      </c>
    </row>
    <row r="26" spans="2:11" ht="18.75" x14ac:dyDescent="0.3">
      <c r="B26" s="154"/>
      <c r="C26" s="30"/>
      <c r="D26" s="4"/>
      <c r="F26" s="174"/>
      <c r="G26" s="178"/>
      <c r="H26" s="178"/>
      <c r="I26" s="178"/>
      <c r="J26" s="341" t="str">
        <f t="shared" si="0"/>
        <v/>
      </c>
      <c r="K26" s="160" t="str">
        <f t="shared" si="1"/>
        <v/>
      </c>
    </row>
    <row r="27" spans="2:11" ht="18.75" x14ac:dyDescent="0.3">
      <c r="B27" s="152"/>
      <c r="C27" s="155"/>
      <c r="D27" s="4"/>
      <c r="F27" s="173"/>
      <c r="G27" s="177"/>
      <c r="H27" s="177"/>
      <c r="I27" s="177"/>
      <c r="J27" s="180" t="str">
        <f t="shared" si="0"/>
        <v/>
      </c>
      <c r="K27" s="160" t="str">
        <f t="shared" si="1"/>
        <v/>
      </c>
    </row>
    <row r="28" spans="2:11" ht="18.75" x14ac:dyDescent="0.3">
      <c r="B28" s="154"/>
      <c r="C28" s="30"/>
      <c r="D28" s="4"/>
      <c r="F28" s="174"/>
      <c r="G28" s="178"/>
      <c r="H28" s="178"/>
      <c r="I28" s="178"/>
      <c r="J28" s="341" t="str">
        <f t="shared" si="0"/>
        <v/>
      </c>
      <c r="K28" s="160" t="str">
        <f t="shared" si="1"/>
        <v/>
      </c>
    </row>
    <row r="29" spans="2:11" ht="18.75" x14ac:dyDescent="0.3">
      <c r="B29" s="152"/>
      <c r="C29" s="30"/>
      <c r="D29" s="4"/>
      <c r="F29" s="173"/>
      <c r="G29" s="177"/>
      <c r="H29" s="177"/>
      <c r="I29" s="177"/>
      <c r="J29" s="180" t="str">
        <f t="shared" si="0"/>
        <v/>
      </c>
      <c r="K29" s="160" t="str">
        <f t="shared" si="1"/>
        <v/>
      </c>
    </row>
    <row r="30" spans="2:11" ht="18.75" x14ac:dyDescent="0.3">
      <c r="F30" s="174"/>
      <c r="G30" s="178"/>
      <c r="H30" s="178"/>
      <c r="I30" s="178"/>
      <c r="J30" s="341" t="str">
        <f t="shared" si="0"/>
        <v/>
      </c>
      <c r="K30" s="160" t="str">
        <f t="shared" si="1"/>
        <v/>
      </c>
    </row>
    <row r="31" spans="2:11" ht="17.100000000000001" customHeight="1" x14ac:dyDescent="0.3">
      <c r="F31" s="173"/>
      <c r="G31" s="177"/>
      <c r="H31" s="177"/>
      <c r="I31" s="177"/>
      <c r="J31" s="180" t="str">
        <f t="shared" si="0"/>
        <v/>
      </c>
      <c r="K31" s="160" t="str">
        <f t="shared" si="1"/>
        <v/>
      </c>
    </row>
    <row r="32" spans="2:11" ht="16.350000000000001" customHeight="1" x14ac:dyDescent="0.3">
      <c r="F32" s="174"/>
      <c r="G32" s="178"/>
      <c r="H32" s="178"/>
      <c r="I32" s="178"/>
      <c r="J32" s="341" t="str">
        <f t="shared" si="0"/>
        <v/>
      </c>
      <c r="K32" s="160" t="str">
        <f t="shared" si="1"/>
        <v/>
      </c>
    </row>
    <row r="33" spans="2:11" ht="16.350000000000001" customHeight="1" x14ac:dyDescent="0.3">
      <c r="B33" s="152"/>
      <c r="C33" s="30"/>
      <c r="D33" s="4"/>
      <c r="F33" s="173"/>
      <c r="G33" s="177"/>
      <c r="H33" s="177"/>
      <c r="I33" s="177"/>
      <c r="J33" s="180" t="str">
        <f t="shared" si="0"/>
        <v/>
      </c>
      <c r="K33" s="160" t="str">
        <f t="shared" si="1"/>
        <v/>
      </c>
    </row>
    <row r="34" spans="2:11" ht="18.75" x14ac:dyDescent="0.3">
      <c r="B34" s="154"/>
      <c r="C34" s="30"/>
      <c r="D34" s="3"/>
      <c r="F34" s="174"/>
      <c r="G34" s="178"/>
      <c r="H34" s="178"/>
      <c r="I34" s="178"/>
      <c r="J34" s="341" t="str">
        <f t="shared" si="0"/>
        <v/>
      </c>
      <c r="K34" s="160" t="str">
        <f t="shared" si="1"/>
        <v/>
      </c>
    </row>
    <row r="35" spans="2:11" ht="15.75" customHeight="1" x14ac:dyDescent="0.3">
      <c r="C35" s="167"/>
      <c r="D35" s="3"/>
      <c r="F35" s="173"/>
      <c r="G35" s="177"/>
      <c r="H35" s="177"/>
      <c r="I35" s="177"/>
      <c r="J35" s="180" t="str">
        <f t="shared" si="0"/>
        <v/>
      </c>
      <c r="K35" s="160" t="str">
        <f t="shared" si="1"/>
        <v/>
      </c>
    </row>
    <row r="36" spans="2:11" ht="15.75" customHeight="1" x14ac:dyDescent="0.3">
      <c r="F36" s="174"/>
      <c r="G36" s="178"/>
      <c r="H36" s="178"/>
      <c r="I36" s="178"/>
      <c r="J36" s="341" t="str">
        <f t="shared" si="0"/>
        <v/>
      </c>
      <c r="K36" s="160" t="str">
        <f t="shared" si="1"/>
        <v/>
      </c>
    </row>
    <row r="37" spans="2:11" ht="15.75" customHeight="1" x14ac:dyDescent="0.3">
      <c r="F37" s="173"/>
      <c r="G37" s="177"/>
      <c r="H37" s="177"/>
      <c r="I37" s="177"/>
      <c r="J37" s="180" t="str">
        <f t="shared" si="0"/>
        <v/>
      </c>
      <c r="K37" s="160" t="str">
        <f t="shared" si="1"/>
        <v/>
      </c>
    </row>
    <row r="38" spans="2:11" ht="15.75" customHeight="1" x14ac:dyDescent="0.3">
      <c r="F38" s="174"/>
      <c r="G38" s="178"/>
      <c r="H38" s="178"/>
      <c r="I38" s="178"/>
      <c r="J38" s="341" t="str">
        <f t="shared" si="0"/>
        <v/>
      </c>
      <c r="K38" s="160" t="str">
        <f t="shared" si="1"/>
        <v/>
      </c>
    </row>
    <row r="39" spans="2:11" ht="15.75" customHeight="1" x14ac:dyDescent="0.3">
      <c r="F39" s="173"/>
      <c r="G39" s="177"/>
      <c r="H39" s="177"/>
      <c r="I39" s="177"/>
      <c r="J39" s="180" t="str">
        <f t="shared" si="0"/>
        <v/>
      </c>
      <c r="K39" s="160" t="str">
        <f t="shared" si="1"/>
        <v/>
      </c>
    </row>
    <row r="40" spans="2:11" ht="15.75" customHeight="1" x14ac:dyDescent="0.3">
      <c r="F40" s="174"/>
      <c r="G40" s="178"/>
      <c r="H40" s="178"/>
      <c r="I40" s="178"/>
      <c r="J40" s="341" t="str">
        <f t="shared" si="0"/>
        <v/>
      </c>
      <c r="K40" s="160" t="str">
        <f t="shared" si="1"/>
        <v/>
      </c>
    </row>
    <row r="41" spans="2:11" ht="15.75" customHeight="1" x14ac:dyDescent="0.3">
      <c r="F41" s="173"/>
      <c r="G41" s="177"/>
      <c r="H41" s="177"/>
      <c r="I41" s="177"/>
      <c r="J41" s="180" t="str">
        <f t="shared" si="0"/>
        <v/>
      </c>
      <c r="K41" s="160" t="str">
        <f t="shared" si="1"/>
        <v/>
      </c>
    </row>
    <row r="42" spans="2:11" ht="15.75" customHeight="1" x14ac:dyDescent="0.3">
      <c r="F42" s="174"/>
      <c r="G42" s="178"/>
      <c r="H42" s="178"/>
      <c r="I42" s="178"/>
      <c r="J42" s="341" t="str">
        <f t="shared" si="0"/>
        <v/>
      </c>
      <c r="K42" s="160" t="str">
        <f t="shared" si="1"/>
        <v/>
      </c>
    </row>
    <row r="43" spans="2:11" ht="15.75" customHeight="1" x14ac:dyDescent="0.3">
      <c r="F43" s="175"/>
      <c r="G43" s="179"/>
      <c r="H43" s="179"/>
      <c r="I43" s="179"/>
      <c r="J43" s="357" t="str">
        <f t="shared" si="0"/>
        <v/>
      </c>
      <c r="K43" s="160" t="str">
        <f t="shared" si="1"/>
        <v/>
      </c>
    </row>
  </sheetData>
  <sheetProtection algorithmName="SHA-512" hashValue="6Gpjc0fgFuzuj7TNjw8rBa6kilB0rLwjYHNlQ+QHGW3r9xO5W7TRjfrw7CGi4dcQSJacAciyZ7sBipYkm3hCvA==" saltValue="CG+o1w4OEST5/ZNGzw2SzQ==" spinCount="100000" sheet="1" objects="1" scenarios="1"/>
  <mergeCells count="3">
    <mergeCell ref="B1:D1"/>
    <mergeCell ref="F4:J4"/>
    <mergeCell ref="C2:D2"/>
  </mergeCells>
  <conditionalFormatting sqref="M1:M2">
    <cfRule type="cellIs" dxfId="13" priority="1" operator="equal">
      <formula>"INVALID"</formula>
    </cfRule>
    <cfRule type="cellIs" dxfId="12" priority="2" operator="equal">
      <formula>"VALID"</formula>
    </cfRule>
  </conditionalFormatting>
  <dataValidations count="10">
    <dataValidation showInputMessage="1" showErrorMessage="1" sqref="D21" xr:uid="{1DE3AD11-78CF-5041-8D71-2C89FC6CDCFA}"/>
    <dataValidation type="list" showInputMessage="1" showErrorMessage="1" sqref="D22" xr:uid="{8F6751DE-26CA-B74C-BDBC-B6F3B2A1237D}">
      <formula1>"None,Single,One per EVSE"</formula1>
    </dataValidation>
    <dataValidation type="list" showInputMessage="1" showErrorMessage="1" sqref="D6" xr:uid="{0B327AD4-6700-4003-BC78-3A43F12B8C8A}">
      <formula1>"N/A,Mode 1/2-only Charging Station"</formula1>
    </dataValidation>
    <dataValidation type="whole" operator="greaterThanOrEqual" allowBlank="1" showInputMessage="1" showErrorMessage="1" sqref="F1:F1048576" xr:uid="{41E48F05-480F-3B4B-B61C-6FA5F338C050}">
      <formula1>1</formula1>
    </dataValidation>
    <dataValidation type="list" allowBlank="1" showInputMessage="1" showErrorMessage="1" sqref="H1:H1048576" xr:uid="{708513C4-5B37-3F42-A82A-5979E936543B}">
      <formula1>"1,1 &amp; 3,1 &amp; 2 &amp; 3,3"</formula1>
    </dataValidation>
    <dataValidation type="list" allowBlank="1" showInputMessage="1" showErrorMessage="1" sqref="I1:I1048576" xr:uid="{497F230E-FFB4-6C40-9FBB-871BB566A264}">
      <formula1>"cCCS1,cCCS2,cG105,cTesla,cType1,cType2,s309-1P-16A,s309-1P-32A,s309-3P-16A,s309-3P-32A,sBS1361,sCEE-7-7,sType2,sType3,Other1PhMax16A,Other1PhOver16A,Other3Ph,Pan,wInductive,wResonant"</formula1>
    </dataValidation>
    <dataValidation type="list" allowBlank="1" showInputMessage="1" showErrorMessage="1" sqref="J1:J5 J44:J1048576" xr:uid="{374382D6-ED55-5F4E-B230-71E0F1CD2EBE}">
      <formula1>"Fixed Cable,Detachable Cable,Other"</formula1>
    </dataValidation>
    <dataValidation type="list" allowBlank="1" showInputMessage="1" showErrorMessage="1" sqref="G1:G5 G7:G1048576" xr:uid="{797364BC-EAB9-D343-9A9E-3BC141FB38F9}">
      <formula1>"AC,DC"</formula1>
    </dataValidation>
    <dataValidation type="list" showInputMessage="1" showErrorMessage="1" sqref="D5" xr:uid="{75C25747-1E68-7D4A-ABFF-97C7502A3842}">
      <formula1>"Charging Station,Charging Station Software Stack"</formula1>
    </dataValidation>
    <dataValidation type="whole" operator="greaterThan" allowBlank="1" showInputMessage="1" showErrorMessage="1" sqref="D23" xr:uid="{F07F0F8C-4CCE-D842-AB71-E5D6E398A310}">
      <formula1>0</formula1>
    </dataValidation>
  </dataValidations>
  <pageMargins left="0.7" right="0.7" top="0.75" bottom="0.75" header="0.3" footer="0.3"/>
  <pageSetup paperSize="9" orientation="portrait" r:id="rId1"/>
  <headerFooter>
    <oddFooter>&amp;C_x000D_&amp;1#&amp;"Arial"&amp;9&amp;K000000 Internal</oddFooter>
  </headerFooter>
  <ignoredErrors>
    <ignoredError sqref="J6:J43" unlockedFormula="1"/>
  </ignoredErrors>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7637CD4B-212B-479E-AA42-FD7DD051ADFE}">
          <x14:formula1>
            <xm:f>IF(AND($D$5="Charging Station Software Stack",COUNTA($F$7:$J$43)=0),MD!$E$1:$E$3,MD!$E$1:$E$2)</xm:f>
          </x14:formula1>
          <xm:sqref>G6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978EAF-3DB1-4B8C-98C9-BDBA037EDD4E}">
  <dimension ref="B1:E15"/>
  <sheetViews>
    <sheetView showGridLines="0" zoomScaleNormal="100" workbookViewId="0">
      <selection activeCell="C5" sqref="C5"/>
    </sheetView>
  </sheetViews>
  <sheetFormatPr defaultColWidth="8.875" defaultRowHeight="15.75" x14ac:dyDescent="0.25"/>
  <cols>
    <col min="2" max="2" width="34.125" bestFit="1" customWidth="1"/>
    <col min="3" max="3" width="17.625" customWidth="1"/>
    <col min="4" max="4" width="69.125" customWidth="1"/>
  </cols>
  <sheetData>
    <row r="1" spans="2:5" ht="30.75" customHeight="1" x14ac:dyDescent="0.35">
      <c r="B1" s="358" t="s">
        <v>46</v>
      </c>
      <c r="C1" s="358"/>
      <c r="D1" s="358"/>
    </row>
    <row r="2" spans="2:5" ht="38.25" customHeight="1" x14ac:dyDescent="0.25"/>
    <row r="3" spans="2:5" ht="16.5" thickBot="1" x14ac:dyDescent="0.3">
      <c r="B3" s="16" t="s">
        <v>47</v>
      </c>
      <c r="C3" s="20" t="s">
        <v>43</v>
      </c>
      <c r="D3" s="17" t="s">
        <v>48</v>
      </c>
    </row>
    <row r="4" spans="2:5" ht="44.25" customHeight="1" thickBot="1" x14ac:dyDescent="0.3">
      <c r="B4" s="18" t="s">
        <v>49</v>
      </c>
      <c r="C4" s="62" t="s">
        <v>15</v>
      </c>
      <c r="D4" s="18" t="s">
        <v>218</v>
      </c>
      <c r="E4" s="137" t="str">
        <f t="shared" ref="E4:E8" si="0">IF(ISBLANK(C4),"&lt;---- This field cannot be left empty!","")</f>
        <v/>
      </c>
    </row>
    <row r="5" spans="2:5" ht="44.25" customHeight="1" thickBot="1" x14ac:dyDescent="0.3">
      <c r="B5" s="19" t="s">
        <v>219</v>
      </c>
      <c r="C5" s="52" t="s">
        <v>20</v>
      </c>
      <c r="D5" s="19" t="s">
        <v>220</v>
      </c>
      <c r="E5" s="137" t="str">
        <f t="shared" si="0"/>
        <v/>
      </c>
    </row>
    <row r="6" spans="2:5" ht="44.25" customHeight="1" thickBot="1" x14ac:dyDescent="0.3">
      <c r="B6" s="182" t="s">
        <v>50</v>
      </c>
      <c r="C6" s="221" t="s">
        <v>20</v>
      </c>
      <c r="D6" s="182" t="s">
        <v>221</v>
      </c>
      <c r="E6" s="137" t="str">
        <f t="shared" si="0"/>
        <v/>
      </c>
    </row>
    <row r="7" spans="2:5" ht="44.25" customHeight="1" thickBot="1" x14ac:dyDescent="0.3">
      <c r="B7" s="183" t="s">
        <v>51</v>
      </c>
      <c r="C7" s="222" t="s">
        <v>20</v>
      </c>
      <c r="D7" s="183" t="s">
        <v>52</v>
      </c>
      <c r="E7" s="137" t="str">
        <f t="shared" si="0"/>
        <v/>
      </c>
    </row>
    <row r="8" spans="2:5" ht="44.25" customHeight="1" thickBot="1" x14ac:dyDescent="0.3">
      <c r="B8" s="182" t="s">
        <v>222</v>
      </c>
      <c r="C8" s="221" t="s">
        <v>20</v>
      </c>
      <c r="D8" s="182" t="s">
        <v>223</v>
      </c>
      <c r="E8" s="137" t="str">
        <f t="shared" si="0"/>
        <v/>
      </c>
    </row>
    <row r="9" spans="2:5" ht="41.25" customHeight="1" thickBot="1" x14ac:dyDescent="0.3">
      <c r="B9" s="184" t="s">
        <v>53</v>
      </c>
      <c r="C9" s="223" t="s">
        <v>20</v>
      </c>
      <c r="D9" s="184" t="s">
        <v>54</v>
      </c>
      <c r="E9" s="137"/>
    </row>
    <row r="11" spans="2:5" ht="29.25" customHeight="1" x14ac:dyDescent="0.35">
      <c r="B11" s="358" t="s">
        <v>224</v>
      </c>
      <c r="C11" s="358"/>
      <c r="D11" s="358"/>
    </row>
    <row r="12" spans="2:5" x14ac:dyDescent="0.25">
      <c r="B12" s="363" t="s">
        <v>454</v>
      </c>
      <c r="C12" s="363"/>
      <c r="D12" s="363"/>
    </row>
    <row r="13" spans="2:5" ht="16.5" thickBot="1" x14ac:dyDescent="0.3"/>
    <row r="14" spans="2:5" ht="16.5" thickBot="1" x14ac:dyDescent="0.3">
      <c r="B14" s="16" t="s">
        <v>521</v>
      </c>
      <c r="C14" s="20" t="s">
        <v>43</v>
      </c>
      <c r="D14" s="17" t="s">
        <v>48</v>
      </c>
    </row>
    <row r="15" spans="2:5" ht="42.75" customHeight="1" thickBot="1" x14ac:dyDescent="0.3">
      <c r="B15" s="216" t="s">
        <v>497</v>
      </c>
      <c r="C15" s="224" t="s">
        <v>20</v>
      </c>
      <c r="D15" s="217" t="s">
        <v>498</v>
      </c>
    </row>
  </sheetData>
  <sheetProtection algorithmName="SHA-512" hashValue="1vgLyYCw3+WtaCKz5miUf/dUJBqblpwaqJRoCQIBfDl2aPzbjPnaYs5G6k6OuSZM9SeJRNncBk3OzOIU5JrVsg==" saltValue="tnSo2iPzrYvNsQKDveNGzg==" spinCount="100000" sheet="1" objects="1" scenarios="1"/>
  <mergeCells count="3">
    <mergeCell ref="B1:D1"/>
    <mergeCell ref="B11:D11"/>
    <mergeCell ref="B12:D12"/>
  </mergeCells>
  <dataValidations count="1">
    <dataValidation type="list" showInputMessage="1" showErrorMessage="1" sqref="C5:C9 C15" xr:uid="{37913597-F0A1-49EC-BB4F-CCEB808C1C5E}">
      <formula1>"Yes,No"</formula1>
    </dataValidation>
  </dataValidations>
  <pageMargins left="0.7" right="0.7" top="0.75" bottom="0.75" header="0.3" footer="0.3"/>
  <pageSetup paperSize="9" orientation="portrait" r:id="rId1"/>
  <headerFooter>
    <oddFooter>&amp;C_x000D_&amp;1#&amp;"Arial"&amp;9&amp;K000000 Internal</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2AA72A-1F49-431F-8688-341CA06B3164}">
  <sheetPr>
    <outlinePr summaryBelow="0" summaryRight="0"/>
  </sheetPr>
  <dimension ref="B1:F43"/>
  <sheetViews>
    <sheetView showGridLines="0" zoomScaleNormal="100" workbookViewId="0">
      <selection activeCell="D6" sqref="D6"/>
    </sheetView>
  </sheetViews>
  <sheetFormatPr defaultColWidth="28.375" defaultRowHeight="15.75" x14ac:dyDescent="0.25"/>
  <cols>
    <col min="1" max="1" width="14.125" customWidth="1"/>
    <col min="2" max="2" width="8" style="14" customWidth="1"/>
    <col min="3" max="3" width="89.625" customWidth="1"/>
    <col min="4" max="4" width="51.125" style="10" bestFit="1" customWidth="1"/>
    <col min="5" max="5" width="37.875" customWidth="1"/>
    <col min="6" max="6" width="8.5" bestFit="1" customWidth="1"/>
  </cols>
  <sheetData>
    <row r="1" spans="2:6" ht="32.450000000000003" customHeight="1" x14ac:dyDescent="0.35">
      <c r="B1" s="364" t="s">
        <v>32</v>
      </c>
      <c r="C1" s="364"/>
      <c r="D1" s="364"/>
      <c r="E1" s="134" t="s">
        <v>33</v>
      </c>
      <c r="F1" s="134" t="str">
        <f>IF(_xlfn.CONCAT(E4,E6:E15,E26:E32,E36:E39,F19:F20)="","VALID","INVALID")</f>
        <v>INVALID</v>
      </c>
    </row>
    <row r="2" spans="2:6" ht="71.25" customHeight="1" x14ac:dyDescent="0.35">
      <c r="B2" s="271"/>
      <c r="C2" s="362" t="s">
        <v>590</v>
      </c>
      <c r="D2" s="362"/>
      <c r="E2" s="134"/>
      <c r="F2" s="134"/>
    </row>
    <row r="3" spans="2:6" ht="24" customHeight="1" x14ac:dyDescent="0.25"/>
    <row r="4" spans="2:6" x14ac:dyDescent="0.25">
      <c r="B4" s="138" t="s">
        <v>34</v>
      </c>
      <c r="C4" s="139" t="s">
        <v>206</v>
      </c>
      <c r="D4" s="140" t="s">
        <v>190</v>
      </c>
      <c r="E4" s="65"/>
    </row>
    <row r="5" spans="2:6" x14ac:dyDescent="0.25">
      <c r="B5" s="188" t="s">
        <v>36</v>
      </c>
      <c r="C5" s="189" t="str">
        <f>VLOOKUP(B5,'HIDDEN features'!A:D,3,FALSE)</f>
        <v>Support for offline authorization of transactions</v>
      </c>
      <c r="D5" s="190" t="str">
        <f>IF(OR('Profile selection'!C6="Yes",D6="Yes",D8="Yes"),"Yes","No")</f>
        <v>No</v>
      </c>
      <c r="E5" t="s">
        <v>455</v>
      </c>
    </row>
    <row r="6" spans="2:6" x14ac:dyDescent="0.25">
      <c r="B6" s="12" t="s">
        <v>37</v>
      </c>
      <c r="C6" s="59" t="str">
        <f>VLOOKUP(B6,'HIDDEN features'!A:D,3,FALSE)</f>
        <v>Support for allowing Offline Authorization for Unknown Ids (AllowOfflineTxForUnknownId)</v>
      </c>
      <c r="D6" s="53" t="s">
        <v>20</v>
      </c>
      <c r="E6" s="137" t="str">
        <f>IF(AND(NOT(ISBLANK(B6)),ISBLANK(D6)),"&lt;---- This field cannot be left empty!","")</f>
        <v/>
      </c>
    </row>
    <row r="7" spans="2:6" x14ac:dyDescent="0.25">
      <c r="B7" s="13" t="s">
        <v>38</v>
      </c>
      <c r="C7" s="15" t="str">
        <f>VLOOKUP(B7,'HIDDEN features'!A:D,3,FALSE)</f>
        <v>Support for maximizing energy for invalid ids (MaxEnergyOnInvalidId)</v>
      </c>
      <c r="D7" s="54" t="s">
        <v>20</v>
      </c>
      <c r="E7" s="137" t="str">
        <f>IF(AND(NOT(ISBLANK(B7)),ISBLANK(D7)),"&lt;---- This field cannot be left empty!","")</f>
        <v/>
      </c>
    </row>
    <row r="8" spans="2:6" x14ac:dyDescent="0.25">
      <c r="B8" s="12" t="s">
        <v>39</v>
      </c>
      <c r="C8" s="59" t="str">
        <f>VLOOKUP(B8,'HIDDEN features'!A:D,3,FALSE)</f>
        <v>Authorization Cache (AuthorizationCacheEnabled)</v>
      </c>
      <c r="D8" s="53" t="s">
        <v>20</v>
      </c>
      <c r="E8" s="137" t="str">
        <f>IF(AND(NOT(ISBLANK(B8)),ISBLANK(D8)),"&lt;---- This field cannot be left empty!","")</f>
        <v/>
      </c>
    </row>
    <row r="9" spans="2:6" x14ac:dyDescent="0.25">
      <c r="B9" s="13" t="s">
        <v>232</v>
      </c>
      <c r="C9" s="15" t="str">
        <f>VLOOKUP(B9,'HIDDEN features'!A:D,3,FALSE)</f>
        <v>Support to limit StatusNotifications (MinimumStatusDuration)</v>
      </c>
      <c r="D9" s="54" t="s">
        <v>20</v>
      </c>
      <c r="E9" s="65" t="str">
        <f>IF(AND(D10="No",D11="No"),"&lt;-- Please select at least one option from C-06.1 and C-06.2","")</f>
        <v/>
      </c>
    </row>
    <row r="10" spans="2:6" x14ac:dyDescent="0.25">
      <c r="B10" s="12" t="s">
        <v>40</v>
      </c>
      <c r="C10" s="59" t="str">
        <f>VLOOKUP(B10,'HIDDEN features'!A:D,3,FALSE)</f>
        <v>Authorization status after cable disconnected on EV side (StopTransactionOnEVSideDisconnect)</v>
      </c>
      <c r="D10" s="53" t="str">
        <f>VLOOKUP(B10,'HIDDEN features'!A:D,4,FALSE)</f>
        <v>(At least one of the suboptions below is required)</v>
      </c>
      <c r="E10" s="65" t="str">
        <f>IF(AND(D11="No",D12="No"),"&lt;-- Please select at least one option from C-06.1 and C-06.2","")</f>
        <v/>
      </c>
    </row>
    <row r="11" spans="2:6" x14ac:dyDescent="0.25">
      <c r="B11" s="13" t="s">
        <v>41</v>
      </c>
      <c r="C11" s="60" t="str">
        <f>VLOOKUP(B11,'HIDDEN features'!A:D,3,FALSE)</f>
        <v>Support for maintaining authorization when cable disconnected on EV side</v>
      </c>
      <c r="D11" s="54" t="s">
        <v>15</v>
      </c>
      <c r="E11" s="137" t="str">
        <f>IF(AND(NOT(ISBLANK(B11)),ISBLANK(D11)),"&lt;---- This field cannot be left empty!","")</f>
        <v/>
      </c>
    </row>
    <row r="12" spans="2:6" x14ac:dyDescent="0.25">
      <c r="B12" s="12" t="s">
        <v>42</v>
      </c>
      <c r="C12" s="191" t="str">
        <f>VLOOKUP(B12,'HIDDEN features'!A:D,3,FALSE)</f>
        <v>Support for not maintaining authorization when cable disconnected on EV side</v>
      </c>
      <c r="D12" s="53" t="s">
        <v>20</v>
      </c>
      <c r="E12" s="137" t="str">
        <f>IF(AND(NOT(ISBLANK(B12)),ISBLANK(D12)),"&lt;---- This field cannot be left empty!","")</f>
        <v/>
      </c>
    </row>
    <row r="13" spans="2:6" x14ac:dyDescent="0.25">
      <c r="B13" s="13" t="s">
        <v>231</v>
      </c>
      <c r="C13" s="15" t="str">
        <f>VLOOKUP(B13,'HIDDEN features'!A:D,3,FALSE)</f>
        <v>Support for local start</v>
      </c>
      <c r="D13" s="54" t="s">
        <v>15</v>
      </c>
      <c r="E13" s="137"/>
    </row>
    <row r="14" spans="2:6" x14ac:dyDescent="0.25">
      <c r="B14" s="12" t="s">
        <v>432</v>
      </c>
      <c r="C14" s="59" t="str">
        <f>VLOOKUP(B14,'HIDDEN features'!A:D,3,FALSE)</f>
        <v>Support for local stop</v>
      </c>
      <c r="D14" s="53" t="s">
        <v>15</v>
      </c>
      <c r="E14" s="137"/>
    </row>
    <row r="15" spans="2:6" x14ac:dyDescent="0.25">
      <c r="B15" s="29"/>
      <c r="C15" s="193"/>
      <c r="D15" s="194"/>
      <c r="E15" s="137" t="str">
        <f t="shared" ref="E15" si="0">IF(AND(NOT(ISBLANK(B15)),ISBLANK(D15)),"&lt;---- This field cannot be left empty!","")</f>
        <v/>
      </c>
    </row>
    <row r="16" spans="2:6" x14ac:dyDescent="0.25">
      <c r="B16" s="15"/>
      <c r="C16" s="15"/>
      <c r="D16" s="63"/>
      <c r="E16" s="137"/>
    </row>
    <row r="17" spans="2:6" ht="30" x14ac:dyDescent="0.25">
      <c r="B17" s="228" t="s">
        <v>12</v>
      </c>
      <c r="C17" s="229" t="s">
        <v>534</v>
      </c>
      <c r="D17" s="230" t="s">
        <v>535</v>
      </c>
      <c r="E17" s="104" t="s">
        <v>536</v>
      </c>
    </row>
    <row r="18" spans="2:6" x14ac:dyDescent="0.25">
      <c r="B18" s="237" t="s">
        <v>538</v>
      </c>
      <c r="C18" s="238" t="str">
        <f>VLOOKUP(B18,'HIDDEN features'!A:D,3,FALSE)</f>
        <v>Supported MeterValue Measurands</v>
      </c>
      <c r="D18" s="239"/>
      <c r="E18" s="240"/>
    </row>
    <row r="19" spans="2:6" x14ac:dyDescent="0.25">
      <c r="B19" s="13" t="s">
        <v>539</v>
      </c>
      <c r="C19" s="4" t="str">
        <f>SUBSTITUTE(VLOOKUP(B19,'HIDDEN features'!A:D,3,FALSE),"Measurands"," Measurands")</f>
        <v>MeterValuesSampledData</v>
      </c>
      <c r="D19" s="241" t="str">
        <f>IFERROR(VLOOKUP(SUBSTITUTE(C19," ",""),'HIDDEN Testrun Results'!$A:$B,2,FALSE),"&lt;will be filled in by testlab&gt;")</f>
        <v>&lt;will be filled in by testlab&gt;</v>
      </c>
      <c r="E19" s="54" t="s">
        <v>537</v>
      </c>
      <c r="F19" s="137" t="str">
        <f>IF(AND(NOT(ISBLANK(C19)),ISBLANK(E19)),"&lt;---- This field cannot be left empty!",IF(NOT(ISERROR(FIND("&lt;",E19))),"&lt;---- Please enter a valid list of supported measurands",IF(ISERROR(FIND("Energy.Active.Import.Register",E19)),"&lt;---- Missing the default value Energy.Active.Import.Register","")))</f>
        <v>&lt;---- Please enter a valid list of supported measurands</v>
      </c>
    </row>
    <row r="20" spans="2:6" x14ac:dyDescent="0.25">
      <c r="B20" s="204" t="s">
        <v>540</v>
      </c>
      <c r="C20" s="242" t="str">
        <f>SUBSTITUTE(VLOOKUP(B20,'HIDDEN features'!A:D,3,FALSE),"Measurands"," Measurands")</f>
        <v>MeterValuesAlignedData</v>
      </c>
      <c r="D20" s="243" t="str">
        <f>IFERROR(VLOOKUP(SUBSTITUTE(C20," ",""),'HIDDEN Testrun Results'!$A:$B,2,FALSE),"&lt;will be filled in by testlab&gt;")</f>
        <v>&lt;will be filled in by testlab&gt;</v>
      </c>
      <c r="E20" s="64" t="s">
        <v>537</v>
      </c>
      <c r="F20" s="137" t="str">
        <f>IF(AND(NOT(ISBLANK(C20)),ISBLANK(E20)),"&lt;---- This field cannot be left empty!",IF(NOT(ISERROR(FIND("&lt;",E20))),"&lt;---- Please enter a valid list of supported measurands",IF(ISERROR(FIND("Energy.Active.Import.Register",E20)),"&lt;---- Missing the default value Energy.Active.Import.Register","")))</f>
        <v>&lt;---- Please enter a valid list of supported measurands</v>
      </c>
    </row>
    <row r="21" spans="2:6" x14ac:dyDescent="0.25">
      <c r="B21" s="15"/>
      <c r="C21" s="15"/>
      <c r="D21" s="63"/>
      <c r="E21" s="137"/>
    </row>
    <row r="22" spans="2:6" x14ac:dyDescent="0.25">
      <c r="B22" s="15"/>
      <c r="C22" s="4"/>
      <c r="D22" s="103"/>
    </row>
    <row r="23" spans="2:6" x14ac:dyDescent="0.25">
      <c r="B23" s="185" t="s">
        <v>12</v>
      </c>
      <c r="C23" s="39" t="s">
        <v>476</v>
      </c>
      <c r="D23" s="40" t="s">
        <v>191</v>
      </c>
    </row>
    <row r="24" spans="2:6" x14ac:dyDescent="0.25">
      <c r="B24" s="204" t="s">
        <v>477</v>
      </c>
      <c r="C24" s="192" t="str">
        <f>VLOOKUP(B24,'HIDDEN features'!A:D,3,FALSE)</f>
        <v>Support for Secure Firmware Updates</v>
      </c>
      <c r="D24" s="205" t="str">
        <f>IF(OR(VLOOKUP("Security profile 2: TLS (1.2 or higher) with Basic Authentication",Security_profiles,2,FALSE)="Yes", VLOOKUP("Security profile 3: TLS (1.2 or higher) with Client Side Certificates",Security_profiles,2,FALSE)="Yes"),"Yes","No")</f>
        <v>No</v>
      </c>
      <c r="E24" s="137" t="str">
        <f>IF(AND(D24="Yes",VLOOKUP(RIGHT(C23,LEN(C23)-FIND(":",C23)-1),Profile_Selection,2,FALSE)&lt;&gt;"Yes"),_xlfn.CONCAT("&lt;---- Value must be 'No' as ",C23," is not selected"),IF(AND(NOT(ISBLANK(B24)),ISBLANK(D24)),"&lt;---- This field cannot be left empty!",""))</f>
        <v/>
      </c>
    </row>
    <row r="25" spans="2:6" x14ac:dyDescent="0.25">
      <c r="B25" s="15"/>
      <c r="C25" s="4"/>
      <c r="D25" s="103"/>
    </row>
    <row r="26" spans="2:6" x14ac:dyDescent="0.25">
      <c r="B26" s="57" t="s">
        <v>12</v>
      </c>
      <c r="C26" s="58" t="s">
        <v>197</v>
      </c>
      <c r="D26" s="104" t="s">
        <v>191</v>
      </c>
    </row>
    <row r="27" spans="2:6" x14ac:dyDescent="0.25">
      <c r="B27" s="12" t="s">
        <v>226</v>
      </c>
      <c r="C27" s="59" t="str">
        <f>VLOOKUP(B27,'HIDDEN features'!A:D,3,FALSE)</f>
        <v>Supported charging rate units (ChargingScheduleChargingRateUnit)</v>
      </c>
      <c r="D27" s="9" t="str">
        <f>VLOOKUP(B27,'HIDDEN features'!A:D,4,FALSE)</f>
        <v>(Select all supported suboptions)</v>
      </c>
      <c r="E27" s="137" t="str">
        <f>IF(AND(ISERROR(VLOOKUP("Yes",D28:D29,1,FALSE)),VLOOKUP(RIGHT(C26,LEN(C26)-FIND(":",C26)-1),Profile_Selection,2,FALSE)="Yes"),"&lt;-- Please select at least one option","")</f>
        <v/>
      </c>
    </row>
    <row r="28" spans="2:6" x14ac:dyDescent="0.25">
      <c r="B28" s="23" t="s">
        <v>228</v>
      </c>
      <c r="C28" s="60" t="str">
        <f>VLOOKUP(B28,'HIDDEN features'!A:D,3,FALSE)</f>
        <v>A</v>
      </c>
      <c r="D28" s="54" t="s">
        <v>20</v>
      </c>
      <c r="E28" s="137" t="str">
        <f>IF(AND(D28="Yes",VLOOKUP(RIGHT(C26,LEN(C26)-FIND(":",C26)-1),Profile_Selection,2,FALSE)&lt;&gt;"Yes"),_xlfn.CONCAT("&lt;---- Value must be 'No' as ",C26," is not selected"),IF(AND(NOT(ISBLANK(B28)),ISBLANK(D28)),"&lt;---- This field cannot be left empty!",""))</f>
        <v/>
      </c>
    </row>
    <row r="29" spans="2:6" x14ac:dyDescent="0.25">
      <c r="B29" s="24" t="s">
        <v>229</v>
      </c>
      <c r="C29" s="61" t="str">
        <f>VLOOKUP(B29,'HIDDEN features'!A:D,3,FALSE)</f>
        <v>W</v>
      </c>
      <c r="D29" s="64" t="s">
        <v>20</v>
      </c>
      <c r="E29" s="137" t="str">
        <f>IF(AND(D29="Yes",VLOOKUP(RIGHT(C26,LEN(C26)-FIND(":",C26)-1),Profile_Selection,2,FALSE)&lt;&gt;"Yes"),_xlfn.CONCAT("&lt;---- Value must be 'No' as ",C26," is not selected"),IF(AND(NOT(ISBLANK(B29)),ISBLANK(D29)),"&lt;---- This field cannot be left empty!",""))</f>
        <v/>
      </c>
    </row>
    <row r="30" spans="2:6" x14ac:dyDescent="0.25">
      <c r="B30" s="11"/>
    </row>
    <row r="31" spans="2:6" x14ac:dyDescent="0.25">
      <c r="B31" s="185" t="s">
        <v>12</v>
      </c>
      <c r="C31" s="39" t="s">
        <v>45</v>
      </c>
      <c r="D31" s="40" t="s">
        <v>191</v>
      </c>
    </row>
    <row r="32" spans="2:6" x14ac:dyDescent="0.25">
      <c r="B32" s="186" t="s">
        <v>127</v>
      </c>
      <c r="C32" s="192" t="str">
        <f>VLOOKUP(B32,'HIDDEN features'!A:D,3,FALSE)</f>
        <v>Support reservations of entire Charging Station (ReserveConnectorZeroSupported)</v>
      </c>
      <c r="D32" s="187" t="s">
        <v>20</v>
      </c>
      <c r="E32" s="137" t="str">
        <f>IF(AND(D32="Yes",VLOOKUP(RIGHT(C31,LEN(C31)-FIND(":",C31)-1),Profile_Selection,2,FALSE)&lt;&gt;"Yes"),_xlfn.CONCAT("&lt;---- Value must be 'No' as ",C31," is not selected"),IF(AND(NOT(ISBLANK(B32)),ISBLANK(D32)),"&lt;---- This field cannot be left empty!",""))</f>
        <v/>
      </c>
    </row>
    <row r="33" spans="2:5" x14ac:dyDescent="0.25">
      <c r="B33" s="11"/>
    </row>
    <row r="34" spans="2:5" x14ac:dyDescent="0.25">
      <c r="B34" s="11"/>
    </row>
    <row r="35" spans="2:5" x14ac:dyDescent="0.25">
      <c r="B35" s="11"/>
    </row>
    <row r="36" spans="2:5" x14ac:dyDescent="0.25">
      <c r="B36" s="218" t="s">
        <v>34</v>
      </c>
      <c r="C36" s="219" t="s">
        <v>497</v>
      </c>
      <c r="D36" s="220" t="s">
        <v>190</v>
      </c>
      <c r="E36" s="137" t="str">
        <f>IF(AND(VLOOKUP($C$36,Certification_Extensions,2,FALSE)="Yes",ISERROR(VLOOKUP("Yes",$D$38:$D$39,1,FALSE))),"&lt;-- Please select either Security Profile 2 or 3 or both","")</f>
        <v/>
      </c>
    </row>
    <row r="37" spans="2:5" x14ac:dyDescent="0.25">
      <c r="B37" s="188" t="s">
        <v>227</v>
      </c>
      <c r="C37" s="189" t="str">
        <f>VLOOKUP(B37,'HIDDEN features'!A:D,3,FALSE)</f>
        <v>Security Profile 1: Unsecured Transport with Basic Authentication</v>
      </c>
      <c r="D37" s="215" t="s">
        <v>20</v>
      </c>
      <c r="E37" s="137" t="str">
        <f>IF(AND(VLOOKUP($C$36,Certification_Extensions,2,FALSE)&lt;&gt;"Yes",$D37&lt;&gt;"No"),"&lt;---- Please set security profile 1 to No, since the security extension is not selected.","")</f>
        <v/>
      </c>
    </row>
    <row r="38" spans="2:5" x14ac:dyDescent="0.25">
      <c r="B38" s="12" t="s">
        <v>493</v>
      </c>
      <c r="C38" s="59" t="str">
        <f>VLOOKUP(B38,'HIDDEN features'!A:D,3,FALSE)</f>
        <v>Security Profile 2: TLS (1.2 or higher) with Basic Authentication</v>
      </c>
      <c r="D38" s="308" t="str">
        <f>'Profile selection'!C15</f>
        <v>No</v>
      </c>
      <c r="E38" s="137" t="str">
        <f>IF(AND(VLOOKUP($C$36,Certification_Extensions,2,FALSE)&lt;&gt;"Yes",$D38&lt;&gt;"No"),"&lt;---- Please set security profile 2 to No, since the security extension is not selected.","")</f>
        <v/>
      </c>
    </row>
    <row r="39" spans="2:5" x14ac:dyDescent="0.25">
      <c r="B39" s="29" t="s">
        <v>495</v>
      </c>
      <c r="C39" s="193" t="str">
        <f>VLOOKUP(B39,'HIDDEN features'!A:D,3,FALSE)</f>
        <v>Security Profile 3: TLS (1.2 or higher) with Client Side Certificates</v>
      </c>
      <c r="D39" s="194" t="s">
        <v>20</v>
      </c>
      <c r="E39" s="137" t="str">
        <f>IF(AND(VLOOKUP($C$36,Certification_Extensions,2,FALSE)&lt;&gt;"Yes",$D39&lt;&gt;"No"),"&lt;---- Please set security profile 3 to No, since the security extension is not selected.","")</f>
        <v/>
      </c>
    </row>
    <row r="40" spans="2:5" x14ac:dyDescent="0.25">
      <c r="B40" s="11"/>
    </row>
    <row r="41" spans="2:5" x14ac:dyDescent="0.25">
      <c r="B41" s="185" t="s">
        <v>12</v>
      </c>
      <c r="C41" s="39" t="s">
        <v>526</v>
      </c>
      <c r="D41" s="40" t="s">
        <v>191</v>
      </c>
    </row>
    <row r="42" spans="2:5" ht="83.25" customHeight="1" x14ac:dyDescent="0.25">
      <c r="B42" s="204" t="s">
        <v>494</v>
      </c>
      <c r="C42" s="192" t="str">
        <f>VLOOKUP(B42,'HIDDEN features'!A:D,3,FALSE)</f>
        <v>Supported Cipher Suites</v>
      </c>
      <c r="D42" s="64" t="s">
        <v>118</v>
      </c>
      <c r="E42" s="137" t="str">
        <f>IF(NOT(ISERROR(VLOOKUP("Yes",$D$38:$D$39,1,FALSE))),IF(AND(NOT(ISBLANK($B42)),ISBLANK($D42)),"&lt;---- This field cannot be left empty!",IF(NOT(ISERROR(FIND("{",$D42))),"&lt;---- Please enter a valid list of supported cipher suites","")),"")</f>
        <v/>
      </c>
    </row>
    <row r="43" spans="2:5" x14ac:dyDescent="0.25">
      <c r="B43" s="15"/>
      <c r="C43" s="15"/>
      <c r="D43" s="63"/>
    </row>
  </sheetData>
  <sheetProtection algorithmName="SHA-512" hashValue="rRaqH50PbQhylGkJdjsaDkyUK6O1A8y6jtg7RbYdgcvni4CLru69mWa/qzL3O/17xFZc6UUYXzH5t26EbkQTHg==" saltValue="w+bBMOSjtgxR3L8+Imb7tQ==" spinCount="100000" sheet="1" objects="1" scenarios="1"/>
  <mergeCells count="2">
    <mergeCell ref="B1:D1"/>
    <mergeCell ref="C2:D2"/>
  </mergeCells>
  <conditionalFormatting sqref="F1:F2">
    <cfRule type="cellIs" dxfId="11" priority="1" operator="equal">
      <formula>"INVALID"</formula>
    </cfRule>
    <cfRule type="cellIs" dxfId="10" priority="2" operator="equal">
      <formula>"VALID"</formula>
    </cfRule>
  </conditionalFormatting>
  <dataValidations count="1">
    <dataValidation type="list" allowBlank="1" showInputMessage="1" showErrorMessage="1" sqref="D32 D28:D29 D6:D9 D21 D11:D16 D37 D39" xr:uid="{C041260F-75D1-4DA8-9B13-2E9101B865DB}">
      <formula1>"Yes,No"</formula1>
    </dataValidation>
  </dataValidations>
  <pageMargins left="0.7" right="0.7" top="0.75" bottom="0.75" header="0.3" footer="0.3"/>
  <pageSetup paperSize="9" orientation="portrait" r:id="rId1"/>
  <headerFooter>
    <oddFooter>&amp;C_x000D_&amp;1#&amp;"Arial"&amp;9&amp;K000000 Internal</oddFooter>
  </headerFooter>
  <ignoredErrors>
    <ignoredError sqref="D10" unlockedFormula="1"/>
  </ignoredErrors>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14CD2733-E254-3641-AE05-E082B4BD7840}">
          <x14:formula1>
            <xm:f>MD!H:H</xm:f>
          </x14:formula1>
          <xm:sqref>D42</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83E844-10AE-418A-8FD0-F0A6EFD67A93}">
  <dimension ref="B1:F24"/>
  <sheetViews>
    <sheetView showGridLines="0" workbookViewId="0">
      <selection activeCell="D5" sqref="D5"/>
    </sheetView>
  </sheetViews>
  <sheetFormatPr defaultColWidth="28.375" defaultRowHeight="15.75" customHeight="1" x14ac:dyDescent="0.25"/>
  <cols>
    <col min="1" max="1" width="11.625" customWidth="1"/>
    <col min="2" max="2" width="8.625" customWidth="1"/>
    <col min="3" max="3" width="97.125" customWidth="1"/>
    <col min="4" max="4" width="25.125" customWidth="1"/>
    <col min="5" max="5" width="35" bestFit="1" customWidth="1"/>
  </cols>
  <sheetData>
    <row r="1" spans="2:6" ht="53.25" customHeight="1" x14ac:dyDescent="0.25">
      <c r="C1" s="47" t="s">
        <v>55</v>
      </c>
      <c r="E1" s="134" t="s">
        <v>202</v>
      </c>
      <c r="F1" s="134" t="str">
        <f>IF(_xlfn.CONCAT(E5:E13)="","VALID","INVALID")</f>
        <v>VALID</v>
      </c>
    </row>
    <row r="2" spans="2:6" ht="34.5" customHeight="1" x14ac:dyDescent="0.25">
      <c r="C2" s="280" t="s">
        <v>591</v>
      </c>
      <c r="E2" s="134"/>
      <c r="F2" s="134"/>
    </row>
    <row r="3" spans="2:6" ht="17.25" customHeight="1" x14ac:dyDescent="0.25">
      <c r="C3" s="47"/>
      <c r="E3" s="134"/>
      <c r="F3" s="134"/>
    </row>
    <row r="4" spans="2:6" x14ac:dyDescent="0.25">
      <c r="B4" s="44" t="s">
        <v>12</v>
      </c>
      <c r="C4" s="39" t="s">
        <v>56</v>
      </c>
      <c r="D4" s="40" t="s">
        <v>620</v>
      </c>
    </row>
    <row r="5" spans="2:6" x14ac:dyDescent="0.25">
      <c r="B5" s="198" t="s">
        <v>57</v>
      </c>
      <c r="C5" s="199" t="s">
        <v>532</v>
      </c>
      <c r="D5" s="200" t="s">
        <v>20</v>
      </c>
      <c r="E5" s="137" t="str">
        <f>IF(AND(NOT(ISBLANK(B5)),ISBLANK(D5)),"&lt;---- This field cannot be left empty!","")</f>
        <v/>
      </c>
    </row>
    <row r="6" spans="2:6" ht="30" x14ac:dyDescent="0.25">
      <c r="B6" s="46" t="s">
        <v>58</v>
      </c>
      <c r="C6" s="30" t="s">
        <v>59</v>
      </c>
      <c r="D6" s="54" t="s">
        <v>20</v>
      </c>
      <c r="E6" s="137" t="str">
        <f t="shared" ref="E6:E10" si="0">IF(AND(NOT(ISBLANK(B6)),ISBLANK(D6)),"&lt;---- This field cannot be left empty!","")</f>
        <v/>
      </c>
    </row>
    <row r="7" spans="2:6" x14ac:dyDescent="0.25">
      <c r="B7" s="45" t="s">
        <v>60</v>
      </c>
      <c r="C7" s="43" t="s">
        <v>533</v>
      </c>
      <c r="D7" s="53" t="s">
        <v>20</v>
      </c>
      <c r="E7" s="137" t="str">
        <f t="shared" si="0"/>
        <v/>
      </c>
    </row>
    <row r="8" spans="2:6" x14ac:dyDescent="0.25">
      <c r="B8" s="46" t="s">
        <v>61</v>
      </c>
      <c r="C8" s="30" t="s">
        <v>65</v>
      </c>
      <c r="D8" s="54" t="s">
        <v>20</v>
      </c>
      <c r="E8" s="137" t="str">
        <f t="shared" si="0"/>
        <v/>
      </c>
    </row>
    <row r="9" spans="2:6" x14ac:dyDescent="0.25">
      <c r="B9" s="45" t="s">
        <v>62</v>
      </c>
      <c r="C9" s="43" t="s">
        <v>66</v>
      </c>
      <c r="D9" s="53" t="s">
        <v>20</v>
      </c>
      <c r="E9" s="137" t="str">
        <f t="shared" si="0"/>
        <v/>
      </c>
    </row>
    <row r="10" spans="2:6" ht="19.5" customHeight="1" x14ac:dyDescent="0.25">
      <c r="B10" s="46" t="s">
        <v>63</v>
      </c>
      <c r="C10" s="30" t="s">
        <v>128</v>
      </c>
      <c r="D10" s="54" t="s">
        <v>20</v>
      </c>
      <c r="E10" s="137" t="str">
        <f t="shared" si="0"/>
        <v/>
      </c>
    </row>
    <row r="11" spans="2:6" ht="30.75" customHeight="1" x14ac:dyDescent="0.25">
      <c r="B11" s="45" t="s">
        <v>64</v>
      </c>
      <c r="C11" s="43" t="s">
        <v>463</v>
      </c>
      <c r="D11" s="203" t="s">
        <v>144</v>
      </c>
      <c r="E11" s="137"/>
    </row>
    <row r="12" spans="2:6" x14ac:dyDescent="0.25">
      <c r="B12" s="46" t="s">
        <v>461</v>
      </c>
      <c r="C12" s="201" t="s">
        <v>465</v>
      </c>
      <c r="D12" s="54" t="s">
        <v>20</v>
      </c>
      <c r="E12" s="137" t="str">
        <f>IF(NOT(_xlfn.XOR(D12="Yes",D13="Yes")),"&lt;-- Please select one option","")</f>
        <v/>
      </c>
    </row>
    <row r="13" spans="2:6" x14ac:dyDescent="0.25">
      <c r="B13" s="94" t="s">
        <v>462</v>
      </c>
      <c r="C13" s="202" t="s">
        <v>464</v>
      </c>
      <c r="D13" s="64" t="s">
        <v>15</v>
      </c>
    </row>
    <row r="14" spans="2:6" x14ac:dyDescent="0.25">
      <c r="B14" s="90"/>
      <c r="C14" s="92"/>
      <c r="D14" s="91"/>
    </row>
    <row r="15" spans="2:6" x14ac:dyDescent="0.25">
      <c r="B15" s="90"/>
      <c r="C15" s="93"/>
      <c r="D15" s="63"/>
    </row>
    <row r="16" spans="2:6" x14ac:dyDescent="0.25">
      <c r="B16" s="90"/>
      <c r="C16" s="71"/>
      <c r="D16" s="51"/>
    </row>
    <row r="17" spans="3:3" x14ac:dyDescent="0.25">
      <c r="C17" s="3"/>
    </row>
    <row r="24" spans="3:3" x14ac:dyDescent="0.25">
      <c r="C24" t="s">
        <v>2</v>
      </c>
    </row>
  </sheetData>
  <sheetProtection algorithmName="SHA-512" hashValue="67ix3fyPTqPS9BCoKJSEkTnrkFHWPcJjnUcnfo49+FVk4gkgv4i/TrqW09IRnUoUJml2qXsfhJi1eFUuSpjUNQ==" saltValue="PvgZ+NCaMi+3auKwCKnbOQ==" spinCount="100000" sheet="1" objects="1" scenarios="1"/>
  <phoneticPr fontId="36" type="noConversion"/>
  <conditionalFormatting sqref="F1:F3">
    <cfRule type="cellIs" dxfId="9" priority="1" operator="equal">
      <formula>"INVALID"</formula>
    </cfRule>
    <cfRule type="cellIs" dxfId="8" priority="2" operator="equal">
      <formula>"VALID"</formula>
    </cfRule>
  </conditionalFormatting>
  <dataValidations count="1">
    <dataValidation type="list" allowBlank="1" showInputMessage="1" showErrorMessage="1" sqref="D5:D10 D12:D13" xr:uid="{28070518-DDD2-469A-8404-FE76BF5B1220}">
      <formula1>"Yes,No"</formula1>
    </dataValidation>
  </dataValidations>
  <pageMargins left="0.7" right="0.7" top="0.75" bottom="0.75" header="0.3" footer="0.3"/>
  <pageSetup paperSize="9" orientation="portrait" r:id="rId1"/>
  <headerFooter>
    <oddFooter>&amp;C_x000D_&amp;1#&amp;"Arial"&amp;9&amp;K000000 Internal</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732B88-7246-4D99-AEEA-0304BDCC43E2}">
  <dimension ref="B1:F37"/>
  <sheetViews>
    <sheetView showGridLines="0" zoomScaleNormal="100" workbookViewId="0">
      <selection activeCell="D5" sqref="D5"/>
    </sheetView>
  </sheetViews>
  <sheetFormatPr defaultColWidth="28.375" defaultRowHeight="15.75" x14ac:dyDescent="0.25"/>
  <cols>
    <col min="1" max="1" width="13.125" customWidth="1"/>
    <col min="2" max="2" width="8.125" customWidth="1"/>
    <col min="3" max="3" width="55" customWidth="1"/>
    <col min="4" max="4" width="54.125" customWidth="1"/>
    <col min="5" max="5" width="37.875" customWidth="1"/>
  </cols>
  <sheetData>
    <row r="1" spans="2:6" ht="35.25" customHeight="1" x14ac:dyDescent="0.35">
      <c r="B1" s="358" t="s">
        <v>67</v>
      </c>
      <c r="C1" s="358"/>
      <c r="D1" s="358"/>
      <c r="E1" s="134" t="s">
        <v>195</v>
      </c>
      <c r="F1" s="134" t="str">
        <f>IF(AND(ISERROR(FIND("&lt;please ", _xlfn.CONCAT(D4:D58))),ISERROR(FIND("&lt;-- ", _xlfn.CONCAT(E4:E58)))),"VALID","INVALID")</f>
        <v>INVALID</v>
      </c>
    </row>
    <row r="2" spans="2:6" ht="24" customHeight="1" x14ac:dyDescent="0.35">
      <c r="B2" s="270"/>
      <c r="C2" s="362" t="s">
        <v>592</v>
      </c>
      <c r="D2" s="362"/>
      <c r="E2" s="134"/>
      <c r="F2" s="134"/>
    </row>
    <row r="3" spans="2:6" ht="21.75" customHeight="1" x14ac:dyDescent="0.25"/>
    <row r="4" spans="2:6" ht="16.5" thickBot="1" x14ac:dyDescent="0.3">
      <c r="B4" s="8" t="s">
        <v>12</v>
      </c>
      <c r="C4" s="26" t="s">
        <v>192</v>
      </c>
      <c r="D4" s="89" t="s">
        <v>68</v>
      </c>
    </row>
    <row r="5" spans="2:6" ht="16.5" thickBot="1" x14ac:dyDescent="0.3">
      <c r="B5" s="27" t="s">
        <v>69</v>
      </c>
      <c r="C5" s="22" t="s">
        <v>235</v>
      </c>
      <c r="D5" s="55" t="s">
        <v>70</v>
      </c>
      <c r="E5" s="137" t="str">
        <f>IF(AND('Profile selection'!$C$4="Yes",OR(D5="… ",D5="")),"&lt;-- This field is required","")</f>
        <v>&lt;-- This field is required</v>
      </c>
    </row>
    <row r="6" spans="2:6" ht="16.5" thickBot="1" x14ac:dyDescent="0.3">
      <c r="B6" s="28" t="s">
        <v>71</v>
      </c>
      <c r="C6" s="25" t="s">
        <v>236</v>
      </c>
      <c r="D6" s="56" t="s">
        <v>70</v>
      </c>
    </row>
    <row r="7" spans="2:6" ht="16.5" thickBot="1" x14ac:dyDescent="0.3">
      <c r="B7" s="27" t="s">
        <v>72</v>
      </c>
      <c r="C7" s="22" t="s">
        <v>237</v>
      </c>
      <c r="D7" s="55" t="s">
        <v>70</v>
      </c>
    </row>
    <row r="8" spans="2:6" ht="16.5" thickBot="1" x14ac:dyDescent="0.3">
      <c r="B8" s="28" t="s">
        <v>73</v>
      </c>
      <c r="C8" s="25" t="s">
        <v>238</v>
      </c>
      <c r="D8" s="56" t="s">
        <v>70</v>
      </c>
    </row>
    <row r="9" spans="2:6" ht="16.5" thickBot="1" x14ac:dyDescent="0.3">
      <c r="B9" s="27" t="s">
        <v>74</v>
      </c>
      <c r="C9" s="22" t="s">
        <v>239</v>
      </c>
      <c r="D9" s="55" t="s">
        <v>70</v>
      </c>
    </row>
    <row r="10" spans="2:6" ht="16.5" thickBot="1" x14ac:dyDescent="0.3">
      <c r="B10" s="28" t="s">
        <v>75</v>
      </c>
      <c r="C10" s="25" t="s">
        <v>240</v>
      </c>
      <c r="D10" s="56" t="s">
        <v>70</v>
      </c>
    </row>
    <row r="11" spans="2:6" ht="16.5" thickBot="1" x14ac:dyDescent="0.3">
      <c r="B11" s="27" t="s">
        <v>76</v>
      </c>
      <c r="C11" s="136" t="s">
        <v>241</v>
      </c>
      <c r="D11" s="55" t="s">
        <v>70</v>
      </c>
    </row>
    <row r="12" spans="2:6" ht="16.5" thickBot="1" x14ac:dyDescent="0.3">
      <c r="B12" s="28" t="s">
        <v>77</v>
      </c>
      <c r="C12" s="135" t="s">
        <v>242</v>
      </c>
      <c r="D12" s="56" t="s">
        <v>70</v>
      </c>
    </row>
    <row r="13" spans="2:6" ht="16.5" thickBot="1" x14ac:dyDescent="0.3">
      <c r="B13" s="27" t="s">
        <v>78</v>
      </c>
      <c r="C13" s="22" t="s">
        <v>243</v>
      </c>
      <c r="D13" s="55" t="s">
        <v>70</v>
      </c>
    </row>
    <row r="14" spans="2:6" ht="16.5" thickBot="1" x14ac:dyDescent="0.3">
      <c r="B14" s="28" t="s">
        <v>79</v>
      </c>
      <c r="C14" s="25" t="s">
        <v>244</v>
      </c>
      <c r="D14" s="56" t="s">
        <v>70</v>
      </c>
    </row>
    <row r="15" spans="2:6" ht="16.5" thickBot="1" x14ac:dyDescent="0.3">
      <c r="B15" s="27" t="s">
        <v>80</v>
      </c>
      <c r="C15" s="136" t="s">
        <v>85</v>
      </c>
      <c r="D15" s="55" t="s">
        <v>196</v>
      </c>
      <c r="E15" s="137" t="str">
        <f>IF(AND('Profile selection'!$C$4="Yes",OR(D15="… ",D15="",NOT(ISERROR(FIND("&lt;",D15))))),"&lt;-- This field is required","")</f>
        <v>&lt;-- This field is required</v>
      </c>
    </row>
    <row r="16" spans="2:6" ht="16.5" thickBot="1" x14ac:dyDescent="0.3">
      <c r="B16" s="28"/>
      <c r="C16" s="25"/>
      <c r="D16" s="112"/>
      <c r="E16" s="33"/>
    </row>
    <row r="17" spans="2:5" ht="16.5" thickBot="1" x14ac:dyDescent="0.3">
      <c r="B17" s="27"/>
      <c r="C17" s="22"/>
      <c r="D17" s="105"/>
    </row>
    <row r="18" spans="2:5" ht="16.5" thickBot="1" x14ac:dyDescent="0.3">
      <c r="B18" s="76" t="s">
        <v>12</v>
      </c>
      <c r="C18" s="75" t="s">
        <v>193</v>
      </c>
      <c r="D18" s="89" t="s">
        <v>139</v>
      </c>
    </row>
    <row r="19" spans="2:5" ht="16.5" thickBot="1" x14ac:dyDescent="0.3">
      <c r="B19" s="27" t="s">
        <v>81</v>
      </c>
      <c r="C19" s="22" t="s">
        <v>245</v>
      </c>
      <c r="D19" s="55" t="s">
        <v>70</v>
      </c>
      <c r="E19" s="65" t="str">
        <f>IF('Profile selection'!$C$6="Yes",IF(OR(D19="… ",D19=""),"&lt;-- This field is required",""),IF(NOT(OR(D19="… ",D19="")),"&lt;-- This field must be left empty when the profile is not selected",""))</f>
        <v/>
      </c>
    </row>
    <row r="20" spans="2:5" ht="16.5" thickBot="1" x14ac:dyDescent="0.3">
      <c r="B20" s="28" t="s">
        <v>248</v>
      </c>
      <c r="C20" s="25" t="s">
        <v>246</v>
      </c>
      <c r="D20" s="56" t="s">
        <v>70</v>
      </c>
      <c r="E20" s="65" t="str">
        <f>IF('Profile selection'!$C$6="Yes",IF(OR(D20="… ",D20=""),"&lt;-- This field is required",""),IF(NOT(OR(D20="… ",D20="")),"&lt;-- This field must be left empty when the profile is not selected",""))</f>
        <v/>
      </c>
    </row>
    <row r="21" spans="2:5" ht="16.5" thickBot="1" x14ac:dyDescent="0.3">
      <c r="B21" s="27"/>
      <c r="C21" s="22"/>
      <c r="D21" s="105"/>
    </row>
    <row r="22" spans="2:5" ht="16.5" thickBot="1" x14ac:dyDescent="0.3">
      <c r="B22" s="28"/>
      <c r="C22" s="25"/>
      <c r="D22" s="112"/>
    </row>
    <row r="23" spans="2:5" ht="16.5" thickBot="1" x14ac:dyDescent="0.3">
      <c r="B23" s="113" t="s">
        <v>12</v>
      </c>
      <c r="C23" s="114" t="s">
        <v>44</v>
      </c>
      <c r="D23" s="118" t="s">
        <v>139</v>
      </c>
    </row>
    <row r="24" spans="2:5" ht="16.5" thickBot="1" x14ac:dyDescent="0.3">
      <c r="B24" s="28" t="s">
        <v>82</v>
      </c>
      <c r="C24" s="25" t="s">
        <v>86</v>
      </c>
      <c r="D24" s="56" t="s">
        <v>70</v>
      </c>
      <c r="E24" s="65" t="str">
        <f>IF('Profile selection'!$C$7="Yes",IF(OR(D24="… ",D24=""),"&lt;-- This field is required",""),IF(NOT(OR(D24="… ",D24="")),"&lt;-- This field must be left empty when the profile is not selected",""))</f>
        <v/>
      </c>
    </row>
    <row r="25" spans="2:5" ht="16.5" thickBot="1" x14ac:dyDescent="0.3">
      <c r="B25" s="27" t="s">
        <v>83</v>
      </c>
      <c r="C25" s="22" t="s">
        <v>247</v>
      </c>
      <c r="D25" s="55" t="s">
        <v>70</v>
      </c>
      <c r="E25" s="65" t="str">
        <f>IF('Profile selection'!$C$7="Yes",IF(OR(D25="… ",D25=""),"&lt;-- This field is required",""),IF(NOT(OR(D25="… ",D25="")),"&lt;-- This field must be left empty when the profile is not selected",""))</f>
        <v/>
      </c>
    </row>
    <row r="26" spans="2:5" ht="16.5" thickBot="1" x14ac:dyDescent="0.3">
      <c r="B26" s="28" t="s">
        <v>629</v>
      </c>
      <c r="C26" s="25" t="s">
        <v>630</v>
      </c>
      <c r="D26" s="56" t="s">
        <v>70</v>
      </c>
      <c r="E26" s="65" t="str">
        <f>IF('Profile selection'!$C$7="Yes",IF(OR(D26="… ",D26=""),"&lt;-- This field is required",""),IF(NOT(OR(D26="… ",D26="")),"&lt;-- This field must be left empty when the profile is not selected",""))</f>
        <v/>
      </c>
    </row>
    <row r="27" spans="2:5" ht="16.5" thickBot="1" x14ac:dyDescent="0.3">
      <c r="B27" s="27"/>
      <c r="C27" s="22"/>
      <c r="D27" s="105"/>
    </row>
    <row r="28" spans="2:5" ht="16.5" thickBot="1" x14ac:dyDescent="0.3">
      <c r="B28" s="76" t="s">
        <v>12</v>
      </c>
      <c r="C28" s="74" t="s">
        <v>194</v>
      </c>
      <c r="D28" s="89" t="s">
        <v>139</v>
      </c>
    </row>
    <row r="29" spans="2:5" ht="16.5" thickBot="1" x14ac:dyDescent="0.3">
      <c r="B29" s="27" t="s">
        <v>84</v>
      </c>
      <c r="C29" s="22" t="s">
        <v>87</v>
      </c>
      <c r="D29" s="55" t="s">
        <v>518</v>
      </c>
      <c r="E29" s="225" t="str">
        <f>IF(AND(OR('Profile selection'!C5="Yes",'Profile selection'!C15="Yes"),D29="..."),"&lt;-- &lt;please provide supported protocols e.g. HTTP, HTTPS, FTP, FTPS&gt;","")</f>
        <v/>
      </c>
    </row>
    <row r="30" spans="2:5" ht="16.5" thickBot="1" x14ac:dyDescent="0.3">
      <c r="B30" s="28"/>
      <c r="C30" s="25"/>
      <c r="D30" s="112"/>
    </row>
    <row r="31" spans="2:5" ht="16.5" thickBot="1" x14ac:dyDescent="0.3">
      <c r="B31" s="27"/>
      <c r="C31" s="22"/>
      <c r="D31" s="105"/>
    </row>
    <row r="32" spans="2:5" ht="16.5" thickBot="1" x14ac:dyDescent="0.3">
      <c r="B32" s="76" t="s">
        <v>12</v>
      </c>
      <c r="C32" s="74" t="s">
        <v>497</v>
      </c>
      <c r="D32" s="89" t="s">
        <v>139</v>
      </c>
      <c r="E32" s="225"/>
    </row>
    <row r="33" spans="2:5" ht="16.5" thickBot="1" x14ac:dyDescent="0.3">
      <c r="B33" s="27" t="s">
        <v>572</v>
      </c>
      <c r="C33" s="22" t="s">
        <v>574</v>
      </c>
      <c r="D33" s="55" t="s">
        <v>158</v>
      </c>
    </row>
    <row r="34" spans="2:5" ht="16.5" thickBot="1" x14ac:dyDescent="0.3">
      <c r="B34" s="28" t="s">
        <v>573</v>
      </c>
      <c r="C34" s="25" t="s">
        <v>575</v>
      </c>
      <c r="D34" s="56" t="s">
        <v>158</v>
      </c>
      <c r="E34" s="225"/>
    </row>
    <row r="35" spans="2:5" x14ac:dyDescent="0.25">
      <c r="B35" s="115"/>
      <c r="C35" s="116"/>
      <c r="D35" s="117"/>
      <c r="E35" s="225" t="str">
        <f>IF(AND('Profile selection'!C5="No",'Profile selection'!C15="No",D29&lt;&gt;"..."),"&lt;-- &lt;please do not provide supported protocols&gt;","")</f>
        <v/>
      </c>
    </row>
    <row r="36" spans="2:5" x14ac:dyDescent="0.25">
      <c r="B36" s="3"/>
      <c r="C36" s="3"/>
    </row>
    <row r="37" spans="2:5" x14ac:dyDescent="0.25">
      <c r="B37" s="3"/>
      <c r="C37" s="3"/>
    </row>
  </sheetData>
  <sheetProtection algorithmName="SHA-512" hashValue="QhrxfBcPpX2gnQlGDMBmgkTtMjsx5tCtK3PNy0C6GmvLs9XcTVDBDr3+JBKjI399SLoAdKmFiAdZfhBnvfyhpQ==" saltValue="xiQw/tpikROBilsSTu1CZw==" spinCount="100000" sheet="1" objects="1" scenarios="1"/>
  <mergeCells count="2">
    <mergeCell ref="B1:D1"/>
    <mergeCell ref="C2:D2"/>
  </mergeCells>
  <conditionalFormatting sqref="F1:F2">
    <cfRule type="cellIs" dxfId="7" priority="1" operator="equal">
      <formula>"INVALID"</formula>
    </cfRule>
    <cfRule type="cellIs" dxfId="6" priority="2" operator="equal">
      <formula>"VALID"</formula>
    </cfRule>
  </conditionalFormatting>
  <dataValidations count="3">
    <dataValidation type="whole" showInputMessage="1" showErrorMessage="1" errorTitle="Invalid value" error="The WebSocketPingInterval must be set to a value between 1 and 120 for certification to ensure a stable connection between your CS and the test tool (OCTT)" sqref="D16" xr:uid="{F79F6F86-BD89-064B-9BF9-EBD2D5813CA7}">
      <formula1>1</formula1>
      <formula2>120</formula2>
    </dataValidation>
    <dataValidation type="whole" operator="greaterThanOrEqual" showInputMessage="1" showErrorMessage="1" sqref="D5:D14 D19" xr:uid="{D026B649-786A-4245-9395-6E1C4B4BCEE3}">
      <formula1>0</formula1>
    </dataValidation>
    <dataValidation type="whole" showInputMessage="1" showErrorMessage="1" sqref="D15" xr:uid="{449BD762-7B70-41E3-8345-6E72EDE987F1}">
      <formula1>1</formula1>
      <formula2>120</formula2>
    </dataValidation>
  </dataValidations>
  <pageMargins left="0.7" right="0.7" top="0.75" bottom="0.75" header="0.3" footer="0.3"/>
  <pageSetup paperSize="9" orientation="portrait" r:id="rId1"/>
  <headerFooter>
    <oddFooter>&amp;C_x000D_&amp;1#&amp;"Arial"&amp;9&amp;K000000 Internal</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B2F45A-58F3-457E-83B1-6C789C58C5DA}">
  <dimension ref="B2:D28"/>
  <sheetViews>
    <sheetView showGridLines="0" workbookViewId="0">
      <selection activeCell="B6" sqref="B6"/>
    </sheetView>
  </sheetViews>
  <sheetFormatPr defaultColWidth="18.125" defaultRowHeight="15.75" x14ac:dyDescent="0.25"/>
  <cols>
    <col min="1" max="1" width="14.875" customWidth="1"/>
    <col min="2" max="2" width="24.625" customWidth="1"/>
    <col min="3" max="3" width="69.125" customWidth="1"/>
    <col min="4" max="4" width="56.625" customWidth="1"/>
  </cols>
  <sheetData>
    <row r="2" spans="2:4" ht="61.5" customHeight="1" x14ac:dyDescent="0.25">
      <c r="B2" s="365" t="s">
        <v>155</v>
      </c>
      <c r="C2" s="365"/>
    </row>
    <row r="3" spans="2:4" ht="37.5" customHeight="1" x14ac:dyDescent="0.25">
      <c r="B3" s="366" t="s">
        <v>174</v>
      </c>
      <c r="C3" s="366"/>
      <c r="D3" s="366"/>
    </row>
    <row r="4" spans="2:4" x14ac:dyDescent="0.25">
      <c r="B4" s="3"/>
    </row>
    <row r="5" spans="2:4" ht="16.5" thickBot="1" x14ac:dyDescent="0.3">
      <c r="B5" s="8" t="s">
        <v>156</v>
      </c>
      <c r="C5" s="26" t="s">
        <v>157</v>
      </c>
      <c r="D5" s="89" t="s">
        <v>48</v>
      </c>
    </row>
    <row r="6" spans="2:4" ht="16.5" thickBot="1" x14ac:dyDescent="0.3">
      <c r="B6" s="141" t="s">
        <v>158</v>
      </c>
      <c r="C6" s="142" t="s">
        <v>158</v>
      </c>
      <c r="D6" s="143" t="s">
        <v>158</v>
      </c>
    </row>
    <row r="7" spans="2:4" ht="16.5" thickBot="1" x14ac:dyDescent="0.3">
      <c r="B7" s="110" t="s">
        <v>170</v>
      </c>
      <c r="C7" s="111" t="s">
        <v>173</v>
      </c>
      <c r="D7" s="56" t="s">
        <v>170</v>
      </c>
    </row>
    <row r="8" spans="2:4" ht="16.5" thickBot="1" x14ac:dyDescent="0.3">
      <c r="B8" s="141" t="s">
        <v>158</v>
      </c>
      <c r="C8" s="142" t="s">
        <v>158</v>
      </c>
      <c r="D8" s="143" t="s">
        <v>158</v>
      </c>
    </row>
    <row r="9" spans="2:4" ht="16.5" thickBot="1" x14ac:dyDescent="0.3">
      <c r="B9" s="110" t="s">
        <v>170</v>
      </c>
      <c r="C9" s="111" t="s">
        <v>173</v>
      </c>
      <c r="D9" s="56" t="s">
        <v>170</v>
      </c>
    </row>
    <row r="10" spans="2:4" ht="16.5" thickBot="1" x14ac:dyDescent="0.3">
      <c r="B10" s="141" t="s">
        <v>158</v>
      </c>
      <c r="C10" s="142" t="s">
        <v>158</v>
      </c>
      <c r="D10" s="143" t="s">
        <v>158</v>
      </c>
    </row>
    <row r="11" spans="2:4" ht="16.5" thickBot="1" x14ac:dyDescent="0.3">
      <c r="B11" s="110" t="s">
        <v>170</v>
      </c>
      <c r="C11" s="111" t="s">
        <v>173</v>
      </c>
      <c r="D11" s="56" t="s">
        <v>170</v>
      </c>
    </row>
    <row r="12" spans="2:4" ht="16.5" thickBot="1" x14ac:dyDescent="0.3">
      <c r="B12" s="141" t="s">
        <v>158</v>
      </c>
      <c r="C12" s="142" t="s">
        <v>158</v>
      </c>
      <c r="D12" s="143" t="s">
        <v>158</v>
      </c>
    </row>
    <row r="13" spans="2:4" ht="16.5" thickBot="1" x14ac:dyDescent="0.3">
      <c r="B13" s="110" t="s">
        <v>170</v>
      </c>
      <c r="C13" s="111" t="s">
        <v>173</v>
      </c>
      <c r="D13" s="56" t="s">
        <v>170</v>
      </c>
    </row>
    <row r="14" spans="2:4" ht="16.5" thickBot="1" x14ac:dyDescent="0.3">
      <c r="B14" s="141" t="s">
        <v>158</v>
      </c>
      <c r="C14" s="142" t="s">
        <v>158</v>
      </c>
      <c r="D14" s="143" t="s">
        <v>158</v>
      </c>
    </row>
    <row r="15" spans="2:4" ht="16.5" thickBot="1" x14ac:dyDescent="0.3">
      <c r="B15" s="110" t="s">
        <v>170</v>
      </c>
      <c r="C15" s="111" t="s">
        <v>173</v>
      </c>
      <c r="D15" s="56" t="s">
        <v>170</v>
      </c>
    </row>
    <row r="16" spans="2:4" ht="16.5" thickBot="1" x14ac:dyDescent="0.3">
      <c r="B16" s="141" t="s">
        <v>158</v>
      </c>
      <c r="C16" s="142" t="s">
        <v>158</v>
      </c>
      <c r="D16" s="143" t="s">
        <v>158</v>
      </c>
    </row>
    <row r="17" spans="2:4" ht="16.5" thickBot="1" x14ac:dyDescent="0.3">
      <c r="B17" s="110" t="s">
        <v>170</v>
      </c>
      <c r="C17" s="111" t="s">
        <v>173</v>
      </c>
      <c r="D17" s="56" t="s">
        <v>170</v>
      </c>
    </row>
    <row r="18" spans="2:4" ht="16.5" thickBot="1" x14ac:dyDescent="0.3">
      <c r="B18" s="141" t="s">
        <v>158</v>
      </c>
      <c r="C18" s="142" t="s">
        <v>158</v>
      </c>
      <c r="D18" s="143" t="s">
        <v>158</v>
      </c>
    </row>
    <row r="19" spans="2:4" ht="16.5" thickBot="1" x14ac:dyDescent="0.3">
      <c r="B19" s="110" t="s">
        <v>170</v>
      </c>
      <c r="C19" s="111" t="s">
        <v>173</v>
      </c>
      <c r="D19" s="56" t="s">
        <v>170</v>
      </c>
    </row>
    <row r="20" spans="2:4" ht="16.5" thickBot="1" x14ac:dyDescent="0.3">
      <c r="B20" s="141" t="s">
        <v>158</v>
      </c>
      <c r="C20" s="142" t="s">
        <v>158</v>
      </c>
      <c r="D20" s="143" t="s">
        <v>158</v>
      </c>
    </row>
    <row r="21" spans="2:4" ht="16.5" thickBot="1" x14ac:dyDescent="0.3">
      <c r="B21" s="110" t="s">
        <v>170</v>
      </c>
      <c r="C21" s="111" t="s">
        <v>173</v>
      </c>
      <c r="D21" s="56" t="s">
        <v>170</v>
      </c>
    </row>
    <row r="22" spans="2:4" ht="16.5" thickBot="1" x14ac:dyDescent="0.3">
      <c r="B22" s="141" t="s">
        <v>158</v>
      </c>
      <c r="C22" s="142" t="s">
        <v>158</v>
      </c>
      <c r="D22" s="143" t="s">
        <v>158</v>
      </c>
    </row>
    <row r="23" spans="2:4" ht="16.5" thickBot="1" x14ac:dyDescent="0.3">
      <c r="B23" s="110" t="s">
        <v>170</v>
      </c>
      <c r="C23" s="111" t="s">
        <v>173</v>
      </c>
      <c r="D23" s="56" t="s">
        <v>170</v>
      </c>
    </row>
    <row r="24" spans="2:4" ht="16.5" thickBot="1" x14ac:dyDescent="0.3">
      <c r="B24" s="141" t="s">
        <v>158</v>
      </c>
      <c r="C24" s="142" t="s">
        <v>158</v>
      </c>
      <c r="D24" s="143" t="s">
        <v>158</v>
      </c>
    </row>
    <row r="25" spans="2:4" ht="16.5" thickBot="1" x14ac:dyDescent="0.3">
      <c r="B25" s="110" t="s">
        <v>170</v>
      </c>
      <c r="C25" s="111" t="s">
        <v>173</v>
      </c>
      <c r="D25" s="56" t="s">
        <v>170</v>
      </c>
    </row>
    <row r="26" spans="2:4" ht="16.5" thickBot="1" x14ac:dyDescent="0.3">
      <c r="B26" s="141" t="s">
        <v>158</v>
      </c>
      <c r="C26" s="142" t="s">
        <v>158</v>
      </c>
      <c r="D26" s="143" t="s">
        <v>158</v>
      </c>
    </row>
    <row r="27" spans="2:4" ht="16.5" thickBot="1" x14ac:dyDescent="0.3">
      <c r="B27" s="110" t="s">
        <v>170</v>
      </c>
      <c r="C27" s="111" t="s">
        <v>173</v>
      </c>
      <c r="D27" s="56" t="s">
        <v>170</v>
      </c>
    </row>
    <row r="28" spans="2:4" ht="16.5" thickBot="1" x14ac:dyDescent="0.3">
      <c r="B28" s="141" t="s">
        <v>158</v>
      </c>
      <c r="C28" s="142" t="s">
        <v>158</v>
      </c>
      <c r="D28" s="143" t="s">
        <v>158</v>
      </c>
    </row>
  </sheetData>
  <sheetProtection algorithmName="SHA-512" hashValue="Dq/nxxSJ3H4zg3+cCEymPZQYSvb13jrP5pRLY481XaB7TPS/47T4xa0bjxJQA0kKS4lKp/4lz3sOEUjENOZwvQ==" saltValue="NzOTEX2PVCj9E9uwXFTyGw==" spinCount="100000" sheet="1" formatCells="0" formatColumns="0" formatRows="0"/>
  <mergeCells count="2">
    <mergeCell ref="B2:C2"/>
    <mergeCell ref="B3:D3"/>
  </mergeCells>
  <pageMargins left="0.7" right="0.7" top="0.75" bottom="0.75" header="0.3" footer="0.3"/>
  <pageSetup paperSize="9" orientation="portrait" r:id="rId1"/>
  <headerFooter>
    <oddFooter>&amp;C_x000D_&amp;1#&amp;"Arial"&amp;9&amp;K000000 Internal</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0B28C4-7E74-4806-B40A-5D1EC3B15708}">
  <dimension ref="B1:I23"/>
  <sheetViews>
    <sheetView showGridLines="0" zoomScaleNormal="100" workbookViewId="0">
      <selection activeCell="C5" sqref="C5"/>
    </sheetView>
  </sheetViews>
  <sheetFormatPr defaultColWidth="28.375" defaultRowHeight="15.75" x14ac:dyDescent="0.25"/>
  <cols>
    <col min="1" max="1" width="14.875" customWidth="1"/>
    <col min="2" max="2" width="51.625" customWidth="1"/>
    <col min="3" max="3" width="19.125" customWidth="1"/>
    <col min="4" max="4" width="19.5" customWidth="1"/>
    <col min="5" max="5" width="19.125" customWidth="1"/>
    <col min="7" max="7" width="32.125" customWidth="1"/>
    <col min="8" max="8" width="35" bestFit="1" customWidth="1"/>
  </cols>
  <sheetData>
    <row r="1" spans="2:9" ht="73.5" customHeight="1" x14ac:dyDescent="0.25">
      <c r="B1" s="368" t="s">
        <v>99</v>
      </c>
      <c r="C1" s="368"/>
      <c r="D1" s="368"/>
      <c r="H1" s="134" t="s">
        <v>204</v>
      </c>
      <c r="I1" s="134" t="str">
        <f>IF(AND(ISERROR(FIND("&lt;",_xlfn.CONCAT(C5:C8))),_xlfn.CONCAT(H4:H8)="",ISERROR(FIND("&lt;",C17))),"VALID","INVALID")</f>
        <v>INVALID</v>
      </c>
    </row>
    <row r="2" spans="2:9" ht="73.5" customHeight="1" x14ac:dyDescent="0.25">
      <c r="B2" s="382" t="s">
        <v>593</v>
      </c>
      <c r="C2" s="382"/>
      <c r="D2" s="382"/>
      <c r="H2" s="134"/>
      <c r="I2" s="134"/>
    </row>
    <row r="3" spans="2:9" ht="26.25" customHeight="1" x14ac:dyDescent="0.25">
      <c r="B3" s="84" t="s">
        <v>147</v>
      </c>
      <c r="C3" s="83"/>
    </row>
    <row r="4" spans="2:9" ht="21" customHeight="1" thickBot="1" x14ac:dyDescent="0.3">
      <c r="B4" s="82" t="s">
        <v>100</v>
      </c>
      <c r="C4" s="108" t="s">
        <v>145</v>
      </c>
      <c r="D4" s="6" t="s">
        <v>101</v>
      </c>
      <c r="E4" s="369" t="s">
        <v>102</v>
      </c>
      <c r="F4" s="369"/>
      <c r="G4" s="369"/>
    </row>
    <row r="5" spans="2:9" ht="61.5" customHeight="1" thickBot="1" x14ac:dyDescent="0.3">
      <c r="B5" s="85" t="s">
        <v>250</v>
      </c>
      <c r="C5" s="169" t="s">
        <v>171</v>
      </c>
      <c r="D5" s="86" t="s">
        <v>103</v>
      </c>
      <c r="E5" s="370" t="s">
        <v>251</v>
      </c>
      <c r="F5" s="371"/>
      <c r="G5" s="372"/>
      <c r="H5" s="137" t="str">
        <f>IF(ISBLANK(C5),"&lt;---- This field cannot be left empty!","")</f>
        <v/>
      </c>
    </row>
    <row r="6" spans="2:9" ht="62.25" customHeight="1" thickBot="1" x14ac:dyDescent="0.3">
      <c r="B6" s="87" t="s">
        <v>249</v>
      </c>
      <c r="C6" s="170" t="s">
        <v>171</v>
      </c>
      <c r="D6" s="88" t="s">
        <v>103</v>
      </c>
      <c r="E6" s="373" t="s">
        <v>488</v>
      </c>
      <c r="F6" s="374"/>
      <c r="G6" s="375"/>
      <c r="H6" s="137" t="str">
        <f>IF(ISBLANK(C6),"&lt;---- This field cannot be left empty!","")</f>
        <v/>
      </c>
    </row>
    <row r="7" spans="2:9" ht="45.75" customHeight="1" thickBot="1" x14ac:dyDescent="0.3">
      <c r="B7" s="208" t="s">
        <v>489</v>
      </c>
      <c r="C7" s="209" t="s">
        <v>171</v>
      </c>
      <c r="D7" s="210" t="s">
        <v>103</v>
      </c>
      <c r="E7" s="379" t="s">
        <v>491</v>
      </c>
      <c r="F7" s="380"/>
      <c r="G7" s="381"/>
      <c r="H7" s="137"/>
    </row>
    <row r="8" spans="2:9" ht="47.25" customHeight="1" thickBot="1" x14ac:dyDescent="0.3">
      <c r="B8" s="213" t="s">
        <v>490</v>
      </c>
      <c r="C8" s="211" t="s">
        <v>171</v>
      </c>
      <c r="D8" s="212" t="s">
        <v>103</v>
      </c>
      <c r="E8" s="376" t="s">
        <v>492</v>
      </c>
      <c r="F8" s="377"/>
      <c r="G8" s="378"/>
      <c r="H8" s="137" t="str">
        <f>IF(ISBLANK(C8),"&lt;---- This field cannot be left empty!","")</f>
        <v/>
      </c>
    </row>
    <row r="9" spans="2:9" ht="26.25" customHeight="1" x14ac:dyDescent="0.25">
      <c r="B9" s="3"/>
      <c r="C9" s="50"/>
    </row>
    <row r="10" spans="2:9" ht="21.75" customHeight="1" x14ac:dyDescent="0.25">
      <c r="B10" s="367" t="s">
        <v>172</v>
      </c>
      <c r="C10" s="367"/>
      <c r="D10" s="367"/>
      <c r="E10" s="367"/>
      <c r="F10" s="367"/>
    </row>
    <row r="11" spans="2:9" ht="42.75" customHeight="1" thickBot="1" x14ac:dyDescent="0.3">
      <c r="B11" s="5" t="s">
        <v>100</v>
      </c>
      <c r="C11" s="109" t="s">
        <v>146</v>
      </c>
      <c r="D11" s="109" t="s">
        <v>145</v>
      </c>
      <c r="E11" s="109" t="s">
        <v>160</v>
      </c>
      <c r="F11" s="6" t="s">
        <v>101</v>
      </c>
    </row>
    <row r="12" spans="2:9" ht="34.5" customHeight="1" thickBot="1" x14ac:dyDescent="0.3">
      <c r="B12" s="85" t="s">
        <v>250</v>
      </c>
      <c r="C12" s="145" t="str">
        <f>IFERROR(VLOOKUP("perf_Overall_min",'HIDDEN Testrun Results'!$A:$B,2,FALSE),"&lt;min.  measurement&gt;")</f>
        <v>&lt;min.  measurement&gt;</v>
      </c>
      <c r="D12" s="145" t="str">
        <f>IFERROR(VLOOKUP("perf_Overall_max",'HIDDEN Testrun Results'!$A:$B,2,FALSE),"&lt;max.  measurement&gt;")</f>
        <v>&lt;max.  measurement&gt;</v>
      </c>
      <c r="E12" s="145" t="str">
        <f>IFERROR(VLOOKUP("perf_Overall_avg",'HIDDEN Testrun Results'!$A:$B,2,FALSE),"&lt;avg.  measurement&gt;")</f>
        <v>&lt;avg.  measurement&gt;</v>
      </c>
      <c r="F12" s="106" t="s">
        <v>103</v>
      </c>
    </row>
    <row r="13" spans="2:9" ht="34.5" customHeight="1" thickBot="1" x14ac:dyDescent="0.3">
      <c r="B13" s="87" t="s">
        <v>249</v>
      </c>
      <c r="C13" s="195" t="str">
        <f>IFERROR(VLOOKUP("perf_Asynchronous_min",'HIDDEN Testrun Results'!$A:$B,2,FALSE),"&lt;min.  measurement&gt;")</f>
        <v>&lt;min.  measurement&gt;</v>
      </c>
      <c r="D13" s="195" t="str">
        <f>IFERROR(VLOOKUP("perf_Asynchronous_max",'HIDDEN Testrun Results'!$A:$B,2,FALSE),"&lt;max.  measurement&gt;")</f>
        <v>&lt;max.  measurement&gt;</v>
      </c>
      <c r="E13" s="195" t="str">
        <f>IFERROR(VLOOKUP("perf_Asynchronous_avg",'HIDDEN Testrun Results'!$A:$B,2,FALSE),"&lt;avg.  measurement&gt;")</f>
        <v>&lt;avg.  measurement&gt;</v>
      </c>
      <c r="F13" s="107" t="s">
        <v>103</v>
      </c>
    </row>
    <row r="14" spans="2:9" ht="34.5" customHeight="1" thickBot="1" x14ac:dyDescent="0.3">
      <c r="B14" s="214" t="s">
        <v>489</v>
      </c>
      <c r="C14" s="196" t="str">
        <f>IFERROR(VLOOKUP("perf_RequestStartTransaction - TransactionEvent_min",'HIDDEN Testrun Results'!$A:$B,2,FALSE),"&lt;min.  measurement&gt;")</f>
        <v>&lt;min.  measurement&gt;</v>
      </c>
      <c r="D14" s="196" t="str">
        <f>IFERROR(VLOOKUP("perf_RequestStartTransaction - TransactionEvent_max",'HIDDEN Testrun Results'!$A:$B,2,FALSE),"&lt;max.  measurement&gt;")</f>
        <v>&lt;max.  measurement&gt;</v>
      </c>
      <c r="E14" s="196" t="str">
        <f>IFERROR(VLOOKUP("perf_RequestStartTransaction - TransactionEvent_avg",'HIDDEN Testrun Results'!$A:$B,2,FALSE),"&lt;avg.  measurement&gt;")</f>
        <v>&lt;avg.  measurement&gt;</v>
      </c>
      <c r="F14" s="197" t="s">
        <v>103</v>
      </c>
    </row>
    <row r="15" spans="2:9" ht="34.5" customHeight="1" thickBot="1" x14ac:dyDescent="0.3">
      <c r="B15" s="213" t="s">
        <v>490</v>
      </c>
      <c r="C15" s="206" t="str">
        <f>IFERROR(VLOOKUP("perf_RequestStopTransaction - TransactionEvent_min",'HIDDEN Testrun Results'!$A:$B,2,FALSE),"&lt;min.  measurement&gt;")</f>
        <v>&lt;min.  measurement&gt;</v>
      </c>
      <c r="D15" s="206" t="str">
        <f>IFERROR(VLOOKUP("perf_RequestStopTransaction - TransactionEvent_max",'HIDDEN Testrun Results'!$A:$B,2,FALSE),"&lt;max.  measurement&gt;")</f>
        <v>&lt;max.  measurement&gt;</v>
      </c>
      <c r="E15" s="206" t="str">
        <f>IFERROR(VLOOKUP("perf_RequestStopTransaction - TransactionEvent_avg",'HIDDEN Testrun Results'!$A:$B,2,FALSE),"&lt;avg.  measurement&gt;")</f>
        <v>&lt;avg.  measurement&gt;</v>
      </c>
      <c r="F15" s="207" t="s">
        <v>103</v>
      </c>
    </row>
    <row r="16" spans="2:9" x14ac:dyDescent="0.25">
      <c r="B16" s="3"/>
      <c r="C16" s="50"/>
    </row>
    <row r="17" spans="2:3" ht="30" x14ac:dyDescent="0.25">
      <c r="B17" s="7" t="s">
        <v>148</v>
      </c>
      <c r="C17" s="119" t="s">
        <v>176</v>
      </c>
    </row>
    <row r="18" spans="2:3" ht="27" customHeight="1" x14ac:dyDescent="0.25">
      <c r="B18" s="3"/>
      <c r="C18" s="50"/>
    </row>
    <row r="19" spans="2:3" ht="57" x14ac:dyDescent="0.25">
      <c r="B19" s="3" t="s">
        <v>104</v>
      </c>
      <c r="C19" s="50"/>
    </row>
    <row r="23" spans="2:3" x14ac:dyDescent="0.25">
      <c r="B23" s="3"/>
    </row>
  </sheetData>
  <sheetProtection algorithmName="SHA-512" hashValue="k+datrW3gjolpDWLPxefpaG6KkB8FsLsB94gYS+i4yhLnWGMMhKgABgXWd0CqkkoN1WoVpvpd6xx1PFdKlo0GA==" saltValue="lDevTpeANR2fVGJTEJ+9Sw==" spinCount="100000" sheet="1" objects="1" scenarios="1"/>
  <mergeCells count="8">
    <mergeCell ref="B10:F10"/>
    <mergeCell ref="B1:D1"/>
    <mergeCell ref="E4:G4"/>
    <mergeCell ref="E5:G5"/>
    <mergeCell ref="E6:G6"/>
    <mergeCell ref="E8:G8"/>
    <mergeCell ref="E7:G7"/>
    <mergeCell ref="B2:D2"/>
  </mergeCells>
  <conditionalFormatting sqref="I1:I2">
    <cfRule type="cellIs" dxfId="5" priority="1" operator="equal">
      <formula>"INVALID"</formula>
    </cfRule>
    <cfRule type="cellIs" dxfId="4" priority="2" operator="equal">
      <formula>"VALID"</formula>
    </cfRule>
  </conditionalFormatting>
  <dataValidations count="2">
    <dataValidation type="list" allowBlank="1" showInputMessage="1" showErrorMessage="1" sqref="C17" xr:uid="{5F8E7F0C-E62C-3540-9771-B463AFAE868A}">
      <formula1>"WiFi,Ethernet,Mobile Network"</formula1>
    </dataValidation>
    <dataValidation type="decimal" operator="greaterThan" allowBlank="1" showInputMessage="1" showErrorMessage="1" sqref="C5:C8" xr:uid="{96C75459-C242-1D4B-8962-9C7D7CC95106}">
      <formula1>0</formula1>
    </dataValidation>
  </dataValidations>
  <pageMargins left="0.7" right="0.7" top="0.75" bottom="0.75" header="0.3" footer="0.3"/>
  <pageSetup paperSize="9" orientation="portrait" r:id="rId1"/>
  <headerFooter>
    <oddFooter>&amp;C_x000D_&amp;1#&amp;"Arial"&amp;9&amp;K000000 Internal</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217A6A-5D6F-B74B-ADB0-2B9158C6E629}">
  <sheetPr>
    <outlinePr summaryBelow="0" summaryRight="0"/>
  </sheetPr>
  <dimension ref="A1:M449"/>
  <sheetViews>
    <sheetView zoomScale="85" zoomScaleNormal="85" workbookViewId="0">
      <pane xSplit="4" ySplit="2" topLeftCell="E3" activePane="bottomRight" state="frozen"/>
      <selection pane="topRight" activeCell="E1" sqref="E1"/>
      <selection pane="bottomLeft" activeCell="A2" sqref="A2"/>
      <selection pane="bottomRight" activeCell="A2" sqref="A2"/>
    </sheetView>
  </sheetViews>
  <sheetFormatPr defaultColWidth="11.125" defaultRowHeight="15.75" customHeight="1" outlineLevelCol="1" x14ac:dyDescent="0.25"/>
  <cols>
    <col min="1" max="1" width="16.125" bestFit="1" customWidth="1"/>
    <col min="2" max="2" width="32.625" customWidth="1"/>
    <col min="3" max="3" width="72.125" customWidth="1"/>
    <col min="4" max="4" width="42.125" customWidth="1"/>
    <col min="5" max="5" width="70" bestFit="1" customWidth="1"/>
    <col min="6" max="6" width="255.5" customWidth="1"/>
    <col min="7" max="7" width="10" style="10" customWidth="1"/>
    <col min="8" max="8" width="42.5" style="10" bestFit="1" customWidth="1" collapsed="1"/>
    <col min="9" max="11" width="42.5" style="10" hidden="1" customWidth="1" outlineLevel="1"/>
    <col min="12" max="12" width="18" customWidth="1"/>
    <col min="13" max="13" width="40.625" customWidth="1"/>
  </cols>
  <sheetData>
    <row r="1" spans="1:13" ht="76.5" customHeight="1" x14ac:dyDescent="0.25">
      <c r="A1" s="383" t="s">
        <v>621</v>
      </c>
      <c r="B1" s="383"/>
      <c r="C1" s="383"/>
    </row>
    <row r="2" spans="1:13" ht="15.75" customHeight="1" x14ac:dyDescent="0.25">
      <c r="A2" s="41" t="s">
        <v>88</v>
      </c>
      <c r="B2" s="41" t="s">
        <v>499</v>
      </c>
      <c r="C2" s="41" t="s">
        <v>89</v>
      </c>
      <c r="D2" s="41" t="s">
        <v>90</v>
      </c>
      <c r="E2" s="41" t="s">
        <v>91</v>
      </c>
      <c r="F2" s="41" t="s">
        <v>92</v>
      </c>
      <c r="G2" s="42" t="s">
        <v>93</v>
      </c>
      <c r="H2" s="42" t="s">
        <v>94</v>
      </c>
      <c r="I2" s="42" t="s">
        <v>628</v>
      </c>
      <c r="J2" s="42" t="s">
        <v>443</v>
      </c>
      <c r="K2" s="42" t="s">
        <v>95</v>
      </c>
      <c r="L2" s="42" t="s">
        <v>527</v>
      </c>
      <c r="M2" s="42" t="s">
        <v>528</v>
      </c>
    </row>
    <row r="3" spans="1:13" ht="15.75" customHeight="1" x14ac:dyDescent="0.25">
      <c r="A3" t="str">
        <f>'HIDDEN import'!B2</f>
        <v>TC_001_CS</v>
      </c>
      <c r="B3" t="str">
        <f>'HIDDEN import'!C2</f>
        <v>Core</v>
      </c>
      <c r="C3" t="str">
        <f>'HIDDEN import'!D2</f>
        <v>Cold Boot Charge Point</v>
      </c>
      <c r="D3" t="str" cm="1">
        <f t="array" ref="D3">_xlfn.IFS(VLOOKUP(A3&amp;" "&amp;B3,'HIDDEN import'!A:G,5,FALSE)="M",MD!$A$1,VLOOKUP(A3&amp;" "&amp;B3,'HIDDEN import'!A:G,5,FALSE)="O",MD!$A$4,AND(VLOOKUP(A3,'HIDDEN import'!B:E,4,FALSE)="C",NOT(ISERROR(VLOOKUP(E3,'Optional features'!B:D,1,FALSE)=E3))),MD!$A$3,AND(VLOOKUP(A3,'HIDDEN import'!B:E,4,FALSE)="C",_xlfn.IFNA(VLOOKUP(E3,'HIDDEN calc sheet'!A:C,3,FALSE)=TRUE,FALSE)),MD!$A$3,TRUE,MD!$A$2)</f>
        <v>Mandatory test for a mandatory feature</v>
      </c>
      <c r="E3" t="str">
        <f>IF('HIDDEN import'!F2=0,"",'HIDDEN import'!F2)</f>
        <v/>
      </c>
      <c r="F3" t="str">
        <f>IF('HIDDEN import'!G2=0,"",'HIDDEN import'!G2)</f>
        <v/>
      </c>
      <c r="G3" s="144" t="str">
        <f>IFERROR(VLOOKUP($A3,'HIDDEN Testrun Results'!$A:$B,2,FALSE),"")</f>
        <v/>
      </c>
      <c r="H3" s="10" t="b">
        <f>IF(J3,"Up to vendor",(IF(NOT(K3),FALSE,IF(NOT(ISLOGICAL(I3)),I3,AND(I3,K3)))))</f>
        <v>1</v>
      </c>
      <c r="I3" s="10" t="b">
        <f>IF(VLOOKUP(A3&amp;" "&amp;B3,'HIDDEN import'!A:G,5,FALSE)="M",TRUE,IFERROR(VLOOKUP(E3,'Optional features'!B:D,3,FALSE)="Yes",IFERROR(VLOOKUP(E3,'HIDDEN calc sheet'!A:B,2,FALSE),IFERROR(VLOOKUP(E3,'Additional questions'!B:D,3,FALSE)="Yes",VLOOKUP(E3,'Hardware Feature set'!B:D,3,FALSE)="No"))))</f>
        <v>1</v>
      </c>
      <c r="J3" s="10" t="b">
        <f t="shared" ref="J3" si="0">IF(D3="Optional test case",TRUE,FALSE)</f>
        <v>0</v>
      </c>
      <c r="K3" s="10" t="b">
        <f>OR(IFERROR(VLOOKUP(B3,'Profile selection'!B:C,2,FALSE)="Yes",FALSE),B3="Security extension")</f>
        <v>1</v>
      </c>
      <c r="L3" s="227"/>
      <c r="M3" s="50"/>
    </row>
    <row r="4" spans="1:13" ht="15.75" customHeight="1" x14ac:dyDescent="0.25">
      <c r="A4" t="str">
        <f>'HIDDEN import'!B3</f>
        <v>TC_002_CS</v>
      </c>
      <c r="B4" t="str">
        <f>'HIDDEN import'!C3</f>
        <v>Core</v>
      </c>
      <c r="C4" t="str">
        <f>'HIDDEN import'!D3</f>
        <v>Cold Boot Charge Point - Pending</v>
      </c>
      <c r="D4" t="str" cm="1">
        <f t="array" ref="D4">_xlfn.IFS(VLOOKUP(A4&amp;" "&amp;B4,'HIDDEN import'!A:G,5,FALSE)="M",MD!$A$1,VLOOKUP(A4&amp;" "&amp;B4,'HIDDEN import'!A:G,5,FALSE)="O",MD!$A$4,AND(VLOOKUP(A4,'HIDDEN import'!B:E,4,FALSE)="C",NOT(ISERROR(VLOOKUP(E4,'Optional features'!B:D,1,FALSE)=E4))),MD!$A$3,AND(VLOOKUP(A4,'HIDDEN import'!B:E,4,FALSE)="C",_xlfn.IFNA(VLOOKUP(E4,'HIDDEN calc sheet'!A:C,3,FALSE)=TRUE,FALSE)),MD!$A$3,TRUE,MD!$A$2)</f>
        <v>Mandatory test for a mandatory feature</v>
      </c>
      <c r="E4" t="str">
        <f>IF('HIDDEN import'!F3=0,"",'HIDDEN import'!F3)</f>
        <v/>
      </c>
      <c r="F4" t="str">
        <f>IF('HIDDEN import'!G3=0,"",'HIDDEN import'!G3)</f>
        <v/>
      </c>
      <c r="G4" s="144" t="str">
        <f>IFERROR(VLOOKUP($A4,'HIDDEN Testrun Results'!$A:$B,2,FALSE),"")</f>
        <v/>
      </c>
      <c r="H4" s="10" t="b">
        <f t="shared" ref="H4:H67" si="1">IF(J4,"Up to vendor",(IF(NOT(K4),FALSE,IF(NOT(ISLOGICAL(I4)),I4,AND(I4,K4)))))</f>
        <v>1</v>
      </c>
      <c r="I4" s="10" t="b">
        <f>IF(VLOOKUP(A4&amp;" "&amp;B4,'HIDDEN import'!A:G,5,FALSE)="M",TRUE,IFERROR(VLOOKUP(E4,'Optional features'!B:D,3,FALSE)="Yes",IFERROR(VLOOKUP(E4,'HIDDEN calc sheet'!A:B,2,FALSE),IFERROR(VLOOKUP(E4,'Additional questions'!B:D,3,FALSE)="Yes",VLOOKUP(E4,'Hardware Feature set'!B:D,3,FALSE)="No"))))</f>
        <v>1</v>
      </c>
      <c r="J4" s="10" t="b">
        <f t="shared" ref="J4:J67" si="2">IF(D4="Optional test case",TRUE,FALSE)</f>
        <v>0</v>
      </c>
      <c r="K4" s="10" t="b">
        <f>OR(IFERROR(VLOOKUP(B4,'Profile selection'!B:C,2,FALSE)="Yes",FALSE),B4="Security extension")</f>
        <v>1</v>
      </c>
      <c r="L4" s="50"/>
      <c r="M4" s="50"/>
    </row>
    <row r="5" spans="1:13" ht="15.75" customHeight="1" x14ac:dyDescent="0.25">
      <c r="A5" t="str">
        <f>'HIDDEN import'!B4</f>
        <v>TC_003_CS</v>
      </c>
      <c r="B5" t="str">
        <f>'HIDDEN import'!C4</f>
        <v>Core</v>
      </c>
      <c r="C5" t="str">
        <f>'HIDDEN import'!D4</f>
        <v>Regular Charging Session - Plugin First</v>
      </c>
      <c r="D5" t="str" cm="1">
        <f t="array" ref="D5">_xlfn.IFS(VLOOKUP(A5&amp;" "&amp;B5,'HIDDEN import'!A:G,5,FALSE)="M",MD!$A$1,VLOOKUP(A5&amp;" "&amp;B5,'HIDDEN import'!A:G,5,FALSE)="O",MD!$A$4,AND(VLOOKUP(A5,'HIDDEN import'!B:E,4,FALSE)="C",NOT(ISERROR(VLOOKUP(E5,'Optional features'!B:D,1,FALSE)=E5))),MD!$A$3,AND(VLOOKUP(A5,'HIDDEN import'!B:E,4,FALSE)="C",_xlfn.IFNA(VLOOKUP(E5,'HIDDEN calc sheet'!A:C,3,FALSE)=TRUE,FALSE)),MD!$A$3,TRUE,MD!$A$2)</f>
        <v>Possibly mandatory, depending on your system</v>
      </c>
      <c r="E5" t="str">
        <f>IF('HIDDEN import'!F4=0,"",'HIDDEN import'!F4)</f>
        <v>C-07 AND C-08 AND NOT AQ-2</v>
      </c>
      <c r="F5" t="str">
        <f>IF('HIDDEN import'!G4=0,"",'HIDDEN import'!G4)</f>
        <v>Support for local start and stop</v>
      </c>
      <c r="G5" s="144" t="str">
        <f>IFERROR(VLOOKUP($A5,'HIDDEN Testrun Results'!$A:$B,2,FALSE),"")</f>
        <v/>
      </c>
      <c r="H5" s="10" t="b">
        <f t="shared" si="1"/>
        <v>1</v>
      </c>
      <c r="I5" s="10" t="b">
        <f>IF(VLOOKUP(A5&amp;" "&amp;B5,'HIDDEN import'!A:G,5,FALSE)="M",TRUE,IFERROR(VLOOKUP(E5,'Optional features'!B:D,3,FALSE)="Yes",IFERROR(VLOOKUP(E5,'HIDDEN calc sheet'!A:B,2,FALSE),IFERROR(VLOOKUP(E5,'Additional questions'!B:D,3,FALSE)="Yes",VLOOKUP(E5,'Hardware Feature set'!B:D,3,FALSE)="No"))))</f>
        <v>1</v>
      </c>
      <c r="J5" s="10" t="b">
        <f t="shared" si="2"/>
        <v>0</v>
      </c>
      <c r="K5" s="10" t="b">
        <f>OR(IFERROR(VLOOKUP(B5,'Profile selection'!B:C,2,FALSE)="Yes",FALSE),B5="Security extension")</f>
        <v>1</v>
      </c>
      <c r="L5" s="50"/>
      <c r="M5" s="50"/>
    </row>
    <row r="6" spans="1:13" ht="15.75" customHeight="1" x14ac:dyDescent="0.25">
      <c r="A6" t="str">
        <f>'HIDDEN import'!B5</f>
        <v>TC_004_1_CS</v>
      </c>
      <c r="B6" t="str">
        <f>'HIDDEN import'!C5</f>
        <v>Core</v>
      </c>
      <c r="C6" t="str">
        <f>'HIDDEN import'!D5</f>
        <v>Regular Charging Session – Identification First</v>
      </c>
      <c r="D6" t="str" cm="1">
        <f t="array" ref="D6">_xlfn.IFS(VLOOKUP(A6&amp;" "&amp;B6,'HIDDEN import'!A:G,5,FALSE)="M",MD!$A$1,VLOOKUP(A6&amp;" "&amp;B6,'HIDDEN import'!A:G,5,FALSE)="O",MD!$A$4,AND(VLOOKUP(A6,'HIDDEN import'!B:E,4,FALSE)="C",NOT(ISERROR(VLOOKUP(E6,'Optional features'!B:D,1,FALSE)=E6))),MD!$A$3,AND(VLOOKUP(A6,'HIDDEN import'!B:E,4,FALSE)="C",_xlfn.IFNA(VLOOKUP(E6,'HIDDEN calc sheet'!A:C,3,FALSE)=TRUE,FALSE)),MD!$A$3,TRUE,MD!$A$2)</f>
        <v>Mandatory for optional feature</v>
      </c>
      <c r="E6" t="str">
        <f>IF('HIDDEN import'!F5=0,"",'HIDDEN import'!F5)</f>
        <v>C-07 AND C-08</v>
      </c>
      <c r="F6" t="str">
        <f>IF('HIDDEN import'!G5=0,"",'HIDDEN import'!G5)</f>
        <v>Support for local start and stop</v>
      </c>
      <c r="G6" s="144" t="str">
        <f>IFERROR(VLOOKUP($A6,'HIDDEN Testrun Results'!$A:$B,2,FALSE),"")</f>
        <v/>
      </c>
      <c r="H6" s="10" t="b">
        <f t="shared" si="1"/>
        <v>1</v>
      </c>
      <c r="I6" s="10" t="b">
        <f>IF(VLOOKUP(A6&amp;" "&amp;B6,'HIDDEN import'!A:G,5,FALSE)="M",TRUE,IFERROR(VLOOKUP(E6,'Optional features'!B:D,3,FALSE)="Yes",IFERROR(VLOOKUP(E6,'HIDDEN calc sheet'!A:B,2,FALSE),IFERROR(VLOOKUP(E6,'Additional questions'!B:D,3,FALSE)="Yes",VLOOKUP(E6,'Hardware Feature set'!B:D,3,FALSE)="No"))))</f>
        <v>1</v>
      </c>
      <c r="J6" s="10" t="b">
        <f t="shared" si="2"/>
        <v>0</v>
      </c>
      <c r="K6" s="10" t="b">
        <f>OR(IFERROR(VLOOKUP(B6,'Profile selection'!B:C,2,FALSE)="Yes",FALSE),B6="Security extension")</f>
        <v>1</v>
      </c>
      <c r="L6" s="50"/>
      <c r="M6" s="50"/>
    </row>
    <row r="7" spans="1:13" ht="15.75" customHeight="1" x14ac:dyDescent="0.25">
      <c r="A7" t="str">
        <f>'HIDDEN import'!B6</f>
        <v>TC_004_2_CS</v>
      </c>
      <c r="B7" t="str">
        <f>'HIDDEN import'!C6</f>
        <v>Core</v>
      </c>
      <c r="C7" t="str">
        <f>'HIDDEN import'!D6</f>
        <v>Regular Charging Session – Identification First - ConnectionTimeOut</v>
      </c>
      <c r="D7" t="str" cm="1">
        <f t="array" ref="D7">_xlfn.IFS(VLOOKUP(A7&amp;" "&amp;B7,'HIDDEN import'!A:G,5,FALSE)="M",MD!$A$1,VLOOKUP(A7&amp;" "&amp;B7,'HIDDEN import'!A:G,5,FALSE)="O",MD!$A$4,AND(VLOOKUP(A7,'HIDDEN import'!B:E,4,FALSE)="C",NOT(ISERROR(VLOOKUP(E7,'Optional features'!B:D,1,FALSE)=E7))),MD!$A$3,AND(VLOOKUP(A7,'HIDDEN import'!B:E,4,FALSE)="C",_xlfn.IFNA(VLOOKUP(E7,'HIDDEN calc sheet'!A:C,3,FALSE)=TRUE,FALSE)),MD!$A$3,TRUE,MD!$A$2)</f>
        <v>Mandatory for optional feature</v>
      </c>
      <c r="E7" t="str">
        <f>IF('HIDDEN import'!F6=0,"",'HIDDEN import'!F6)</f>
        <v>C-07</v>
      </c>
      <c r="F7" t="str">
        <f>IF('HIDDEN import'!G6=0,"",'HIDDEN import'!G6)</f>
        <v>Support for local start</v>
      </c>
      <c r="G7" s="144" t="str">
        <f>IFERROR(VLOOKUP($A7,'HIDDEN Testrun Results'!$A:$B,2,FALSE),"")</f>
        <v/>
      </c>
      <c r="H7" s="10" t="b">
        <f t="shared" si="1"/>
        <v>1</v>
      </c>
      <c r="I7" s="10" t="b">
        <f>IF(VLOOKUP(A7&amp;" "&amp;B7,'HIDDEN import'!A:G,5,FALSE)="M",TRUE,IFERROR(VLOOKUP(E7,'Optional features'!B:D,3,FALSE)="Yes",IFERROR(VLOOKUP(E7,'HIDDEN calc sheet'!A:B,2,FALSE),IFERROR(VLOOKUP(E7,'Additional questions'!B:D,3,FALSE)="Yes",VLOOKUP(E7,'Hardware Feature set'!B:D,3,FALSE)="No"))))</f>
        <v>1</v>
      </c>
      <c r="J7" s="10" t="b">
        <f t="shared" si="2"/>
        <v>0</v>
      </c>
      <c r="K7" s="10" t="b">
        <f>OR(IFERROR(VLOOKUP(B7,'Profile selection'!B:C,2,FALSE)="Yes",FALSE),B7="Security extension")</f>
        <v>1</v>
      </c>
      <c r="L7" s="50"/>
      <c r="M7" s="227"/>
    </row>
    <row r="8" spans="1:13" ht="15.75" customHeight="1" x14ac:dyDescent="0.25">
      <c r="A8" t="str">
        <f>'HIDDEN import'!B7</f>
        <v>TC_068_CS</v>
      </c>
      <c r="B8" t="str">
        <f>'HIDDEN import'!C7</f>
        <v>Core</v>
      </c>
      <c r="C8" t="str">
        <f>'HIDDEN import'!D7</f>
        <v>Stop transaction - IdTag in StopTransaction matches IdTag in StartTransaction</v>
      </c>
      <c r="D8" t="str" cm="1">
        <f t="array" ref="D8">_xlfn.IFS(VLOOKUP(A8&amp;" "&amp;B8,'HIDDEN import'!A:G,5,FALSE)="M",MD!$A$1,VLOOKUP(A8&amp;" "&amp;B8,'HIDDEN import'!A:G,5,FALSE)="O",MD!$A$4,AND(VLOOKUP(A8,'HIDDEN import'!B:E,4,FALSE)="C",NOT(ISERROR(VLOOKUP(E8,'Optional features'!B:D,1,FALSE)=E8))),MD!$A$3,AND(VLOOKUP(A8,'HIDDEN import'!B:E,4,FALSE)="C",_xlfn.IFNA(VLOOKUP(E8,'HIDDEN calc sheet'!A:C,3,FALSE)=TRUE,FALSE)),MD!$A$3,TRUE,MD!$A$2)</f>
        <v>Mandatory for optional feature</v>
      </c>
      <c r="E8" t="str">
        <f>IF('HIDDEN import'!F7=0,"",'HIDDEN import'!F7)</f>
        <v>C-07 AND C-08</v>
      </c>
      <c r="F8" t="str">
        <f>IF('HIDDEN import'!G7=0,"",'HIDDEN import'!G7)</f>
        <v>Support for local start and stop</v>
      </c>
      <c r="G8" s="144" t="str">
        <f>IFERROR(VLOOKUP($A8,'HIDDEN Testrun Results'!$A:$B,2,FALSE),"")</f>
        <v/>
      </c>
      <c r="H8" s="10" t="b">
        <f t="shared" si="1"/>
        <v>1</v>
      </c>
      <c r="I8" s="10" t="b">
        <f>IF(VLOOKUP(A8&amp;" "&amp;B8,'HIDDEN import'!A:G,5,FALSE)="M",TRUE,IFERROR(VLOOKUP(E8,'Optional features'!B:D,3,FALSE)="Yes",IFERROR(VLOOKUP(E8,'HIDDEN calc sheet'!A:B,2,FALSE),IFERROR(VLOOKUP(E8,'Additional questions'!B:D,3,FALSE)="Yes",VLOOKUP(E8,'Hardware Feature set'!B:D,3,FALSE)="No"))))</f>
        <v>1</v>
      </c>
      <c r="J8" s="10" t="b">
        <f t="shared" si="2"/>
        <v>0</v>
      </c>
      <c r="K8" s="10" t="b">
        <f>OR(IFERROR(VLOOKUP(B8,'Profile selection'!B:C,2,FALSE)="Yes",FALSE),B8="Security extension")</f>
        <v>1</v>
      </c>
      <c r="L8" s="50"/>
      <c r="M8" s="50"/>
    </row>
    <row r="9" spans="1:13" ht="15.75" customHeight="1" x14ac:dyDescent="0.25">
      <c r="A9" t="str">
        <f>'HIDDEN import'!B8</f>
        <v>TC_069_CS</v>
      </c>
      <c r="B9" t="str">
        <f>'HIDDEN import'!C8</f>
        <v>Core</v>
      </c>
      <c r="C9" t="str">
        <f>'HIDDEN import'!D8</f>
        <v>Stop transaction - ParentIdTag in StopTransaction matches ParentIdTag in StartTransaction</v>
      </c>
      <c r="D9" t="str" cm="1">
        <f t="array" ref="D9">_xlfn.IFS(VLOOKUP(A9&amp;" "&amp;B9,'HIDDEN import'!A:G,5,FALSE)="M",MD!$A$1,VLOOKUP(A9&amp;" "&amp;B9,'HIDDEN import'!A:G,5,FALSE)="O",MD!$A$4,AND(VLOOKUP(A9,'HIDDEN import'!B:E,4,FALSE)="C",NOT(ISERROR(VLOOKUP(E9,'Optional features'!B:D,1,FALSE)=E9))),MD!$A$3,AND(VLOOKUP(A9,'HIDDEN import'!B:E,4,FALSE)="C",_xlfn.IFNA(VLOOKUP(E9,'HIDDEN calc sheet'!A:C,3,FALSE)=TRUE,FALSE)),MD!$A$3,TRUE,MD!$A$2)</f>
        <v>Mandatory for optional feature</v>
      </c>
      <c r="E9" t="str">
        <f>IF('HIDDEN import'!F8=0,"",'HIDDEN import'!F8)</f>
        <v>C-07 AND C-08</v>
      </c>
      <c r="F9" t="str">
        <f>IF('HIDDEN import'!G8=0,"",'HIDDEN import'!G8)</f>
        <v>Support for local start and stop</v>
      </c>
      <c r="G9" s="144" t="str">
        <f>IFERROR(VLOOKUP($A9,'HIDDEN Testrun Results'!$A:$B,2,FALSE),"")</f>
        <v/>
      </c>
      <c r="H9" s="10" t="b">
        <f t="shared" si="1"/>
        <v>1</v>
      </c>
      <c r="I9" s="10" t="b">
        <f>IF(VLOOKUP(A9&amp;" "&amp;B9,'HIDDEN import'!A:G,5,FALSE)="M",TRUE,IFERROR(VLOOKUP(E9,'Optional features'!B:D,3,FALSE)="Yes",IFERROR(VLOOKUP(E9,'HIDDEN calc sheet'!A:B,2,FALSE),IFERROR(VLOOKUP(E9,'Additional questions'!B:D,3,FALSE)="Yes",VLOOKUP(E9,'Hardware Feature set'!B:D,3,FALSE)="No"))))</f>
        <v>1</v>
      </c>
      <c r="J9" s="10" t="b">
        <f t="shared" si="2"/>
        <v>0</v>
      </c>
      <c r="K9" s="10" t="b">
        <f>IFERROR(VLOOKUP(B9,'Profile selection'!B:C,2,FALSE)="Yes",FALSE)</f>
        <v>1</v>
      </c>
      <c r="L9" s="50"/>
      <c r="M9" s="50"/>
    </row>
    <row r="10" spans="1:13" ht="15.75" customHeight="1" x14ac:dyDescent="0.25">
      <c r="A10" t="str">
        <f>'HIDDEN import'!B9</f>
        <v>TC_005_1_CS</v>
      </c>
      <c r="B10" t="str">
        <f>'HIDDEN import'!C9</f>
        <v>Core</v>
      </c>
      <c r="C10" t="str">
        <f>'HIDDEN import'!D9</f>
        <v>EV Side Disconnected - StopTransactionOnEVSideDisconnect = true - UnlockConnectorOnEVSideDisconnect = true</v>
      </c>
      <c r="D10" t="str" cm="1">
        <f t="array" ref="D10">_xlfn.IFS(VLOOKUP(A10&amp;" "&amp;B10,'HIDDEN import'!A:G,5,FALSE)="M",MD!$A$1,VLOOKUP(A10&amp;" "&amp;B10,'HIDDEN import'!A:G,5,FALSE)="O",MD!$A$4,AND(VLOOKUP(A10,'HIDDEN import'!B:E,4,FALSE)="C",NOT(ISERROR(VLOOKUP(E10,'Optional features'!B:D,1,FALSE)=E10))),MD!$A$3,AND(VLOOKUP(A10,'HIDDEN import'!B:E,4,FALSE)="C",_xlfn.IFNA(VLOOKUP(E10,'HIDDEN calc sheet'!A:C,3,FALSE)=TRUE,FALSE)),MD!$A$3,TRUE,MD!$A$2)</f>
        <v>Mandatory for optional feature</v>
      </c>
      <c r="E10" t="str">
        <f>IF('HIDDEN import'!F9=0,"",'HIDDEN import'!F9)</f>
        <v>NOT Product subtype Mode 1/2-only Charging Station AND NOT HFS-2 AND C.06.2</v>
      </c>
      <c r="F10" t="str">
        <f>IF('HIDDEN import'!G9=0,"",'HIDDEN import'!G9)</f>
        <v>StopTransactionOnEVSideDisconnect = true
Condition:
The Charge Point does not have a fixed cable on Charge Point side 
AND 
The configuration key StopTransactionOnEVSideDisconnect does NOT have the accessibility ReadOnly in combination with value false.
Not applicable for product subtype Mode 1/2-only Charging Station.</v>
      </c>
      <c r="G10" s="144" t="str">
        <f>IFERROR(VLOOKUP($A10,'HIDDEN Testrun Results'!$A:$B,2,FALSE),"")</f>
        <v/>
      </c>
      <c r="H10" s="10" t="b">
        <f t="shared" si="1"/>
        <v>0</v>
      </c>
      <c r="I10" s="10" t="b">
        <f>IF(VLOOKUP(A10&amp;" "&amp;B10,'HIDDEN import'!A:G,5,FALSE)="M",TRUE,IFERROR(VLOOKUP(E10,'Optional features'!B:D,3,FALSE)="Yes",IFERROR(VLOOKUP(E10,'HIDDEN calc sheet'!A:B,2,FALSE),IFERROR(VLOOKUP(E10,'Additional questions'!B:D,3,FALSE)="Yes",VLOOKUP(E10,'Hardware Feature set'!B:D,3,FALSE)="No"))))</f>
        <v>0</v>
      </c>
      <c r="J10" s="10" t="b">
        <f t="shared" si="2"/>
        <v>0</v>
      </c>
      <c r="K10" s="10" t="b">
        <f>IFERROR(VLOOKUP(B10,'Profile selection'!B:C,2,FALSE)="Yes",FALSE)</f>
        <v>1</v>
      </c>
      <c r="L10" s="50"/>
      <c r="M10" s="50"/>
    </row>
    <row r="11" spans="1:13" ht="15.75" customHeight="1" x14ac:dyDescent="0.25">
      <c r="A11" t="str">
        <f>'HIDDEN import'!B10</f>
        <v>TC_005_2_CS</v>
      </c>
      <c r="B11" t="str">
        <f>'HIDDEN import'!C10</f>
        <v>Core</v>
      </c>
      <c r="C11" t="str">
        <f>'HIDDEN import'!D10</f>
        <v>EV Side Disconnected - StopTransactionOnEVSideDisconnect = true - UnlockConnectorOnEVSideDisconnect = false</v>
      </c>
      <c r="D11" t="str" cm="1">
        <f t="array" ref="D11">_xlfn.IFS(VLOOKUP(A11&amp;" "&amp;B11,'HIDDEN import'!A:G,5,FALSE)="M",MD!$A$1,VLOOKUP(A11&amp;" "&amp;B11,'HIDDEN import'!A:G,5,FALSE)="O",MD!$A$4,AND(VLOOKUP(A11,'HIDDEN import'!B:E,4,FALSE)="C",NOT(ISERROR(VLOOKUP(E11,'Optional features'!B:D,1,FALSE)=E11))),MD!$A$3,AND(VLOOKUP(A11,'HIDDEN import'!B:E,4,FALSE)="C",_xlfn.IFNA(VLOOKUP(E11,'HIDDEN calc sheet'!A:C,3,FALSE)=TRUE,FALSE)),MD!$A$3,TRUE,MD!$A$2)</f>
        <v>Mandatory for optional feature</v>
      </c>
      <c r="E11" t="str">
        <f>IF('HIDDEN import'!F10=0,"",'HIDDEN import'!F10)</f>
        <v>Product subtype Mode 1/2-only Charging Station OR C.06.2</v>
      </c>
      <c r="F11" t="str">
        <f>IF('HIDDEN import'!G10=0,"",'HIDDEN import'!G10)</f>
        <v>StopTransactionOnEVSideDisconnect = true
Condition:
The configuration key StopTransactionOnEVSideDisconnect does NOT have the accessibility ReadOnly in combination with value false.
Mandatory for product subtype Mode 1/2-only Charging Station.</v>
      </c>
      <c r="G11" s="144" t="str">
        <f>IFERROR(VLOOKUP($A11,'HIDDEN Testrun Results'!$A:$B,2,FALSE),"")</f>
        <v/>
      </c>
      <c r="H11" s="10" t="b">
        <f t="shared" si="1"/>
        <v>0</v>
      </c>
      <c r="I11" s="10" t="b">
        <f>IF(VLOOKUP(A11&amp;" "&amp;B11,'HIDDEN import'!A:G,5,FALSE)="M",TRUE,IFERROR(VLOOKUP(E11,'Optional features'!B:D,3,FALSE)="Yes",IFERROR(VLOOKUP(E11,'HIDDEN calc sheet'!A:B,2,FALSE),IFERROR(VLOOKUP(E11,'Additional questions'!B:D,3,FALSE)="Yes",VLOOKUP(E11,'Hardware Feature set'!B:D,3,FALSE)="No"))))</f>
        <v>0</v>
      </c>
      <c r="J11" s="10" t="b">
        <f t="shared" si="2"/>
        <v>0</v>
      </c>
      <c r="K11" s="10" t="b">
        <f>IFERROR(VLOOKUP(B11,'Profile selection'!B:C,2,FALSE)="Yes",FALSE)</f>
        <v>1</v>
      </c>
      <c r="L11" s="50"/>
      <c r="M11" s="50"/>
    </row>
    <row r="12" spans="1:13" ht="15.75" customHeight="1" x14ac:dyDescent="0.25">
      <c r="A12" t="str">
        <f>'HIDDEN import'!B11</f>
        <v>TC_005_3_CS</v>
      </c>
      <c r="B12" t="str">
        <f>'HIDDEN import'!C11</f>
        <v>Core</v>
      </c>
      <c r="C12" t="str">
        <f>'HIDDEN import'!D11</f>
        <v>EV Side Disconnected - StopTransactionOnEVSideDisconnect = false - UnlockConnectorOnEVSideDisconnect = false</v>
      </c>
      <c r="D12" t="str" cm="1">
        <f t="array" ref="D12">_xlfn.IFS(VLOOKUP(A12&amp;" "&amp;B12,'HIDDEN import'!A:G,5,FALSE)="M",MD!$A$1,VLOOKUP(A12&amp;" "&amp;B12,'HIDDEN import'!A:G,5,FALSE)="O",MD!$A$4,AND(VLOOKUP(A12,'HIDDEN import'!B:E,4,FALSE)="C",NOT(ISERROR(VLOOKUP(E12,'Optional features'!B:D,1,FALSE)=E12))),MD!$A$3,AND(VLOOKUP(A12,'HIDDEN import'!B:E,4,FALSE)="C",_xlfn.IFNA(VLOOKUP(E12,'HIDDEN calc sheet'!A:C,3,FALSE)=TRUE,FALSE)),MD!$A$3,TRUE,MD!$A$2)</f>
        <v>Mandatory for optional feature</v>
      </c>
      <c r="E12" t="str">
        <f>IF('HIDDEN import'!F11=0,"",'HIDDEN import'!F11)</f>
        <v>NOT Product subtype Mode 1/2-only Charging Station AND C06.1</v>
      </c>
      <c r="F12" t="str">
        <f>IF('HIDDEN import'!G11=0,"",'HIDDEN import'!G11)</f>
        <v>StopTransactionOnEVSideDisconnect = false
Not applicable for product subtype Mode 1/2-only Charging Station.</v>
      </c>
      <c r="G12" s="144" t="str">
        <f>IFERROR(VLOOKUP($A12,'HIDDEN Testrun Results'!$A:$B,2,FALSE),"")</f>
        <v/>
      </c>
      <c r="H12" s="10" t="b">
        <f t="shared" si="1"/>
        <v>1</v>
      </c>
      <c r="I12" s="10" t="b">
        <f>IF(VLOOKUP(A12&amp;" "&amp;B12,'HIDDEN import'!A:G,5,FALSE)="M",TRUE,IFERROR(VLOOKUP(E12,'Optional features'!B:D,3,FALSE)="Yes",IFERROR(VLOOKUP(E12,'HIDDEN calc sheet'!A:B,2,FALSE),IFERROR(VLOOKUP(E12,'Additional questions'!B:D,3,FALSE)="Yes",VLOOKUP(E12,'Hardware Feature set'!B:D,3,FALSE)="No"))))</f>
        <v>1</v>
      </c>
      <c r="J12" s="10" t="b">
        <f t="shared" si="2"/>
        <v>0</v>
      </c>
      <c r="K12" s="10" t="b">
        <f>IFERROR(VLOOKUP(B12,'Profile selection'!B:C,2,FALSE)="Yes",FALSE)</f>
        <v>1</v>
      </c>
      <c r="L12" s="50"/>
      <c r="M12" s="50"/>
    </row>
    <row r="13" spans="1:13" ht="15.75" customHeight="1" x14ac:dyDescent="0.25">
      <c r="A13" t="str">
        <f>'HIDDEN import'!B12</f>
        <v>TC_007_CS</v>
      </c>
      <c r="B13" t="str">
        <f>'HIDDEN import'!C12</f>
        <v>Core</v>
      </c>
      <c r="C13" t="str">
        <f>'HIDDEN import'!D12</f>
        <v>Regular Start Charging Session – Cached Id</v>
      </c>
      <c r="D13" t="str" cm="1">
        <f t="array" ref="D13">_xlfn.IFS(VLOOKUP(A13&amp;" "&amp;B13,'HIDDEN import'!A:G,5,FALSE)="M",MD!$A$1,VLOOKUP(A13&amp;" "&amp;B13,'HIDDEN import'!A:G,5,FALSE)="O",MD!$A$4,AND(VLOOKUP(A13,'HIDDEN import'!B:E,4,FALSE)="C",NOT(ISERROR(VLOOKUP(E13,'Optional features'!B:D,1,FALSE)=E13))),MD!$A$3,AND(VLOOKUP(A13,'HIDDEN import'!B:E,4,FALSE)="C",_xlfn.IFNA(VLOOKUP(E13,'HIDDEN calc sheet'!A:C,3,FALSE)=TRUE,FALSE)),MD!$A$3,TRUE,MD!$A$2)</f>
        <v>Mandatory for optional feature</v>
      </c>
      <c r="E13" t="str">
        <f>IF('HIDDEN import'!F12=0,"",'HIDDEN import'!F12)</f>
        <v>C-04</v>
      </c>
      <c r="F13" t="str">
        <f>IF('HIDDEN import'!G12=0,"",'HIDDEN import'!G12)</f>
        <v>Authorization Cache (AuthCacheEnabled)</v>
      </c>
      <c r="G13" s="144" t="str">
        <f>IFERROR(VLOOKUP($A13,'HIDDEN Testrun Results'!$A:$B,2,FALSE),"")</f>
        <v/>
      </c>
      <c r="H13" s="10" t="b">
        <f t="shared" si="1"/>
        <v>0</v>
      </c>
      <c r="I13" s="10" t="b">
        <f>IF(VLOOKUP(A13&amp;" "&amp;B13,'HIDDEN import'!A:G,5,FALSE)="M",TRUE,IFERROR(VLOOKUP(E13,'Optional features'!B:D,3,FALSE)="Yes",IFERROR(VLOOKUP(E13,'HIDDEN calc sheet'!A:B,2,FALSE),IFERROR(VLOOKUP(E13,'Additional questions'!B:D,3,FALSE)="Yes",VLOOKUP(E13,'Hardware Feature set'!B:D,3,FALSE)="No"))))</f>
        <v>0</v>
      </c>
      <c r="J13" s="10" t="b">
        <f t="shared" si="2"/>
        <v>0</v>
      </c>
      <c r="K13" s="10" t="b">
        <f>IFERROR(VLOOKUP(B13,'Profile selection'!B:C,2,FALSE)="Yes",FALSE)</f>
        <v>1</v>
      </c>
      <c r="L13" s="50"/>
      <c r="M13" s="50"/>
    </row>
    <row r="14" spans="1:13" ht="15.75" customHeight="1" x14ac:dyDescent="0.25">
      <c r="A14" t="str">
        <f>'HIDDEN import'!B13</f>
        <v>TC_061_CS</v>
      </c>
      <c r="B14" t="str">
        <f>'HIDDEN import'!C13</f>
        <v>Core</v>
      </c>
      <c r="C14" t="str">
        <f>'HIDDEN import'!D13</f>
        <v>Clear Authorization Data in Authorization Cache</v>
      </c>
      <c r="D14" t="str" cm="1">
        <f t="array" ref="D14">_xlfn.IFS(VLOOKUP(A14&amp;" "&amp;B14,'HIDDEN import'!A:G,5,FALSE)="M",MD!$A$1,VLOOKUP(A14&amp;" "&amp;B14,'HIDDEN import'!A:G,5,FALSE)="O",MD!$A$4,AND(VLOOKUP(A14,'HIDDEN import'!B:E,4,FALSE)="C",NOT(ISERROR(VLOOKUP(E14,'Optional features'!B:D,1,FALSE)=E14))),MD!$A$3,AND(VLOOKUP(A14,'HIDDEN import'!B:E,4,FALSE)="C",_xlfn.IFNA(VLOOKUP(E14,'HIDDEN calc sheet'!A:C,3,FALSE)=TRUE,FALSE)),MD!$A$3,TRUE,MD!$A$2)</f>
        <v>Mandatory for optional feature</v>
      </c>
      <c r="E14" t="str">
        <f>IF('HIDDEN import'!F13=0,"",'HIDDEN import'!F13)</f>
        <v>C-04 AND C-07 AND C-08</v>
      </c>
      <c r="F14" t="str">
        <f>IF('HIDDEN import'!G13=0,"",'HIDDEN import'!G13)</f>
        <v>Support for local start and stop AND Authorization Cache (AuthCacheEnabled)</v>
      </c>
      <c r="G14" s="144" t="str">
        <f>IFERROR(VLOOKUP($A14,'HIDDEN Testrun Results'!$A:$B,2,FALSE),"")</f>
        <v/>
      </c>
      <c r="H14" s="10" t="b">
        <f t="shared" si="1"/>
        <v>0</v>
      </c>
      <c r="I14" s="10" t="b">
        <f>IF(VLOOKUP(A14&amp;" "&amp;B14,'HIDDEN import'!A:G,5,FALSE)="M",TRUE,IFERROR(VLOOKUP(E14,'Optional features'!B:D,3,FALSE)="Yes",IFERROR(VLOOKUP(E14,'HIDDEN calc sheet'!A:B,2,FALSE),IFERROR(VLOOKUP(E14,'Additional questions'!B:D,3,FALSE)="Yes",VLOOKUP(E14,'Hardware Feature set'!B:D,3,FALSE)="No"))))</f>
        <v>0</v>
      </c>
      <c r="J14" s="10" t="b">
        <f t="shared" si="2"/>
        <v>0</v>
      </c>
      <c r="K14" s="10" t="b">
        <f>IFERROR(VLOOKUP(B14,'Profile selection'!B:C,2,FALSE)="Yes",FALSE)</f>
        <v>1</v>
      </c>
      <c r="L14" s="50"/>
      <c r="M14" s="50"/>
    </row>
    <row r="15" spans="1:13" ht="15.75" customHeight="1" x14ac:dyDescent="0.25">
      <c r="A15" t="str">
        <f>'HIDDEN import'!B14</f>
        <v>TC_010_CS</v>
      </c>
      <c r="B15" t="str">
        <f>'HIDDEN import'!C14</f>
        <v>Core</v>
      </c>
      <c r="C15" t="str">
        <f>'HIDDEN import'!D14</f>
        <v>Remote Start Charging Session – Cable Plugged in First</v>
      </c>
      <c r="D15" t="str" cm="1">
        <f t="array" ref="D15">_xlfn.IFS(VLOOKUP(A15&amp;" "&amp;B15,'HIDDEN import'!A:G,5,FALSE)="M",MD!$A$1,VLOOKUP(A15&amp;" "&amp;B15,'HIDDEN import'!A:G,5,FALSE)="O",MD!$A$4,AND(VLOOKUP(A15,'HIDDEN import'!B:E,4,FALSE)="C",NOT(ISERROR(VLOOKUP(E15,'Optional features'!B:D,1,FALSE)=E15))),MD!$A$3,AND(VLOOKUP(A15,'HIDDEN import'!B:E,4,FALSE)="C",_xlfn.IFNA(VLOOKUP(E15,'HIDDEN calc sheet'!A:C,3,FALSE)=TRUE,FALSE)),MD!$A$3,TRUE,MD!$A$2)</f>
        <v>Possibly mandatory, depending on your system</v>
      </c>
      <c r="E15" t="str">
        <f>IF('HIDDEN import'!F14=0,"",'HIDDEN import'!F14)</f>
        <v>NOT AQ-2</v>
      </c>
      <c r="F15" t="str">
        <f>IF('HIDDEN import'!G14=0,"",'HIDDEN import'!G14)</f>
        <v/>
      </c>
      <c r="G15" s="144" t="str">
        <f>IFERROR(VLOOKUP($A15,'HIDDEN Testrun Results'!$A:$B,2,FALSE),"")</f>
        <v/>
      </c>
      <c r="H15" s="10" t="b">
        <f t="shared" si="1"/>
        <v>1</v>
      </c>
      <c r="I15" s="10" t="b">
        <f>IF(VLOOKUP(A15&amp;" "&amp;B15,'HIDDEN import'!A:G,5,FALSE)="M",TRUE,IFERROR(VLOOKUP(E15,'Optional features'!B:D,3,FALSE)="Yes",IFERROR(VLOOKUP(E15,'HIDDEN calc sheet'!A:B,2,FALSE),IFERROR(VLOOKUP(E15,'Additional questions'!B:D,3,FALSE)="Yes",VLOOKUP(E15,'Hardware Feature set'!B:D,3,FALSE)="No"))))</f>
        <v>1</v>
      </c>
      <c r="J15" s="10" t="b">
        <f t="shared" si="2"/>
        <v>0</v>
      </c>
      <c r="K15" s="10" t="b">
        <f>IFERROR(VLOOKUP(B15,'Profile selection'!B:C,2,FALSE)="Yes",FALSE)</f>
        <v>1</v>
      </c>
      <c r="L15" s="50"/>
      <c r="M15" s="50"/>
    </row>
    <row r="16" spans="1:13" ht="15.75" customHeight="1" x14ac:dyDescent="0.25">
      <c r="A16" t="str">
        <f>'HIDDEN import'!B15</f>
        <v>TC_011_1_CS</v>
      </c>
      <c r="B16" t="str">
        <f>'HIDDEN import'!C15</f>
        <v>Core</v>
      </c>
      <c r="C16" t="str">
        <f>'HIDDEN import'!D15</f>
        <v>Remote Start Charging Session – Remote Start First</v>
      </c>
      <c r="D16" t="str" cm="1">
        <f t="array" ref="D16">_xlfn.IFS(VLOOKUP(A16&amp;" "&amp;B16,'HIDDEN import'!A:G,5,FALSE)="M",MD!$A$1,VLOOKUP(A16&amp;" "&amp;B16,'HIDDEN import'!A:G,5,FALSE)="O",MD!$A$4,AND(VLOOKUP(A16,'HIDDEN import'!B:E,4,FALSE)="C",NOT(ISERROR(VLOOKUP(E16,'Optional features'!B:D,1,FALSE)=E16))),MD!$A$3,AND(VLOOKUP(A16,'HIDDEN import'!B:E,4,FALSE)="C",_xlfn.IFNA(VLOOKUP(E16,'HIDDEN calc sheet'!A:C,3,FALSE)=TRUE,FALSE)),MD!$A$3,TRUE,MD!$A$2)</f>
        <v>Mandatory test for a mandatory feature</v>
      </c>
      <c r="E16" t="str">
        <f>IF('HIDDEN import'!F15=0,"",'HIDDEN import'!F15)</f>
        <v/>
      </c>
      <c r="F16" t="str">
        <f>IF('HIDDEN import'!G15=0,"",'HIDDEN import'!G15)</f>
        <v/>
      </c>
      <c r="G16" s="144" t="str">
        <f>IFERROR(VLOOKUP($A16,'HIDDEN Testrun Results'!$A:$B,2,FALSE),"")</f>
        <v/>
      </c>
      <c r="H16" s="10" t="b">
        <f t="shared" si="1"/>
        <v>1</v>
      </c>
      <c r="I16" s="10" t="b">
        <f>IF(VLOOKUP(A16&amp;" "&amp;B16,'HIDDEN import'!A:G,5,FALSE)="M",TRUE,IFERROR(VLOOKUP(E16,'Optional features'!B:D,3,FALSE)="Yes",IFERROR(VLOOKUP(E16,'HIDDEN calc sheet'!A:B,2,FALSE),IFERROR(VLOOKUP(E16,'Additional questions'!B:D,3,FALSE)="Yes",VLOOKUP(E16,'Hardware Feature set'!B:D,3,FALSE)="No"))))</f>
        <v>1</v>
      </c>
      <c r="J16" s="10" t="b">
        <f t="shared" si="2"/>
        <v>0</v>
      </c>
      <c r="K16" s="10" t="b">
        <f>IFERROR(VLOOKUP(B16,'Profile selection'!B:C,2,FALSE)="Yes",FALSE)</f>
        <v>1</v>
      </c>
      <c r="L16" s="50"/>
      <c r="M16" s="50"/>
    </row>
    <row r="17" spans="1:13" ht="15.75" customHeight="1" x14ac:dyDescent="0.25">
      <c r="A17" t="str">
        <f>'HIDDEN import'!B16</f>
        <v>TC_011_2_CS</v>
      </c>
      <c r="B17" t="str">
        <f>'HIDDEN import'!C16</f>
        <v>Core</v>
      </c>
      <c r="C17" t="str">
        <f>'HIDDEN import'!D16</f>
        <v>Remote Start Charging Session – Time Out</v>
      </c>
      <c r="D17" t="str" cm="1">
        <f t="array" ref="D17">_xlfn.IFS(VLOOKUP(A17&amp;" "&amp;B17,'HIDDEN import'!A:G,5,FALSE)="M",MD!$A$1,VLOOKUP(A17&amp;" "&amp;B17,'HIDDEN import'!A:G,5,FALSE)="O",MD!$A$4,AND(VLOOKUP(A17,'HIDDEN import'!B:E,4,FALSE)="C",NOT(ISERROR(VLOOKUP(E17,'Optional features'!B:D,1,FALSE)=E17))),MD!$A$3,AND(VLOOKUP(A17,'HIDDEN import'!B:E,4,FALSE)="C",_xlfn.IFNA(VLOOKUP(E17,'HIDDEN calc sheet'!A:C,3,FALSE)=TRUE,FALSE)),MD!$A$3,TRUE,MD!$A$2)</f>
        <v>Mandatory test for a mandatory feature</v>
      </c>
      <c r="E17" t="str">
        <f>IF('HIDDEN import'!F16=0,"",'HIDDEN import'!F16)</f>
        <v/>
      </c>
      <c r="F17" t="str">
        <f>IF('HIDDEN import'!G16=0,"",'HIDDEN import'!G16)</f>
        <v/>
      </c>
      <c r="G17" s="144" t="str">
        <f>IFERROR(VLOOKUP($A17,'HIDDEN Testrun Results'!$A:$B,2,FALSE),"")</f>
        <v/>
      </c>
      <c r="H17" s="10" t="b">
        <f t="shared" si="1"/>
        <v>1</v>
      </c>
      <c r="I17" s="10" t="b">
        <f>IF(VLOOKUP(A17&amp;" "&amp;B17,'HIDDEN import'!A:G,5,FALSE)="M",TRUE,IFERROR(VLOOKUP(E17,'Optional features'!B:D,3,FALSE)="Yes",IFERROR(VLOOKUP(E17,'HIDDEN calc sheet'!A:B,2,FALSE),IFERROR(VLOOKUP(E17,'Additional questions'!B:D,3,FALSE)="Yes",VLOOKUP(E17,'Hardware Feature set'!B:D,3,FALSE)="No"))))</f>
        <v>1</v>
      </c>
      <c r="J17" s="10" t="b">
        <f t="shared" si="2"/>
        <v>0</v>
      </c>
      <c r="K17" s="10" t="b">
        <f>IFERROR(VLOOKUP(B17,'Profile selection'!B:C,2,FALSE)="Yes",FALSE)</f>
        <v>1</v>
      </c>
      <c r="L17" s="50"/>
      <c r="M17" s="50"/>
    </row>
    <row r="18" spans="1:13" ht="15.75" customHeight="1" x14ac:dyDescent="0.25">
      <c r="A18" t="str">
        <f>'HIDDEN import'!B17</f>
        <v>TC_012_CS</v>
      </c>
      <c r="B18" t="str">
        <f>'HIDDEN import'!C17</f>
        <v>Core</v>
      </c>
      <c r="C18" t="str">
        <f>'HIDDEN import'!D17</f>
        <v>Remote Stop Charging Session</v>
      </c>
      <c r="D18" t="str" cm="1">
        <f t="array" ref="D18">_xlfn.IFS(VLOOKUP(A18&amp;" "&amp;B18,'HIDDEN import'!A:G,5,FALSE)="M",MD!$A$1,VLOOKUP(A18&amp;" "&amp;B18,'HIDDEN import'!A:G,5,FALSE)="O",MD!$A$4,AND(VLOOKUP(A18,'HIDDEN import'!B:E,4,FALSE)="C",NOT(ISERROR(VLOOKUP(E18,'Optional features'!B:D,1,FALSE)=E18))),MD!$A$3,AND(VLOOKUP(A18,'HIDDEN import'!B:E,4,FALSE)="C",_xlfn.IFNA(VLOOKUP(E18,'HIDDEN calc sheet'!A:C,3,FALSE)=TRUE,FALSE)),MD!$A$3,TRUE,MD!$A$2)</f>
        <v>Mandatory test for a mandatory feature</v>
      </c>
      <c r="E18" t="str">
        <f>IF('HIDDEN import'!F17=0,"",'HIDDEN import'!F17)</f>
        <v/>
      </c>
      <c r="F18" t="str">
        <f>IF('HIDDEN import'!G17=0,"",'HIDDEN import'!G17)</f>
        <v/>
      </c>
      <c r="G18" s="144" t="str">
        <f>IFERROR(VLOOKUP($A18,'HIDDEN Testrun Results'!$A:$B,2,FALSE),"")</f>
        <v/>
      </c>
      <c r="H18" s="10" t="b">
        <f t="shared" si="1"/>
        <v>1</v>
      </c>
      <c r="I18" s="10" t="b">
        <f>IF(VLOOKUP(A18&amp;" "&amp;B18,'HIDDEN import'!A:G,5,FALSE)="M",TRUE,IFERROR(VLOOKUP(E18,'Optional features'!B:D,3,FALSE)="Yes",IFERROR(VLOOKUP(E18,'HIDDEN calc sheet'!A:B,2,FALSE),IFERROR(VLOOKUP(E18,'Additional questions'!B:D,3,FALSE)="Yes",VLOOKUP(E18,'Hardware Feature set'!B:D,3,FALSE)="No"))))</f>
        <v>1</v>
      </c>
      <c r="J18" s="10" t="b">
        <f t="shared" si="2"/>
        <v>0</v>
      </c>
      <c r="K18" s="10" t="b">
        <f>IFERROR(VLOOKUP(B18,'Profile selection'!B:C,2,FALSE)="Yes",FALSE)</f>
        <v>1</v>
      </c>
      <c r="L18" s="50"/>
      <c r="M18" s="50"/>
    </row>
    <row r="19" spans="1:13" ht="15.75" customHeight="1" x14ac:dyDescent="0.25">
      <c r="A19" t="str">
        <f>'HIDDEN import'!B18</f>
        <v>TC_013_CS</v>
      </c>
      <c r="B19" t="str">
        <f>'HIDDEN import'!C18</f>
        <v>Core</v>
      </c>
      <c r="C19" t="str">
        <f>'HIDDEN import'!D18</f>
        <v>Hard Reset Without transaction</v>
      </c>
      <c r="D19" t="str" cm="1">
        <f t="array" ref="D19">_xlfn.IFS(VLOOKUP(A19&amp;" "&amp;B19,'HIDDEN import'!A:G,5,FALSE)="M",MD!$A$1,VLOOKUP(A19&amp;" "&amp;B19,'HIDDEN import'!A:G,5,FALSE)="O",MD!$A$4,AND(VLOOKUP(A19,'HIDDEN import'!B:E,4,FALSE)="C",NOT(ISERROR(VLOOKUP(E19,'Optional features'!B:D,1,FALSE)=E19))),MD!$A$3,AND(VLOOKUP(A19,'HIDDEN import'!B:E,4,FALSE)="C",_xlfn.IFNA(VLOOKUP(E19,'HIDDEN calc sheet'!A:C,3,FALSE)=TRUE,FALSE)),MD!$A$3,TRUE,MD!$A$2)</f>
        <v>Mandatory test for a mandatory feature</v>
      </c>
      <c r="E19" t="str">
        <f>IF('HIDDEN import'!F18=0,"",'HIDDEN import'!F18)</f>
        <v/>
      </c>
      <c r="F19" t="str">
        <f>IF('HIDDEN import'!G18=0,"",'HIDDEN import'!G18)</f>
        <v/>
      </c>
      <c r="G19" s="144" t="str">
        <f>IFERROR(VLOOKUP($A19,'HIDDEN Testrun Results'!$A:$B,2,FALSE),"")</f>
        <v/>
      </c>
      <c r="H19" s="10" t="b">
        <f t="shared" si="1"/>
        <v>1</v>
      </c>
      <c r="I19" s="10" t="b">
        <f>IF(VLOOKUP(A19&amp;" "&amp;B19,'HIDDEN import'!A:G,5,FALSE)="M",TRUE,IFERROR(VLOOKUP(E19,'Optional features'!B:D,3,FALSE)="Yes",IFERROR(VLOOKUP(E19,'HIDDEN calc sheet'!A:B,2,FALSE),IFERROR(VLOOKUP(E19,'Additional questions'!B:D,3,FALSE)="Yes",VLOOKUP(E19,'Hardware Feature set'!B:D,3,FALSE)="No"))))</f>
        <v>1</v>
      </c>
      <c r="J19" s="10" t="b">
        <f t="shared" si="2"/>
        <v>0</v>
      </c>
      <c r="K19" s="10" t="b">
        <f>IFERROR(VLOOKUP(B19,'Profile selection'!B:C,2,FALSE)="Yes",FALSE)</f>
        <v>1</v>
      </c>
      <c r="L19" s="50"/>
      <c r="M19" s="50"/>
    </row>
    <row r="20" spans="1:13" ht="15.75" customHeight="1" x14ac:dyDescent="0.25">
      <c r="A20" t="str">
        <f>'HIDDEN import'!B19</f>
        <v>TC_014_CS</v>
      </c>
      <c r="B20" t="str">
        <f>'HIDDEN import'!C19</f>
        <v>Core</v>
      </c>
      <c r="C20" t="str">
        <f>'HIDDEN import'!D19</f>
        <v>Soft Reset Without Transaction</v>
      </c>
      <c r="D20" t="str" cm="1">
        <f t="array" ref="D20">_xlfn.IFS(VLOOKUP(A20&amp;" "&amp;B20,'HIDDEN import'!A:G,5,FALSE)="M",MD!$A$1,VLOOKUP(A20&amp;" "&amp;B20,'HIDDEN import'!A:G,5,FALSE)="O",MD!$A$4,AND(VLOOKUP(A20,'HIDDEN import'!B:E,4,FALSE)="C",NOT(ISERROR(VLOOKUP(E20,'Optional features'!B:D,1,FALSE)=E20))),MD!$A$3,AND(VLOOKUP(A20,'HIDDEN import'!B:E,4,FALSE)="C",_xlfn.IFNA(VLOOKUP(E20,'HIDDEN calc sheet'!A:C,3,FALSE)=TRUE,FALSE)),MD!$A$3,TRUE,MD!$A$2)</f>
        <v>Mandatory test for a mandatory feature</v>
      </c>
      <c r="E20" t="str">
        <f>IF('HIDDEN import'!F19=0,"",'HIDDEN import'!F19)</f>
        <v/>
      </c>
      <c r="F20" t="str">
        <f>IF('HIDDEN import'!G19=0,"",'HIDDEN import'!G19)</f>
        <v/>
      </c>
      <c r="G20" s="144" t="str">
        <f>IFERROR(VLOOKUP($A20,'HIDDEN Testrun Results'!$A:$B,2,FALSE),"")</f>
        <v/>
      </c>
      <c r="H20" s="10" t="b">
        <f t="shared" si="1"/>
        <v>1</v>
      </c>
      <c r="I20" s="10" t="b">
        <f>IF(VLOOKUP(A20&amp;" "&amp;B20,'HIDDEN import'!A:G,5,FALSE)="M",TRUE,IFERROR(VLOOKUP(E20,'Optional features'!B:D,3,FALSE)="Yes",IFERROR(VLOOKUP(E20,'HIDDEN calc sheet'!A:B,2,FALSE),IFERROR(VLOOKUP(E20,'Additional questions'!B:D,3,FALSE)="Yes",VLOOKUP(E20,'Hardware Feature set'!B:D,3,FALSE)="No"))))</f>
        <v>1</v>
      </c>
      <c r="J20" s="10" t="b">
        <f t="shared" si="2"/>
        <v>0</v>
      </c>
      <c r="K20" s="10" t="b">
        <f>IFERROR(VLOOKUP(B20,'Profile selection'!B:C,2,FALSE)="Yes",FALSE)</f>
        <v>1</v>
      </c>
      <c r="L20" s="50"/>
      <c r="M20" s="50"/>
    </row>
    <row r="21" spans="1:13" ht="15.75" customHeight="1" x14ac:dyDescent="0.25">
      <c r="A21" t="str">
        <f>'HIDDEN import'!B20</f>
        <v>TC_015_CS</v>
      </c>
      <c r="B21" t="str">
        <f>'HIDDEN import'!C20</f>
        <v>Core</v>
      </c>
      <c r="C21" t="str">
        <f>'HIDDEN import'!D20</f>
        <v>Hard Reset With Transaction</v>
      </c>
      <c r="D21" t="str" cm="1">
        <f t="array" ref="D21">_xlfn.IFS(VLOOKUP(A21&amp;" "&amp;B21,'HIDDEN import'!A:G,5,FALSE)="M",MD!$A$1,VLOOKUP(A21&amp;" "&amp;B21,'HIDDEN import'!A:G,5,FALSE)="O",MD!$A$4,AND(VLOOKUP(A21,'HIDDEN import'!B:E,4,FALSE)="C",NOT(ISERROR(VLOOKUP(E21,'Optional features'!B:D,1,FALSE)=E21))),MD!$A$3,AND(VLOOKUP(A21,'HIDDEN import'!B:E,4,FALSE)="C",_xlfn.IFNA(VLOOKUP(E21,'HIDDEN calc sheet'!A:C,3,FALSE)=TRUE,FALSE)),MD!$A$3,TRUE,MD!$A$2)</f>
        <v>Mandatory test for a mandatory feature</v>
      </c>
      <c r="E21" t="str">
        <f>IF('HIDDEN import'!F20=0,"",'HIDDEN import'!F20)</f>
        <v/>
      </c>
      <c r="F21" t="str">
        <f>IF('HIDDEN import'!G20=0,"",'HIDDEN import'!G20)</f>
        <v/>
      </c>
      <c r="G21" s="144" t="str">
        <f>IFERROR(VLOOKUP($A21,'HIDDEN Testrun Results'!$A:$B,2,FALSE),"")</f>
        <v/>
      </c>
      <c r="H21" s="10" t="b">
        <f t="shared" si="1"/>
        <v>1</v>
      </c>
      <c r="I21" s="10" t="b">
        <f>IF(VLOOKUP(A21&amp;" "&amp;B21,'HIDDEN import'!A:G,5,FALSE)="M",TRUE,IFERROR(VLOOKUP(E21,'Optional features'!B:D,3,FALSE)="Yes",IFERROR(VLOOKUP(E21,'HIDDEN calc sheet'!A:B,2,FALSE),IFERROR(VLOOKUP(E21,'Additional questions'!B:D,3,FALSE)="Yes",VLOOKUP(E21,'Hardware Feature set'!B:D,3,FALSE)="No"))))</f>
        <v>1</v>
      </c>
      <c r="J21" s="10" t="b">
        <f t="shared" si="2"/>
        <v>0</v>
      </c>
      <c r="K21" s="10" t="b">
        <f>IFERROR(VLOOKUP(B21,'Profile selection'!B:C,2,FALSE)="Yes",FALSE)</f>
        <v>1</v>
      </c>
      <c r="L21" s="50"/>
      <c r="M21" s="50"/>
    </row>
    <row r="22" spans="1:13" ht="15.75" customHeight="1" x14ac:dyDescent="0.25">
      <c r="A22" t="str">
        <f>'HIDDEN import'!B21</f>
        <v>TC_016_CS</v>
      </c>
      <c r="B22" t="str">
        <f>'HIDDEN import'!C21</f>
        <v>Core</v>
      </c>
      <c r="C22" t="str">
        <f>'HIDDEN import'!D21</f>
        <v>Soft Reset With Transaction</v>
      </c>
      <c r="D22" t="str" cm="1">
        <f t="array" ref="D22">_xlfn.IFS(VLOOKUP(A22&amp;" "&amp;B22,'HIDDEN import'!A:G,5,FALSE)="M",MD!$A$1,VLOOKUP(A22&amp;" "&amp;B22,'HIDDEN import'!A:G,5,FALSE)="O",MD!$A$4,AND(VLOOKUP(A22,'HIDDEN import'!B:E,4,FALSE)="C",NOT(ISERROR(VLOOKUP(E22,'Optional features'!B:D,1,FALSE)=E22))),MD!$A$3,AND(VLOOKUP(A22,'HIDDEN import'!B:E,4,FALSE)="C",_xlfn.IFNA(VLOOKUP(E22,'HIDDEN calc sheet'!A:C,3,FALSE)=TRUE,FALSE)),MD!$A$3,TRUE,MD!$A$2)</f>
        <v>Mandatory test for a mandatory feature</v>
      </c>
      <c r="E22" t="str">
        <f>IF('HIDDEN import'!F21=0,"",'HIDDEN import'!F21)</f>
        <v/>
      </c>
      <c r="F22" t="str">
        <f>IF('HIDDEN import'!G21=0,"",'HIDDEN import'!G21)</f>
        <v/>
      </c>
      <c r="G22" s="144" t="str">
        <f>IFERROR(VLOOKUP($A22,'HIDDEN Testrun Results'!$A:$B,2,FALSE),"")</f>
        <v/>
      </c>
      <c r="H22" s="10" t="b">
        <f t="shared" si="1"/>
        <v>1</v>
      </c>
      <c r="I22" s="10" t="b">
        <f>IF(VLOOKUP(A22&amp;" "&amp;B22,'HIDDEN import'!A:G,5,FALSE)="M",TRUE,IFERROR(VLOOKUP(E22,'Optional features'!B:D,3,FALSE)="Yes",IFERROR(VLOOKUP(E22,'HIDDEN calc sheet'!A:B,2,FALSE),IFERROR(VLOOKUP(E22,'Additional questions'!B:D,3,FALSE)="Yes",VLOOKUP(E22,'Hardware Feature set'!B:D,3,FALSE)="No"))))</f>
        <v>1</v>
      </c>
      <c r="J22" s="10" t="b">
        <f t="shared" si="2"/>
        <v>0</v>
      </c>
      <c r="K22" s="10" t="b">
        <f>IFERROR(VLOOKUP(B22,'Profile selection'!B:C,2,FALSE)="Yes",FALSE)</f>
        <v>1</v>
      </c>
      <c r="L22" s="50"/>
      <c r="M22" s="50"/>
    </row>
    <row r="23" spans="1:13" ht="15.75" customHeight="1" x14ac:dyDescent="0.25">
      <c r="A23" t="str">
        <f>'HIDDEN import'!B22</f>
        <v>TC_017_1_CS</v>
      </c>
      <c r="B23" t="str">
        <f>'HIDDEN import'!C22</f>
        <v>Core</v>
      </c>
      <c r="C23" t="str">
        <f>'HIDDEN import'!D22</f>
        <v>Unlock connector - no charging session running (Not fixed cable)</v>
      </c>
      <c r="D23" t="str" cm="1">
        <f t="array" ref="D23">_xlfn.IFS(VLOOKUP(A23&amp;" "&amp;B23,'HIDDEN import'!A:G,5,FALSE)="M",MD!$A$1,VLOOKUP(A23&amp;" "&amp;B23,'HIDDEN import'!A:G,5,FALSE)="O",MD!$A$4,AND(VLOOKUP(A23,'HIDDEN import'!B:E,4,FALSE)="C",NOT(ISERROR(VLOOKUP(E23,'Optional features'!B:D,1,FALSE)=E23))),MD!$A$3,AND(VLOOKUP(A23,'HIDDEN import'!B:E,4,FALSE)="C",_xlfn.IFNA(VLOOKUP(E23,'HIDDEN calc sheet'!A:C,3,FALSE)=TRUE,FALSE)),MD!$A$3,TRUE,MD!$A$2)</f>
        <v>Possibly mandatory, depending on your system</v>
      </c>
      <c r="E23" t="str">
        <f>IF('HIDDEN import'!F22=0,"",'HIDDEN import'!F22)</f>
        <v>HFS-1 AND NOT Product subtype Mode 1/2-only Charging Station.</v>
      </c>
      <c r="F23" t="str">
        <f>IF('HIDDEN import'!G22=0,"",'HIDDEN import'!G22)</f>
        <v>Only applicable for a Charge Point with a detachable cable.
Not applicable for product subtype Mode 1/2-only Charging Station.</v>
      </c>
      <c r="G23" s="144" t="str">
        <f>IFERROR(VLOOKUP($A23,'HIDDEN Testrun Results'!$A:$B,2,FALSE),"")</f>
        <v/>
      </c>
      <c r="H23" s="10" t="b">
        <f t="shared" si="1"/>
        <v>0</v>
      </c>
      <c r="I23" s="10" t="b">
        <f>IF(VLOOKUP(A23&amp;" "&amp;B23,'HIDDEN import'!A:G,5,FALSE)="M",TRUE,IFERROR(VLOOKUP(E23,'Optional features'!B:D,3,FALSE)="Yes",IFERROR(VLOOKUP(E23,'HIDDEN calc sheet'!A:B,2,FALSE),IFERROR(VLOOKUP(E23,'Additional questions'!B:D,3,FALSE)="Yes",VLOOKUP(E23,'Hardware Feature set'!B:D,3,FALSE)="No"))))</f>
        <v>0</v>
      </c>
      <c r="J23" s="10" t="b">
        <f t="shared" si="2"/>
        <v>0</v>
      </c>
      <c r="K23" s="10" t="b">
        <f>IFERROR(VLOOKUP(B23,'Profile selection'!B:C,2,FALSE)="Yes",FALSE)</f>
        <v>1</v>
      </c>
      <c r="L23" s="50"/>
      <c r="M23" s="50"/>
    </row>
    <row r="24" spans="1:13" ht="15.75" customHeight="1" x14ac:dyDescent="0.25">
      <c r="A24" t="str">
        <f>'HIDDEN import'!B23</f>
        <v>TC_017_2_CS</v>
      </c>
      <c r="B24" t="str">
        <f>'HIDDEN import'!C23</f>
        <v>Core</v>
      </c>
      <c r="C24" t="str">
        <f>'HIDDEN import'!D23</f>
        <v>Unlock connector - no charging session running (Fixed cable)</v>
      </c>
      <c r="D24" t="str" cm="1">
        <f t="array" ref="D24">_xlfn.IFS(VLOOKUP(A24&amp;" "&amp;B24,'HIDDEN import'!A:G,5,FALSE)="M",MD!$A$1,VLOOKUP(A24&amp;" "&amp;B24,'HIDDEN import'!A:G,5,FALSE)="O",MD!$A$4,AND(VLOOKUP(A24,'HIDDEN import'!B:E,4,FALSE)="C",NOT(ISERROR(VLOOKUP(E24,'Optional features'!B:D,1,FALSE)=E24))),MD!$A$3,AND(VLOOKUP(A24,'HIDDEN import'!B:E,4,FALSE)="C",_xlfn.IFNA(VLOOKUP(E24,'HIDDEN calc sheet'!A:C,3,FALSE)=TRUE,FALSE)),MD!$A$3,TRUE,MD!$A$2)</f>
        <v>Possibly mandatory, depending on your system</v>
      </c>
      <c r="E24" t="str">
        <f>IF('HIDDEN import'!F23=0,"",'HIDDEN import'!F23)</f>
        <v>HFS-2 OR Product subtype Mode 1/2-only Charging Station.</v>
      </c>
      <c r="F24" t="str">
        <f>IF('HIDDEN import'!G23=0,"",'HIDDEN import'!G23)</f>
        <v>Only applicable for a Charge Point with a fixed cable.
Mandatory for product subtype Mode 1/2-only Charging Station.</v>
      </c>
      <c r="G24" s="144" t="str">
        <f>IFERROR(VLOOKUP($A24,'HIDDEN Testrun Results'!$A:$B,2,FALSE),"")</f>
        <v/>
      </c>
      <c r="H24" s="10" t="b">
        <f t="shared" si="1"/>
        <v>0</v>
      </c>
      <c r="I24" s="10" t="b">
        <f>IF(VLOOKUP(A24&amp;" "&amp;B24,'HIDDEN import'!A:G,5,FALSE)="M",TRUE,IFERROR(VLOOKUP(E24,'Optional features'!B:D,3,FALSE)="Yes",IFERROR(VLOOKUP(E24,'HIDDEN calc sheet'!A:B,2,FALSE),IFERROR(VLOOKUP(E24,'Additional questions'!B:D,3,FALSE)="Yes",VLOOKUP(E24,'Hardware Feature set'!B:D,3,FALSE)="No"))))</f>
        <v>0</v>
      </c>
      <c r="J24" s="10" t="b">
        <f t="shared" si="2"/>
        <v>0</v>
      </c>
      <c r="K24" s="10" t="b">
        <f>IFERROR(VLOOKUP(B24,'Profile selection'!B:C,2,FALSE)="Yes",FALSE)</f>
        <v>1</v>
      </c>
      <c r="L24" s="50"/>
      <c r="M24" s="50"/>
    </row>
    <row r="25" spans="1:13" ht="15.75" customHeight="1" x14ac:dyDescent="0.25">
      <c r="A25" t="str">
        <f>'HIDDEN import'!B24</f>
        <v>TC_018_1_CS</v>
      </c>
      <c r="B25" t="str">
        <f>'HIDDEN import'!C24</f>
        <v>Core</v>
      </c>
      <c r="C25" t="str">
        <f>'HIDDEN import'!D24</f>
        <v>Unlock Connector - With Charging Session (Not fixed cable)</v>
      </c>
      <c r="D25" t="str" cm="1">
        <f t="array" ref="D25">_xlfn.IFS(VLOOKUP(A25&amp;" "&amp;B25,'HIDDEN import'!A:G,5,FALSE)="M",MD!$A$1,VLOOKUP(A25&amp;" "&amp;B25,'HIDDEN import'!A:G,5,FALSE)="O",MD!$A$4,AND(VLOOKUP(A25,'HIDDEN import'!B:E,4,FALSE)="C",NOT(ISERROR(VLOOKUP(E25,'Optional features'!B:D,1,FALSE)=E25))),MD!$A$3,AND(VLOOKUP(A25,'HIDDEN import'!B:E,4,FALSE)="C",_xlfn.IFNA(VLOOKUP(E25,'HIDDEN calc sheet'!A:C,3,FALSE)=TRUE,FALSE)),MD!$A$3,TRUE,MD!$A$2)</f>
        <v>Possibly mandatory, depending on your system</v>
      </c>
      <c r="E25" t="str">
        <f>IF('HIDDEN import'!F24=0,"",'HIDDEN import'!F24)</f>
        <v>HFS-1 AND NOT Product subtype Mode 1/2-only Charging Station.</v>
      </c>
      <c r="F25" t="str">
        <f>IF('HIDDEN import'!G24=0,"",'HIDDEN import'!G24)</f>
        <v>Only applicable for a Charge Point with a detachable cable.
Not applicable for product subtype Mode 1/2-only Charging Station.</v>
      </c>
      <c r="G25" s="144" t="str">
        <f>IFERROR(VLOOKUP($A25,'HIDDEN Testrun Results'!$A:$B,2,FALSE),"")</f>
        <v/>
      </c>
      <c r="H25" s="10" t="b">
        <f t="shared" si="1"/>
        <v>0</v>
      </c>
      <c r="I25" s="10" t="b">
        <f>IF(VLOOKUP(A25&amp;" "&amp;B25,'HIDDEN import'!A:G,5,FALSE)="M",TRUE,IFERROR(VLOOKUP(E25,'Optional features'!B:D,3,FALSE)="Yes",IFERROR(VLOOKUP(E25,'HIDDEN calc sheet'!A:B,2,FALSE),IFERROR(VLOOKUP(E25,'Additional questions'!B:D,3,FALSE)="Yes",VLOOKUP(E25,'Hardware Feature set'!B:D,3,FALSE)="No"))))</f>
        <v>0</v>
      </c>
      <c r="J25" s="10" t="b">
        <f t="shared" si="2"/>
        <v>0</v>
      </c>
      <c r="K25" s="10" t="b">
        <f>IFERROR(VLOOKUP(B25,'Profile selection'!B:C,2,FALSE)="Yes",FALSE)</f>
        <v>1</v>
      </c>
      <c r="L25" s="50"/>
      <c r="M25" s="50"/>
    </row>
    <row r="26" spans="1:13" ht="15.75" customHeight="1" x14ac:dyDescent="0.25">
      <c r="A26" t="str">
        <f>'HIDDEN import'!B25</f>
        <v>TC_018_2_CS</v>
      </c>
      <c r="B26" t="str">
        <f>'HIDDEN import'!C25</f>
        <v>Core</v>
      </c>
      <c r="C26" t="str">
        <f>'HIDDEN import'!D25</f>
        <v>Unlock Connector - With Charging Session (Fixed cable)</v>
      </c>
      <c r="D26" t="str" cm="1">
        <f t="array" ref="D26">_xlfn.IFS(VLOOKUP(A26&amp;" "&amp;B26,'HIDDEN import'!A:G,5,FALSE)="M",MD!$A$1,VLOOKUP(A26&amp;" "&amp;B26,'HIDDEN import'!A:G,5,FALSE)="O",MD!$A$4,AND(VLOOKUP(A26,'HIDDEN import'!B:E,4,FALSE)="C",NOT(ISERROR(VLOOKUP(E26,'Optional features'!B:D,1,FALSE)=E26))),MD!$A$3,AND(VLOOKUP(A26,'HIDDEN import'!B:E,4,FALSE)="C",_xlfn.IFNA(VLOOKUP(E26,'HIDDEN calc sheet'!A:C,3,FALSE)=TRUE,FALSE)),MD!$A$3,TRUE,MD!$A$2)</f>
        <v>Possibly mandatory, depending on your system</v>
      </c>
      <c r="E26" t="str">
        <f>IF('HIDDEN import'!F25=0,"",'HIDDEN import'!F25)</f>
        <v>HFS-2 OR Product subtype Mode 1/2-only Charging Station.</v>
      </c>
      <c r="F26" t="str">
        <f>IF('HIDDEN import'!G25=0,"",'HIDDEN import'!G25)</f>
        <v>Only applicable for a Charge Point with a fixed cable.
Mandatory for product subtype Mode 1/2-only Charging Station.</v>
      </c>
      <c r="G26" s="144" t="str">
        <f>IFERROR(VLOOKUP($A26,'HIDDEN Testrun Results'!$A:$B,2,FALSE),"")</f>
        <v/>
      </c>
      <c r="H26" s="10" t="b">
        <f t="shared" si="1"/>
        <v>0</v>
      </c>
      <c r="I26" s="10" t="b">
        <f>IF(VLOOKUP(A26&amp;" "&amp;B26,'HIDDEN import'!A:G,5,FALSE)="M",TRUE,IFERROR(VLOOKUP(E26,'Optional features'!B:D,3,FALSE)="Yes",IFERROR(VLOOKUP(E26,'HIDDEN calc sheet'!A:B,2,FALSE),IFERROR(VLOOKUP(E26,'Additional questions'!B:D,3,FALSE)="Yes",VLOOKUP(E26,'Hardware Feature set'!B:D,3,FALSE)="No"))))</f>
        <v>0</v>
      </c>
      <c r="J26" s="10" t="b">
        <f t="shared" si="2"/>
        <v>0</v>
      </c>
      <c r="K26" s="10" t="b">
        <f>IFERROR(VLOOKUP(B26,'Profile selection'!B:C,2,FALSE)="Yes",FALSE)</f>
        <v>1</v>
      </c>
      <c r="L26" s="50"/>
      <c r="M26" s="50"/>
    </row>
    <row r="27" spans="1:13" ht="15.75" customHeight="1" x14ac:dyDescent="0.25">
      <c r="A27" t="str">
        <f>'HIDDEN import'!B26</f>
        <v>TC_019_CS</v>
      </c>
      <c r="B27" t="str">
        <f>'HIDDEN import'!C26</f>
        <v>Core</v>
      </c>
      <c r="C27" t="str">
        <f>'HIDDEN import'!D26</f>
        <v>Retrieve configuration</v>
      </c>
      <c r="D27" t="str" cm="1">
        <f t="array" ref="D27">_xlfn.IFS(VLOOKUP(A27&amp;" "&amp;B27,'HIDDEN import'!A:G,5,FALSE)="M",MD!$A$1,VLOOKUP(A27&amp;" "&amp;B27,'HIDDEN import'!A:G,5,FALSE)="O",MD!$A$4,AND(VLOOKUP(A27,'HIDDEN import'!B:E,4,FALSE)="C",NOT(ISERROR(VLOOKUP(E27,'Optional features'!B:D,1,FALSE)=E27))),MD!$A$3,AND(VLOOKUP(A27,'HIDDEN import'!B:E,4,FALSE)="C",_xlfn.IFNA(VLOOKUP(E27,'HIDDEN calc sheet'!A:C,3,FALSE)=TRUE,FALSE)),MD!$A$3,TRUE,MD!$A$2)</f>
        <v>Mandatory test for a mandatory feature</v>
      </c>
      <c r="E27" t="str">
        <f>IF('HIDDEN import'!F26=0,"",'HIDDEN import'!F26)</f>
        <v/>
      </c>
      <c r="F27" t="str">
        <f>IF('HIDDEN import'!G26=0,"",'HIDDEN import'!G26)</f>
        <v/>
      </c>
      <c r="G27" s="144" t="str">
        <f>IFERROR(VLOOKUP($A27,'HIDDEN Testrun Results'!$A:$B,2,FALSE),"")</f>
        <v/>
      </c>
      <c r="H27" s="10" t="b">
        <f t="shared" si="1"/>
        <v>1</v>
      </c>
      <c r="I27" s="10" t="b">
        <f>IF(VLOOKUP(A27&amp;" "&amp;B27,'HIDDEN import'!A:G,5,FALSE)="M",TRUE,IFERROR(VLOOKUP(E27,'Optional features'!B:D,3,FALSE)="Yes",IFERROR(VLOOKUP(E27,'HIDDEN calc sheet'!A:B,2,FALSE),IFERROR(VLOOKUP(E27,'Additional questions'!B:D,3,FALSE)="Yes",VLOOKUP(E27,'Hardware Feature set'!B:D,3,FALSE)="No"))))</f>
        <v>1</v>
      </c>
      <c r="J27" s="10" t="b">
        <f t="shared" si="2"/>
        <v>0</v>
      </c>
      <c r="K27" s="10" t="b">
        <f>IFERROR(VLOOKUP(B27,'Profile selection'!B:C,2,FALSE)="Yes",FALSE)</f>
        <v>1</v>
      </c>
      <c r="L27" s="50"/>
      <c r="M27" s="50"/>
    </row>
    <row r="28" spans="1:13" ht="15.75" customHeight="1" x14ac:dyDescent="0.25">
      <c r="A28" t="str">
        <f>'HIDDEN import'!B27</f>
        <v>TC_021_CS</v>
      </c>
      <c r="B28" t="str">
        <f>'HIDDEN import'!C27</f>
        <v>Core</v>
      </c>
      <c r="C28" t="str">
        <f>'HIDDEN import'!D27</f>
        <v>Change/set Configuration</v>
      </c>
      <c r="D28" t="str" cm="1">
        <f t="array" ref="D28">_xlfn.IFS(VLOOKUP(A28&amp;" "&amp;B28,'HIDDEN import'!A:G,5,FALSE)="M",MD!$A$1,VLOOKUP(A28&amp;" "&amp;B28,'HIDDEN import'!A:G,5,FALSE)="O",MD!$A$4,AND(VLOOKUP(A28,'HIDDEN import'!B:E,4,FALSE)="C",NOT(ISERROR(VLOOKUP(E28,'Optional features'!B:D,1,FALSE)=E28))),MD!$A$3,AND(VLOOKUP(A28,'HIDDEN import'!B:E,4,FALSE)="C",_xlfn.IFNA(VLOOKUP(E28,'HIDDEN calc sheet'!A:C,3,FALSE)=TRUE,FALSE)),MD!$A$3,TRUE,MD!$A$2)</f>
        <v>Mandatory test for a mandatory feature</v>
      </c>
      <c r="E28" t="str">
        <f>IF('HIDDEN import'!F27=0,"",'HIDDEN import'!F27)</f>
        <v/>
      </c>
      <c r="F28" t="str">
        <f>IF('HIDDEN import'!G27=0,"",'HIDDEN import'!G27)</f>
        <v/>
      </c>
      <c r="G28" s="144" t="str">
        <f>IFERROR(VLOOKUP($A28,'HIDDEN Testrun Results'!$A:$B,2,FALSE),"")</f>
        <v/>
      </c>
      <c r="H28" s="10" t="b">
        <f t="shared" si="1"/>
        <v>1</v>
      </c>
      <c r="I28" s="10" t="b">
        <f>IF(VLOOKUP(A28&amp;" "&amp;B28,'HIDDEN import'!A:G,5,FALSE)="M",TRUE,IFERROR(VLOOKUP(E28,'Optional features'!B:D,3,FALSE)="Yes",IFERROR(VLOOKUP(E28,'HIDDEN calc sheet'!A:B,2,FALSE),IFERROR(VLOOKUP(E28,'Additional questions'!B:D,3,FALSE)="Yes",VLOOKUP(E28,'Hardware Feature set'!B:D,3,FALSE)="No"))))</f>
        <v>1</v>
      </c>
      <c r="J28" s="10" t="b">
        <f t="shared" si="2"/>
        <v>0</v>
      </c>
      <c r="K28" s="10" t="b">
        <f>IFERROR(VLOOKUP(B28,'Profile selection'!B:C,2,FALSE)="Yes",FALSE)</f>
        <v>1</v>
      </c>
      <c r="L28" s="50"/>
      <c r="M28" s="50"/>
    </row>
    <row r="29" spans="1:13" ht="15.75" customHeight="1" x14ac:dyDescent="0.25">
      <c r="A29" t="str">
        <f>'HIDDEN import'!B28</f>
        <v>TC_070_CS</v>
      </c>
      <c r="B29" t="str">
        <f>'HIDDEN import'!C28</f>
        <v>Core</v>
      </c>
      <c r="C29" t="str">
        <f>'HIDDEN import'!D28</f>
        <v>Sampled Meter Values</v>
      </c>
      <c r="D29" t="str" cm="1">
        <f t="array" ref="D29">_xlfn.IFS(VLOOKUP(A29&amp;" "&amp;B29,'HIDDEN import'!A:G,5,FALSE)="M",MD!$A$1,VLOOKUP(A29&amp;" "&amp;B29,'HIDDEN import'!A:G,5,FALSE)="O",MD!$A$4,AND(VLOOKUP(A29,'HIDDEN import'!B:E,4,FALSE)="C",NOT(ISERROR(VLOOKUP(E29,'Optional features'!B:D,1,FALSE)=E29))),MD!$A$3,AND(VLOOKUP(A29,'HIDDEN import'!B:E,4,FALSE)="C",_xlfn.IFNA(VLOOKUP(E29,'HIDDEN calc sheet'!A:C,3,FALSE)=TRUE,FALSE)),MD!$A$3,TRUE,MD!$A$2)</f>
        <v>Mandatory test for a mandatory feature</v>
      </c>
      <c r="E29" t="str">
        <f>IF('HIDDEN import'!F28=0,"",'HIDDEN import'!F28)</f>
        <v/>
      </c>
      <c r="F29" t="str">
        <f>IF('HIDDEN import'!G28=0,"",'HIDDEN import'!G28)</f>
        <v/>
      </c>
      <c r="G29" s="144" t="str">
        <f>IFERROR(VLOOKUP($A29,'HIDDEN Testrun Results'!$A:$B,2,FALSE),"")</f>
        <v/>
      </c>
      <c r="H29" s="10" t="b">
        <f t="shared" si="1"/>
        <v>1</v>
      </c>
      <c r="I29" s="10" t="b">
        <f>IF(VLOOKUP(A29&amp;" "&amp;B29,'HIDDEN import'!A:G,5,FALSE)="M",TRUE,IFERROR(VLOOKUP(E29,'Optional features'!B:D,3,FALSE)="Yes",IFERROR(VLOOKUP(E29,'HIDDEN calc sheet'!A:B,2,FALSE),IFERROR(VLOOKUP(E29,'Additional questions'!B:D,3,FALSE)="Yes",VLOOKUP(E29,'Hardware Feature set'!B:D,3,FALSE)="No"))))</f>
        <v>1</v>
      </c>
      <c r="J29" s="10" t="b">
        <f t="shared" si="2"/>
        <v>0</v>
      </c>
      <c r="K29" s="10" t="b">
        <f>IFERROR(VLOOKUP(B29,'Profile selection'!B:C,2,FALSE)="Yes",FALSE)</f>
        <v>1</v>
      </c>
      <c r="L29" s="50"/>
      <c r="M29" s="50"/>
    </row>
    <row r="30" spans="1:13" ht="15.75" customHeight="1" x14ac:dyDescent="0.25">
      <c r="A30" t="str">
        <f>'HIDDEN import'!B29</f>
        <v>TC_071_CS</v>
      </c>
      <c r="B30" t="str">
        <f>'HIDDEN import'!C29</f>
        <v>Core</v>
      </c>
      <c r="C30" t="str">
        <f>'HIDDEN import'!D29</f>
        <v>Clock-aligned Meter Values</v>
      </c>
      <c r="D30" t="str" cm="1">
        <f t="array" ref="D30">_xlfn.IFS(VLOOKUP(A30&amp;" "&amp;B30,'HIDDEN import'!A:G,5,FALSE)="M",MD!$A$1,VLOOKUP(A30&amp;" "&amp;B30,'HIDDEN import'!A:G,5,FALSE)="O",MD!$A$4,AND(VLOOKUP(A30,'HIDDEN import'!B:E,4,FALSE)="C",NOT(ISERROR(VLOOKUP(E30,'Optional features'!B:D,1,FALSE)=E30))),MD!$A$3,AND(VLOOKUP(A30,'HIDDEN import'!B:E,4,FALSE)="C",_xlfn.IFNA(VLOOKUP(E30,'HIDDEN calc sheet'!A:C,3,FALSE)=TRUE,FALSE)),MD!$A$3,TRUE,MD!$A$2)</f>
        <v>Mandatory test for a mandatory feature</v>
      </c>
      <c r="E30" t="str">
        <f>IF('HIDDEN import'!F29=0,"",'HIDDEN import'!F29)</f>
        <v/>
      </c>
      <c r="F30" t="str">
        <f>IF('HIDDEN import'!G29=0,"",'HIDDEN import'!G29)</f>
        <v/>
      </c>
      <c r="G30" s="144" t="str">
        <f>IFERROR(VLOOKUP($A30,'HIDDEN Testrun Results'!$A:$B,2,FALSE),"")</f>
        <v/>
      </c>
      <c r="H30" s="10" t="b">
        <f t="shared" si="1"/>
        <v>1</v>
      </c>
      <c r="I30" s="10" t="b">
        <f>IF(VLOOKUP(A30&amp;" "&amp;B30,'HIDDEN import'!A:G,5,FALSE)="M",TRUE,IFERROR(VLOOKUP(E30,'Optional features'!B:D,3,FALSE)="Yes",IFERROR(VLOOKUP(E30,'HIDDEN calc sheet'!A:B,2,FALSE),IFERROR(VLOOKUP(E30,'Additional questions'!B:D,3,FALSE)="Yes",VLOOKUP(E30,'Hardware Feature set'!B:D,3,FALSE)="No"))))</f>
        <v>1</v>
      </c>
      <c r="J30" s="10" t="b">
        <f t="shared" si="2"/>
        <v>0</v>
      </c>
      <c r="K30" s="10" t="b">
        <f>IFERROR(VLOOKUP(B30,'Profile selection'!B:C,2,FALSE)="Yes",FALSE)</f>
        <v>1</v>
      </c>
      <c r="L30" s="50"/>
      <c r="M30" s="50"/>
    </row>
    <row r="31" spans="1:13" ht="15.75" customHeight="1" x14ac:dyDescent="0.25">
      <c r="A31" t="str">
        <f>'HIDDEN import'!B30</f>
        <v>TC_023_CS</v>
      </c>
      <c r="B31" t="str">
        <f>'HIDDEN import'!C30</f>
        <v>Core</v>
      </c>
      <c r="C31" t="str">
        <f>'HIDDEN import'!D30</f>
        <v>Start Charging Session – Authorize invalid</v>
      </c>
      <c r="D31" t="str" cm="1">
        <f t="array" ref="D31">_xlfn.IFS(VLOOKUP(A31&amp;" "&amp;B31,'HIDDEN import'!A:G,5,FALSE)="M",MD!$A$1,VLOOKUP(A31&amp;" "&amp;B31,'HIDDEN import'!A:G,5,FALSE)="O",MD!$A$4,AND(VLOOKUP(A31,'HIDDEN import'!B:E,4,FALSE)="C",NOT(ISERROR(VLOOKUP(E31,'Optional features'!B:D,1,FALSE)=E31))),MD!$A$3,AND(VLOOKUP(A31,'HIDDEN import'!B:E,4,FALSE)="C",_xlfn.IFNA(VLOOKUP(E31,'HIDDEN calc sheet'!A:C,3,FALSE)=TRUE,FALSE)),MD!$A$3,TRUE,MD!$A$2)</f>
        <v>Mandatory test for a mandatory feature</v>
      </c>
      <c r="E31" t="str">
        <f>IF('HIDDEN import'!F30=0,"",'HIDDEN import'!F30)</f>
        <v/>
      </c>
      <c r="F31" t="str">
        <f>IF('HIDDEN import'!G30=0,"",'HIDDEN import'!G30)</f>
        <v/>
      </c>
      <c r="G31" s="144" t="str">
        <f>IFERROR(VLOOKUP($A31,'HIDDEN Testrun Results'!$A:$B,2,FALSE),"")</f>
        <v/>
      </c>
      <c r="H31" s="10" t="b">
        <f t="shared" si="1"/>
        <v>1</v>
      </c>
      <c r="I31" s="10" t="b">
        <f>IF(VLOOKUP(A31&amp;" "&amp;B31,'HIDDEN import'!A:G,5,FALSE)="M",TRUE,IFERROR(VLOOKUP(E31,'Optional features'!B:D,3,FALSE)="Yes",IFERROR(VLOOKUP(E31,'HIDDEN calc sheet'!A:B,2,FALSE),IFERROR(VLOOKUP(E31,'Additional questions'!B:D,3,FALSE)="Yes",VLOOKUP(E31,'Hardware Feature set'!B:D,3,FALSE)="No"))))</f>
        <v>1</v>
      </c>
      <c r="J31" s="10" t="b">
        <f t="shared" si="2"/>
        <v>0</v>
      </c>
      <c r="K31" s="10" t="b">
        <f>IFERROR(VLOOKUP(B31,'Profile selection'!B:C,2,FALSE)="Yes",FALSE)</f>
        <v>1</v>
      </c>
      <c r="L31" s="50"/>
      <c r="M31" s="50"/>
    </row>
    <row r="32" spans="1:13" ht="15.75" customHeight="1" x14ac:dyDescent="0.25">
      <c r="A32" t="str">
        <f>'HIDDEN import'!B31</f>
        <v>TC_024_CS</v>
      </c>
      <c r="B32" t="str">
        <f>'HIDDEN import'!C31</f>
        <v>Core</v>
      </c>
      <c r="C32" t="str">
        <f>'HIDDEN import'!D31</f>
        <v>Start Charging Session - Lock Failure</v>
      </c>
      <c r="D32" t="str" cm="1">
        <f t="array" ref="D32">_xlfn.IFS(VLOOKUP(A32&amp;" "&amp;B32,'HIDDEN import'!A:G,5,FALSE)="M",MD!$A$1,VLOOKUP(A32&amp;" "&amp;B32,'HIDDEN import'!A:G,5,FALSE)="O",MD!$A$4,AND(VLOOKUP(A32,'HIDDEN import'!B:E,4,FALSE)="C",NOT(ISERROR(VLOOKUP(E32,'Optional features'!B:D,1,FALSE)=E32))),MD!$A$3,AND(VLOOKUP(A32,'HIDDEN import'!B:E,4,FALSE)="C",_xlfn.IFNA(VLOOKUP(E32,'HIDDEN calc sheet'!A:C,3,FALSE)=TRUE,FALSE)),MD!$A$3,TRUE,MD!$A$2)</f>
        <v>Optional test case</v>
      </c>
      <c r="E32" t="str">
        <f>IF('HIDDEN import'!F31=0,"",'HIDDEN import'!F31)</f>
        <v>NOT HFS-2</v>
      </c>
      <c r="F32" t="str">
        <f>IF('HIDDEN import'!G31=0,"",'HIDDEN import'!G31)</f>
        <v>Only applicable if the Charge Point does not have a fixed cable on Charge Point side.</v>
      </c>
      <c r="G32" s="144" t="str">
        <f>IFERROR(VLOOKUP($A32,'HIDDEN Testrun Results'!$A:$B,2,FALSE),"")</f>
        <v/>
      </c>
      <c r="H32" s="10" t="str">
        <f t="shared" si="1"/>
        <v>Up to vendor</v>
      </c>
      <c r="I32" s="10" t="b">
        <f>IF(VLOOKUP(A32&amp;" "&amp;B32,'HIDDEN import'!A:G,5,FALSE)="M",TRUE,IFERROR(VLOOKUP(E32,'Optional features'!B:D,3,FALSE)="Yes",IFERROR(VLOOKUP(E32,'HIDDEN calc sheet'!A:B,2,FALSE),IFERROR(VLOOKUP(E32,'Additional questions'!B:D,3,FALSE)="Yes",VLOOKUP(E32,'Hardware Feature set'!B:D,3,FALSE)="No"))))</f>
        <v>1</v>
      </c>
      <c r="J32" s="10" t="b">
        <f t="shared" si="2"/>
        <v>1</v>
      </c>
      <c r="K32" s="10" t="b">
        <f>IFERROR(VLOOKUP(B32,'Profile selection'!B:C,2,FALSE)="Yes",FALSE)</f>
        <v>1</v>
      </c>
      <c r="L32" s="50"/>
      <c r="M32" s="50"/>
    </row>
    <row r="33" spans="1:13" ht="15.75" customHeight="1" x14ac:dyDescent="0.25">
      <c r="A33" t="str">
        <f>'HIDDEN import'!B32</f>
        <v>TC_026_CS</v>
      </c>
      <c r="B33" t="str">
        <f>'HIDDEN import'!C32</f>
        <v>Core</v>
      </c>
      <c r="C33" t="str">
        <f>'HIDDEN import'!D32</f>
        <v>Remote Start Charging Session – Rejected</v>
      </c>
      <c r="D33" t="str" cm="1">
        <f t="array" ref="D33">_xlfn.IFS(VLOOKUP(A33&amp;" "&amp;B33,'HIDDEN import'!A:G,5,FALSE)="M",MD!$A$1,VLOOKUP(A33&amp;" "&amp;B33,'HIDDEN import'!A:G,5,FALSE)="O",MD!$A$4,AND(VLOOKUP(A33,'HIDDEN import'!B:E,4,FALSE)="C",NOT(ISERROR(VLOOKUP(E33,'Optional features'!B:D,1,FALSE)=E33))),MD!$A$3,AND(VLOOKUP(A33,'HIDDEN import'!B:E,4,FALSE)="C",_xlfn.IFNA(VLOOKUP(E33,'HIDDEN calc sheet'!A:C,3,FALSE)=TRUE,FALSE)),MD!$A$3,TRUE,MD!$A$2)</f>
        <v>Mandatory test for a mandatory feature</v>
      </c>
      <c r="E33" t="str">
        <f>IF('HIDDEN import'!F32=0,"",'HIDDEN import'!F32)</f>
        <v/>
      </c>
      <c r="F33" t="str">
        <f>IF('HIDDEN import'!G32=0,"",'HIDDEN import'!G32)</f>
        <v/>
      </c>
      <c r="G33" s="144" t="str">
        <f>IFERROR(VLOOKUP($A33,'HIDDEN Testrun Results'!$A:$B,2,FALSE),"")</f>
        <v/>
      </c>
      <c r="H33" s="10" t="b">
        <f t="shared" si="1"/>
        <v>1</v>
      </c>
      <c r="I33" s="10" t="b">
        <f>IF(VLOOKUP(A33&amp;" "&amp;B33,'HIDDEN import'!A:G,5,FALSE)="M",TRUE,IFERROR(VLOOKUP(E33,'Optional features'!B:D,3,FALSE)="Yes",IFERROR(VLOOKUP(E33,'HIDDEN calc sheet'!A:B,2,FALSE),IFERROR(VLOOKUP(E33,'Additional questions'!B:D,3,FALSE)="Yes",VLOOKUP(E33,'Hardware Feature set'!B:D,3,FALSE)="No"))))</f>
        <v>1</v>
      </c>
      <c r="J33" s="10" t="b">
        <f t="shared" si="2"/>
        <v>0</v>
      </c>
      <c r="K33" s="10" t="b">
        <f>IFERROR(VLOOKUP(B33,'Profile selection'!B:C,2,FALSE)="Yes",FALSE)</f>
        <v>1</v>
      </c>
      <c r="L33" s="50"/>
      <c r="M33" s="50"/>
    </row>
    <row r="34" spans="1:13" ht="15.75" customHeight="1" x14ac:dyDescent="0.25">
      <c r="A34" t="str">
        <f>'HIDDEN import'!B33</f>
        <v>TC_028_CS</v>
      </c>
      <c r="B34" t="str">
        <f>'HIDDEN import'!C33</f>
        <v>Core</v>
      </c>
      <c r="C34" t="str">
        <f>'HIDDEN import'!D33</f>
        <v>Remote Stop Transaction – Rejected</v>
      </c>
      <c r="D34" t="str" cm="1">
        <f t="array" ref="D34">_xlfn.IFS(VLOOKUP(A34&amp;" "&amp;B34,'HIDDEN import'!A:G,5,FALSE)="M",MD!$A$1,VLOOKUP(A34&amp;" "&amp;B34,'HIDDEN import'!A:G,5,FALSE)="O",MD!$A$4,AND(VLOOKUP(A34,'HIDDEN import'!B:E,4,FALSE)="C",NOT(ISERROR(VLOOKUP(E34,'Optional features'!B:D,1,FALSE)=E34))),MD!$A$3,AND(VLOOKUP(A34,'HIDDEN import'!B:E,4,FALSE)="C",_xlfn.IFNA(VLOOKUP(E34,'HIDDEN calc sheet'!A:C,3,FALSE)=TRUE,FALSE)),MD!$A$3,TRUE,MD!$A$2)</f>
        <v>Mandatory test for a mandatory feature</v>
      </c>
      <c r="E34" t="str">
        <f>IF('HIDDEN import'!F33=0,"",'HIDDEN import'!F33)</f>
        <v/>
      </c>
      <c r="F34" t="str">
        <f>IF('HIDDEN import'!G33=0,"",'HIDDEN import'!G33)</f>
        <v/>
      </c>
      <c r="G34" s="144" t="str">
        <f>IFERROR(VLOOKUP($A34,'HIDDEN Testrun Results'!$A:$B,2,FALSE),"")</f>
        <v/>
      </c>
      <c r="H34" s="10" t="b">
        <f t="shared" si="1"/>
        <v>1</v>
      </c>
      <c r="I34" s="10" t="b">
        <f>IF(VLOOKUP(A34&amp;" "&amp;B34,'HIDDEN import'!A:G,5,FALSE)="M",TRUE,IFERROR(VLOOKUP(E34,'Optional features'!B:D,3,FALSE)="Yes",IFERROR(VLOOKUP(E34,'HIDDEN calc sheet'!A:B,2,FALSE),IFERROR(VLOOKUP(E34,'Additional questions'!B:D,3,FALSE)="Yes",VLOOKUP(E34,'Hardware Feature set'!B:D,3,FALSE)="No"))))</f>
        <v>1</v>
      </c>
      <c r="J34" s="10" t="b">
        <f t="shared" si="2"/>
        <v>0</v>
      </c>
      <c r="K34" s="10" t="b">
        <f>IFERROR(VLOOKUP(B34,'Profile selection'!B:C,2,FALSE)="Yes",FALSE)</f>
        <v>1</v>
      </c>
      <c r="L34" s="50"/>
      <c r="M34" s="50"/>
    </row>
    <row r="35" spans="1:13" ht="15.75" customHeight="1" x14ac:dyDescent="0.25">
      <c r="A35" t="str">
        <f>'HIDDEN import'!B34</f>
        <v>TC_030_CS</v>
      </c>
      <c r="B35" t="str">
        <f>'HIDDEN import'!C34</f>
        <v>Core</v>
      </c>
      <c r="C35" t="str">
        <f>'HIDDEN import'!D34</f>
        <v>Unlock Connector – Unlock Failure</v>
      </c>
      <c r="D35" t="str" cm="1">
        <f t="array" ref="D35">_xlfn.IFS(VLOOKUP(A35&amp;" "&amp;B35,'HIDDEN import'!A:G,5,FALSE)="M",MD!$A$1,VLOOKUP(A35&amp;" "&amp;B35,'HIDDEN import'!A:G,5,FALSE)="O",MD!$A$4,AND(VLOOKUP(A35,'HIDDEN import'!B:E,4,FALSE)="C",NOT(ISERROR(VLOOKUP(E35,'Optional features'!B:D,1,FALSE)=E35))),MD!$A$3,AND(VLOOKUP(A35,'HIDDEN import'!B:E,4,FALSE)="C",_xlfn.IFNA(VLOOKUP(E35,'HIDDEN calc sheet'!A:C,3,FALSE)=TRUE,FALSE)),MD!$A$3,TRUE,MD!$A$2)</f>
        <v>Optional test case</v>
      </c>
      <c r="E35" t="str">
        <f>IF('HIDDEN import'!F34=0,"",'HIDDEN import'!F34)</f>
        <v/>
      </c>
      <c r="F35" t="str">
        <f>IF('HIDDEN import'!G34=0,"",'HIDDEN import'!G34)</f>
        <v/>
      </c>
      <c r="G35" s="144" t="str">
        <f>IFERROR(VLOOKUP($A35,'HIDDEN Testrun Results'!$A:$B,2,FALSE),"")</f>
        <v/>
      </c>
      <c r="H35" s="10" t="str">
        <f t="shared" si="1"/>
        <v>Up to vendor</v>
      </c>
      <c r="I35" s="10" t="e">
        <f>IF(VLOOKUP(A35&amp;" "&amp;B35,'HIDDEN import'!A:G,5,FALSE)="M",TRUE,IFERROR(VLOOKUP(E35,'Optional features'!B:D,3,FALSE)="Yes",IFERROR(VLOOKUP(E35,'HIDDEN calc sheet'!A:B,2,FALSE),IFERROR(VLOOKUP(E35,'Additional questions'!B:D,3,FALSE)="Yes",VLOOKUP(E35,'Hardware Feature set'!B:D,3,FALSE)="No"))))</f>
        <v>#N/A</v>
      </c>
      <c r="J35" s="10" t="b">
        <f t="shared" si="2"/>
        <v>1</v>
      </c>
      <c r="K35" s="10" t="b">
        <f>IFERROR(VLOOKUP(B35,'Profile selection'!B:C,2,FALSE)="Yes",FALSE)</f>
        <v>1</v>
      </c>
      <c r="L35" s="50"/>
      <c r="M35" s="50"/>
    </row>
    <row r="36" spans="1:13" ht="15.75" customHeight="1" x14ac:dyDescent="0.25">
      <c r="A36" t="str">
        <f>'HIDDEN import'!B35</f>
        <v>TC_031_CS</v>
      </c>
      <c r="B36" t="str">
        <f>'HIDDEN import'!C35</f>
        <v>Core</v>
      </c>
      <c r="C36" t="str">
        <f>'HIDDEN import'!D35</f>
        <v>Unlock Connector – Unknown Connector</v>
      </c>
      <c r="D36" t="str" cm="1">
        <f t="array" ref="D36">_xlfn.IFS(VLOOKUP(A36&amp;" "&amp;B36,'HIDDEN import'!A:G,5,FALSE)="M",MD!$A$1,VLOOKUP(A36&amp;" "&amp;B36,'HIDDEN import'!A:G,5,FALSE)="O",MD!$A$4,AND(VLOOKUP(A36,'HIDDEN import'!B:E,4,FALSE)="C",NOT(ISERROR(VLOOKUP(E36,'Optional features'!B:D,1,FALSE)=E36))),MD!$A$3,AND(VLOOKUP(A36,'HIDDEN import'!B:E,4,FALSE)="C",_xlfn.IFNA(VLOOKUP(E36,'HIDDEN calc sheet'!A:C,3,FALSE)=TRUE,FALSE)),MD!$A$3,TRUE,MD!$A$2)</f>
        <v>Mandatory test for a mandatory feature</v>
      </c>
      <c r="E36" t="str">
        <f>IF('HIDDEN import'!F35=0,"",'HIDDEN import'!F35)</f>
        <v/>
      </c>
      <c r="F36" t="str">
        <f>IF('HIDDEN import'!G35=0,"",'HIDDEN import'!G35)</f>
        <v/>
      </c>
      <c r="G36" s="144" t="str">
        <f>IFERROR(VLOOKUP($A36,'HIDDEN Testrun Results'!$A:$B,2,FALSE),"")</f>
        <v/>
      </c>
      <c r="H36" s="10" t="b">
        <f t="shared" si="1"/>
        <v>1</v>
      </c>
      <c r="I36" s="10" t="b">
        <f>IF(VLOOKUP(A36&amp;" "&amp;B36,'HIDDEN import'!A:G,5,FALSE)="M",TRUE,IFERROR(VLOOKUP(E36,'Optional features'!B:D,3,FALSE)="Yes",IFERROR(VLOOKUP(E36,'HIDDEN calc sheet'!A:B,2,FALSE),IFERROR(VLOOKUP(E36,'Additional questions'!B:D,3,FALSE)="Yes",VLOOKUP(E36,'Hardware Feature set'!B:D,3,FALSE)="No"))))</f>
        <v>1</v>
      </c>
      <c r="J36" s="10" t="b">
        <f t="shared" si="2"/>
        <v>0</v>
      </c>
      <c r="K36" s="10" t="b">
        <f>IFERROR(VLOOKUP(B36,'Profile selection'!B:C,2,FALSE)="Yes",FALSE)</f>
        <v>1</v>
      </c>
      <c r="L36" s="50"/>
      <c r="M36" s="50"/>
    </row>
    <row r="37" spans="1:13" ht="15.75" customHeight="1" x14ac:dyDescent="0.25">
      <c r="A37" t="str">
        <f>'HIDDEN import'!B36</f>
        <v>TC_032_1_CS</v>
      </c>
      <c r="B37" t="str">
        <f>'HIDDEN import'!C36</f>
        <v>Core</v>
      </c>
      <c r="C37" t="str">
        <f>'HIDDEN import'!D36</f>
        <v>Power failure boot charging point - configured to stop transaction(s) before going down</v>
      </c>
      <c r="D37" t="str" cm="1">
        <f t="array" ref="D37">_xlfn.IFS(VLOOKUP(A37&amp;" "&amp;B37,'HIDDEN import'!A:G,5,FALSE)="M",MD!$A$1,VLOOKUP(A37&amp;" "&amp;B37,'HIDDEN import'!A:G,5,FALSE)="O",MD!$A$4,AND(VLOOKUP(A37,'HIDDEN import'!B:E,4,FALSE)="C",NOT(ISERROR(VLOOKUP(E37,'Optional features'!B:D,1,FALSE)=E37))),MD!$A$3,AND(VLOOKUP(A37,'HIDDEN import'!B:E,4,FALSE)="C",_xlfn.IFNA(VLOOKUP(E37,'HIDDEN calc sheet'!A:C,3,FALSE)=TRUE,FALSE)),MD!$A$3,TRUE,MD!$A$2)</f>
        <v>Possibly mandatory, depending on your system</v>
      </c>
      <c r="E37" t="str">
        <f>IF('HIDDEN import'!F36=0,"",'HIDDEN import'!F36)</f>
        <v>AQ-7.1</v>
      </c>
      <c r="F37" t="str">
        <f>IF('HIDDEN import'!G36=0,"",'HIDDEN import'!G36)</f>
        <v>Only applicable for a Charge Point configured to stop transaction(s) before going down.</v>
      </c>
      <c r="G37" s="144" t="str">
        <f>IFERROR(VLOOKUP($A37,'HIDDEN Testrun Results'!$A:$B,2,FALSE),"")</f>
        <v/>
      </c>
      <c r="H37" s="10" t="b">
        <f t="shared" si="1"/>
        <v>0</v>
      </c>
      <c r="I37" s="10" t="b">
        <f>IF(VLOOKUP(A37&amp;" "&amp;B37,'HIDDEN import'!A:G,5,FALSE)="M",TRUE,IFERROR(VLOOKUP(E37,'Optional features'!B:D,3,FALSE)="Yes",IFERROR(VLOOKUP(E37,'HIDDEN calc sheet'!A:B,2,FALSE),IFERROR(VLOOKUP(E37,'Additional questions'!B:D,3,FALSE)="Yes",VLOOKUP(E37,'Hardware Feature set'!B:D,3,FALSE)="No"))))</f>
        <v>0</v>
      </c>
      <c r="J37" s="10" t="b">
        <f t="shared" si="2"/>
        <v>0</v>
      </c>
      <c r="K37" s="10" t="b">
        <f>IFERROR(VLOOKUP(B37,'Profile selection'!B:C,2,FALSE)="Yes",FALSE)</f>
        <v>1</v>
      </c>
      <c r="L37" s="50"/>
      <c r="M37" s="50"/>
    </row>
    <row r="38" spans="1:13" ht="15.75" customHeight="1" x14ac:dyDescent="0.25">
      <c r="A38" t="str">
        <f>'HIDDEN import'!B37</f>
        <v>TC_032_2_CS</v>
      </c>
      <c r="B38" t="str">
        <f>'HIDDEN import'!C37</f>
        <v>Core</v>
      </c>
      <c r="C38" t="str">
        <f>'HIDDEN import'!D37</f>
        <v>Power failure boot charging point-configured to stop transaction(s)</v>
      </c>
      <c r="D38" t="str" cm="1">
        <f t="array" ref="D38">_xlfn.IFS(VLOOKUP(A38&amp;" "&amp;B38,'HIDDEN import'!A:G,5,FALSE)="M",MD!$A$1,VLOOKUP(A38&amp;" "&amp;B38,'HIDDEN import'!A:G,5,FALSE)="O",MD!$A$4,AND(VLOOKUP(A38,'HIDDEN import'!B:E,4,FALSE)="C",NOT(ISERROR(VLOOKUP(E38,'Optional features'!B:D,1,FALSE)=E38))),MD!$A$3,AND(VLOOKUP(A38,'HIDDEN import'!B:E,4,FALSE)="C",_xlfn.IFNA(VLOOKUP(E38,'HIDDEN calc sheet'!A:C,3,FALSE)=TRUE,FALSE)),MD!$A$3,TRUE,MD!$A$2)</f>
        <v>Mandatory for optional feature</v>
      </c>
      <c r="E38" t="str">
        <f>IF('HIDDEN import'!F37=0,"",'HIDDEN import'!F37)</f>
        <v>AQ-7.2</v>
      </c>
      <c r="F38" t="str">
        <f>IF('HIDDEN import'!G37=0,"",'HIDDEN import'!G37)</f>
        <v>Only applicable for a Charge Point configured to stop transaction(s) after going down and being back online again.</v>
      </c>
      <c r="G38" s="144" t="str">
        <f>IFERROR(VLOOKUP($A38,'HIDDEN Testrun Results'!$A:$B,2,FALSE),"")</f>
        <v/>
      </c>
      <c r="H38" s="10" t="b">
        <f t="shared" si="1"/>
        <v>1</v>
      </c>
      <c r="I38" s="10" t="b">
        <f>IF(VLOOKUP(A38&amp;" "&amp;B38,'HIDDEN import'!A:G,5,FALSE)="M",TRUE,IFERROR(VLOOKUP(E38,'Optional features'!B:D,3,FALSE)="Yes",IFERROR(VLOOKUP(E38,'HIDDEN calc sheet'!A:B,2,FALSE),IFERROR(VLOOKUP(E38,'Additional questions'!B:D,3,FALSE)="Yes",VLOOKUP(E38,'Hardware Feature set'!B:D,3,FALSE)="No"))))</f>
        <v>1</v>
      </c>
      <c r="J38" s="10" t="b">
        <f t="shared" si="2"/>
        <v>0</v>
      </c>
      <c r="K38" s="10" t="b">
        <f>IFERROR(VLOOKUP(B38,'Profile selection'!B:C,2,FALSE)="Yes",FALSE)</f>
        <v>1</v>
      </c>
      <c r="L38" s="50"/>
      <c r="M38" s="50"/>
    </row>
    <row r="39" spans="1:13" ht="15.75" customHeight="1" x14ac:dyDescent="0.25">
      <c r="A39" t="str">
        <f>'HIDDEN import'!B38</f>
        <v>TC_034_CS</v>
      </c>
      <c r="B39" t="str">
        <f>'HIDDEN import'!C38</f>
        <v>Core</v>
      </c>
      <c r="C39" t="str">
        <f>'HIDDEN import'!D38</f>
        <v>Power Failure with Unavailable Status</v>
      </c>
      <c r="D39" t="str" cm="1">
        <f t="array" ref="D39">_xlfn.IFS(VLOOKUP(A39&amp;" "&amp;B39,'HIDDEN import'!A:G,5,FALSE)="M",MD!$A$1,VLOOKUP(A39&amp;" "&amp;B39,'HIDDEN import'!A:G,5,FALSE)="O",MD!$A$4,AND(VLOOKUP(A39,'HIDDEN import'!B:E,4,FALSE)="C",NOT(ISERROR(VLOOKUP(E39,'Optional features'!B:D,1,FALSE)=E39))),MD!$A$3,AND(VLOOKUP(A39,'HIDDEN import'!B:E,4,FALSE)="C",_xlfn.IFNA(VLOOKUP(E39,'HIDDEN calc sheet'!A:C,3,FALSE)=TRUE,FALSE)),MD!$A$3,TRUE,MD!$A$2)</f>
        <v>Mandatory test for a mandatory feature</v>
      </c>
      <c r="E39" t="str">
        <f>IF('HIDDEN import'!F38=0,"",'HIDDEN import'!F38)</f>
        <v/>
      </c>
      <c r="F39" t="str">
        <f>IF('HIDDEN import'!G38=0,"",'HIDDEN import'!G38)</f>
        <v/>
      </c>
      <c r="G39" s="144" t="str">
        <f>IFERROR(VLOOKUP($A39,'HIDDEN Testrun Results'!$A:$B,2,FALSE),"")</f>
        <v/>
      </c>
      <c r="H39" s="10" t="b">
        <f t="shared" si="1"/>
        <v>1</v>
      </c>
      <c r="I39" s="10" t="b">
        <f>IF(VLOOKUP(A39&amp;" "&amp;B39,'HIDDEN import'!A:G,5,FALSE)="M",TRUE,IFERROR(VLOOKUP(E39,'Optional features'!B:D,3,FALSE)="Yes",IFERROR(VLOOKUP(E39,'HIDDEN calc sheet'!A:B,2,FALSE),IFERROR(VLOOKUP(E39,'Additional questions'!B:D,3,FALSE)="Yes",VLOOKUP(E39,'Hardware Feature set'!B:D,3,FALSE)="No"))))</f>
        <v>1</v>
      </c>
      <c r="J39" s="10" t="b">
        <f t="shared" si="2"/>
        <v>0</v>
      </c>
      <c r="K39" s="10" t="b">
        <f>IFERROR(VLOOKUP(B39,'Profile selection'!B:C,2,FALSE)="Yes",FALSE)</f>
        <v>1</v>
      </c>
      <c r="L39" s="50"/>
      <c r="M39" s="50"/>
    </row>
    <row r="40" spans="1:13" ht="15.75" customHeight="1" x14ac:dyDescent="0.25">
      <c r="A40" t="str">
        <f>'HIDDEN import'!B39</f>
        <v>TC_036_CS</v>
      </c>
      <c r="B40" t="str">
        <f>'HIDDEN import'!C39</f>
        <v>Core</v>
      </c>
      <c r="C40" t="str">
        <f>'HIDDEN import'!D39</f>
        <v>Connection Loss During Transaction</v>
      </c>
      <c r="D40" t="str" cm="1">
        <f t="array" ref="D40">_xlfn.IFS(VLOOKUP(A40&amp;" "&amp;B40,'HIDDEN import'!A:G,5,FALSE)="M",MD!$A$1,VLOOKUP(A40&amp;" "&amp;B40,'HIDDEN import'!A:G,5,FALSE)="O",MD!$A$4,AND(VLOOKUP(A40,'HIDDEN import'!B:E,4,FALSE)="C",NOT(ISERROR(VLOOKUP(E40,'Optional features'!B:D,1,FALSE)=E40))),MD!$A$3,AND(VLOOKUP(A40,'HIDDEN import'!B:E,4,FALSE)="C",_xlfn.IFNA(VLOOKUP(E40,'HIDDEN calc sheet'!A:C,3,FALSE)=TRUE,FALSE)),MD!$A$3,TRUE,MD!$A$2)</f>
        <v>Mandatory test for a mandatory feature</v>
      </c>
      <c r="E40" t="str">
        <f>IF('HIDDEN import'!F39=0,"",'HIDDEN import'!F39)</f>
        <v/>
      </c>
      <c r="F40" t="str">
        <f>IF('HIDDEN import'!G39=0,"",'HIDDEN import'!G39)</f>
        <v/>
      </c>
      <c r="G40" s="144" t="str">
        <f>IFERROR(VLOOKUP($A40,'HIDDEN Testrun Results'!$A:$B,2,FALSE),"")</f>
        <v/>
      </c>
      <c r="H40" s="10" t="b">
        <f t="shared" si="1"/>
        <v>1</v>
      </c>
      <c r="I40" s="10" t="b">
        <f>IF(VLOOKUP(A40&amp;" "&amp;B40,'HIDDEN import'!A:G,5,FALSE)="M",TRUE,IFERROR(VLOOKUP(E40,'Optional features'!B:D,3,FALSE)="Yes",IFERROR(VLOOKUP(E40,'HIDDEN calc sheet'!A:B,2,FALSE),IFERROR(VLOOKUP(E40,'Additional questions'!B:D,3,FALSE)="Yes",VLOOKUP(E40,'Hardware Feature set'!B:D,3,FALSE)="No"))))</f>
        <v>1</v>
      </c>
      <c r="J40" s="10" t="b">
        <f t="shared" si="2"/>
        <v>0</v>
      </c>
      <c r="K40" s="10" t="b">
        <f>IFERROR(VLOOKUP(B40,'Profile selection'!B:C,2,FALSE)="Yes",FALSE)</f>
        <v>1</v>
      </c>
      <c r="L40" s="50"/>
      <c r="M40" s="50"/>
    </row>
    <row r="41" spans="1:13" ht="15.75" customHeight="1" x14ac:dyDescent="0.25">
      <c r="A41" t="str">
        <f>'HIDDEN import'!B40</f>
        <v>TC_037_1_CS</v>
      </c>
      <c r="B41" t="str">
        <f>'HIDDEN import'!C40</f>
        <v>Core</v>
      </c>
      <c r="C41" t="str">
        <f>'HIDDEN import'!D40</f>
        <v>Offline Start Transaction - Valid IdTag</v>
      </c>
      <c r="D41" t="str" cm="1">
        <f t="array" ref="D41">_xlfn.IFS(VLOOKUP(A41&amp;" "&amp;B41,'HIDDEN import'!A:G,5,FALSE)="M",MD!$A$1,VLOOKUP(A41&amp;" "&amp;B41,'HIDDEN import'!A:G,5,FALSE)="O",MD!$A$4,AND(VLOOKUP(A41,'HIDDEN import'!B:E,4,FALSE)="C",NOT(ISERROR(VLOOKUP(E41,'Optional features'!B:D,1,FALSE)=E41))),MD!$A$3,AND(VLOOKUP(A41,'HIDDEN import'!B:E,4,FALSE)="C",_xlfn.IFNA(VLOOKUP(E41,'HIDDEN calc sheet'!A:C,3,FALSE)=TRUE,FALSE)),MD!$A$3,TRUE,MD!$A$2)</f>
        <v>Mandatory for optional feature</v>
      </c>
      <c r="E41" t="str">
        <f>IF('HIDDEN import'!F40=0,"",'HIDDEN import'!F40)</f>
        <v>C-01 AND C-07 AND C-08</v>
      </c>
      <c r="F41" t="str">
        <f>IF('HIDDEN import'!G40=0,"",'HIDDEN import'!G40)</f>
        <v>Only applicable for a Charge Point which supports local start/stop transaction and at least one of the following 3 functionalities: local authorization list feature profile, Unknown Offline Authorization or Authorization Cache.
Using valid idTag,
AllowOfflineTxForUnknownId = true,
LocalAuthorizeOffline = true</v>
      </c>
      <c r="G41" s="144" t="str">
        <f>IFERROR(VLOOKUP($A41,'HIDDEN Testrun Results'!$A:$B,2,FALSE),"")</f>
        <v/>
      </c>
      <c r="H41" s="10" t="b">
        <f t="shared" si="1"/>
        <v>0</v>
      </c>
      <c r="I41" s="10" t="b">
        <f>IF(VLOOKUP(A41&amp;" "&amp;B41,'HIDDEN import'!A:G,5,FALSE)="M",TRUE,IFERROR(VLOOKUP(E41,'Optional features'!B:D,3,FALSE)="Yes",IFERROR(VLOOKUP(E41,'HIDDEN calc sheet'!A:B,2,FALSE),IFERROR(VLOOKUP(E41,'Additional questions'!B:D,3,FALSE)="Yes",VLOOKUP(E41,'Hardware Feature set'!B:D,3,FALSE)="No"))))</f>
        <v>0</v>
      </c>
      <c r="J41" s="10" t="b">
        <f t="shared" si="2"/>
        <v>0</v>
      </c>
      <c r="K41" s="10" t="b">
        <f>IFERROR(VLOOKUP(B41,'Profile selection'!B:C,2,FALSE)="Yes",FALSE)</f>
        <v>1</v>
      </c>
      <c r="L41" s="50"/>
      <c r="M41" s="50"/>
    </row>
    <row r="42" spans="1:13" ht="15.75" customHeight="1" x14ac:dyDescent="0.25">
      <c r="A42" t="str">
        <f>'HIDDEN import'!B41</f>
        <v>TC_037_2_CS</v>
      </c>
      <c r="B42" t="str">
        <f>'HIDDEN import'!C41</f>
        <v>Core</v>
      </c>
      <c r="C42" t="str">
        <f>'HIDDEN import'!D41</f>
        <v>Offline Start Transaction - Invalid IdTag - StopTransactionOnInvalidId = false</v>
      </c>
      <c r="D42" t="str" cm="1">
        <f t="array" ref="D42">_xlfn.IFS(VLOOKUP(A42&amp;" "&amp;B42,'HIDDEN import'!A:G,5,FALSE)="M",MD!$A$1,VLOOKUP(A42&amp;" "&amp;B42,'HIDDEN import'!A:G,5,FALSE)="O",MD!$A$4,AND(VLOOKUP(A42,'HIDDEN import'!B:E,4,FALSE)="C",NOT(ISERROR(VLOOKUP(E42,'Optional features'!B:D,1,FALSE)=E42))),MD!$A$3,AND(VLOOKUP(A42,'HIDDEN import'!B:E,4,FALSE)="C",_xlfn.IFNA(VLOOKUP(E42,'HIDDEN calc sheet'!A:C,3,FALSE)=TRUE,FALSE)),MD!$A$3,TRUE,MD!$A$2)</f>
        <v>Mandatory for optional feature</v>
      </c>
      <c r="E42" t="str">
        <f>IF('HIDDEN import'!F41=0,"",'HIDDEN import'!F41)</f>
        <v>C-01 AND C-07 AND C-08</v>
      </c>
      <c r="F42" t="str">
        <f>IF('HIDDEN import'!G41=0,"",'HIDDEN import'!G41)</f>
        <v>Only applicable for a Charge Point which supports local start/stop transaction and at least one of the following 3 functionalities: local authorization list feature profile, Unknown Offline Authorization or Authorization Cache.
Using invalid idTag, 
AllowOfflineTxForUnknownId = true, LocalAuthorizeOffline = true, StopTransactionOnInvalidId = false
Please note: as with all Charging Stations, this test case is also applicable for product subtype Mode 1/2-only Charging Station (depending on the above conditions).</v>
      </c>
      <c r="G42" s="144" t="str">
        <f>IFERROR(VLOOKUP($A42,'HIDDEN Testrun Results'!$A:$B,2,FALSE),"")</f>
        <v/>
      </c>
      <c r="H42" s="10" t="b">
        <f t="shared" si="1"/>
        <v>0</v>
      </c>
      <c r="I42" s="10" t="b">
        <f>IF(VLOOKUP(A42&amp;" "&amp;B42,'HIDDEN import'!A:G,5,FALSE)="M",TRUE,IFERROR(VLOOKUP(E42,'Optional features'!B:D,3,FALSE)="Yes",IFERROR(VLOOKUP(E42,'HIDDEN calc sheet'!A:B,2,FALSE),IFERROR(VLOOKUP(E42,'Additional questions'!B:D,3,FALSE)="Yes",VLOOKUP(E42,'Hardware Feature set'!B:D,3,FALSE)="No"))))</f>
        <v>0</v>
      </c>
      <c r="J42" s="10" t="b">
        <f t="shared" si="2"/>
        <v>0</v>
      </c>
      <c r="K42" s="10" t="b">
        <f>IFERROR(VLOOKUP(B42,'Profile selection'!B:C,2,FALSE)="Yes",FALSE)</f>
        <v>1</v>
      </c>
      <c r="L42" s="50"/>
      <c r="M42" s="50"/>
    </row>
    <row r="43" spans="1:13" ht="15.75" customHeight="1" x14ac:dyDescent="0.25">
      <c r="A43" t="str">
        <f>'HIDDEN import'!B42</f>
        <v>TC_037_3_CS</v>
      </c>
      <c r="B43" t="str">
        <f>'HIDDEN import'!C42</f>
        <v>Core</v>
      </c>
      <c r="C43" t="str">
        <f>'HIDDEN import'!D42</f>
        <v>Offline Start Transaction - Invalid IdTag - StopTransactionOnInvalidId = true</v>
      </c>
      <c r="D43" t="str" cm="1">
        <f t="array" ref="D43">_xlfn.IFS(VLOOKUP(A43&amp;" "&amp;B43,'HIDDEN import'!A:G,5,FALSE)="M",MD!$A$1,VLOOKUP(A43&amp;" "&amp;B43,'HIDDEN import'!A:G,5,FALSE)="O",MD!$A$4,AND(VLOOKUP(A43,'HIDDEN import'!B:E,4,FALSE)="C",NOT(ISERROR(VLOOKUP(E43,'Optional features'!B:D,1,FALSE)=E43))),MD!$A$3,AND(VLOOKUP(A43,'HIDDEN import'!B:E,4,FALSE)="C",_xlfn.IFNA(VLOOKUP(E43,'HIDDEN calc sheet'!A:C,3,FALSE)=TRUE,FALSE)),MD!$A$3,TRUE,MD!$A$2)</f>
        <v>Mandatory for optional feature</v>
      </c>
      <c r="E43" t="str">
        <f>IF('HIDDEN import'!F42=0,"",'HIDDEN import'!F42)</f>
        <v>C-01 AND C-07 AND C-08</v>
      </c>
      <c r="F43" t="str">
        <f>IF('HIDDEN import'!G42=0,"",'HIDDEN import'!G42)</f>
        <v>Only applicable for a Charge Point which supports local start/stop transaction and at least one of the following 3 functionalities: local authorization list feature profile, Unknown Offline Authorization or Authorization Cache.
Using invalid idTag, 
AllowOfflineTxForUnknownId = true, LocalAuthorizeOffline = true, StopTransactionOnInvalidId = true</v>
      </c>
      <c r="G43" s="144" t="str">
        <f>IFERROR(VLOOKUP($A43,'HIDDEN Testrun Results'!$A:$B,2,FALSE),"")</f>
        <v/>
      </c>
      <c r="H43" s="10" t="b">
        <f t="shared" si="1"/>
        <v>0</v>
      </c>
      <c r="I43" s="10" t="b">
        <f>IF(VLOOKUP(A43&amp;" "&amp;B43,'HIDDEN import'!A:G,5,FALSE)="M",TRUE,IFERROR(VLOOKUP(E43,'Optional features'!B:D,3,FALSE)="Yes",IFERROR(VLOOKUP(E43,'HIDDEN calc sheet'!A:B,2,FALSE),IFERROR(VLOOKUP(E43,'Additional questions'!B:D,3,FALSE)="Yes",VLOOKUP(E43,'Hardware Feature set'!B:D,3,FALSE)="No"))))</f>
        <v>0</v>
      </c>
      <c r="J43" s="10" t="b">
        <f t="shared" si="2"/>
        <v>0</v>
      </c>
      <c r="K43" s="10" t="b">
        <f>IFERROR(VLOOKUP(B43,'Profile selection'!B:C,2,FALSE)="Yes",FALSE)</f>
        <v>1</v>
      </c>
      <c r="L43" s="50"/>
      <c r="M43" s="50"/>
    </row>
    <row r="44" spans="1:13" ht="15.75" customHeight="1" x14ac:dyDescent="0.25">
      <c r="A44" t="str">
        <f>'HIDDEN import'!B43</f>
        <v>TC_038_CS</v>
      </c>
      <c r="B44" t="str">
        <f>'HIDDEN import'!C43</f>
        <v>Core</v>
      </c>
      <c r="C44" t="str">
        <f>'HIDDEN import'!D43</f>
        <v>Offline Stop Transaction</v>
      </c>
      <c r="D44" t="str" cm="1">
        <f t="array" ref="D44">_xlfn.IFS(VLOOKUP(A44&amp;" "&amp;B44,'HIDDEN import'!A:G,5,FALSE)="M",MD!$A$1,VLOOKUP(A44&amp;" "&amp;B44,'HIDDEN import'!A:G,5,FALSE)="O",MD!$A$4,AND(VLOOKUP(A44,'HIDDEN import'!B:E,4,FALSE)="C",NOT(ISERROR(VLOOKUP(E44,'Optional features'!B:D,1,FALSE)=E44))),MD!$A$3,AND(VLOOKUP(A44,'HIDDEN import'!B:E,4,FALSE)="C",_xlfn.IFNA(VLOOKUP(E44,'HIDDEN calc sheet'!A:C,3,FALSE)=TRUE,FALSE)),MD!$A$3,TRUE,MD!$A$2)</f>
        <v>Mandatory for optional feature</v>
      </c>
      <c r="E44" t="str">
        <f>IF('HIDDEN import'!F43=0,"",'HIDDEN import'!F43)</f>
        <v>C-08</v>
      </c>
      <c r="F44" t="str">
        <f>IF('HIDDEN import'!G43=0,"",'HIDDEN import'!G43)</f>
        <v>Only applicable for a Charge Point which supports local stop transaction.</v>
      </c>
      <c r="G44" s="144" t="str">
        <f>IFERROR(VLOOKUP($A44,'HIDDEN Testrun Results'!$A:$B,2,FALSE),"")</f>
        <v/>
      </c>
      <c r="H44" s="10" t="b">
        <f t="shared" si="1"/>
        <v>1</v>
      </c>
      <c r="I44" s="10" t="b">
        <f>IF(VLOOKUP(A44&amp;" "&amp;B44,'HIDDEN import'!A:G,5,FALSE)="M",TRUE,IFERROR(VLOOKUP(E44,'Optional features'!B:D,3,FALSE)="Yes",IFERROR(VLOOKUP(E44,'HIDDEN calc sheet'!A:B,2,FALSE),IFERROR(VLOOKUP(E44,'Additional questions'!B:D,3,FALSE)="Yes",VLOOKUP(E44,'Hardware Feature set'!B:D,3,FALSE)="No"))))</f>
        <v>1</v>
      </c>
      <c r="J44" s="10" t="b">
        <f t="shared" si="2"/>
        <v>0</v>
      </c>
      <c r="K44" s="10" t="b">
        <f>IFERROR(VLOOKUP(B44,'Profile selection'!B:C,2,FALSE)="Yes",FALSE)</f>
        <v>1</v>
      </c>
      <c r="L44" s="50"/>
      <c r="M44" s="50"/>
    </row>
    <row r="45" spans="1:13" ht="15.75" customHeight="1" x14ac:dyDescent="0.25">
      <c r="A45" t="str">
        <f>'HIDDEN import'!B44</f>
        <v>TC_039_CS</v>
      </c>
      <c r="B45" t="str">
        <f>'HIDDEN import'!C44</f>
        <v>Core</v>
      </c>
      <c r="C45" t="str">
        <f>'HIDDEN import'!D44</f>
        <v>Offline Transaction</v>
      </c>
      <c r="D45" t="str" cm="1">
        <f t="array" ref="D45">_xlfn.IFS(VLOOKUP(A45&amp;" "&amp;B45,'HIDDEN import'!A:G,5,FALSE)="M",MD!$A$1,VLOOKUP(A45&amp;" "&amp;B45,'HIDDEN import'!A:G,5,FALSE)="O",MD!$A$4,AND(VLOOKUP(A45,'HIDDEN import'!B:E,4,FALSE)="C",NOT(ISERROR(VLOOKUP(E45,'Optional features'!B:D,1,FALSE)=E45))),MD!$A$3,AND(VLOOKUP(A45,'HIDDEN import'!B:E,4,FALSE)="C",_xlfn.IFNA(VLOOKUP(E45,'HIDDEN calc sheet'!A:C,3,FALSE)=TRUE,FALSE)),MD!$A$3,TRUE,MD!$A$2)</f>
        <v>Mandatory for optional feature</v>
      </c>
      <c r="E45" t="str">
        <f>IF('HIDDEN import'!F44=0,"",'HIDDEN import'!F44)</f>
        <v>C-01 AND C-07 AND C-08</v>
      </c>
      <c r="F45" t="str">
        <f>IF('HIDDEN import'!G44=0,"",'HIDDEN import'!G44)</f>
        <v>Only applicable for a Charge Point which supports local start/stop transaction and at least one of the following 3 functionalities: local authorization list feature profile, Unknown Offline Authorization or Authorization Cache.</v>
      </c>
      <c r="G45" s="144" t="str">
        <f>IFERROR(VLOOKUP($A45,'HIDDEN Testrun Results'!$A:$B,2,FALSE),"")</f>
        <v/>
      </c>
      <c r="H45" s="10" t="b">
        <f t="shared" si="1"/>
        <v>0</v>
      </c>
      <c r="I45" s="10" t="b">
        <f>IF(VLOOKUP(A45&amp;" "&amp;B45,'HIDDEN import'!A:G,5,FALSE)="M",TRUE,IFERROR(VLOOKUP(E45,'Optional features'!B:D,3,FALSE)="Yes",IFERROR(VLOOKUP(E45,'HIDDEN calc sheet'!A:B,2,FALSE),IFERROR(VLOOKUP(E45,'Additional questions'!B:D,3,FALSE)="Yes",VLOOKUP(E45,'Hardware Feature set'!B:D,3,FALSE)="No"))))</f>
        <v>0</v>
      </c>
      <c r="J45" s="10" t="b">
        <f t="shared" si="2"/>
        <v>0</v>
      </c>
      <c r="K45" s="10" t="b">
        <f>IFERROR(VLOOKUP(B45,'Profile selection'!B:C,2,FALSE)="Yes",FALSE)</f>
        <v>1</v>
      </c>
      <c r="L45" s="50"/>
      <c r="M45" s="50"/>
    </row>
    <row r="46" spans="1:13" ht="15.75" customHeight="1" x14ac:dyDescent="0.25">
      <c r="A46" t="str">
        <f>'HIDDEN import'!B45</f>
        <v>TC_040_1_CS</v>
      </c>
      <c r="B46" t="str">
        <f>'HIDDEN import'!C45</f>
        <v>Core</v>
      </c>
      <c r="C46" t="str">
        <f>'HIDDEN import'!D45</f>
        <v>Configuration key - NotSupported</v>
      </c>
      <c r="D46" t="str" cm="1">
        <f t="array" ref="D46">_xlfn.IFS(VLOOKUP(A46&amp;" "&amp;B46,'HIDDEN import'!A:G,5,FALSE)="M",MD!$A$1,VLOOKUP(A46&amp;" "&amp;B46,'HIDDEN import'!A:G,5,FALSE)="O",MD!$A$4,AND(VLOOKUP(A46,'HIDDEN import'!B:E,4,FALSE)="C",NOT(ISERROR(VLOOKUP(E46,'Optional features'!B:D,1,FALSE)=E46))),MD!$A$3,AND(VLOOKUP(A46,'HIDDEN import'!B:E,4,FALSE)="C",_xlfn.IFNA(VLOOKUP(E46,'HIDDEN calc sheet'!A:C,3,FALSE)=TRUE,FALSE)),MD!$A$3,TRUE,MD!$A$2)</f>
        <v>Mandatory test for a mandatory feature</v>
      </c>
      <c r="E46" t="str">
        <f>IF('HIDDEN import'!F45=0,"",'HIDDEN import'!F45)</f>
        <v/>
      </c>
      <c r="F46" t="str">
        <f>IF('HIDDEN import'!G45=0,"",'HIDDEN import'!G45)</f>
        <v/>
      </c>
      <c r="G46" s="144" t="str">
        <f>IFERROR(VLOOKUP($A46,'HIDDEN Testrun Results'!$A:$B,2,FALSE),"")</f>
        <v/>
      </c>
      <c r="H46" s="10" t="b">
        <f t="shared" si="1"/>
        <v>1</v>
      </c>
      <c r="I46" s="10" t="b">
        <f>IF(VLOOKUP(A46&amp;" "&amp;B46,'HIDDEN import'!A:G,5,FALSE)="M",TRUE,IFERROR(VLOOKUP(E46,'Optional features'!B:D,3,FALSE)="Yes",IFERROR(VLOOKUP(E46,'HIDDEN calc sheet'!A:B,2,FALSE),IFERROR(VLOOKUP(E46,'Additional questions'!B:D,3,FALSE)="Yes",VLOOKUP(E46,'Hardware Feature set'!B:D,3,FALSE)="No"))))</f>
        <v>1</v>
      </c>
      <c r="J46" s="10" t="b">
        <f t="shared" si="2"/>
        <v>0</v>
      </c>
      <c r="K46" s="10" t="b">
        <f>IFERROR(VLOOKUP(B46,'Profile selection'!B:C,2,FALSE)="Yes",FALSE)</f>
        <v>1</v>
      </c>
      <c r="L46" s="50"/>
      <c r="M46" s="50"/>
    </row>
    <row r="47" spans="1:13" ht="15.75" customHeight="1" x14ac:dyDescent="0.25">
      <c r="A47" t="str">
        <f>'HIDDEN import'!B46</f>
        <v>TC_040_2_CS</v>
      </c>
      <c r="B47" t="str">
        <f>'HIDDEN import'!C46</f>
        <v>Core</v>
      </c>
      <c r="C47" t="str">
        <f>'HIDDEN import'!D46</f>
        <v>Configuratoin key - Invalid value</v>
      </c>
      <c r="D47" t="str" cm="1">
        <f t="array" ref="D47">_xlfn.IFS(VLOOKUP(A47&amp;" "&amp;B47,'HIDDEN import'!A:G,5,FALSE)="M",MD!$A$1,VLOOKUP(A47&amp;" "&amp;B47,'HIDDEN import'!A:G,5,FALSE)="O",MD!$A$4,AND(VLOOKUP(A47,'HIDDEN import'!B:E,4,FALSE)="C",NOT(ISERROR(VLOOKUP(E47,'Optional features'!B:D,1,FALSE)=E47))),MD!$A$3,AND(VLOOKUP(A47,'HIDDEN import'!B:E,4,FALSE)="C",_xlfn.IFNA(VLOOKUP(E47,'HIDDEN calc sheet'!A:C,3,FALSE)=TRUE,FALSE)),MD!$A$3,TRUE,MD!$A$2)</f>
        <v>Mandatory test for a mandatory feature</v>
      </c>
      <c r="E47" t="str">
        <f>IF('HIDDEN import'!F46=0,"",'HIDDEN import'!F46)</f>
        <v/>
      </c>
      <c r="F47" t="str">
        <f>IF('HIDDEN import'!G46=0,"",'HIDDEN import'!G46)</f>
        <v/>
      </c>
      <c r="G47" s="144" t="str">
        <f>IFERROR(VLOOKUP($A47,'HIDDEN Testrun Results'!$A:$B,2,FALSE),"")</f>
        <v/>
      </c>
      <c r="H47" s="10" t="b">
        <f t="shared" si="1"/>
        <v>1</v>
      </c>
      <c r="I47" s="10" t="b">
        <f>IF(VLOOKUP(A47&amp;" "&amp;B47,'HIDDEN import'!A:G,5,FALSE)="M",TRUE,IFERROR(VLOOKUP(E47,'Optional features'!B:D,3,FALSE)="Yes",IFERROR(VLOOKUP(E47,'HIDDEN calc sheet'!A:B,2,FALSE),IFERROR(VLOOKUP(E47,'Additional questions'!B:D,3,FALSE)="Yes",VLOOKUP(E47,'Hardware Feature set'!B:D,3,FALSE)="No"))))</f>
        <v>1</v>
      </c>
      <c r="J47" s="10" t="b">
        <f t="shared" si="2"/>
        <v>0</v>
      </c>
      <c r="K47" s="10" t="b">
        <f>IFERROR(VLOOKUP(B47,'Profile selection'!B:C,2,FALSE)="Yes",FALSE)</f>
        <v>1</v>
      </c>
      <c r="L47" s="50"/>
      <c r="M47" s="50"/>
    </row>
    <row r="48" spans="1:13" ht="15.75" customHeight="1" x14ac:dyDescent="0.25">
      <c r="A48" t="str">
        <f>'HIDDEN import'!B47</f>
        <v>TC_042_1_CS</v>
      </c>
      <c r="B48" t="str">
        <f>'HIDDEN import'!C47</f>
        <v>Core</v>
      </c>
      <c r="C48" t="str">
        <f>'HIDDEN import'!D47</f>
        <v>Get Local List Version (not supported)</v>
      </c>
      <c r="D48" t="str" cm="1">
        <f t="array" ref="D48">_xlfn.IFS(VLOOKUP(A48&amp;" "&amp;B48,'HIDDEN import'!A:G,5,FALSE)="M",MD!$A$1,VLOOKUP(A48&amp;" "&amp;B48,'HIDDEN import'!A:G,5,FALSE)="O",MD!$A$4,AND(VLOOKUP(A48,'HIDDEN import'!B:E,4,FALSE)="C",NOT(ISERROR(VLOOKUP(E48,'Optional features'!B:D,1,FALSE)=E48))),MD!$A$3,AND(VLOOKUP(A48,'HIDDEN import'!B:E,4,FALSE)="C",_xlfn.IFNA(VLOOKUP(E48,'HIDDEN calc sheet'!A:C,3,FALSE)=TRUE,FALSE)),MD!$A$3,TRUE,MD!$A$2)</f>
        <v>Possibly mandatory, depending on your system</v>
      </c>
      <c r="E48" t="str">
        <f>IF('HIDDEN import'!F47=0,"",'HIDDEN import'!F47)</f>
        <v>If Local List not supported by Charging Station.</v>
      </c>
      <c r="F48" t="str">
        <f>IF('HIDDEN import'!G47=0,"",'HIDDEN import'!G47)</f>
        <v/>
      </c>
      <c r="G48" s="144" t="str">
        <f>IFERROR(VLOOKUP($A48,'HIDDEN Testrun Results'!$A:$B,2,FALSE),"")</f>
        <v/>
      </c>
      <c r="H48" s="10" t="b">
        <f t="shared" si="1"/>
        <v>1</v>
      </c>
      <c r="I48" s="10" t="b">
        <f>IF(VLOOKUP(A48&amp;" "&amp;B48,'HIDDEN import'!A:G,5,FALSE)="M",TRUE,IFERROR(VLOOKUP(E48,'Optional features'!B:D,3,FALSE)="Yes",IFERROR(VLOOKUP(E48,'HIDDEN calc sheet'!A:B,2,FALSE),IFERROR(VLOOKUP(E48,'Additional questions'!B:D,3,FALSE)="Yes",VLOOKUP(E48,'Hardware Feature set'!B:D,3,FALSE)="No"))))</f>
        <v>1</v>
      </c>
      <c r="J48" s="10" t="b">
        <f t="shared" si="2"/>
        <v>0</v>
      </c>
      <c r="K48" s="10" t="b">
        <f>IFERROR(VLOOKUP(B48,'Profile selection'!B:C,2,FALSE)="Yes",FALSE)</f>
        <v>1</v>
      </c>
      <c r="L48" s="50"/>
      <c r="M48" s="50"/>
    </row>
    <row r="49" spans="1:13" ht="15.75" customHeight="1" x14ac:dyDescent="0.25">
      <c r="A49" t="str">
        <f>'HIDDEN import'!B48</f>
        <v>TC_042_2_CS</v>
      </c>
      <c r="B49" t="str">
        <f>'HIDDEN import'!C48</f>
        <v>Local Authorization List Management</v>
      </c>
      <c r="C49" t="str">
        <f>'HIDDEN import'!D48</f>
        <v>Get Local List Version (empty)</v>
      </c>
      <c r="D49" t="str" cm="1">
        <f t="array" ref="D49">_xlfn.IFS(VLOOKUP(A49&amp;" "&amp;B49,'HIDDEN import'!A:G,5,FALSE)="M",MD!$A$1,VLOOKUP(A49&amp;" "&amp;B49,'HIDDEN import'!A:G,5,FALSE)="O",MD!$A$4,AND(VLOOKUP(A49,'HIDDEN import'!B:E,4,FALSE)="C",NOT(ISERROR(VLOOKUP(E49,'Optional features'!B:D,1,FALSE)=E49))),MD!$A$3,AND(VLOOKUP(A49,'HIDDEN import'!B:E,4,FALSE)="C",_xlfn.IFNA(VLOOKUP(E49,'HIDDEN calc sheet'!A:C,3,FALSE)=TRUE,FALSE)),MD!$A$3,TRUE,MD!$A$2)</f>
        <v>Mandatory test for a mandatory feature</v>
      </c>
      <c r="E49" t="str">
        <f>IF('HIDDEN import'!F48=0,"",'HIDDEN import'!F48)</f>
        <v/>
      </c>
      <c r="F49" t="str">
        <f>IF('HIDDEN import'!G48=0,"",'HIDDEN import'!G48)</f>
        <v/>
      </c>
      <c r="G49" s="144" t="str">
        <f>IFERROR(VLOOKUP($A49,'HIDDEN Testrun Results'!$A:$B,2,FALSE),"")</f>
        <v/>
      </c>
      <c r="H49" s="10" t="b">
        <f t="shared" si="1"/>
        <v>0</v>
      </c>
      <c r="I49" s="10" t="b">
        <f>IF(VLOOKUP(A49&amp;" "&amp;B49,'HIDDEN import'!A:G,5,FALSE)="M",TRUE,IFERROR(VLOOKUP(E49,'Optional features'!B:D,3,FALSE)="Yes",IFERROR(VLOOKUP(E49,'HIDDEN calc sheet'!A:B,2,FALSE),IFERROR(VLOOKUP(E49,'Additional questions'!B:D,3,FALSE)="Yes",VLOOKUP(E49,'Hardware Feature set'!B:D,3,FALSE)="No"))))</f>
        <v>1</v>
      </c>
      <c r="J49" s="10" t="b">
        <f t="shared" si="2"/>
        <v>0</v>
      </c>
      <c r="K49" s="10" t="b">
        <f>IFERROR(VLOOKUP(B49,'Profile selection'!B:C,2,FALSE)="Yes",FALSE)</f>
        <v>0</v>
      </c>
      <c r="L49" s="50"/>
      <c r="M49" s="50"/>
    </row>
    <row r="50" spans="1:13" ht="15.75" customHeight="1" x14ac:dyDescent="0.25">
      <c r="A50" t="str">
        <f>'HIDDEN import'!B49</f>
        <v>TC_043_CS</v>
      </c>
      <c r="B50" t="str">
        <f>'HIDDEN import'!C49</f>
        <v>Local Authorization List Management</v>
      </c>
      <c r="C50" t="str">
        <f>'HIDDEN import'!D49</f>
        <v>Send Local Authorization List</v>
      </c>
      <c r="D50" t="str" cm="1">
        <f t="array" ref="D50">_xlfn.IFS(VLOOKUP(A50&amp;" "&amp;B50,'HIDDEN import'!A:G,5,FALSE)="M",MD!$A$1,VLOOKUP(A50&amp;" "&amp;B50,'HIDDEN import'!A:G,5,FALSE)="O",MD!$A$4,AND(VLOOKUP(A50,'HIDDEN import'!B:E,4,FALSE)="C",NOT(ISERROR(VLOOKUP(E50,'Optional features'!B:D,1,FALSE)=E50))),MD!$A$3,AND(VLOOKUP(A50,'HIDDEN import'!B:E,4,FALSE)="C",_xlfn.IFNA(VLOOKUP(E50,'HIDDEN calc sheet'!A:C,3,FALSE)=TRUE,FALSE)),MD!$A$3,TRUE,MD!$A$2)</f>
        <v>Mandatory test for a mandatory feature</v>
      </c>
      <c r="E50" t="str">
        <f>IF('HIDDEN import'!F49=0,"",'HIDDEN import'!F49)</f>
        <v/>
      </c>
      <c r="F50" t="str">
        <f>IF('HIDDEN import'!G49=0,"",'HIDDEN import'!G49)</f>
        <v/>
      </c>
      <c r="G50" s="144" t="str">
        <f>IFERROR(VLOOKUP($A50,'HIDDEN Testrun Results'!$A:$B,2,FALSE),"")</f>
        <v/>
      </c>
      <c r="H50" s="10" t="b">
        <f t="shared" si="1"/>
        <v>0</v>
      </c>
      <c r="I50" s="10" t="b">
        <f>IF(VLOOKUP(A50&amp;" "&amp;B50,'HIDDEN import'!A:G,5,FALSE)="M",TRUE,IFERROR(VLOOKUP(E50,'Optional features'!B:D,3,FALSE)="Yes",IFERROR(VLOOKUP(E50,'HIDDEN calc sheet'!A:B,2,FALSE),IFERROR(VLOOKUP(E50,'Additional questions'!B:D,3,FALSE)="Yes",VLOOKUP(E50,'Hardware Feature set'!B:D,3,FALSE)="No"))))</f>
        <v>1</v>
      </c>
      <c r="J50" s="10" t="b">
        <f t="shared" si="2"/>
        <v>0</v>
      </c>
      <c r="K50" s="10" t="b">
        <f>IFERROR(VLOOKUP(B50,'Profile selection'!B:C,2,FALSE)="Yes",FALSE)</f>
        <v>0</v>
      </c>
      <c r="L50" s="50"/>
      <c r="M50" s="50"/>
    </row>
    <row r="51" spans="1:13" ht="15.75" customHeight="1" x14ac:dyDescent="0.25">
      <c r="A51" t="str">
        <f>'HIDDEN import'!B50</f>
        <v>TC_043_1_CS</v>
      </c>
      <c r="B51" t="str">
        <f>'HIDDEN import'!C50</f>
        <v>Core</v>
      </c>
      <c r="C51" t="str">
        <f>'HIDDEN import'!D50</f>
        <v>Send Local Authorization List - NotSupported</v>
      </c>
      <c r="D51" t="str" cm="1">
        <f t="array" ref="D51">_xlfn.IFS(VLOOKUP(A51&amp;" "&amp;B51,'HIDDEN import'!A:G,5,FALSE)="M",MD!$A$1,VLOOKUP(A51&amp;" "&amp;B51,'HIDDEN import'!A:G,5,FALSE)="O",MD!$A$4,AND(VLOOKUP(A51,'HIDDEN import'!B:E,4,FALSE)="C",NOT(ISERROR(VLOOKUP(E51,'Optional features'!B:D,1,FALSE)=E51))),MD!$A$3,AND(VLOOKUP(A51,'HIDDEN import'!B:E,4,FALSE)="C",_xlfn.IFNA(VLOOKUP(E51,'HIDDEN calc sheet'!A:C,3,FALSE)=TRUE,FALSE)),MD!$A$3,TRUE,MD!$A$2)</f>
        <v>Possibly mandatory, depending on your system</v>
      </c>
      <c r="E51" t="str">
        <f>IF('HIDDEN import'!F50=0,"",'HIDDEN import'!F50)</f>
        <v>If Local List not supported by Charging Station.</v>
      </c>
      <c r="F51" t="str">
        <f>IF('HIDDEN import'!G50=0,"",'HIDDEN import'!G50)</f>
        <v/>
      </c>
      <c r="G51" s="144" t="str">
        <f>IFERROR(VLOOKUP($A51,'HIDDEN Testrun Results'!$A:$B,2,FALSE),"")</f>
        <v/>
      </c>
      <c r="H51" s="10" t="b">
        <f t="shared" si="1"/>
        <v>1</v>
      </c>
      <c r="I51" s="10" t="b">
        <f>IF(VLOOKUP(A51&amp;" "&amp;B51,'HIDDEN import'!A:G,5,FALSE)="M",TRUE,IFERROR(VLOOKUP(E51,'Optional features'!B:D,3,FALSE)="Yes",IFERROR(VLOOKUP(E51,'HIDDEN calc sheet'!A:B,2,FALSE),IFERROR(VLOOKUP(E51,'Additional questions'!B:D,3,FALSE)="Yes",VLOOKUP(E51,'Hardware Feature set'!B:D,3,FALSE)="No"))))</f>
        <v>1</v>
      </c>
      <c r="J51" s="10" t="b">
        <f t="shared" si="2"/>
        <v>0</v>
      </c>
      <c r="K51" s="10" t="b">
        <f>IFERROR(VLOOKUP(B51,'Profile selection'!B:C,2,FALSE)="Yes",FALSE)</f>
        <v>1</v>
      </c>
      <c r="L51" s="50"/>
      <c r="M51" s="50"/>
    </row>
    <row r="52" spans="1:13" ht="15.75" customHeight="1" x14ac:dyDescent="0.25">
      <c r="A52" t="str">
        <f>'HIDDEN import'!B51</f>
        <v>TC_043_2_CS</v>
      </c>
      <c r="B52" t="str">
        <f>'HIDDEN import'!C51</f>
        <v>Local Authorization List Management</v>
      </c>
      <c r="C52" t="str">
        <f>'HIDDEN import'!D51</f>
        <v>Send Local Authorization List - VersionMismatch</v>
      </c>
      <c r="D52" t="str" cm="1">
        <f t="array" ref="D52">_xlfn.IFS(VLOOKUP(A52&amp;" "&amp;B52,'HIDDEN import'!A:G,5,FALSE)="M",MD!$A$1,VLOOKUP(A52&amp;" "&amp;B52,'HIDDEN import'!A:G,5,FALSE)="O",MD!$A$4,AND(VLOOKUP(A52,'HIDDEN import'!B:E,4,FALSE)="C",NOT(ISERROR(VLOOKUP(E52,'Optional features'!B:D,1,FALSE)=E52))),MD!$A$3,AND(VLOOKUP(A52,'HIDDEN import'!B:E,4,FALSE)="C",_xlfn.IFNA(VLOOKUP(E52,'HIDDEN calc sheet'!A:C,3,FALSE)=TRUE,FALSE)),MD!$A$3,TRUE,MD!$A$2)</f>
        <v>Mandatory test for a mandatory feature</v>
      </c>
      <c r="E52" t="str">
        <f>IF('HIDDEN import'!F51=0,"",'HIDDEN import'!F51)</f>
        <v/>
      </c>
      <c r="F52" t="str">
        <f>IF('HIDDEN import'!G51=0,"",'HIDDEN import'!G51)</f>
        <v/>
      </c>
      <c r="G52" s="144" t="str">
        <f>IFERROR(VLOOKUP($A52,'HIDDEN Testrun Results'!$A:$B,2,FALSE),"")</f>
        <v/>
      </c>
      <c r="H52" s="10" t="b">
        <f t="shared" si="1"/>
        <v>0</v>
      </c>
      <c r="I52" s="10" t="b">
        <f>IF(VLOOKUP(A52&amp;" "&amp;B52,'HIDDEN import'!A:G,5,FALSE)="M",TRUE,IFERROR(VLOOKUP(E52,'Optional features'!B:D,3,FALSE)="Yes",IFERROR(VLOOKUP(E52,'HIDDEN calc sheet'!A:B,2,FALSE),IFERROR(VLOOKUP(E52,'Additional questions'!B:D,3,FALSE)="Yes",VLOOKUP(E52,'Hardware Feature set'!B:D,3,FALSE)="No"))))</f>
        <v>1</v>
      </c>
      <c r="J52" s="10" t="b">
        <f t="shared" si="2"/>
        <v>0</v>
      </c>
      <c r="K52" s="10" t="b">
        <f>IFERROR(VLOOKUP(B52,'Profile selection'!B:C,2,FALSE)="Yes",FALSE)</f>
        <v>0</v>
      </c>
      <c r="L52" s="50"/>
      <c r="M52" s="50"/>
    </row>
    <row r="53" spans="1:13" ht="15.75" customHeight="1" x14ac:dyDescent="0.25">
      <c r="A53" t="str">
        <f>'HIDDEN import'!B52</f>
        <v>TC_043_3_CS</v>
      </c>
      <c r="B53" t="str">
        <f>'HIDDEN import'!C52</f>
        <v>Local Authorization List Management</v>
      </c>
      <c r="C53" t="str">
        <f>'HIDDEN import'!D52</f>
        <v>Send Local Authorization List - Failed</v>
      </c>
      <c r="D53" t="str" cm="1">
        <f t="array" ref="D53">_xlfn.IFS(VLOOKUP(A53&amp;" "&amp;B53,'HIDDEN import'!A:G,5,FALSE)="M",MD!$A$1,VLOOKUP(A53&amp;" "&amp;B53,'HIDDEN import'!A:G,5,FALSE)="O",MD!$A$4,AND(VLOOKUP(A53,'HIDDEN import'!B:E,4,FALSE)="C",NOT(ISERROR(VLOOKUP(E53,'Optional features'!B:D,1,FALSE)=E53))),MD!$A$3,AND(VLOOKUP(A53,'HIDDEN import'!B:E,4,FALSE)="C",_xlfn.IFNA(VLOOKUP(E53,'HIDDEN calc sheet'!A:C,3,FALSE)=TRUE,FALSE)),MD!$A$3,TRUE,MD!$A$2)</f>
        <v>Optional test case</v>
      </c>
      <c r="E53" t="str">
        <f>IF('HIDDEN import'!F52=0,"",'HIDDEN import'!F52)</f>
        <v/>
      </c>
      <c r="F53" t="str">
        <f>IF('HIDDEN import'!G52=0,"",'HIDDEN import'!G52)</f>
        <v/>
      </c>
      <c r="G53" s="144" t="str">
        <f>IFERROR(VLOOKUP($A53,'HIDDEN Testrun Results'!$A:$B,2,FALSE),"")</f>
        <v/>
      </c>
      <c r="H53" s="10" t="str">
        <f t="shared" si="1"/>
        <v>Up to vendor</v>
      </c>
      <c r="I53" s="10" t="e">
        <f>IF(VLOOKUP(A53&amp;" "&amp;B53,'HIDDEN import'!A:G,5,FALSE)="M",TRUE,IFERROR(VLOOKUP(E53,'Optional features'!B:D,3,FALSE)="Yes",IFERROR(VLOOKUP(E53,'HIDDEN calc sheet'!A:B,2,FALSE),IFERROR(VLOOKUP(E53,'Additional questions'!B:D,3,FALSE)="Yes",VLOOKUP(E53,'Hardware Feature set'!B:D,3,FALSE)="No"))))</f>
        <v>#N/A</v>
      </c>
      <c r="J53" s="10" t="b">
        <f t="shared" si="2"/>
        <v>1</v>
      </c>
      <c r="K53" s="10" t="b">
        <f>IFERROR(VLOOKUP(B53,'Profile selection'!B:C,2,FALSE)="Yes",FALSE)</f>
        <v>0</v>
      </c>
      <c r="L53" s="50"/>
      <c r="M53" s="50"/>
    </row>
    <row r="54" spans="1:13" ht="15.75" customHeight="1" x14ac:dyDescent="0.25">
      <c r="A54" t="str">
        <f>'HIDDEN import'!B53</f>
        <v>TC_008_CS</v>
      </c>
      <c r="B54" t="str">
        <f>'HIDDEN import'!C53</f>
        <v>Local Authorization List Management</v>
      </c>
      <c r="C54" t="str">
        <f>'HIDDEN import'!D53</f>
        <v>Regular Start Charging Session – Id in Local Authorization List</v>
      </c>
      <c r="D54" t="str" cm="1">
        <f t="array" ref="D54">_xlfn.IFS(VLOOKUP(A54&amp;" "&amp;B54,'HIDDEN import'!A:G,5,FALSE)="M",MD!$A$1,VLOOKUP(A54&amp;" "&amp;B54,'HIDDEN import'!A:G,5,FALSE)="O",MD!$A$4,AND(VLOOKUP(A54,'HIDDEN import'!B:E,4,FALSE)="C",NOT(ISERROR(VLOOKUP(E54,'Optional features'!B:D,1,FALSE)=E54))),MD!$A$3,AND(VLOOKUP(A54,'HIDDEN import'!B:E,4,FALSE)="C",_xlfn.IFNA(VLOOKUP(E54,'HIDDEN calc sheet'!A:C,3,FALSE)=TRUE,FALSE)),MD!$A$3,TRUE,MD!$A$2)</f>
        <v>Mandatory test for a mandatory feature</v>
      </c>
      <c r="E54" t="str">
        <f>IF('HIDDEN import'!F53=0,"",'HIDDEN import'!F53)</f>
        <v/>
      </c>
      <c r="F54" t="str">
        <f>IF('HIDDEN import'!G53=0,"",'HIDDEN import'!G53)</f>
        <v/>
      </c>
      <c r="G54" s="144" t="str">
        <f>IFERROR(VLOOKUP($A54,'HIDDEN Testrun Results'!$A:$B,2,FALSE),"")</f>
        <v/>
      </c>
      <c r="H54" s="10" t="b">
        <f t="shared" si="1"/>
        <v>0</v>
      </c>
      <c r="I54" s="10" t="b">
        <f>IF(VLOOKUP(A54&amp;" "&amp;B54,'HIDDEN import'!A:G,5,FALSE)="M",TRUE,IFERROR(VLOOKUP(E54,'Optional features'!B:D,3,FALSE)="Yes",IFERROR(VLOOKUP(E54,'HIDDEN calc sheet'!A:B,2,FALSE),IFERROR(VLOOKUP(E54,'Additional questions'!B:D,3,FALSE)="Yes",VLOOKUP(E54,'Hardware Feature set'!B:D,3,FALSE)="No"))))</f>
        <v>1</v>
      </c>
      <c r="J54" s="10" t="b">
        <f t="shared" si="2"/>
        <v>0</v>
      </c>
      <c r="K54" s="10" t="b">
        <f>IFERROR(VLOOKUP(B54,'Profile selection'!B:C,2,FALSE)="Yes",FALSE)</f>
        <v>0</v>
      </c>
      <c r="L54" s="50"/>
      <c r="M54" s="50"/>
    </row>
    <row r="55" spans="1:13" ht="15.75" customHeight="1" x14ac:dyDescent="0.25">
      <c r="A55" t="str">
        <f>'HIDDEN import'!B54</f>
        <v>TC_044_1_CS</v>
      </c>
      <c r="B55" t="str">
        <f>'HIDDEN import'!C54</f>
        <v>Firmware Management</v>
      </c>
      <c r="C55" t="str">
        <f>'HIDDEN import'!D54</f>
        <v>Firmware Update - Download and Install</v>
      </c>
      <c r="D55" t="str" cm="1">
        <f t="array" ref="D55">_xlfn.IFS(VLOOKUP(A55&amp;" "&amp;B55,'HIDDEN import'!A:G,5,FALSE)="M",MD!$A$1,VLOOKUP(A55&amp;" "&amp;B55,'HIDDEN import'!A:G,5,FALSE)="O",MD!$A$4,AND(VLOOKUP(A55,'HIDDEN import'!B:E,4,FALSE)="C",NOT(ISERROR(VLOOKUP(E55,'Optional features'!B:D,1,FALSE)=E55))),MD!$A$3,AND(VLOOKUP(A55,'HIDDEN import'!B:E,4,FALSE)="C",_xlfn.IFNA(VLOOKUP(E55,'HIDDEN calc sheet'!A:C,3,FALSE)=TRUE,FALSE)),MD!$A$3,TRUE,MD!$A$2)</f>
        <v>Possibly mandatory, depending on your system</v>
      </c>
      <c r="E55" t="str">
        <f>IF('HIDDEN import'!F54=0,"",'HIDDEN import'!F54)</f>
        <v>NOT Security supported</v>
      </c>
      <c r="F55" t="str">
        <f>IF('HIDDEN import'!G54=0,"",'HIDDEN import'!G54)</f>
        <v>Only applicable if the DUT does not support security. Should fail in case security supported.</v>
      </c>
      <c r="G55" s="144" t="str">
        <f>IFERROR(VLOOKUP($A55,'HIDDEN Testrun Results'!$A:$B,2,FALSE),"")</f>
        <v/>
      </c>
      <c r="H55" s="10" t="b">
        <f t="shared" si="1"/>
        <v>0</v>
      </c>
      <c r="I55" s="10" t="b">
        <f>IF(VLOOKUP(A55&amp;" "&amp;B55,'HIDDEN import'!A:G,5,FALSE)="M",TRUE,IFERROR(VLOOKUP(E55,'Optional features'!B:D,3,FALSE)="Yes",IFERROR(VLOOKUP(E55,'HIDDEN calc sheet'!A:B,2,FALSE),IFERROR(VLOOKUP(E55,'Additional questions'!B:D,3,FALSE)="Yes",VLOOKUP(E55,'Hardware Feature set'!B:D,3,FALSE)="No"))))</f>
        <v>1</v>
      </c>
      <c r="J55" s="10" t="b">
        <f t="shared" si="2"/>
        <v>0</v>
      </c>
      <c r="K55" s="10" t="b">
        <f>IFERROR(VLOOKUP(B55,'Profile selection'!B:C,2,FALSE)="Yes",FALSE)</f>
        <v>0</v>
      </c>
      <c r="L55" s="50"/>
      <c r="M55" s="50"/>
    </row>
    <row r="56" spans="1:13" ht="15.75" customHeight="1" x14ac:dyDescent="0.25">
      <c r="A56" t="str">
        <f>'HIDDEN import'!B55</f>
        <v>TC_044_2_CS</v>
      </c>
      <c r="B56" t="str">
        <f>'HIDDEN import'!C55</f>
        <v>Firmware Management</v>
      </c>
      <c r="C56" t="str">
        <f>'HIDDEN import'!D55</f>
        <v>Firmware Update - Download Failed</v>
      </c>
      <c r="D56" t="str" cm="1">
        <f t="array" ref="D56">_xlfn.IFS(VLOOKUP(A56&amp;" "&amp;B56,'HIDDEN import'!A:G,5,FALSE)="M",MD!$A$1,VLOOKUP(A56&amp;" "&amp;B56,'HIDDEN import'!A:G,5,FALSE)="O",MD!$A$4,AND(VLOOKUP(A56,'HIDDEN import'!B:E,4,FALSE)="C",NOT(ISERROR(VLOOKUP(E56,'Optional features'!B:D,1,FALSE)=E56))),MD!$A$3,AND(VLOOKUP(A56,'HIDDEN import'!B:E,4,FALSE)="C",_xlfn.IFNA(VLOOKUP(E56,'HIDDEN calc sheet'!A:C,3,FALSE)=TRUE,FALSE)),MD!$A$3,TRUE,MD!$A$2)</f>
        <v>Possibly mandatory, depending on your system</v>
      </c>
      <c r="E56" t="str">
        <f>IF('HIDDEN import'!F55=0,"",'HIDDEN import'!F55)</f>
        <v>NOT Security supported</v>
      </c>
      <c r="F56" t="str">
        <f>IF('HIDDEN import'!G55=0,"",'HIDDEN import'!G55)</f>
        <v xml:space="preserve">Only applicable if the DUT does not support security. </v>
      </c>
      <c r="G56" s="144" t="str">
        <f>IFERROR(VLOOKUP($A56,'HIDDEN Testrun Results'!$A:$B,2,FALSE),"")</f>
        <v/>
      </c>
      <c r="H56" s="10" t="b">
        <f t="shared" si="1"/>
        <v>0</v>
      </c>
      <c r="I56" s="10" t="b">
        <f>IF(VLOOKUP(A56&amp;" "&amp;B56,'HIDDEN import'!A:G,5,FALSE)="M",TRUE,IFERROR(VLOOKUP(E56,'Optional features'!B:D,3,FALSE)="Yes",IFERROR(VLOOKUP(E56,'HIDDEN calc sheet'!A:B,2,FALSE),IFERROR(VLOOKUP(E56,'Additional questions'!B:D,3,FALSE)="Yes",VLOOKUP(E56,'Hardware Feature set'!B:D,3,FALSE)="No"))))</f>
        <v>1</v>
      </c>
      <c r="J56" s="10" t="b">
        <f t="shared" si="2"/>
        <v>0</v>
      </c>
      <c r="K56" s="10" t="b">
        <f>IFERROR(VLOOKUP(B56,'Profile selection'!B:C,2,FALSE)="Yes",FALSE)</f>
        <v>0</v>
      </c>
      <c r="L56" s="50"/>
      <c r="M56" s="50"/>
    </row>
    <row r="57" spans="1:13" ht="15.75" customHeight="1" x14ac:dyDescent="0.25">
      <c r="A57" t="str">
        <f>'HIDDEN import'!B56</f>
        <v>TC_044_3_CS</v>
      </c>
      <c r="B57" t="str">
        <f>'HIDDEN import'!C56</f>
        <v>Firmware Management</v>
      </c>
      <c r="C57" t="str">
        <f>'HIDDEN import'!D56</f>
        <v>Firmware Update - Installation Failed</v>
      </c>
      <c r="D57" t="str" cm="1">
        <f t="array" ref="D57">_xlfn.IFS(VLOOKUP(A57&amp;" "&amp;B57,'HIDDEN import'!A:G,5,FALSE)="M",MD!$A$1,VLOOKUP(A57&amp;" "&amp;B57,'HIDDEN import'!A:G,5,FALSE)="O",MD!$A$4,AND(VLOOKUP(A57,'HIDDEN import'!B:E,4,FALSE)="C",NOT(ISERROR(VLOOKUP(E57,'Optional features'!B:D,1,FALSE)=E57))),MD!$A$3,AND(VLOOKUP(A57,'HIDDEN import'!B:E,4,FALSE)="C",_xlfn.IFNA(VLOOKUP(E57,'HIDDEN calc sheet'!A:C,3,FALSE)=TRUE,FALSE)),MD!$A$3,TRUE,MD!$A$2)</f>
        <v>Possibly mandatory, depending on your system</v>
      </c>
      <c r="E57" t="str">
        <f>IF('HIDDEN import'!F56=0,"",'HIDDEN import'!F56)</f>
        <v>NOT Security supported</v>
      </c>
      <c r="F57" t="str">
        <f>IF('HIDDEN import'!G56=0,"",'HIDDEN import'!G56)</f>
        <v xml:space="preserve">Only applicable if the DUT does not support security. </v>
      </c>
      <c r="G57" s="144" t="str">
        <f>IFERROR(VLOOKUP($A57,'HIDDEN Testrun Results'!$A:$B,2,FALSE),"")</f>
        <v/>
      </c>
      <c r="H57" s="10" t="b">
        <f t="shared" si="1"/>
        <v>0</v>
      </c>
      <c r="I57" s="10" t="b">
        <f>IF(VLOOKUP(A57&amp;" "&amp;B57,'HIDDEN import'!A:G,5,FALSE)="M",TRUE,IFERROR(VLOOKUP(E57,'Optional features'!B:D,3,FALSE)="Yes",IFERROR(VLOOKUP(E57,'HIDDEN calc sheet'!A:B,2,FALSE),IFERROR(VLOOKUP(E57,'Additional questions'!B:D,3,FALSE)="Yes",VLOOKUP(E57,'Hardware Feature set'!B:D,3,FALSE)="No"))))</f>
        <v>1</v>
      </c>
      <c r="J57" s="10" t="b">
        <f t="shared" si="2"/>
        <v>0</v>
      </c>
      <c r="K57" s="10" t="b">
        <f>IFERROR(VLOOKUP(B57,'Profile selection'!B:C,2,FALSE)="Yes",FALSE)</f>
        <v>0</v>
      </c>
      <c r="L57" s="50"/>
      <c r="M57" s="50"/>
    </row>
    <row r="58" spans="1:13" ht="15.75" customHeight="1" x14ac:dyDescent="0.25">
      <c r="A58" t="str">
        <f>'HIDDEN import'!B57</f>
        <v>TC_045_1_CS</v>
      </c>
      <c r="B58" t="str">
        <f>'HIDDEN import'!C57</f>
        <v>Firmware Management</v>
      </c>
      <c r="C58" t="str">
        <f>'HIDDEN import'!D57</f>
        <v>Get Diagnostics</v>
      </c>
      <c r="D58" t="str" cm="1">
        <f t="array" ref="D58">_xlfn.IFS(VLOOKUP(A58&amp;" "&amp;B58,'HIDDEN import'!A:G,5,FALSE)="M",MD!$A$1,VLOOKUP(A58&amp;" "&amp;B58,'HIDDEN import'!A:G,5,FALSE)="O",MD!$A$4,AND(VLOOKUP(A58,'HIDDEN import'!B:E,4,FALSE)="C",NOT(ISERROR(VLOOKUP(E58,'Optional features'!B:D,1,FALSE)=E58))),MD!$A$3,AND(VLOOKUP(A58,'HIDDEN import'!B:E,4,FALSE)="C",_xlfn.IFNA(VLOOKUP(E58,'HIDDEN calc sheet'!A:C,3,FALSE)=TRUE,FALSE)),MD!$A$3,TRUE,MD!$A$2)</f>
        <v>Mandatory test for a mandatory feature</v>
      </c>
      <c r="E58" t="str">
        <f>IF('HIDDEN import'!F57=0,"",'HIDDEN import'!F57)</f>
        <v/>
      </c>
      <c r="F58" t="str">
        <f>IF('HIDDEN import'!G57=0,"",'HIDDEN import'!G57)</f>
        <v/>
      </c>
      <c r="G58" s="144" t="str">
        <f>IFERROR(VLOOKUP($A58,'HIDDEN Testrun Results'!$A:$B,2,FALSE),"")</f>
        <v/>
      </c>
      <c r="H58" s="10" t="b">
        <f t="shared" si="1"/>
        <v>0</v>
      </c>
      <c r="I58" s="10" t="b">
        <f>IF(VLOOKUP(A58&amp;" "&amp;B58,'HIDDEN import'!A:G,5,FALSE)="M",TRUE,IFERROR(VLOOKUP(E58,'Optional features'!B:D,3,FALSE)="Yes",IFERROR(VLOOKUP(E58,'HIDDEN calc sheet'!A:B,2,FALSE),IFERROR(VLOOKUP(E58,'Additional questions'!B:D,3,FALSE)="Yes",VLOOKUP(E58,'Hardware Feature set'!B:D,3,FALSE)="No"))))</f>
        <v>1</v>
      </c>
      <c r="J58" s="10" t="b">
        <f t="shared" si="2"/>
        <v>0</v>
      </c>
      <c r="K58" s="10" t="b">
        <f>IFERROR(VLOOKUP(B58,'Profile selection'!B:C,2,FALSE)="Yes",FALSE)</f>
        <v>0</v>
      </c>
      <c r="L58" s="50"/>
      <c r="M58" s="50"/>
    </row>
    <row r="59" spans="1:13" ht="15.75" customHeight="1" x14ac:dyDescent="0.25">
      <c r="A59" t="str">
        <f>'HIDDEN import'!B58</f>
        <v>TC_045_2_CS</v>
      </c>
      <c r="B59" t="str">
        <f>'HIDDEN import'!C58</f>
        <v>Firmware Management</v>
      </c>
      <c r="C59" t="str">
        <f>'HIDDEN import'!D58</f>
        <v>Get Diagnostics - Upload Failed</v>
      </c>
      <c r="D59" t="str" cm="1">
        <f t="array" ref="D59">_xlfn.IFS(VLOOKUP(A59&amp;" "&amp;B59,'HIDDEN import'!A:G,5,FALSE)="M",MD!$A$1,VLOOKUP(A59&amp;" "&amp;B59,'HIDDEN import'!A:G,5,FALSE)="O",MD!$A$4,AND(VLOOKUP(A59,'HIDDEN import'!B:E,4,FALSE)="C",NOT(ISERROR(VLOOKUP(E59,'Optional features'!B:D,1,FALSE)=E59))),MD!$A$3,AND(VLOOKUP(A59,'HIDDEN import'!B:E,4,FALSE)="C",_xlfn.IFNA(VLOOKUP(E59,'HIDDEN calc sheet'!A:C,3,FALSE)=TRUE,FALSE)),MD!$A$3,TRUE,MD!$A$2)</f>
        <v>Mandatory test for a mandatory feature</v>
      </c>
      <c r="E59" t="str">
        <f>IF('HIDDEN import'!F58=0,"",'HIDDEN import'!F58)</f>
        <v/>
      </c>
      <c r="F59" t="str">
        <f>IF('HIDDEN import'!G58=0,"",'HIDDEN import'!G58)</f>
        <v/>
      </c>
      <c r="G59" s="144" t="str">
        <f>IFERROR(VLOOKUP($A59,'HIDDEN Testrun Results'!$A:$B,2,FALSE),"")</f>
        <v/>
      </c>
      <c r="H59" s="10" t="b">
        <f t="shared" si="1"/>
        <v>0</v>
      </c>
      <c r="I59" s="10" t="b">
        <f>IF(VLOOKUP(A59&amp;" "&amp;B59,'HIDDEN import'!A:G,5,FALSE)="M",TRUE,IFERROR(VLOOKUP(E59,'Optional features'!B:D,3,FALSE)="Yes",IFERROR(VLOOKUP(E59,'HIDDEN calc sheet'!A:B,2,FALSE),IFERROR(VLOOKUP(E59,'Additional questions'!B:D,3,FALSE)="Yes",VLOOKUP(E59,'Hardware Feature set'!B:D,3,FALSE)="No"))))</f>
        <v>1</v>
      </c>
      <c r="J59" s="10" t="b">
        <f t="shared" si="2"/>
        <v>0</v>
      </c>
      <c r="K59" s="10" t="b">
        <f>IFERROR(VLOOKUP(B59,'Profile selection'!B:C,2,FALSE)="Yes",FALSE)</f>
        <v>0</v>
      </c>
      <c r="L59" s="50"/>
      <c r="M59" s="50"/>
    </row>
    <row r="60" spans="1:13" ht="15.75" customHeight="1" x14ac:dyDescent="0.25">
      <c r="A60" t="str">
        <f>'HIDDEN import'!B59</f>
        <v>TC_046_1_CS</v>
      </c>
      <c r="B60" t="str">
        <f>'HIDDEN import'!C59</f>
        <v>Reservation</v>
      </c>
      <c r="C60" t="str">
        <f>'HIDDEN import'!D59</f>
        <v>Reservation of a Connector - Local start transaction</v>
      </c>
      <c r="D60" t="str" cm="1">
        <f t="array" ref="D60">_xlfn.IFS(VLOOKUP(A60&amp;" "&amp;B60,'HIDDEN import'!A:G,5,FALSE)="M",MD!$A$1,VLOOKUP(A60&amp;" "&amp;B60,'HIDDEN import'!A:G,5,FALSE)="O",MD!$A$4,AND(VLOOKUP(A60,'HIDDEN import'!B:E,4,FALSE)="C",NOT(ISERROR(VLOOKUP(E60,'Optional features'!B:D,1,FALSE)=E60))),MD!$A$3,AND(VLOOKUP(A60,'HIDDEN import'!B:E,4,FALSE)="C",_xlfn.IFNA(VLOOKUP(E60,'HIDDEN calc sheet'!A:C,3,FALSE)=TRUE,FALSE)),MD!$A$3,TRUE,MD!$A$2)</f>
        <v>Mandatory for optional feature</v>
      </c>
      <c r="E60" t="str">
        <f>IF('HIDDEN import'!F59=0,"",'HIDDEN import'!F59)</f>
        <v>C-07</v>
      </c>
      <c r="F60" t="str">
        <f>IF('HIDDEN import'!G59=0,"",'HIDDEN import'!G59)</f>
        <v>Only applicable for a Charge Point which supports local start transaction.</v>
      </c>
      <c r="G60" s="144" t="str">
        <f>IFERROR(VLOOKUP($A60,'HIDDEN Testrun Results'!$A:$B,2,FALSE),"")</f>
        <v/>
      </c>
      <c r="H60" s="10" t="b">
        <f t="shared" si="1"/>
        <v>0</v>
      </c>
      <c r="I60" s="10" t="b">
        <f>IF(VLOOKUP(A60&amp;" "&amp;B60,'HIDDEN import'!A:G,5,FALSE)="M",TRUE,IFERROR(VLOOKUP(E60,'Optional features'!B:D,3,FALSE)="Yes",IFERROR(VLOOKUP(E60,'HIDDEN calc sheet'!A:B,2,FALSE),IFERROR(VLOOKUP(E60,'Additional questions'!B:D,3,FALSE)="Yes",VLOOKUP(E60,'Hardware Feature set'!B:D,3,FALSE)="No"))))</f>
        <v>1</v>
      </c>
      <c r="J60" s="10" t="b">
        <f t="shared" si="2"/>
        <v>0</v>
      </c>
      <c r="K60" s="10" t="b">
        <f>IFERROR(VLOOKUP(B60,'Profile selection'!B:C,2,FALSE)="Yes",FALSE)</f>
        <v>0</v>
      </c>
      <c r="L60" s="50"/>
      <c r="M60" s="50"/>
    </row>
    <row r="61" spans="1:13" ht="15.75" customHeight="1" x14ac:dyDescent="0.25">
      <c r="A61" t="str">
        <f>'HIDDEN import'!B60</f>
        <v>TC_046_2_CS</v>
      </c>
      <c r="B61" t="str">
        <f>'HIDDEN import'!C60</f>
        <v>Reservation</v>
      </c>
      <c r="C61" t="str">
        <f>'HIDDEN import'!D60</f>
        <v>Reservation of a Connector - Remote start transaction</v>
      </c>
      <c r="D61" t="str" cm="1">
        <f t="array" ref="D61">_xlfn.IFS(VLOOKUP(A61&amp;" "&amp;B61,'HIDDEN import'!A:G,5,FALSE)="M",MD!$A$1,VLOOKUP(A61&amp;" "&amp;B61,'HIDDEN import'!A:G,5,FALSE)="O",MD!$A$4,AND(VLOOKUP(A61,'HIDDEN import'!B:E,4,FALSE)="C",NOT(ISERROR(VLOOKUP(E61,'Optional features'!B:D,1,FALSE)=E61))),MD!$A$3,AND(VLOOKUP(A61,'HIDDEN import'!B:E,4,FALSE)="C",_xlfn.IFNA(VLOOKUP(E61,'HIDDEN calc sheet'!A:C,3,FALSE)=TRUE,FALSE)),MD!$A$3,TRUE,MD!$A$2)</f>
        <v>Mandatory test for a mandatory feature</v>
      </c>
      <c r="E61" t="str">
        <f>IF('HIDDEN import'!F60=0,"",'HIDDEN import'!F60)</f>
        <v/>
      </c>
      <c r="F61" t="str">
        <f>IF('HIDDEN import'!G60=0,"",'HIDDEN import'!G60)</f>
        <v/>
      </c>
      <c r="G61" s="144" t="str">
        <f>IFERROR(VLOOKUP($A61,'HIDDEN Testrun Results'!$A:$B,2,FALSE),"")</f>
        <v/>
      </c>
      <c r="H61" s="10" t="b">
        <f t="shared" si="1"/>
        <v>0</v>
      </c>
      <c r="I61" s="10" t="b">
        <f>IF(VLOOKUP(A61&amp;" "&amp;B61,'HIDDEN import'!A:G,5,FALSE)="M",TRUE,IFERROR(VLOOKUP(E61,'Optional features'!B:D,3,FALSE)="Yes",IFERROR(VLOOKUP(E61,'HIDDEN calc sheet'!A:B,2,FALSE),IFERROR(VLOOKUP(E61,'Additional questions'!B:D,3,FALSE)="Yes",VLOOKUP(E61,'Hardware Feature set'!B:D,3,FALSE)="No"))))</f>
        <v>1</v>
      </c>
      <c r="J61" s="10" t="b">
        <f t="shared" si="2"/>
        <v>0</v>
      </c>
      <c r="K61" s="10" t="b">
        <f>IFERROR(VLOOKUP(B61,'Profile selection'!B:C,2,FALSE)="Yes",FALSE)</f>
        <v>0</v>
      </c>
      <c r="L61" s="50"/>
      <c r="M61" s="50"/>
    </row>
    <row r="62" spans="1:13" ht="15.75" customHeight="1" x14ac:dyDescent="0.25">
      <c r="A62" t="str">
        <f>'HIDDEN import'!B61</f>
        <v>TC_047_CS</v>
      </c>
      <c r="B62" t="str">
        <f>'HIDDEN import'!C61</f>
        <v>Reservation</v>
      </c>
      <c r="C62" t="str">
        <f>'HIDDEN import'!D61</f>
        <v>Reservation of a Connector - Expire</v>
      </c>
      <c r="D62" t="str" cm="1">
        <f t="array" ref="D62">_xlfn.IFS(VLOOKUP(A62&amp;" "&amp;B62,'HIDDEN import'!A:G,5,FALSE)="M",MD!$A$1,VLOOKUP(A62&amp;" "&amp;B62,'HIDDEN import'!A:G,5,FALSE)="O",MD!$A$4,AND(VLOOKUP(A62,'HIDDEN import'!B:E,4,FALSE)="C",NOT(ISERROR(VLOOKUP(E62,'Optional features'!B:D,1,FALSE)=E62))),MD!$A$3,AND(VLOOKUP(A62,'HIDDEN import'!B:E,4,FALSE)="C",_xlfn.IFNA(VLOOKUP(E62,'HIDDEN calc sheet'!A:C,3,FALSE)=TRUE,FALSE)),MD!$A$3,TRUE,MD!$A$2)</f>
        <v>Mandatory test for a mandatory feature</v>
      </c>
      <c r="E62" t="str">
        <f>IF('HIDDEN import'!F61=0,"",'HIDDEN import'!F61)</f>
        <v/>
      </c>
      <c r="F62" t="str">
        <f>IF('HIDDEN import'!G61=0,"",'HIDDEN import'!G61)</f>
        <v/>
      </c>
      <c r="G62" s="144" t="str">
        <f>IFERROR(VLOOKUP($A62,'HIDDEN Testrun Results'!$A:$B,2,FALSE),"")</f>
        <v/>
      </c>
      <c r="H62" s="10" t="b">
        <f t="shared" si="1"/>
        <v>0</v>
      </c>
      <c r="I62" s="10" t="b">
        <f>IF(VLOOKUP(A62&amp;" "&amp;B62,'HIDDEN import'!A:G,5,FALSE)="M",TRUE,IFERROR(VLOOKUP(E62,'Optional features'!B:D,3,FALSE)="Yes",IFERROR(VLOOKUP(E62,'HIDDEN calc sheet'!A:B,2,FALSE),IFERROR(VLOOKUP(E62,'Additional questions'!B:D,3,FALSE)="Yes",VLOOKUP(E62,'Hardware Feature set'!B:D,3,FALSE)="No"))))</f>
        <v>1</v>
      </c>
      <c r="J62" s="10" t="b">
        <f t="shared" si="2"/>
        <v>0</v>
      </c>
      <c r="K62" s="10" t="b">
        <f>IFERROR(VLOOKUP(B62,'Profile selection'!B:C,2,FALSE)="Yes",FALSE)</f>
        <v>0</v>
      </c>
      <c r="L62" s="50"/>
      <c r="M62" s="50"/>
    </row>
    <row r="63" spans="1:13" ht="15.75" customHeight="1" x14ac:dyDescent="0.25">
      <c r="A63" t="str">
        <f>'HIDDEN import'!B62</f>
        <v>TC_048_2_CS</v>
      </c>
      <c r="B63" t="str">
        <f>'HIDDEN import'!C62</f>
        <v>Reservation</v>
      </c>
      <c r="C63" t="str">
        <f>'HIDDEN import'!D62</f>
        <v>Reservation of a Connector - Occupied</v>
      </c>
      <c r="D63" t="str" cm="1">
        <f t="array" ref="D63">_xlfn.IFS(VLOOKUP(A63&amp;" "&amp;B63,'HIDDEN import'!A:G,5,FALSE)="M",MD!$A$1,VLOOKUP(A63&amp;" "&amp;B63,'HIDDEN import'!A:G,5,FALSE)="O",MD!$A$4,AND(VLOOKUP(A63,'HIDDEN import'!B:E,4,FALSE)="C",NOT(ISERROR(VLOOKUP(E63,'Optional features'!B:D,1,FALSE)=E63))),MD!$A$3,AND(VLOOKUP(A63,'HIDDEN import'!B:E,4,FALSE)="C",_xlfn.IFNA(VLOOKUP(E63,'HIDDEN calc sheet'!A:C,3,FALSE)=TRUE,FALSE)),MD!$A$3,TRUE,MD!$A$2)</f>
        <v>Possibly mandatory, depending on your system</v>
      </c>
      <c r="E63" t="str">
        <f>IF('HIDDEN import'!F62=0,"",'HIDDEN import'!F62)</f>
        <v>NOT AQ-2</v>
      </c>
      <c r="F63" t="str">
        <f>IF('HIDDEN import'!G62=0,"",'HIDDEN import'!G62)</f>
        <v/>
      </c>
      <c r="G63" s="144" t="str">
        <f>IFERROR(VLOOKUP($A63,'HIDDEN Testrun Results'!$A:$B,2,FALSE),"")</f>
        <v/>
      </c>
      <c r="H63" s="10" t="b">
        <f t="shared" si="1"/>
        <v>0</v>
      </c>
      <c r="I63" s="10" t="b">
        <f>IF(VLOOKUP(A63&amp;" "&amp;B63,'HIDDEN import'!A:G,5,FALSE)="M",TRUE,IFERROR(VLOOKUP(E63,'Optional features'!B:D,3,FALSE)="Yes",IFERROR(VLOOKUP(E63,'HIDDEN calc sheet'!A:B,2,FALSE),IFERROR(VLOOKUP(E63,'Additional questions'!B:D,3,FALSE)="Yes",VLOOKUP(E63,'Hardware Feature set'!B:D,3,FALSE)="No"))))</f>
        <v>1</v>
      </c>
      <c r="J63" s="10" t="b">
        <f t="shared" si="2"/>
        <v>0</v>
      </c>
      <c r="K63" s="10" t="b">
        <f>IFERROR(VLOOKUP(B63,'Profile selection'!B:C,2,FALSE)="Yes",FALSE)</f>
        <v>0</v>
      </c>
      <c r="L63" s="50"/>
      <c r="M63" s="50"/>
    </row>
    <row r="64" spans="1:13" ht="15.75" customHeight="1" x14ac:dyDescent="0.25">
      <c r="A64" t="str">
        <f>'HIDDEN import'!B63</f>
        <v>TC_048_3_CS</v>
      </c>
      <c r="B64" t="str">
        <f>'HIDDEN import'!C63</f>
        <v>Reservation</v>
      </c>
      <c r="C64" t="str">
        <f>'HIDDEN import'!D63</f>
        <v>Reservation of a Connector - Unavailable</v>
      </c>
      <c r="D64" t="str" cm="1">
        <f t="array" ref="D64">_xlfn.IFS(VLOOKUP(A64&amp;" "&amp;B64,'HIDDEN import'!A:G,5,FALSE)="M",MD!$A$1,VLOOKUP(A64&amp;" "&amp;B64,'HIDDEN import'!A:G,5,FALSE)="O",MD!$A$4,AND(VLOOKUP(A64,'HIDDEN import'!B:E,4,FALSE)="C",NOT(ISERROR(VLOOKUP(E64,'Optional features'!B:D,1,FALSE)=E64))),MD!$A$3,AND(VLOOKUP(A64,'HIDDEN import'!B:E,4,FALSE)="C",_xlfn.IFNA(VLOOKUP(E64,'HIDDEN calc sheet'!A:C,3,FALSE)=TRUE,FALSE)),MD!$A$3,TRUE,MD!$A$2)</f>
        <v>Mandatory test for a mandatory feature</v>
      </c>
      <c r="E64" t="str">
        <f>IF('HIDDEN import'!F63=0,"",'HIDDEN import'!F63)</f>
        <v/>
      </c>
      <c r="F64" t="str">
        <f>IF('HIDDEN import'!G63=0,"",'HIDDEN import'!G63)</f>
        <v/>
      </c>
      <c r="G64" s="144" t="str">
        <f>IFERROR(VLOOKUP($A64,'HIDDEN Testrun Results'!$A:$B,2,FALSE),"")</f>
        <v/>
      </c>
      <c r="H64" s="10" t="b">
        <f t="shared" si="1"/>
        <v>0</v>
      </c>
      <c r="I64" s="10" t="b">
        <f>IF(VLOOKUP(A64&amp;" "&amp;B64,'HIDDEN import'!A:G,5,FALSE)="M",TRUE,IFERROR(VLOOKUP(E64,'Optional features'!B:D,3,FALSE)="Yes",IFERROR(VLOOKUP(E64,'HIDDEN calc sheet'!A:B,2,FALSE),IFERROR(VLOOKUP(E64,'Additional questions'!B:D,3,FALSE)="Yes",VLOOKUP(E64,'Hardware Feature set'!B:D,3,FALSE)="No"))))</f>
        <v>1</v>
      </c>
      <c r="J64" s="10" t="b">
        <f t="shared" si="2"/>
        <v>0</v>
      </c>
      <c r="K64" s="10" t="b">
        <f>IFERROR(VLOOKUP(B64,'Profile selection'!B:C,2,FALSE)="Yes",FALSE)</f>
        <v>0</v>
      </c>
      <c r="L64" s="50"/>
      <c r="M64" s="50"/>
    </row>
    <row r="65" spans="1:13" ht="15.75" customHeight="1" x14ac:dyDescent="0.25">
      <c r="A65" t="str">
        <f>'HIDDEN import'!B64</f>
        <v>TC_048_4_CS</v>
      </c>
      <c r="B65" t="str">
        <f>'HIDDEN import'!C64</f>
        <v>Reservation</v>
      </c>
      <c r="C65" t="str">
        <f>'HIDDEN import'!D64</f>
        <v>Reservation of a Connector - Rejected</v>
      </c>
      <c r="D65" t="str" cm="1">
        <f t="array" ref="D65">_xlfn.IFS(VLOOKUP(A65&amp;" "&amp;B65,'HIDDEN import'!A:G,5,FALSE)="M",MD!$A$1,VLOOKUP(A65&amp;" "&amp;B65,'HIDDEN import'!A:G,5,FALSE)="O",MD!$A$4,AND(VLOOKUP(A65,'HIDDEN import'!B:E,4,FALSE)="C",NOT(ISERROR(VLOOKUP(E65,'Optional features'!B:D,1,FALSE)=E65))),MD!$A$3,AND(VLOOKUP(A65,'HIDDEN import'!B:E,4,FALSE)="C",_xlfn.IFNA(VLOOKUP(E65,'HIDDEN calc sheet'!A:C,3,FALSE)=TRUE,FALSE)),MD!$A$3,TRUE,MD!$A$2)</f>
        <v>Optional test case</v>
      </c>
      <c r="E65" t="str">
        <f>IF('HIDDEN import'!F64=0,"",'HIDDEN import'!F64)</f>
        <v/>
      </c>
      <c r="F65" t="str">
        <f>IF('HIDDEN import'!G64=0,"",'HIDDEN import'!G64)</f>
        <v/>
      </c>
      <c r="G65" s="144" t="str">
        <f>IFERROR(VLOOKUP($A65,'HIDDEN Testrun Results'!$A:$B,2,FALSE),"")</f>
        <v/>
      </c>
      <c r="H65" s="10" t="str">
        <f t="shared" si="1"/>
        <v>Up to vendor</v>
      </c>
      <c r="I65" s="10" t="e">
        <f>IF(VLOOKUP(A65&amp;" "&amp;B65,'HIDDEN import'!A:G,5,FALSE)="M",TRUE,IFERROR(VLOOKUP(E65,'Optional features'!B:D,3,FALSE)="Yes",IFERROR(VLOOKUP(E65,'HIDDEN calc sheet'!A:B,2,FALSE),IFERROR(VLOOKUP(E65,'Additional questions'!B:D,3,FALSE)="Yes",VLOOKUP(E65,'Hardware Feature set'!B:D,3,FALSE)="No"))))</f>
        <v>#N/A</v>
      </c>
      <c r="J65" s="10" t="b">
        <f t="shared" si="2"/>
        <v>1</v>
      </c>
      <c r="K65" s="10" t="b">
        <f>IFERROR(VLOOKUP(B65,'Profile selection'!B:C,2,FALSE)="Yes",FALSE)</f>
        <v>0</v>
      </c>
      <c r="L65" s="50"/>
      <c r="M65" s="50"/>
    </row>
    <row r="66" spans="1:13" ht="15.75" customHeight="1" x14ac:dyDescent="0.25">
      <c r="A66" t="str">
        <f>'HIDDEN import'!B65</f>
        <v>TC_049_CS</v>
      </c>
      <c r="B66" t="str">
        <f>'HIDDEN import'!C65</f>
        <v>Reservation</v>
      </c>
      <c r="C66" t="str">
        <f>'HIDDEN import'!D65</f>
        <v>Reservation of a Charge Point - Transaction</v>
      </c>
      <c r="D66" t="str" cm="1">
        <f t="array" ref="D66">_xlfn.IFS(VLOOKUP(A66&amp;" "&amp;B66,'HIDDEN import'!A:G,5,FALSE)="M",MD!$A$1,VLOOKUP(A66&amp;" "&amp;B66,'HIDDEN import'!A:G,5,FALSE)="O",MD!$A$4,AND(VLOOKUP(A66,'HIDDEN import'!B:E,4,FALSE)="C",NOT(ISERROR(VLOOKUP(E66,'Optional features'!B:D,1,FALSE)=E66))),MD!$A$3,AND(VLOOKUP(A66,'HIDDEN import'!B:E,4,FALSE)="C",_xlfn.IFNA(VLOOKUP(E66,'HIDDEN calc sheet'!A:C,3,FALSE)=TRUE,FALSE)),MD!$A$3,TRUE,MD!$A$2)</f>
        <v>Mandatory for optional feature</v>
      </c>
      <c r="E66" t="str">
        <f>IF('HIDDEN import'!F65=0,"",'HIDDEN import'!F65)</f>
        <v>R-1</v>
      </c>
      <c r="F66" t="str">
        <f>IF('HIDDEN import'!G65=0,"",'HIDDEN import'!G65)</f>
        <v>Support reservations of entire Charging Station</v>
      </c>
      <c r="G66" s="144" t="str">
        <f>IFERROR(VLOOKUP($A66,'HIDDEN Testrun Results'!$A:$B,2,FALSE),"")</f>
        <v/>
      </c>
      <c r="H66" s="10" t="b">
        <f t="shared" si="1"/>
        <v>0</v>
      </c>
      <c r="I66" s="10" t="b">
        <f>IF(VLOOKUP(A66&amp;" "&amp;B66,'HIDDEN import'!A:G,5,FALSE)="M",TRUE,IFERROR(VLOOKUP(E66,'Optional features'!B:D,3,FALSE)="Yes",IFERROR(VLOOKUP(E66,'HIDDEN calc sheet'!A:B,2,FALSE),IFERROR(VLOOKUP(E66,'Additional questions'!B:D,3,FALSE)="Yes",VLOOKUP(E66,'Hardware Feature set'!B:D,3,FALSE)="No"))))</f>
        <v>0</v>
      </c>
      <c r="J66" s="10" t="b">
        <f t="shared" si="2"/>
        <v>0</v>
      </c>
      <c r="K66" s="10" t="b">
        <f>IFERROR(VLOOKUP(B66,'Profile selection'!B:C,2,FALSE)="Yes",FALSE)</f>
        <v>0</v>
      </c>
      <c r="L66" s="50"/>
      <c r="M66" s="50"/>
    </row>
    <row r="67" spans="1:13" ht="15.75" customHeight="1" x14ac:dyDescent="0.25">
      <c r="A67" t="str">
        <f>'HIDDEN import'!B66</f>
        <v>TC_050_2_CS</v>
      </c>
      <c r="B67" t="str">
        <f>'HIDDEN import'!C66</f>
        <v>Reservation</v>
      </c>
      <c r="C67" t="str">
        <f>'HIDDEN import'!D66</f>
        <v>Reservation of a Charge Point - Occupied</v>
      </c>
      <c r="D67" t="str" cm="1">
        <f t="array" ref="D67">_xlfn.IFS(VLOOKUP(A67&amp;" "&amp;B67,'HIDDEN import'!A:G,5,FALSE)="M",MD!$A$1,VLOOKUP(A67&amp;" "&amp;B67,'HIDDEN import'!A:G,5,FALSE)="O",MD!$A$4,AND(VLOOKUP(A67,'HIDDEN import'!B:E,4,FALSE)="C",NOT(ISERROR(VLOOKUP(E67,'Optional features'!B:D,1,FALSE)=E67))),MD!$A$3,AND(VLOOKUP(A67,'HIDDEN import'!B:E,4,FALSE)="C",_xlfn.IFNA(VLOOKUP(E67,'HIDDEN calc sheet'!A:C,3,FALSE)=TRUE,FALSE)),MD!$A$3,TRUE,MD!$A$2)</f>
        <v>Mandatory for optional feature</v>
      </c>
      <c r="E67" t="str">
        <f>IF('HIDDEN import'!F66=0,"",'HIDDEN import'!F66)</f>
        <v>R-1 AND NOT AQ-2</v>
      </c>
      <c r="F67" t="str">
        <f>IF('HIDDEN import'!G66=0,"",'HIDDEN import'!G66)</f>
        <v>Support reservations of entire Charging Station</v>
      </c>
      <c r="G67" s="144" t="str">
        <f>IFERROR(VLOOKUP($A67,'HIDDEN Testrun Results'!$A:$B,2,FALSE),"")</f>
        <v/>
      </c>
      <c r="H67" s="10" t="b">
        <f t="shared" si="1"/>
        <v>0</v>
      </c>
      <c r="I67" s="10" t="b">
        <f>IF(VLOOKUP(A67&amp;" "&amp;B67,'HIDDEN import'!A:G,5,FALSE)="M",TRUE,IFERROR(VLOOKUP(E67,'Optional features'!B:D,3,FALSE)="Yes",IFERROR(VLOOKUP(E67,'HIDDEN calc sheet'!A:B,2,FALSE),IFERROR(VLOOKUP(E67,'Additional questions'!B:D,3,FALSE)="Yes",VLOOKUP(E67,'Hardware Feature set'!B:D,3,FALSE)="No"))))</f>
        <v>0</v>
      </c>
      <c r="J67" s="10" t="b">
        <f t="shared" si="2"/>
        <v>0</v>
      </c>
      <c r="K67" s="10" t="b">
        <f>IFERROR(VLOOKUP(B67,'Profile selection'!B:C,2,FALSE)="Yes",FALSE)</f>
        <v>0</v>
      </c>
      <c r="L67" s="50"/>
      <c r="M67" s="50"/>
    </row>
    <row r="68" spans="1:13" ht="15.75" customHeight="1" x14ac:dyDescent="0.25">
      <c r="A68" t="str">
        <f>'HIDDEN import'!B67</f>
        <v>TC_050_3_CS</v>
      </c>
      <c r="B68" t="str">
        <f>'HIDDEN import'!C67</f>
        <v>Reservation</v>
      </c>
      <c r="C68" t="str">
        <f>'HIDDEN import'!D67</f>
        <v>Reservation of a Charge Point - Unavailable</v>
      </c>
      <c r="D68" t="str" cm="1">
        <f t="array" ref="D68">_xlfn.IFS(VLOOKUP(A68&amp;" "&amp;B68,'HIDDEN import'!A:G,5,FALSE)="M",MD!$A$1,VLOOKUP(A68&amp;" "&amp;B68,'HIDDEN import'!A:G,5,FALSE)="O",MD!$A$4,AND(VLOOKUP(A68,'HIDDEN import'!B:E,4,FALSE)="C",NOT(ISERROR(VLOOKUP(E68,'Optional features'!B:D,1,FALSE)=E68))),MD!$A$3,AND(VLOOKUP(A68,'HIDDEN import'!B:E,4,FALSE)="C",_xlfn.IFNA(VLOOKUP(E68,'HIDDEN calc sheet'!A:C,3,FALSE)=TRUE,FALSE)),MD!$A$3,TRUE,MD!$A$2)</f>
        <v>Mandatory for optional feature</v>
      </c>
      <c r="E68" t="str">
        <f>IF('HIDDEN import'!F67=0,"",'HIDDEN import'!F67)</f>
        <v>R-1</v>
      </c>
      <c r="F68" t="str">
        <f>IF('HIDDEN import'!G67=0,"",'HIDDEN import'!G67)</f>
        <v>Support reservations of entire Charging Station</v>
      </c>
      <c r="G68" s="144" t="str">
        <f>IFERROR(VLOOKUP($A68,'HIDDEN Testrun Results'!$A:$B,2,FALSE),"")</f>
        <v/>
      </c>
      <c r="H68" s="10" t="b">
        <f t="shared" ref="H68:H82" si="3">IF(J68,"Up to vendor",(IF(NOT(K68),FALSE,IF(NOT(ISLOGICAL(I68)),I68,AND(I68,K68)))))</f>
        <v>0</v>
      </c>
      <c r="I68" s="10" t="b">
        <f>IF(VLOOKUP(A68&amp;" "&amp;B68,'HIDDEN import'!A:G,5,FALSE)="M",TRUE,IFERROR(VLOOKUP(E68,'Optional features'!B:D,3,FALSE)="Yes",IFERROR(VLOOKUP(E68,'HIDDEN calc sheet'!A:B,2,FALSE),IFERROR(VLOOKUP(E68,'Additional questions'!B:D,3,FALSE)="Yes",VLOOKUP(E68,'Hardware Feature set'!B:D,3,FALSE)="No"))))</f>
        <v>0</v>
      </c>
      <c r="J68" s="10" t="b">
        <f t="shared" ref="J68:J82" si="4">IF(D68="Optional test case",TRUE,FALSE)</f>
        <v>0</v>
      </c>
      <c r="K68" s="10" t="b">
        <f>IFERROR(VLOOKUP(B68,'Profile selection'!B:C,2,FALSE)="Yes",FALSE)</f>
        <v>0</v>
      </c>
      <c r="L68" s="50"/>
      <c r="M68" s="50"/>
    </row>
    <row r="69" spans="1:13" ht="15.75" customHeight="1" x14ac:dyDescent="0.25">
      <c r="A69" t="str">
        <f>'HIDDEN import'!B68</f>
        <v>TC_051_CS</v>
      </c>
      <c r="B69" t="str">
        <f>'HIDDEN import'!C68</f>
        <v>Reservation</v>
      </c>
      <c r="C69" t="str">
        <f>'HIDDEN import'!D68</f>
        <v>Cancel Reservation</v>
      </c>
      <c r="D69" t="str" cm="1">
        <f t="array" ref="D69">_xlfn.IFS(VLOOKUP(A69&amp;" "&amp;B69,'HIDDEN import'!A:G,5,FALSE)="M",MD!$A$1,VLOOKUP(A69&amp;" "&amp;B69,'HIDDEN import'!A:G,5,FALSE)="O",MD!$A$4,AND(VLOOKUP(A69,'HIDDEN import'!B:E,4,FALSE)="C",NOT(ISERROR(VLOOKUP(E69,'Optional features'!B:D,1,FALSE)=E69))),MD!$A$3,AND(VLOOKUP(A69,'HIDDEN import'!B:E,4,FALSE)="C",_xlfn.IFNA(VLOOKUP(E69,'HIDDEN calc sheet'!A:C,3,FALSE)=TRUE,FALSE)),MD!$A$3,TRUE,MD!$A$2)</f>
        <v>Mandatory test for a mandatory feature</v>
      </c>
      <c r="E69" t="str">
        <f>IF('HIDDEN import'!F68=0,"",'HIDDEN import'!F68)</f>
        <v/>
      </c>
      <c r="F69" t="str">
        <f>IF('HIDDEN import'!G68=0,"",'HIDDEN import'!G68)</f>
        <v/>
      </c>
      <c r="G69" s="144" t="str">
        <f>IFERROR(VLOOKUP($A69,'HIDDEN Testrun Results'!$A:$B,2,FALSE),"")</f>
        <v/>
      </c>
      <c r="H69" s="10" t="b">
        <f t="shared" si="3"/>
        <v>0</v>
      </c>
      <c r="I69" s="10" t="b">
        <f>IF(VLOOKUP(A69&amp;" "&amp;B69,'HIDDEN import'!A:G,5,FALSE)="M",TRUE,IFERROR(VLOOKUP(E69,'Optional features'!B:D,3,FALSE)="Yes",IFERROR(VLOOKUP(E69,'HIDDEN calc sheet'!A:B,2,FALSE),IFERROR(VLOOKUP(E69,'Additional questions'!B:D,3,FALSE)="Yes",VLOOKUP(E69,'Hardware Feature set'!B:D,3,FALSE)="No"))))</f>
        <v>1</v>
      </c>
      <c r="J69" s="10" t="b">
        <f t="shared" si="4"/>
        <v>0</v>
      </c>
      <c r="K69" s="10" t="b">
        <f>IFERROR(VLOOKUP(B69,'Profile selection'!B:C,2,FALSE)="Yes",FALSE)</f>
        <v>0</v>
      </c>
      <c r="L69" s="50"/>
      <c r="M69" s="50"/>
    </row>
    <row r="70" spans="1:13" ht="15.75" customHeight="1" x14ac:dyDescent="0.25">
      <c r="A70" t="str">
        <f>'HIDDEN import'!B69</f>
        <v>TC_052_CS</v>
      </c>
      <c r="B70" t="str">
        <f>'HIDDEN import'!C69</f>
        <v>Reservation</v>
      </c>
      <c r="C70" t="str">
        <f>'HIDDEN import'!D69</f>
        <v>Cancel Reservation - Rejected</v>
      </c>
      <c r="D70" t="str" cm="1">
        <f t="array" ref="D70">_xlfn.IFS(VLOOKUP(A70&amp;" "&amp;B70,'HIDDEN import'!A:G,5,FALSE)="M",MD!$A$1,VLOOKUP(A70&amp;" "&amp;B70,'HIDDEN import'!A:G,5,FALSE)="O",MD!$A$4,AND(VLOOKUP(A70,'HIDDEN import'!B:E,4,FALSE)="C",NOT(ISERROR(VLOOKUP(E70,'Optional features'!B:D,1,FALSE)=E70))),MD!$A$3,AND(VLOOKUP(A70,'HIDDEN import'!B:E,4,FALSE)="C",_xlfn.IFNA(VLOOKUP(E70,'HIDDEN calc sheet'!A:C,3,FALSE)=TRUE,FALSE)),MD!$A$3,TRUE,MD!$A$2)</f>
        <v>Mandatory test for a mandatory feature</v>
      </c>
      <c r="E70" t="str">
        <f>IF('HIDDEN import'!F69=0,"",'HIDDEN import'!F69)</f>
        <v/>
      </c>
      <c r="F70" t="str">
        <f>IF('HIDDEN import'!G69=0,"",'HIDDEN import'!G69)</f>
        <v/>
      </c>
      <c r="G70" s="144" t="str">
        <f>IFERROR(VLOOKUP($A70,'HIDDEN Testrun Results'!$A:$B,2,FALSE),"")</f>
        <v/>
      </c>
      <c r="H70" s="10" t="b">
        <f t="shared" si="3"/>
        <v>0</v>
      </c>
      <c r="I70" s="10" t="b">
        <f>IF(VLOOKUP(A70&amp;" "&amp;B70,'HIDDEN import'!A:G,5,FALSE)="M",TRUE,IFERROR(VLOOKUP(E70,'Optional features'!B:D,3,FALSE)="Yes",IFERROR(VLOOKUP(E70,'HIDDEN calc sheet'!A:B,2,FALSE),IFERROR(VLOOKUP(E70,'Additional questions'!B:D,3,FALSE)="Yes",VLOOKUP(E70,'Hardware Feature set'!B:D,3,FALSE)="No"))))</f>
        <v>1</v>
      </c>
      <c r="J70" s="10" t="b">
        <f t="shared" si="4"/>
        <v>0</v>
      </c>
      <c r="K70" s="10" t="b">
        <f>IFERROR(VLOOKUP(B70,'Profile selection'!B:C,2,FALSE)="Yes",FALSE)</f>
        <v>0</v>
      </c>
      <c r="L70" s="50"/>
      <c r="M70" s="50"/>
    </row>
    <row r="71" spans="1:13" ht="15.75" customHeight="1" x14ac:dyDescent="0.25">
      <c r="A71" t="str">
        <f>'HIDDEN import'!B70</f>
        <v>TC_053_CS</v>
      </c>
      <c r="B71" t="str">
        <f>'HIDDEN import'!C70</f>
        <v>Reservation</v>
      </c>
      <c r="C71" t="str">
        <f>'HIDDEN import'!D70</f>
        <v>Use a reserved Connector with parentIdTag</v>
      </c>
      <c r="D71" t="str" cm="1">
        <f t="array" ref="D71">_xlfn.IFS(VLOOKUP(A71&amp;" "&amp;B71,'HIDDEN import'!A:G,5,FALSE)="M",MD!$A$1,VLOOKUP(A71&amp;" "&amp;B71,'HIDDEN import'!A:G,5,FALSE)="O",MD!$A$4,AND(VLOOKUP(A71,'HIDDEN import'!B:E,4,FALSE)="C",NOT(ISERROR(VLOOKUP(E71,'Optional features'!B:D,1,FALSE)=E71))),MD!$A$3,AND(VLOOKUP(A71,'HIDDEN import'!B:E,4,FALSE)="C",_xlfn.IFNA(VLOOKUP(E71,'HIDDEN calc sheet'!A:C,3,FALSE)=TRUE,FALSE)),MD!$A$3,TRUE,MD!$A$2)</f>
        <v>Mandatory test for a mandatory feature</v>
      </c>
      <c r="E71" t="str">
        <f>IF('HIDDEN import'!F70=0,"",'HIDDEN import'!F70)</f>
        <v/>
      </c>
      <c r="F71" t="str">
        <f>IF('HIDDEN import'!G70=0,"",'HIDDEN import'!G70)</f>
        <v/>
      </c>
      <c r="G71" s="144" t="str">
        <f>IFERROR(VLOOKUP($A71,'HIDDEN Testrun Results'!$A:$B,2,FALSE),"")</f>
        <v/>
      </c>
      <c r="H71" s="10" t="b">
        <f t="shared" si="3"/>
        <v>0</v>
      </c>
      <c r="I71" s="10" t="b">
        <f>IF(VLOOKUP(A71&amp;" "&amp;B71,'HIDDEN import'!A:G,5,FALSE)="M",TRUE,IFERROR(VLOOKUP(E71,'Optional features'!B:D,3,FALSE)="Yes",IFERROR(VLOOKUP(E71,'HIDDEN calc sheet'!A:B,2,FALSE),IFERROR(VLOOKUP(E71,'Additional questions'!B:D,3,FALSE)="Yes",VLOOKUP(E71,'Hardware Feature set'!B:D,3,FALSE)="No"))))</f>
        <v>1</v>
      </c>
      <c r="J71" s="10" t="b">
        <f t="shared" si="4"/>
        <v>0</v>
      </c>
      <c r="K71" s="10" t="b">
        <f>IFERROR(VLOOKUP(B71,'Profile selection'!B:C,2,FALSE)="Yes",FALSE)</f>
        <v>0</v>
      </c>
      <c r="L71" s="50"/>
      <c r="M71" s="50"/>
    </row>
    <row r="72" spans="1:13" ht="15.75" customHeight="1" x14ac:dyDescent="0.25">
      <c r="A72" t="str">
        <f>'HIDDEN import'!B71</f>
        <v>TC_054_CS</v>
      </c>
      <c r="B72" t="str">
        <f>'HIDDEN import'!C71</f>
        <v>Remote Trigger</v>
      </c>
      <c r="C72" t="str">
        <f>'HIDDEN import'!D71</f>
        <v>Trigger Message</v>
      </c>
      <c r="D72" t="str" cm="1">
        <f t="array" ref="D72">_xlfn.IFS(VLOOKUP(A72&amp;" "&amp;B72,'HIDDEN import'!A:G,5,FALSE)="M",MD!$A$1,VLOOKUP(A72&amp;" "&amp;B72,'HIDDEN import'!A:G,5,FALSE)="O",MD!$A$4,AND(VLOOKUP(A72,'HIDDEN import'!B:E,4,FALSE)="C",NOT(ISERROR(VLOOKUP(E72,'Optional features'!B:D,1,FALSE)=E72))),MD!$A$3,AND(VLOOKUP(A72,'HIDDEN import'!B:E,4,FALSE)="C",_xlfn.IFNA(VLOOKUP(E72,'HIDDEN calc sheet'!A:C,3,FALSE)=TRUE,FALSE)),MD!$A$3,TRUE,MD!$A$2)</f>
        <v>Mandatory test for a mandatory feature</v>
      </c>
      <c r="E72" t="str">
        <f>IF('HIDDEN import'!F71=0,"",'HIDDEN import'!F71)</f>
        <v/>
      </c>
      <c r="F72" t="str">
        <f>IF('HIDDEN import'!G71=0,"",'HIDDEN import'!G71)</f>
        <v/>
      </c>
      <c r="G72" s="144" t="str">
        <f>IFERROR(VLOOKUP($A72,'HIDDEN Testrun Results'!$A:$B,2,FALSE),"")</f>
        <v/>
      </c>
      <c r="H72" s="10" t="b">
        <f t="shared" si="3"/>
        <v>0</v>
      </c>
      <c r="I72" s="10" t="b">
        <f>IF(VLOOKUP(A72&amp;" "&amp;B72,'HIDDEN import'!A:G,5,FALSE)="M",TRUE,IFERROR(VLOOKUP(E72,'Optional features'!B:D,3,FALSE)="Yes",IFERROR(VLOOKUP(E72,'HIDDEN calc sheet'!A:B,2,FALSE),IFERROR(VLOOKUP(E72,'Additional questions'!B:D,3,FALSE)="Yes",VLOOKUP(E72,'Hardware Feature set'!B:D,3,FALSE)="No"))))</f>
        <v>1</v>
      </c>
      <c r="J72" s="10" t="b">
        <f t="shared" si="4"/>
        <v>0</v>
      </c>
      <c r="K72" s="10" t="b">
        <f>IFERROR(VLOOKUP(B72,'Profile selection'!B:C,2,FALSE)="Yes",FALSE)</f>
        <v>0</v>
      </c>
      <c r="L72" s="50"/>
      <c r="M72" s="50"/>
    </row>
    <row r="73" spans="1:13" ht="15.75" customHeight="1" x14ac:dyDescent="0.25">
      <c r="A73" t="str">
        <f>'HIDDEN import'!B72</f>
        <v>TC_055_CS</v>
      </c>
      <c r="B73" t="str">
        <f>'HIDDEN import'!C72</f>
        <v>Remote Trigger</v>
      </c>
      <c r="C73" t="str">
        <f>'HIDDEN import'!D72</f>
        <v>Trigger Message - Rejected</v>
      </c>
      <c r="D73" t="str" cm="1">
        <f t="array" ref="D73">_xlfn.IFS(VLOOKUP(A73&amp;" "&amp;B73,'HIDDEN import'!A:G,5,FALSE)="M",MD!$A$1,VLOOKUP(A73&amp;" "&amp;B73,'HIDDEN import'!A:G,5,FALSE)="O",MD!$A$4,AND(VLOOKUP(A73,'HIDDEN import'!B:E,4,FALSE)="C",NOT(ISERROR(VLOOKUP(E73,'Optional features'!B:D,1,FALSE)=E73))),MD!$A$3,AND(VLOOKUP(A73,'HIDDEN import'!B:E,4,FALSE)="C",_xlfn.IFNA(VLOOKUP(E73,'HIDDEN calc sheet'!A:C,3,FALSE)=TRUE,FALSE)),MD!$A$3,TRUE,MD!$A$2)</f>
        <v>Mandatory test for a mandatory feature</v>
      </c>
      <c r="E73" t="str">
        <f>IF('HIDDEN import'!F72=0,"",'HIDDEN import'!F72)</f>
        <v/>
      </c>
      <c r="F73" t="str">
        <f>IF('HIDDEN import'!G72=0,"",'HIDDEN import'!G72)</f>
        <v/>
      </c>
      <c r="G73" s="144" t="str">
        <f>IFERROR(VLOOKUP($A73,'HIDDEN Testrun Results'!$A:$B,2,FALSE),"")</f>
        <v/>
      </c>
      <c r="H73" s="10" t="b">
        <f t="shared" si="3"/>
        <v>0</v>
      </c>
      <c r="I73" s="10" t="b">
        <f>IF(VLOOKUP(A73&amp;" "&amp;B73,'HIDDEN import'!A:G,5,FALSE)="M",TRUE,IFERROR(VLOOKUP(E73,'Optional features'!B:D,3,FALSE)="Yes",IFERROR(VLOOKUP(E73,'HIDDEN calc sheet'!A:B,2,FALSE),IFERROR(VLOOKUP(E73,'Additional questions'!B:D,3,FALSE)="Yes",VLOOKUP(E73,'Hardware Feature set'!B:D,3,FALSE)="No"))))</f>
        <v>1</v>
      </c>
      <c r="J73" s="10" t="b">
        <f t="shared" si="4"/>
        <v>0</v>
      </c>
      <c r="K73" s="10" t="b">
        <f>IFERROR(VLOOKUP(B73,'Profile selection'!B:C,2,FALSE)="Yes",FALSE)</f>
        <v>0</v>
      </c>
      <c r="L73" s="50"/>
      <c r="M73" s="50"/>
    </row>
    <row r="74" spans="1:13" ht="15.75" customHeight="1" x14ac:dyDescent="0.25">
      <c r="A74" t="str">
        <f>'HIDDEN import'!B73</f>
        <v>TC_056_CS</v>
      </c>
      <c r="B74" t="str">
        <f>'HIDDEN import'!C73</f>
        <v>Smart Charging</v>
      </c>
      <c r="C74" t="str">
        <f>'HIDDEN import'!D73</f>
        <v>Central Smart Charging - TxDefaultProfile</v>
      </c>
      <c r="D74" t="str" cm="1">
        <f t="array" ref="D74">_xlfn.IFS(VLOOKUP(A74&amp;" "&amp;B74,'HIDDEN import'!A:G,5,FALSE)="M",MD!$A$1,VLOOKUP(A74&amp;" "&amp;B74,'HIDDEN import'!A:G,5,FALSE)="O",MD!$A$4,AND(VLOOKUP(A74,'HIDDEN import'!B:E,4,FALSE)="C",NOT(ISERROR(VLOOKUP(E74,'Optional features'!B:D,1,FALSE)=E74))),MD!$A$3,AND(VLOOKUP(A74,'HIDDEN import'!B:E,4,FALSE)="C",_xlfn.IFNA(VLOOKUP(E74,'HIDDEN calc sheet'!A:C,3,FALSE)=TRUE,FALSE)),MD!$A$3,TRUE,MD!$A$2)</f>
        <v>Possibly mandatory, depending on your system</v>
      </c>
      <c r="E74" t="str">
        <f>IF('HIDDEN import'!F73=0,"",'HIDDEN import'!F73)</f>
        <v>NOT Product subtype Mode 1/2-only Charging Station</v>
      </c>
      <c r="F74" t="str">
        <f>IF('HIDDEN import'!G73=0,"",'HIDDEN import'!G73)</f>
        <v>Not applicable for product subtype Mode 1/2-only Charging Station.</v>
      </c>
      <c r="G74" s="144" t="str">
        <f>IFERROR(VLOOKUP($A74,'HIDDEN Testrun Results'!$A:$B,2,FALSE),"")</f>
        <v/>
      </c>
      <c r="H74" s="10" t="b">
        <f t="shared" si="3"/>
        <v>0</v>
      </c>
      <c r="I74" s="10" t="b">
        <f>IF(VLOOKUP(A74&amp;" "&amp;B74,'HIDDEN import'!A:G,5,FALSE)="M",TRUE,IFERROR(VLOOKUP(E74,'Optional features'!B:D,3,FALSE)="Yes",IFERROR(VLOOKUP(E74,'HIDDEN calc sheet'!A:B,2,FALSE),IFERROR(VLOOKUP(E74,'Additional questions'!B:D,3,FALSE)="Yes",VLOOKUP(E74,'Hardware Feature set'!B:D,3,FALSE)="No"))))</f>
        <v>1</v>
      </c>
      <c r="J74" s="10" t="b">
        <f t="shared" si="4"/>
        <v>0</v>
      </c>
      <c r="K74" s="10" t="b">
        <f>IFERROR(VLOOKUP(B74,'Profile selection'!B:C,2,FALSE)="Yes",FALSE)</f>
        <v>0</v>
      </c>
      <c r="L74" s="50"/>
      <c r="M74" s="50"/>
    </row>
    <row r="75" spans="1:13" ht="15.75" customHeight="1" x14ac:dyDescent="0.25">
      <c r="A75" t="str">
        <f>'HIDDEN import'!B74</f>
        <v>TC_057_CS</v>
      </c>
      <c r="B75" t="str">
        <f>'HIDDEN import'!C74</f>
        <v>Smart Charging</v>
      </c>
      <c r="C75" t="str">
        <f>'HIDDEN import'!D74</f>
        <v>Central Smart Charging - TxProfile</v>
      </c>
      <c r="D75" t="str" cm="1">
        <f t="array" ref="D75">_xlfn.IFS(VLOOKUP(A75&amp;" "&amp;B75,'HIDDEN import'!A:G,5,FALSE)="M",MD!$A$1,VLOOKUP(A75&amp;" "&amp;B75,'HIDDEN import'!A:G,5,FALSE)="O",MD!$A$4,AND(VLOOKUP(A75,'HIDDEN import'!B:E,4,FALSE)="C",NOT(ISERROR(VLOOKUP(E75,'Optional features'!B:D,1,FALSE)=E75))),MD!$A$3,AND(VLOOKUP(A75,'HIDDEN import'!B:E,4,FALSE)="C",_xlfn.IFNA(VLOOKUP(E75,'HIDDEN calc sheet'!A:C,3,FALSE)=TRUE,FALSE)),MD!$A$3,TRUE,MD!$A$2)</f>
        <v>Possibly mandatory, depending on your system</v>
      </c>
      <c r="E75" t="str">
        <f>IF('HIDDEN import'!F74=0,"",'HIDDEN import'!F74)</f>
        <v>NOT Product subtype Mode 1/2-only Charging Station</v>
      </c>
      <c r="F75" t="str">
        <f>IF('HIDDEN import'!G74=0,"",'HIDDEN import'!G74)</f>
        <v>Not applicable for product subtype Mode 1/2-only Charging Station.</v>
      </c>
      <c r="G75" s="144" t="str">
        <f>IFERROR(VLOOKUP($A75,'HIDDEN Testrun Results'!$A:$B,2,FALSE),"")</f>
        <v/>
      </c>
      <c r="H75" s="10" t="b">
        <f t="shared" si="3"/>
        <v>0</v>
      </c>
      <c r="I75" s="10" t="b">
        <f>IF(VLOOKUP(A75&amp;" "&amp;B75,'HIDDEN import'!A:G,5,FALSE)="M",TRUE,IFERROR(VLOOKUP(E75,'Optional features'!B:D,3,FALSE)="Yes",IFERROR(VLOOKUP(E75,'HIDDEN calc sheet'!A:B,2,FALSE),IFERROR(VLOOKUP(E75,'Additional questions'!B:D,3,FALSE)="Yes",VLOOKUP(E75,'Hardware Feature set'!B:D,3,FALSE)="No"))))</f>
        <v>1</v>
      </c>
      <c r="J75" s="10" t="b">
        <f t="shared" si="4"/>
        <v>0</v>
      </c>
      <c r="K75" s="10" t="b">
        <f>IFERROR(VLOOKUP(B75,'Profile selection'!B:C,2,FALSE)="Yes",FALSE)</f>
        <v>0</v>
      </c>
      <c r="L75" s="50"/>
      <c r="M75" s="50"/>
    </row>
    <row r="76" spans="1:13" x14ac:dyDescent="0.25">
      <c r="A76" t="str">
        <f>'HIDDEN import'!B75</f>
        <v>TC_058_1_CS</v>
      </c>
      <c r="B76" t="str">
        <f>'HIDDEN import'!C75</f>
        <v>Smart Charging</v>
      </c>
      <c r="C76" t="str">
        <f>'HIDDEN import'!D75</f>
        <v>Central Smart Charging - No ongoing transaction</v>
      </c>
      <c r="D76" t="str" cm="1">
        <f t="array" ref="D76">_xlfn.IFS(VLOOKUP(A76&amp;" "&amp;B76,'HIDDEN import'!A:G,5,FALSE)="M",MD!$A$1,VLOOKUP(A76&amp;" "&amp;B76,'HIDDEN import'!A:G,5,FALSE)="O",MD!$A$4,AND(VLOOKUP(A76,'HIDDEN import'!B:E,4,FALSE)="C",NOT(ISERROR(VLOOKUP(E76,'Optional features'!B:D,1,FALSE)=E76))),MD!$A$3,AND(VLOOKUP(A76,'HIDDEN import'!B:E,4,FALSE)="C",_xlfn.IFNA(VLOOKUP(E76,'HIDDEN calc sheet'!A:C,3,FALSE)=TRUE,FALSE)),MD!$A$3,TRUE,MD!$A$2)</f>
        <v>Possibly mandatory, depending on your system</v>
      </c>
      <c r="E76" t="str">
        <f>IF('HIDDEN import'!F75=0,"",'HIDDEN import'!F75)</f>
        <v>NOT Product subtype Mode 1/2-only Charging Station</v>
      </c>
      <c r="F76" t="str">
        <f>IF('HIDDEN import'!G75=0,"",'HIDDEN import'!G75)</f>
        <v>Not applicable for product subtype Mode 1/2-only Charging Station.</v>
      </c>
      <c r="G76" s="144" t="str">
        <f>IFERROR(VLOOKUP($A76,'HIDDEN Testrun Results'!$A:$B,2,FALSE),"")</f>
        <v/>
      </c>
      <c r="H76" s="10" t="b">
        <f t="shared" si="3"/>
        <v>0</v>
      </c>
      <c r="I76" s="10" t="b">
        <f>IF(VLOOKUP(A76&amp;" "&amp;B76,'HIDDEN import'!A:G,5,FALSE)="M",TRUE,IFERROR(VLOOKUP(E76,'Optional features'!B:D,3,FALSE)="Yes",IFERROR(VLOOKUP(E76,'HIDDEN calc sheet'!A:B,2,FALSE),IFERROR(VLOOKUP(E76,'Additional questions'!B:D,3,FALSE)="Yes",VLOOKUP(E76,'Hardware Feature set'!B:D,3,FALSE)="No"))))</f>
        <v>1</v>
      </c>
      <c r="J76" s="10" t="b">
        <f t="shared" si="4"/>
        <v>0</v>
      </c>
      <c r="K76" s="10" t="b">
        <f>IFERROR(VLOOKUP(B76,'Profile selection'!B:C,2,FALSE)="Yes",FALSE)</f>
        <v>0</v>
      </c>
      <c r="L76" s="50"/>
      <c r="M76" s="50"/>
    </row>
    <row r="77" spans="1:13" x14ac:dyDescent="0.25">
      <c r="A77" t="str">
        <f>'HIDDEN import'!B76</f>
        <v>TC_058_2_CS</v>
      </c>
      <c r="B77" t="str">
        <f>'HIDDEN import'!C76</f>
        <v>Smart Charging</v>
      </c>
      <c r="C77" t="str">
        <f>'HIDDEN import'!D76</f>
        <v>Central Smart Charging - Wrong transactionId</v>
      </c>
      <c r="D77" t="str" cm="1">
        <f t="array" ref="D77">_xlfn.IFS(VLOOKUP(A77&amp;" "&amp;B77,'HIDDEN import'!A:G,5,FALSE)="M",MD!$A$1,VLOOKUP(A77&amp;" "&amp;B77,'HIDDEN import'!A:G,5,FALSE)="O",MD!$A$4,AND(VLOOKUP(A77,'HIDDEN import'!B:E,4,FALSE)="C",NOT(ISERROR(VLOOKUP(E77,'Optional features'!B:D,1,FALSE)=E77))),MD!$A$3,AND(VLOOKUP(A77,'HIDDEN import'!B:E,4,FALSE)="C",_xlfn.IFNA(VLOOKUP(E77,'HIDDEN calc sheet'!A:C,3,FALSE)=TRUE,FALSE)),MD!$A$3,TRUE,MD!$A$2)</f>
        <v>Possibly mandatory, depending on your system</v>
      </c>
      <c r="E77" t="str">
        <f>IF('HIDDEN import'!F76=0,"",'HIDDEN import'!F76)</f>
        <v>NOT Product subtype Mode 1/2-only Charging Station</v>
      </c>
      <c r="F77" t="str">
        <f>IF('HIDDEN import'!G76=0,"",'HIDDEN import'!G76)</f>
        <v>Not applicable for product subtype Mode 1/2-only Charging Station.</v>
      </c>
      <c r="G77" s="144" t="str">
        <f>IFERROR(VLOOKUP($A77,'HIDDEN Testrun Results'!$A:$B,2,FALSE),"")</f>
        <v/>
      </c>
      <c r="H77" s="10" t="b">
        <f t="shared" si="3"/>
        <v>0</v>
      </c>
      <c r="I77" s="10" t="b">
        <f>IF(VLOOKUP(A77&amp;" "&amp;B77,'HIDDEN import'!A:G,5,FALSE)="M",TRUE,IFERROR(VLOOKUP(E77,'Optional features'!B:D,3,FALSE)="Yes",IFERROR(VLOOKUP(E77,'HIDDEN calc sheet'!A:B,2,FALSE),IFERROR(VLOOKUP(E77,'Additional questions'!B:D,3,FALSE)="Yes",VLOOKUP(E77,'Hardware Feature set'!B:D,3,FALSE)="No"))))</f>
        <v>1</v>
      </c>
      <c r="J77" s="10" t="b">
        <f t="shared" si="4"/>
        <v>0</v>
      </c>
      <c r="K77" s="10" t="b">
        <f>IFERROR(VLOOKUP(B77,'Profile selection'!B:C,2,FALSE)="Yes",FALSE)</f>
        <v>0</v>
      </c>
      <c r="L77" s="50"/>
      <c r="M77" s="50"/>
    </row>
    <row r="78" spans="1:13" x14ac:dyDescent="0.25">
      <c r="A78" t="str">
        <f>'HIDDEN import'!B77</f>
        <v>TC_082_CS</v>
      </c>
      <c r="B78" t="str">
        <f>'HIDDEN import'!C77</f>
        <v>Smart Charging</v>
      </c>
      <c r="C78" t="str">
        <f>'HIDDEN import'!D77</f>
        <v>Central Smart Charging - TxDefaultProfile - with ongoing transaction</v>
      </c>
      <c r="D78" t="str" cm="1">
        <f t="array" ref="D78">_xlfn.IFS(VLOOKUP(A78&amp;" "&amp;B78,'HIDDEN import'!A:G,5,FALSE)="M",MD!$A$1,VLOOKUP(A78&amp;" "&amp;B78,'HIDDEN import'!A:G,5,FALSE)="O",MD!$A$4,AND(VLOOKUP(A78,'HIDDEN import'!B:E,4,FALSE)="C",NOT(ISERROR(VLOOKUP(E78,'Optional features'!B:D,1,FALSE)=E78))),MD!$A$3,AND(VLOOKUP(A78,'HIDDEN import'!B:E,4,FALSE)="C",_xlfn.IFNA(VLOOKUP(E78,'HIDDEN calc sheet'!A:C,3,FALSE)=TRUE,FALSE)),MD!$A$3,TRUE,MD!$A$2)</f>
        <v>Possibly mandatory, depending on your system</v>
      </c>
      <c r="E78" t="str">
        <f>IF('HIDDEN import'!F77=0,"",'HIDDEN import'!F77)</f>
        <v>NOT Product subtype Mode 1/2-only Charging Station</v>
      </c>
      <c r="F78" t="str">
        <f>IF('HIDDEN import'!G77=0,"",'HIDDEN import'!G77)</f>
        <v>Not applicable for product subtype Mode 1/2-only Charging Station.</v>
      </c>
      <c r="G78" s="144" t="str">
        <f>IFERROR(VLOOKUP($A78,'HIDDEN Testrun Results'!$A:$B,2,FALSE),"")</f>
        <v/>
      </c>
      <c r="H78" s="10" t="b">
        <f t="shared" si="3"/>
        <v>0</v>
      </c>
      <c r="I78" s="10" t="b">
        <f>IF(VLOOKUP(A78&amp;" "&amp;B78,'HIDDEN import'!A:G,5,FALSE)="M",TRUE,IFERROR(VLOOKUP(E78,'Optional features'!B:D,3,FALSE)="Yes",IFERROR(VLOOKUP(E78,'HIDDEN calc sheet'!A:B,2,FALSE),IFERROR(VLOOKUP(E78,'Additional questions'!B:D,3,FALSE)="Yes",VLOOKUP(E78,'Hardware Feature set'!B:D,3,FALSE)="No"))))</f>
        <v>1</v>
      </c>
      <c r="J78" s="10" t="b">
        <f t="shared" si="4"/>
        <v>0</v>
      </c>
      <c r="K78" s="10" t="b">
        <f>IFERROR(VLOOKUP(B78,'Profile selection'!B:C,2,FALSE)="Yes",FALSE)</f>
        <v>0</v>
      </c>
      <c r="L78" s="50"/>
      <c r="M78" s="50"/>
    </row>
    <row r="79" spans="1:13" x14ac:dyDescent="0.25">
      <c r="A79" t="str">
        <f>'HIDDEN import'!B78</f>
        <v>TC_066_CS</v>
      </c>
      <c r="B79" t="str">
        <f>'HIDDEN import'!C78</f>
        <v>Smart Charging</v>
      </c>
      <c r="C79" t="str">
        <f>'HIDDEN import'!D78</f>
        <v>Get Composite Schedule</v>
      </c>
      <c r="D79" t="str" cm="1">
        <f t="array" ref="D79">_xlfn.IFS(VLOOKUP(A79&amp;" "&amp;B79,'HIDDEN import'!A:G,5,FALSE)="M",MD!$A$1,VLOOKUP(A79&amp;" "&amp;B79,'HIDDEN import'!A:G,5,FALSE)="O",MD!$A$4,AND(VLOOKUP(A79,'HIDDEN import'!B:E,4,FALSE)="C",NOT(ISERROR(VLOOKUP(E79,'Optional features'!B:D,1,FALSE)=E79))),MD!$A$3,AND(VLOOKUP(A79,'HIDDEN import'!B:E,4,FALSE)="C",_xlfn.IFNA(VLOOKUP(E79,'HIDDEN calc sheet'!A:C,3,FALSE)=TRUE,FALSE)),MD!$A$3,TRUE,MD!$A$2)</f>
        <v>Possibly mandatory, depending on your system</v>
      </c>
      <c r="E79" t="str">
        <f>IF('HIDDEN import'!F78=0,"",'HIDDEN import'!F78)</f>
        <v>NOT Product subtype Mode 1/2-only Charging Station</v>
      </c>
      <c r="F79" t="str">
        <f>IF('HIDDEN import'!G78=0,"",'HIDDEN import'!G78)</f>
        <v>Not applicable for product subtype Mode 1/2-only Charging Station.</v>
      </c>
      <c r="G79" s="144" t="str">
        <f>IFERROR(VLOOKUP($A79,'HIDDEN Testrun Results'!$A:$B,2,FALSE),"")</f>
        <v/>
      </c>
      <c r="H79" s="10" t="b">
        <f t="shared" si="3"/>
        <v>0</v>
      </c>
      <c r="I79" s="10" t="b">
        <f>IF(VLOOKUP(A79&amp;" "&amp;B79,'HIDDEN import'!A:G,5,FALSE)="M",TRUE,IFERROR(VLOOKUP(E79,'Optional features'!B:D,3,FALSE)="Yes",IFERROR(VLOOKUP(E79,'HIDDEN calc sheet'!A:B,2,FALSE),IFERROR(VLOOKUP(E79,'Additional questions'!B:D,3,FALSE)="Yes",VLOOKUP(E79,'Hardware Feature set'!B:D,3,FALSE)="No"))))</f>
        <v>1</v>
      </c>
      <c r="J79" s="10" t="b">
        <f t="shared" si="4"/>
        <v>0</v>
      </c>
      <c r="K79" s="10" t="b">
        <f>IFERROR(VLOOKUP(B79,'Profile selection'!B:C,2,FALSE)="Yes",FALSE)</f>
        <v>0</v>
      </c>
      <c r="L79" s="50"/>
      <c r="M79" s="50"/>
    </row>
    <row r="80" spans="1:13" x14ac:dyDescent="0.25">
      <c r="A80" t="str">
        <f>'HIDDEN import'!B79</f>
        <v>TC_067_CS</v>
      </c>
      <c r="B80" t="str">
        <f>'HIDDEN import'!C79</f>
        <v>Smart Charging</v>
      </c>
      <c r="C80" t="str">
        <f>'HIDDEN import'!D79</f>
        <v>Clear Charging Profile</v>
      </c>
      <c r="D80" t="str" cm="1">
        <f t="array" ref="D80">_xlfn.IFS(VLOOKUP(A80&amp;" "&amp;B80,'HIDDEN import'!A:G,5,FALSE)="M",MD!$A$1,VLOOKUP(A80&amp;" "&amp;B80,'HIDDEN import'!A:G,5,FALSE)="O",MD!$A$4,AND(VLOOKUP(A80,'HIDDEN import'!B:E,4,FALSE)="C",NOT(ISERROR(VLOOKUP(E80,'Optional features'!B:D,1,FALSE)=E80))),MD!$A$3,AND(VLOOKUP(A80,'HIDDEN import'!B:E,4,FALSE)="C",_xlfn.IFNA(VLOOKUP(E80,'HIDDEN calc sheet'!A:C,3,FALSE)=TRUE,FALSE)),MD!$A$3,TRUE,MD!$A$2)</f>
        <v>Possibly mandatory, depending on your system</v>
      </c>
      <c r="E80" t="str">
        <f>IF('HIDDEN import'!F79=0,"",'HIDDEN import'!F79)</f>
        <v>NOT Product subtype Mode 1/2-only Charging Station</v>
      </c>
      <c r="F80" t="str">
        <f>IF('HIDDEN import'!G79=0,"",'HIDDEN import'!G79)</f>
        <v>Not applicable for product subtype Mode 1/2-only Charging Station.</v>
      </c>
      <c r="G80" s="144" t="str">
        <f>IFERROR(VLOOKUP($A80,'HIDDEN Testrun Results'!$A:$B,2,FALSE),"")</f>
        <v/>
      </c>
      <c r="H80" s="10" t="b">
        <f t="shared" si="3"/>
        <v>0</v>
      </c>
      <c r="I80" s="10" t="b">
        <f>IF(VLOOKUP(A80&amp;" "&amp;B80,'HIDDEN import'!A:G,5,FALSE)="M",TRUE,IFERROR(VLOOKUP(E80,'Optional features'!B:D,3,FALSE)="Yes",IFERROR(VLOOKUP(E80,'HIDDEN calc sheet'!A:B,2,FALSE),IFERROR(VLOOKUP(E80,'Additional questions'!B:D,3,FALSE)="Yes",VLOOKUP(E80,'Hardware Feature set'!B:D,3,FALSE)="No"))))</f>
        <v>1</v>
      </c>
      <c r="J80" s="10" t="b">
        <f t="shared" si="4"/>
        <v>0</v>
      </c>
      <c r="K80" s="10" t="b">
        <f>IFERROR(VLOOKUP(B80,'Profile selection'!B:C,2,FALSE)="Yes",FALSE)</f>
        <v>0</v>
      </c>
      <c r="L80" s="50"/>
      <c r="M80" s="50"/>
    </row>
    <row r="81" spans="1:13" x14ac:dyDescent="0.25">
      <c r="A81" t="str">
        <f>'HIDDEN import'!B80</f>
        <v>TC_072_CS</v>
      </c>
      <c r="B81" t="str">
        <f>'HIDDEN import'!C80</f>
        <v>Smart Charging</v>
      </c>
      <c r="C81" t="str">
        <f>'HIDDEN import'!D80</f>
        <v>Stacking Charging Profiles</v>
      </c>
      <c r="D81" t="str" cm="1">
        <f t="array" ref="D81">_xlfn.IFS(VLOOKUP(A81&amp;" "&amp;B81,'HIDDEN import'!A:G,5,FALSE)="M",MD!$A$1,VLOOKUP(A81&amp;" "&amp;B81,'HIDDEN import'!A:G,5,FALSE)="O",MD!$A$4,AND(VLOOKUP(A81,'HIDDEN import'!B:E,4,FALSE)="C",NOT(ISERROR(VLOOKUP(E81,'Optional features'!B:D,1,FALSE)=E81))),MD!$A$3,AND(VLOOKUP(A81,'HIDDEN import'!B:E,4,FALSE)="C",_xlfn.IFNA(VLOOKUP(E81,'HIDDEN calc sheet'!A:C,3,FALSE)=TRUE,FALSE)),MD!$A$3,TRUE,MD!$A$2)</f>
        <v>Possibly mandatory, depending on your system</v>
      </c>
      <c r="E81" t="str">
        <f>IF('HIDDEN import'!F80=0,"",'HIDDEN import'!F80)</f>
        <v>NOT Product subtype Mode 1/2-only Charging Station</v>
      </c>
      <c r="F81" t="str">
        <f>IF('HIDDEN import'!G80=0,"",'HIDDEN import'!G80)</f>
        <v>Prerequisite: support for 2 stack levels is required.
Not applicable for product subtype Mode 1/2-only Charging Station.</v>
      </c>
      <c r="G81" s="144" t="str">
        <f>IFERROR(VLOOKUP($A81,'HIDDEN Testrun Results'!$A:$B,2,FALSE),"")</f>
        <v/>
      </c>
      <c r="H81" s="10" t="b">
        <f t="shared" si="3"/>
        <v>0</v>
      </c>
      <c r="I81" s="10" t="b">
        <f>IF(VLOOKUP(A81&amp;" "&amp;B81,'HIDDEN import'!A:G,5,FALSE)="M",TRUE,IFERROR(VLOOKUP(E81,'Optional features'!B:D,3,FALSE)="Yes",IFERROR(VLOOKUP(E81,'HIDDEN calc sheet'!A:B,2,FALSE),IFERROR(VLOOKUP(E81,'Additional questions'!B:D,3,FALSE)="Yes",VLOOKUP(E81,'Hardware Feature set'!B:D,3,FALSE)="No"))))</f>
        <v>1</v>
      </c>
      <c r="J81" s="10" t="b">
        <f t="shared" si="4"/>
        <v>0</v>
      </c>
      <c r="K81" s="10" t="b">
        <f>IFERROR(VLOOKUP(B81,'Profile selection'!B:C,2,FALSE)="Yes",FALSE)</f>
        <v>0</v>
      </c>
      <c r="L81" s="50"/>
      <c r="M81" s="50"/>
    </row>
    <row r="82" spans="1:13" x14ac:dyDescent="0.25">
      <c r="A82" t="str">
        <f>'HIDDEN import'!B81</f>
        <v>TC_059_CS</v>
      </c>
      <c r="B82" t="str">
        <f>'HIDDEN import'!C81</f>
        <v>Smart Charging</v>
      </c>
      <c r="C82" t="str">
        <f>'HIDDEN import'!D81</f>
        <v>Remote Start Transaction with Charging Profile</v>
      </c>
      <c r="D82" t="str" cm="1">
        <f t="array" ref="D82">_xlfn.IFS(VLOOKUP(A82&amp;" "&amp;B82,'HIDDEN import'!A:G,5,FALSE)="M",MD!$A$1,VLOOKUP(A82&amp;" "&amp;B82,'HIDDEN import'!A:G,5,FALSE)="O",MD!$A$4,AND(VLOOKUP(A82,'HIDDEN import'!B:E,4,FALSE)="C",NOT(ISERROR(VLOOKUP(E82,'Optional features'!B:D,1,FALSE)=E82))),MD!$A$3,AND(VLOOKUP(A82,'HIDDEN import'!B:E,4,FALSE)="C",_xlfn.IFNA(VLOOKUP(E82,'HIDDEN calc sheet'!A:C,3,FALSE)=TRUE,FALSE)),MD!$A$3,TRUE,MD!$A$2)</f>
        <v>Possibly mandatory, depending on your system</v>
      </c>
      <c r="E82" t="str">
        <f>IF('HIDDEN import'!F81=0,"",'HIDDEN import'!F81)</f>
        <v>NOT Product subtype Mode 1/2-only Charging Station</v>
      </c>
      <c r="F82" t="str">
        <f>IF('HIDDEN import'!G81=0,"",'HIDDEN import'!G81)</f>
        <v>Not applicable for product subtype Mode 1/2-only Charging Station.</v>
      </c>
      <c r="G82" s="144" t="str">
        <f>IFERROR(VLOOKUP($A82,'HIDDEN Testrun Results'!$A:$B,2,FALSE),"")</f>
        <v/>
      </c>
      <c r="H82" s="10" t="b">
        <f t="shared" si="3"/>
        <v>0</v>
      </c>
      <c r="I82" s="10" t="b">
        <f>IF(VLOOKUP(A82&amp;" "&amp;B82,'HIDDEN import'!A:G,5,FALSE)="M",TRUE,IFERROR(VLOOKUP(E82,'Optional features'!B:D,3,FALSE)="Yes",IFERROR(VLOOKUP(E82,'HIDDEN calc sheet'!A:B,2,FALSE),IFERROR(VLOOKUP(E82,'Additional questions'!B:D,3,FALSE)="Yes",VLOOKUP(E82,'Hardware Feature set'!B:D,3,FALSE)="No"))))</f>
        <v>1</v>
      </c>
      <c r="J82" s="10" t="b">
        <f t="shared" si="4"/>
        <v>0</v>
      </c>
      <c r="K82" s="10" t="b">
        <f>IFERROR(VLOOKUP(B82,'Profile selection'!B:C,2,FALSE)="Yes",FALSE)</f>
        <v>0</v>
      </c>
      <c r="L82" s="50"/>
      <c r="M82" s="50"/>
    </row>
    <row r="83" spans="1:13" x14ac:dyDescent="0.25">
      <c r="A83" t="str">
        <f>'HIDDEN import'!B82</f>
        <v>TC_062_CS</v>
      </c>
      <c r="B83" t="str">
        <f>'HIDDEN import'!C82</f>
        <v>Core</v>
      </c>
      <c r="C83" t="str">
        <f>'HIDDEN import'!D82</f>
        <v>Data Transfer to a Charge Point</v>
      </c>
      <c r="D83" t="str" cm="1">
        <f t="array" ref="D83">_xlfn.IFS(VLOOKUP(A83&amp;" "&amp;B83,'HIDDEN import'!A:G,5,FALSE)="M",MD!$A$1,VLOOKUP(A83&amp;" "&amp;B83,'HIDDEN import'!A:G,5,FALSE)="O",MD!$A$4,AND(VLOOKUP(A83,'HIDDEN import'!B:E,4,FALSE)="C",NOT(ISERROR(VLOOKUP(E83,'Optional features'!B:D,1,FALSE)=E83))),MD!$A$3,AND(VLOOKUP(A83,'HIDDEN import'!B:E,4,FALSE)="C",_xlfn.IFNA(VLOOKUP(E83,'HIDDEN calc sheet'!A:C,3,FALSE)=TRUE,FALSE)),MD!$A$3,TRUE,MD!$A$2)</f>
        <v>Mandatory test for a mandatory feature</v>
      </c>
      <c r="E83" t="str">
        <f>IF('HIDDEN import'!F82=0,"",'HIDDEN import'!F82)</f>
        <v/>
      </c>
      <c r="F83" t="str">
        <f>IF('HIDDEN import'!G82=0,"",'HIDDEN import'!G82)</f>
        <v/>
      </c>
      <c r="G83" s="144" t="str">
        <f>IFERROR(VLOOKUP($A83,'HIDDEN Testrun Results'!$A:$B,2,FALSE),"")</f>
        <v/>
      </c>
      <c r="H83" s="10" t="b">
        <f t="shared" ref="H83:H99" si="5">IF(J83,"Up to vendor",(IF(NOT(K83),FALSE,IF(NOT(ISLOGICAL(I83)),I83,AND(I83,K83)))))</f>
        <v>1</v>
      </c>
      <c r="I83" s="10" t="b">
        <f>IF(VLOOKUP(A83&amp;" "&amp;B83,'HIDDEN import'!A:G,5,FALSE)="M",TRUE,IFERROR(VLOOKUP(E83,'Optional features'!B:D,3,FALSE)="Yes",IFERROR(VLOOKUP(E83,'HIDDEN calc sheet'!A:B,2,FALSE),IFERROR(VLOOKUP(E83,'Additional questions'!B:D,3,FALSE)="Yes",VLOOKUP(E83,'Hardware Feature set'!B:D,3,FALSE)="No"))))</f>
        <v>1</v>
      </c>
      <c r="J83" s="10" t="b">
        <f t="shared" ref="J83:J99" si="6">IF(D83="Optional test case",TRUE,FALSE)</f>
        <v>0</v>
      </c>
      <c r="K83" s="10" t="b">
        <f>IFERROR(VLOOKUP(B83,'Profile selection'!B:C,2,FALSE)="Yes",FALSE)</f>
        <v>1</v>
      </c>
      <c r="L83" s="50"/>
      <c r="M83" s="50"/>
    </row>
    <row r="84" spans="1:13" x14ac:dyDescent="0.25">
      <c r="A84" t="str">
        <f>'HIDDEN import'!B83</f>
        <v>TC_060_CS</v>
      </c>
      <c r="B84" t="str">
        <f>'HIDDEN import'!C83</f>
        <v>Smart Charging</v>
      </c>
      <c r="C84" t="str">
        <f>'HIDDEN import'!D83</f>
        <v>Remote Start Transaction with Charging Profile - Rejected</v>
      </c>
      <c r="D84" t="str" cm="1">
        <f t="array" ref="D84">_xlfn.IFS(VLOOKUP(A84&amp;" "&amp;B84,'HIDDEN import'!A:G,5,FALSE)="M",MD!$A$1,VLOOKUP(A84&amp;" "&amp;B84,'HIDDEN import'!A:G,5,FALSE)="O",MD!$A$4,AND(VLOOKUP(A84,'HIDDEN import'!B:E,4,FALSE)="C",NOT(ISERROR(VLOOKUP(E84,'Optional features'!B:D,1,FALSE)=E84))),MD!$A$3,AND(VLOOKUP(A84,'HIDDEN import'!B:E,4,FALSE)="C",_xlfn.IFNA(VLOOKUP(E84,'HIDDEN calc sheet'!A:C,3,FALSE)=TRUE,FALSE)),MD!$A$3,TRUE,MD!$A$2)</f>
        <v>Mandatory test for a mandatory feature</v>
      </c>
      <c r="E84" t="str">
        <f>IF('HIDDEN import'!F83=0,"",'HIDDEN import'!F83)</f>
        <v/>
      </c>
      <c r="F84" t="str">
        <f>IF('HIDDEN import'!G83=0,"",'HIDDEN import'!G83)</f>
        <v>Not applicable for product subtype Mode 1/2-only Charging Station.</v>
      </c>
      <c r="G84" s="144" t="str">
        <f>IFERROR(VLOOKUP($A84,'HIDDEN Testrun Results'!$A:$B,2,FALSE),"")</f>
        <v/>
      </c>
      <c r="H84" s="10" t="b">
        <f t="shared" si="5"/>
        <v>0</v>
      </c>
      <c r="I84" s="10" t="b">
        <f>IF(VLOOKUP(A84&amp;" "&amp;B84,'HIDDEN import'!A:G,5,FALSE)="M",TRUE,IFERROR(VLOOKUP(E84,'Optional features'!B:D,3,FALSE)="Yes",IFERROR(VLOOKUP(E84,'HIDDEN calc sheet'!A:B,2,FALSE),IFERROR(VLOOKUP(E84,'Additional questions'!B:D,3,FALSE)="Yes",VLOOKUP(E84,'Hardware Feature set'!B:D,3,FALSE)="No"))))</f>
        <v>1</v>
      </c>
      <c r="J84" s="10" t="b">
        <f t="shared" si="6"/>
        <v>0</v>
      </c>
      <c r="K84" s="10" t="b">
        <f>IFERROR(VLOOKUP(B84,'Profile selection'!B:C,2,FALSE)="Yes",FALSE)</f>
        <v>0</v>
      </c>
      <c r="L84" s="50"/>
      <c r="M84" s="50"/>
    </row>
    <row r="85" spans="1:13" x14ac:dyDescent="0.25">
      <c r="A85" t="str">
        <f>'HIDDEN import'!B84</f>
        <v>TC_073_CS</v>
      </c>
      <c r="B85" t="str">
        <f>'HIDDEN import'!C84</f>
        <v>Security extension</v>
      </c>
      <c r="C85" t="str">
        <f>'HIDDEN import'!D84</f>
        <v>Update Charge Point Password for HTTP Basic Authentication</v>
      </c>
      <c r="D85" t="str" cm="1">
        <f t="array" ref="D85">_xlfn.IFS(VLOOKUP(A85&amp;" "&amp;B85,'HIDDEN import'!A:G,5,FALSE)="M",MD!$A$1,VLOOKUP(A85&amp;" "&amp;B85,'HIDDEN import'!A:G,5,FALSE)="O",MD!$A$4,AND(VLOOKUP(A85,'HIDDEN import'!B:E,4,FALSE)="C",NOT(ISERROR(VLOOKUP(E85,'Optional features'!B:D,1,FALSE)=E85))),MD!$A$3,AND(VLOOKUP(A85,'HIDDEN import'!B:E,4,FALSE)="C",_xlfn.IFNA(VLOOKUP(E85,'HIDDEN calc sheet'!A:C,3,FALSE)=TRUE,FALSE)),MD!$A$3,TRUE,MD!$A$2)</f>
        <v>Mandatory test for a mandatory feature</v>
      </c>
      <c r="E85" t="str">
        <f>IF('HIDDEN import'!F84=0,"",'HIDDEN import'!F84)</f>
        <v/>
      </c>
      <c r="F85" t="str">
        <f>IF('HIDDEN import'!G84=0,"",'HIDDEN import'!G84)</f>
        <v/>
      </c>
      <c r="G85" s="144" t="str">
        <f>IFERROR(VLOOKUP($A85,'HIDDEN Testrun Results'!$A:$B,2,FALSE),"")</f>
        <v/>
      </c>
      <c r="H85" s="10" t="b">
        <f t="shared" si="5"/>
        <v>0</v>
      </c>
      <c r="I85" s="10" t="b">
        <f>IF(VLOOKUP(A85&amp;" "&amp;B85,'HIDDEN import'!A:G,5,FALSE)="M",TRUE,IFERROR(VLOOKUP(E85,'Optional features'!B:D,3,FALSE)="Yes",IFERROR(VLOOKUP(E85,'HIDDEN calc sheet'!A:B,2,FALSE),IFERROR(VLOOKUP(E85,'Additional questions'!B:D,3,FALSE)="Yes",VLOOKUP(E85,'Hardware Feature set'!B:D,3,FALSE)="No"))))</f>
        <v>1</v>
      </c>
      <c r="J85" s="10" t="b">
        <f t="shared" si="6"/>
        <v>0</v>
      </c>
      <c r="K85" s="10" t="b">
        <f>IFERROR(VLOOKUP(B85,'Profile selection'!B:C,2,FALSE)="Yes",FALSE)</f>
        <v>0</v>
      </c>
      <c r="L85" s="50"/>
      <c r="M85" s="50"/>
    </row>
    <row r="86" spans="1:13" x14ac:dyDescent="0.25">
      <c r="A86" t="str">
        <f>'HIDDEN import'!B85</f>
        <v>TC_074_CS</v>
      </c>
      <c r="B86" t="str">
        <f>'HIDDEN import'!C85</f>
        <v>Security extension</v>
      </c>
      <c r="C86" t="str">
        <f>'HIDDEN import'!D85</f>
        <v>Update Charge Point Certificate by request of Central System</v>
      </c>
      <c r="D86" t="str" cm="1">
        <f t="array" ref="D86">_xlfn.IFS(VLOOKUP(A86&amp;" "&amp;B86,'HIDDEN import'!A:G,5,FALSE)="M",MD!$A$1,VLOOKUP(A86&amp;" "&amp;B86,'HIDDEN import'!A:G,5,FALSE)="O",MD!$A$4,AND(VLOOKUP(A86,'HIDDEN import'!B:E,4,FALSE)="C",NOT(ISERROR(VLOOKUP(E86,'Optional features'!B:D,1,FALSE)=E86))),MD!$A$3,AND(VLOOKUP(A86,'HIDDEN import'!B:E,4,FALSE)="C",_xlfn.IFNA(VLOOKUP(E86,'HIDDEN calc sheet'!A:C,3,FALSE)=TRUE,FALSE)),MD!$A$3,TRUE,MD!$A$2)</f>
        <v>Possibly mandatory, depending on your system</v>
      </c>
      <c r="E86" t="str">
        <f>IF('HIDDEN import'!F85=0,"",'HIDDEN import'!F85)</f>
        <v>Only applicable if the DUT supports security profile 3.</v>
      </c>
      <c r="F86" t="str">
        <f>IF('HIDDEN import'!G85=0,"",'HIDDEN import'!G85)</f>
        <v/>
      </c>
      <c r="G86" s="144" t="str">
        <f>IFERROR(VLOOKUP($A86,'HIDDEN Testrun Results'!$A:$B,2,FALSE),"")</f>
        <v/>
      </c>
      <c r="H86" s="10" t="b">
        <f t="shared" si="5"/>
        <v>0</v>
      </c>
      <c r="I86" s="10" t="b">
        <f>IF(VLOOKUP(A86&amp;" "&amp;B86,'HIDDEN import'!A:G,5,FALSE)="M",TRUE,IFERROR(VLOOKUP(E86,'Optional features'!B:D,3,FALSE)="Yes",IFERROR(VLOOKUP(E86,'HIDDEN calc sheet'!A:B,2,FALSE),IFERROR(VLOOKUP(E86,'Additional questions'!B:D,3,FALSE)="Yes",VLOOKUP(E86,'Hardware Feature set'!B:D,3,FALSE)="No"))))</f>
        <v>0</v>
      </c>
      <c r="J86" s="10" t="b">
        <f t="shared" si="6"/>
        <v>0</v>
      </c>
      <c r="K86" s="10" t="b">
        <f>IFERROR(VLOOKUP(B86,'Profile selection'!B:C,2,FALSE)="Yes",FALSE)</f>
        <v>0</v>
      </c>
      <c r="L86" s="50"/>
      <c r="M86" s="50"/>
    </row>
    <row r="87" spans="1:13" x14ac:dyDescent="0.25">
      <c r="A87" t="str">
        <f>'HIDDEN import'!B86</f>
        <v>TC_075_1_CS</v>
      </c>
      <c r="B87" t="str">
        <f>'HIDDEN import'!C86</f>
        <v>Security extension</v>
      </c>
      <c r="C87" t="str">
        <f>'HIDDEN import'!D86</f>
        <v>Install a certificate on the Charge Point - ManufacturerRootCertificate</v>
      </c>
      <c r="D87" t="str" cm="1">
        <f t="array" ref="D87">_xlfn.IFS(VLOOKUP(A87&amp;" "&amp;B87,'HIDDEN import'!A:G,5,FALSE)="M",MD!$A$1,VLOOKUP(A87&amp;" "&amp;B87,'HIDDEN import'!A:G,5,FALSE)="O",MD!$A$4,AND(VLOOKUP(A87,'HIDDEN import'!B:E,4,FALSE)="C",NOT(ISERROR(VLOOKUP(E87,'Optional features'!B:D,1,FALSE)=E87))),MD!$A$3,AND(VLOOKUP(A87,'HIDDEN import'!B:E,4,FALSE)="C",_xlfn.IFNA(VLOOKUP(E87,'HIDDEN calc sheet'!A:C,3,FALSE)=TRUE,FALSE)),MD!$A$3,TRUE,MD!$A$2)</f>
        <v>Mandatory test for a mandatory feature</v>
      </c>
      <c r="E87" t="str">
        <f>IF('HIDDEN import'!F86=0,"",'HIDDEN import'!F86)</f>
        <v/>
      </c>
      <c r="F87" t="str">
        <f>IF('HIDDEN import'!G86=0,"",'HIDDEN import'!G86)</f>
        <v/>
      </c>
      <c r="G87" s="144" t="str">
        <f>IFERROR(VLOOKUP($A87,'HIDDEN Testrun Results'!$A:$B,2,FALSE),"")</f>
        <v/>
      </c>
      <c r="H87" s="10" t="b">
        <f t="shared" si="5"/>
        <v>0</v>
      </c>
      <c r="I87" s="10" t="b">
        <f>IF(VLOOKUP(A87&amp;" "&amp;B87,'HIDDEN import'!A:G,5,FALSE)="M",TRUE,IFERROR(VLOOKUP(E87,'Optional features'!B:D,3,FALSE)="Yes",IFERROR(VLOOKUP(E87,'HIDDEN calc sheet'!A:B,2,FALSE),IFERROR(VLOOKUP(E87,'Additional questions'!B:D,3,FALSE)="Yes",VLOOKUP(E87,'Hardware Feature set'!B:D,3,FALSE)="No"))))</f>
        <v>1</v>
      </c>
      <c r="J87" s="10" t="b">
        <f t="shared" si="6"/>
        <v>0</v>
      </c>
      <c r="K87" s="10" t="b">
        <f>IFERROR(VLOOKUP(B87,'Profile selection'!B:C,2,FALSE)="Yes",FALSE)</f>
        <v>0</v>
      </c>
      <c r="L87" s="50"/>
      <c r="M87" s="50"/>
    </row>
    <row r="88" spans="1:13" x14ac:dyDescent="0.25">
      <c r="A88" t="str">
        <f>'HIDDEN import'!B87</f>
        <v>TC_075_2_CS</v>
      </c>
      <c r="B88" t="str">
        <f>'HIDDEN import'!C87</f>
        <v>Security extension</v>
      </c>
      <c r="C88" t="str">
        <f>'HIDDEN import'!D87</f>
        <v>Install a certificate on the Charge Point - CentralSystemRootCertificate</v>
      </c>
      <c r="D88" t="str" cm="1">
        <f t="array" ref="D88">_xlfn.IFS(VLOOKUP(A88&amp;" "&amp;B88,'HIDDEN import'!A:G,5,FALSE)="M",MD!$A$1,VLOOKUP(A88&amp;" "&amp;B88,'HIDDEN import'!A:G,5,FALSE)="O",MD!$A$4,AND(VLOOKUP(A88,'HIDDEN import'!B:E,4,FALSE)="C",NOT(ISERROR(VLOOKUP(E88,'Optional features'!B:D,1,FALSE)=E88))),MD!$A$3,AND(VLOOKUP(A88,'HIDDEN import'!B:E,4,FALSE)="C",_xlfn.IFNA(VLOOKUP(E88,'HIDDEN calc sheet'!A:C,3,FALSE)=TRUE,FALSE)),MD!$A$3,TRUE,MD!$A$2)</f>
        <v>Mandatory test for a mandatory feature</v>
      </c>
      <c r="E88" t="str">
        <f>IF('HIDDEN import'!F87=0,"",'HIDDEN import'!F87)</f>
        <v/>
      </c>
      <c r="F88" t="str">
        <f>IF('HIDDEN import'!G87=0,"",'HIDDEN import'!G87)</f>
        <v/>
      </c>
      <c r="G88" s="144" t="str">
        <f>IFERROR(VLOOKUP($A88,'HIDDEN Testrun Results'!$A:$B,2,FALSE),"")</f>
        <v/>
      </c>
      <c r="H88" s="10" t="b">
        <f t="shared" si="5"/>
        <v>0</v>
      </c>
      <c r="I88" s="10" t="b">
        <f>IF(VLOOKUP(A88&amp;" "&amp;B88,'HIDDEN import'!A:G,5,FALSE)="M",TRUE,IFERROR(VLOOKUP(E88,'Optional features'!B:D,3,FALSE)="Yes",IFERROR(VLOOKUP(E88,'HIDDEN calc sheet'!A:B,2,FALSE),IFERROR(VLOOKUP(E88,'Additional questions'!B:D,3,FALSE)="Yes",VLOOKUP(E88,'Hardware Feature set'!B:D,3,FALSE)="No"))))</f>
        <v>1</v>
      </c>
      <c r="J88" s="10" t="b">
        <f t="shared" si="6"/>
        <v>0</v>
      </c>
      <c r="K88" s="10" t="b">
        <f>IFERROR(VLOOKUP(B88,'Profile selection'!B:C,2,FALSE)="Yes",FALSE)</f>
        <v>0</v>
      </c>
      <c r="L88" s="50"/>
      <c r="M88" s="50"/>
    </row>
    <row r="89" spans="1:13" x14ac:dyDescent="0.25">
      <c r="A89" t="str">
        <f>'HIDDEN import'!B88</f>
        <v>TC_076_CS</v>
      </c>
      <c r="B89" t="str">
        <f>'HIDDEN import'!C88</f>
        <v>Security extension</v>
      </c>
      <c r="C89" t="str">
        <f>'HIDDEN import'!D88</f>
        <v>Delete a specific certificate from the Charge Point</v>
      </c>
      <c r="D89" t="str" cm="1">
        <f t="array" ref="D89">_xlfn.IFS(VLOOKUP(A89&amp;" "&amp;B89,'HIDDEN import'!A:G,5,FALSE)="M",MD!$A$1,VLOOKUP(A89&amp;" "&amp;B89,'HIDDEN import'!A:G,5,FALSE)="O",MD!$A$4,AND(VLOOKUP(A89,'HIDDEN import'!B:E,4,FALSE)="C",NOT(ISERROR(VLOOKUP(E89,'Optional features'!B:D,1,FALSE)=E89))),MD!$A$3,AND(VLOOKUP(A89,'HIDDEN import'!B:E,4,FALSE)="C",_xlfn.IFNA(VLOOKUP(E89,'HIDDEN calc sheet'!A:C,3,FALSE)=TRUE,FALSE)),MD!$A$3,TRUE,MD!$A$2)</f>
        <v>Mandatory test for a mandatory feature</v>
      </c>
      <c r="E89" t="str">
        <f>IF('HIDDEN import'!F88=0,"",'HIDDEN import'!F88)</f>
        <v/>
      </c>
      <c r="F89" t="str">
        <f>IF('HIDDEN import'!G88=0,"",'HIDDEN import'!G88)</f>
        <v/>
      </c>
      <c r="G89" s="144" t="str">
        <f>IFERROR(VLOOKUP($A89,'HIDDEN Testrun Results'!$A:$B,2,FALSE),"")</f>
        <v/>
      </c>
      <c r="H89" s="10" t="b">
        <f t="shared" si="5"/>
        <v>0</v>
      </c>
      <c r="I89" s="10" t="b">
        <f>IF(VLOOKUP(A89&amp;" "&amp;B89,'HIDDEN import'!A:G,5,FALSE)="M",TRUE,IFERROR(VLOOKUP(E89,'Optional features'!B:D,3,FALSE)="Yes",IFERROR(VLOOKUP(E89,'HIDDEN calc sheet'!A:B,2,FALSE),IFERROR(VLOOKUP(E89,'Additional questions'!B:D,3,FALSE)="Yes",VLOOKUP(E89,'Hardware Feature set'!B:D,3,FALSE)="No"))))</f>
        <v>1</v>
      </c>
      <c r="J89" s="10" t="b">
        <f t="shared" si="6"/>
        <v>0</v>
      </c>
      <c r="K89" s="10" t="b">
        <f>IFERROR(VLOOKUP(B89,'Profile selection'!B:C,2,FALSE)="Yes",FALSE)</f>
        <v>0</v>
      </c>
      <c r="L89" s="50"/>
      <c r="M89" s="50"/>
    </row>
    <row r="90" spans="1:13" x14ac:dyDescent="0.25">
      <c r="A90" t="str">
        <f>'HIDDEN import'!B89</f>
        <v>TC_077_CS</v>
      </c>
      <c r="B90" t="str">
        <f>'HIDDEN import'!C89</f>
        <v>Security extension</v>
      </c>
      <c r="C90" t="str">
        <f>'HIDDEN import'!D89</f>
        <v>Invalid ChargePointCertificate Security Event</v>
      </c>
      <c r="D90" t="str" cm="1">
        <f t="array" ref="D90">_xlfn.IFS(VLOOKUP(A90&amp;" "&amp;B90,'HIDDEN import'!A:G,5,FALSE)="M",MD!$A$1,VLOOKUP(A90&amp;" "&amp;B90,'HIDDEN import'!A:G,5,FALSE)="O",MD!$A$4,AND(VLOOKUP(A90,'HIDDEN import'!B:E,4,FALSE)="C",NOT(ISERROR(VLOOKUP(E90,'Optional features'!B:D,1,FALSE)=E90))),MD!$A$3,AND(VLOOKUP(A90,'HIDDEN import'!B:E,4,FALSE)="C",_xlfn.IFNA(VLOOKUP(E90,'HIDDEN calc sheet'!A:C,3,FALSE)=TRUE,FALSE)),MD!$A$3,TRUE,MD!$A$2)</f>
        <v>Possibly mandatory, depending on your system</v>
      </c>
      <c r="E90" t="str">
        <f>IF('HIDDEN import'!F89=0,"",'HIDDEN import'!F89)</f>
        <v>Only applicable if the DUT supports security profile 3.</v>
      </c>
      <c r="F90" t="str">
        <f>IF('HIDDEN import'!G89=0,"",'HIDDEN import'!G89)</f>
        <v/>
      </c>
      <c r="G90" s="144" t="str">
        <f>IFERROR(VLOOKUP($A90,'HIDDEN Testrun Results'!$A:$B,2,FALSE),"")</f>
        <v/>
      </c>
      <c r="H90" s="10" t="b">
        <f t="shared" si="5"/>
        <v>0</v>
      </c>
      <c r="I90" s="10" t="b">
        <f>IF(VLOOKUP(A90&amp;" "&amp;B90,'HIDDEN import'!A:G,5,FALSE)="M",TRUE,IFERROR(VLOOKUP(E90,'Optional features'!B:D,3,FALSE)="Yes",IFERROR(VLOOKUP(E90,'HIDDEN calc sheet'!A:B,2,FALSE),IFERROR(VLOOKUP(E90,'Additional questions'!B:D,3,FALSE)="Yes",VLOOKUP(E90,'Hardware Feature set'!B:D,3,FALSE)="No"))))</f>
        <v>0</v>
      </c>
      <c r="J90" s="10" t="b">
        <f t="shared" si="6"/>
        <v>0</v>
      </c>
      <c r="K90" s="10" t="b">
        <f>IFERROR(VLOOKUP(B90,'Profile selection'!B:C,2,FALSE)="Yes",FALSE)</f>
        <v>0</v>
      </c>
      <c r="L90" s="50"/>
      <c r="M90" s="50"/>
    </row>
    <row r="91" spans="1:13" x14ac:dyDescent="0.25">
      <c r="A91" t="str">
        <f>'HIDDEN import'!B90</f>
        <v>TC_078_CS</v>
      </c>
      <c r="B91" t="str">
        <f>'HIDDEN import'!C90</f>
        <v>Security extension</v>
      </c>
      <c r="C91" t="str">
        <f>'HIDDEN import'!D90</f>
        <v>Invalid CentralSystemCertificate Security Event</v>
      </c>
      <c r="D91" t="str" cm="1">
        <f t="array" ref="D91">_xlfn.IFS(VLOOKUP(A91&amp;" "&amp;B91,'HIDDEN import'!A:G,5,FALSE)="M",MD!$A$1,VLOOKUP(A91&amp;" "&amp;B91,'HIDDEN import'!A:G,5,FALSE)="O",MD!$A$4,AND(VLOOKUP(A91,'HIDDEN import'!B:E,4,FALSE)="C",NOT(ISERROR(VLOOKUP(E91,'Optional features'!B:D,1,FALSE)=E91))),MD!$A$3,AND(VLOOKUP(A91,'HIDDEN import'!B:E,4,FALSE)="C",_xlfn.IFNA(VLOOKUP(E91,'HIDDEN calc sheet'!A:C,3,FALSE)=TRUE,FALSE)),MD!$A$3,TRUE,MD!$A$2)</f>
        <v>Mandatory test for a mandatory feature</v>
      </c>
      <c r="E91" t="str">
        <f>IF('HIDDEN import'!F90=0,"",'HIDDEN import'!F90)</f>
        <v/>
      </c>
      <c r="F91" t="str">
        <f>IF('HIDDEN import'!G90=0,"",'HIDDEN import'!G90)</f>
        <v/>
      </c>
      <c r="G91" s="144" t="str">
        <f>IFERROR(VLOOKUP($A91,'HIDDEN Testrun Results'!$A:$B,2,FALSE),"")</f>
        <v/>
      </c>
      <c r="H91" s="10" t="b">
        <f t="shared" si="5"/>
        <v>0</v>
      </c>
      <c r="I91" s="10" t="b">
        <f>IF(VLOOKUP(A91&amp;" "&amp;B91,'HIDDEN import'!A:G,5,FALSE)="M",TRUE,IFERROR(VLOOKUP(E91,'Optional features'!B:D,3,FALSE)="Yes",IFERROR(VLOOKUP(E91,'HIDDEN calc sheet'!A:B,2,FALSE),IFERROR(VLOOKUP(E91,'Additional questions'!B:D,3,FALSE)="Yes",VLOOKUP(E91,'Hardware Feature set'!B:D,3,FALSE)="No"))))</f>
        <v>1</v>
      </c>
      <c r="J91" s="10" t="b">
        <f t="shared" si="6"/>
        <v>0</v>
      </c>
      <c r="K91" s="10" t="b">
        <f>IFERROR(VLOOKUP(B91,'Profile selection'!B:C,2,FALSE)="Yes",FALSE)</f>
        <v>0</v>
      </c>
      <c r="L91" s="50"/>
      <c r="M91" s="50"/>
    </row>
    <row r="92" spans="1:13" x14ac:dyDescent="0.25">
      <c r="A92" t="str">
        <f>'HIDDEN import'!B91</f>
        <v>TC_079_CS</v>
      </c>
      <c r="B92" t="str">
        <f>'HIDDEN import'!C91</f>
        <v>Security extension</v>
      </c>
      <c r="C92" t="str">
        <f>'HIDDEN import'!D91</f>
        <v>Get Security Log</v>
      </c>
      <c r="D92" t="str" cm="1">
        <f t="array" ref="D92">_xlfn.IFS(VLOOKUP(A92&amp;" "&amp;B92,'HIDDEN import'!A:G,5,FALSE)="M",MD!$A$1,VLOOKUP(A92&amp;" "&amp;B92,'HIDDEN import'!A:G,5,FALSE)="O",MD!$A$4,AND(VLOOKUP(A92,'HIDDEN import'!B:E,4,FALSE)="C",NOT(ISERROR(VLOOKUP(E92,'Optional features'!B:D,1,FALSE)=E92))),MD!$A$3,AND(VLOOKUP(A92,'HIDDEN import'!B:E,4,FALSE)="C",_xlfn.IFNA(VLOOKUP(E92,'HIDDEN calc sheet'!A:C,3,FALSE)=TRUE,FALSE)),MD!$A$3,TRUE,MD!$A$2)</f>
        <v>Mandatory test for a mandatory feature</v>
      </c>
      <c r="E92" t="str">
        <f>IF('HIDDEN import'!F91=0,"",'HIDDEN import'!F91)</f>
        <v/>
      </c>
      <c r="F92" t="str">
        <f>IF('HIDDEN import'!G91=0,"",'HIDDEN import'!G91)</f>
        <v/>
      </c>
      <c r="G92" s="144" t="str">
        <f>IFERROR(VLOOKUP($A92,'HIDDEN Testrun Results'!$A:$B,2,FALSE),"")</f>
        <v/>
      </c>
      <c r="H92" s="10" t="b">
        <f t="shared" si="5"/>
        <v>0</v>
      </c>
      <c r="I92" s="10" t="b">
        <f>IF(VLOOKUP(A92&amp;" "&amp;B92,'HIDDEN import'!A:G,5,FALSE)="M",TRUE,IFERROR(VLOOKUP(E92,'Optional features'!B:D,3,FALSE)="Yes",IFERROR(VLOOKUP(E92,'HIDDEN calc sheet'!A:B,2,FALSE),IFERROR(VLOOKUP(E92,'Additional questions'!B:D,3,FALSE)="Yes",VLOOKUP(E92,'Hardware Feature set'!B:D,3,FALSE)="No"))))</f>
        <v>1</v>
      </c>
      <c r="J92" s="10" t="b">
        <f t="shared" si="6"/>
        <v>0</v>
      </c>
      <c r="K92" s="10" t="b">
        <f>IFERROR(VLOOKUP(B92,'Profile selection'!B:C,2,FALSE)="Yes",FALSE)</f>
        <v>0</v>
      </c>
      <c r="L92" s="50"/>
      <c r="M92" s="50"/>
    </row>
    <row r="93" spans="1:13" x14ac:dyDescent="0.25">
      <c r="A93" t="str">
        <f>'HIDDEN import'!B92</f>
        <v>TC_080_CS</v>
      </c>
      <c r="B93" t="str">
        <f>'HIDDEN import'!C92</f>
        <v>Security extension</v>
      </c>
      <c r="C93" t="str">
        <f>'HIDDEN import'!D92</f>
        <v>Secure Firmware Update</v>
      </c>
      <c r="D93" t="str" cm="1">
        <f t="array" ref="D93">_xlfn.IFS(VLOOKUP(A93&amp;" "&amp;B93,'HIDDEN import'!A:G,5,FALSE)="M",MD!$A$1,VLOOKUP(A93&amp;" "&amp;B93,'HIDDEN import'!A:G,5,FALSE)="O",MD!$A$4,AND(VLOOKUP(A93,'HIDDEN import'!B:E,4,FALSE)="C",NOT(ISERROR(VLOOKUP(E93,'Optional features'!B:D,1,FALSE)=E93))),MD!$A$3,AND(VLOOKUP(A93,'HIDDEN import'!B:E,4,FALSE)="C",_xlfn.IFNA(VLOOKUP(E93,'HIDDEN calc sheet'!A:C,3,FALSE)=TRUE,FALSE)),MD!$A$3,TRUE,MD!$A$2)</f>
        <v>Mandatory test for a mandatory feature</v>
      </c>
      <c r="E93" t="str">
        <f>IF('HIDDEN import'!F92=0,"",'HIDDEN import'!F92)</f>
        <v/>
      </c>
      <c r="F93" t="str">
        <f>IF('HIDDEN import'!G92=0,"",'HIDDEN import'!G92)</f>
        <v/>
      </c>
      <c r="G93" s="144" t="str">
        <f>IFERROR(VLOOKUP($A93,'HIDDEN Testrun Results'!$A:$B,2,FALSE),"")</f>
        <v/>
      </c>
      <c r="H93" s="10" t="b">
        <f t="shared" si="5"/>
        <v>0</v>
      </c>
      <c r="I93" s="10" t="b">
        <f>IF(VLOOKUP(A93&amp;" "&amp;B93,'HIDDEN import'!A:G,5,FALSE)="M",TRUE,IFERROR(VLOOKUP(E93,'Optional features'!B:D,3,FALSE)="Yes",IFERROR(VLOOKUP(E93,'HIDDEN calc sheet'!A:B,2,FALSE),IFERROR(VLOOKUP(E93,'Additional questions'!B:D,3,FALSE)="Yes",VLOOKUP(E93,'Hardware Feature set'!B:D,3,FALSE)="No"))))</f>
        <v>1</v>
      </c>
      <c r="J93" s="10" t="b">
        <f t="shared" si="6"/>
        <v>0</v>
      </c>
      <c r="K93" s="10" t="b">
        <f>IFERROR(VLOOKUP(B93,'Profile selection'!B:C,2,FALSE)="Yes",FALSE)</f>
        <v>0</v>
      </c>
      <c r="L93" s="50"/>
      <c r="M93" s="50"/>
    </row>
    <row r="94" spans="1:13" x14ac:dyDescent="0.25">
      <c r="A94" t="str">
        <f>'HIDDEN import'!B93</f>
        <v>TC_081_CS</v>
      </c>
      <c r="B94" t="str">
        <f>'HIDDEN import'!C93</f>
        <v>Security extension</v>
      </c>
      <c r="C94" t="str">
        <f>'HIDDEN import'!D93</f>
        <v>Secure Firmware Update - Invalid Signature</v>
      </c>
      <c r="D94" t="str" cm="1">
        <f t="array" ref="D94">_xlfn.IFS(VLOOKUP(A94&amp;" "&amp;B94,'HIDDEN import'!A:G,5,FALSE)="M",MD!$A$1,VLOOKUP(A94&amp;" "&amp;B94,'HIDDEN import'!A:G,5,FALSE)="O",MD!$A$4,AND(VLOOKUP(A94,'HIDDEN import'!B:E,4,FALSE)="C",NOT(ISERROR(VLOOKUP(E94,'Optional features'!B:D,1,FALSE)=E94))),MD!$A$3,AND(VLOOKUP(A94,'HIDDEN import'!B:E,4,FALSE)="C",_xlfn.IFNA(VLOOKUP(E94,'HIDDEN calc sheet'!A:C,3,FALSE)=TRUE,FALSE)),MD!$A$3,TRUE,MD!$A$2)</f>
        <v>Mandatory test for a mandatory feature</v>
      </c>
      <c r="E94" t="str">
        <f>IF('HIDDEN import'!F93=0,"",'HIDDEN import'!F93)</f>
        <v/>
      </c>
      <c r="F94" t="str">
        <f>IF('HIDDEN import'!G93=0,"",'HIDDEN import'!G93)</f>
        <v/>
      </c>
      <c r="G94" s="144" t="str">
        <f>IFERROR(VLOOKUP($A94,'HIDDEN Testrun Results'!$A:$B,2,FALSE),"")</f>
        <v/>
      </c>
      <c r="H94" s="10" t="b">
        <f t="shared" si="5"/>
        <v>0</v>
      </c>
      <c r="I94" s="10" t="b">
        <f>IF(VLOOKUP(A94&amp;" "&amp;B94,'HIDDEN import'!A:G,5,FALSE)="M",TRUE,IFERROR(VLOOKUP(E94,'Optional features'!B:D,3,FALSE)="Yes",IFERROR(VLOOKUP(E94,'HIDDEN calc sheet'!A:B,2,FALSE),IFERROR(VLOOKUP(E94,'Additional questions'!B:D,3,FALSE)="Yes",VLOOKUP(E94,'Hardware Feature set'!B:D,3,FALSE)="No"))))</f>
        <v>1</v>
      </c>
      <c r="J94" s="10" t="b">
        <f t="shared" si="6"/>
        <v>0</v>
      </c>
      <c r="K94" s="10" t="b">
        <f>IFERROR(VLOOKUP(B94,'Profile selection'!B:C,2,FALSE)="Yes",FALSE)</f>
        <v>0</v>
      </c>
      <c r="L94" s="50"/>
      <c r="M94" s="50"/>
    </row>
    <row r="95" spans="1:13" x14ac:dyDescent="0.25">
      <c r="A95" t="str">
        <f>'HIDDEN import'!B94</f>
        <v>TC_083_CS</v>
      </c>
      <c r="B95" t="str">
        <f>'HIDDEN import'!C94</f>
        <v>Security extension</v>
      </c>
      <c r="C95" t="str">
        <f>'HIDDEN import'!D94</f>
        <v>Upgrade security profile</v>
      </c>
      <c r="D95" t="str" cm="1">
        <f t="array" ref="D95">_xlfn.IFS(VLOOKUP(A95&amp;" "&amp;B95,'HIDDEN import'!A:G,5,FALSE)="M",MD!$A$1,VLOOKUP(A95&amp;" "&amp;B95,'HIDDEN import'!A:G,5,FALSE)="O",MD!$A$4,AND(VLOOKUP(A95,'HIDDEN import'!B:E,4,FALSE)="C",NOT(ISERROR(VLOOKUP(E95,'Optional features'!B:D,1,FALSE)=E95))),MD!$A$3,AND(VLOOKUP(A95,'HIDDEN import'!B:E,4,FALSE)="C",_xlfn.IFNA(VLOOKUP(E95,'HIDDEN calc sheet'!A:C,3,FALSE)=TRUE,FALSE)),MD!$A$3,TRUE,MD!$A$2)</f>
        <v>Possibly mandatory, depending on your system</v>
      </c>
      <c r="E95" t="str">
        <f>IF('HIDDEN import'!F94=0,"",'HIDDEN import'!F94)</f>
        <v>Only applicable if the DUT supports multiple security profiles</v>
      </c>
      <c r="F95" t="str">
        <f>IF('HIDDEN import'!G94=0,"",'HIDDEN import'!G94)</f>
        <v/>
      </c>
      <c r="G95" s="144" t="str">
        <f>IFERROR(VLOOKUP($A95,'HIDDEN Testrun Results'!$A:$B,2,FALSE),"")</f>
        <v/>
      </c>
      <c r="H95" s="10" t="b">
        <f t="shared" si="5"/>
        <v>0</v>
      </c>
      <c r="I95" s="10" t="b">
        <f>IF(VLOOKUP(A95&amp;" "&amp;B95,'HIDDEN import'!A:G,5,FALSE)="M",TRUE,IFERROR(VLOOKUP(E95,'Optional features'!B:D,3,FALSE)="Yes",IFERROR(VLOOKUP(E95,'HIDDEN calc sheet'!A:B,2,FALSE),IFERROR(VLOOKUP(E95,'Additional questions'!B:D,3,FALSE)="Yes",VLOOKUP(E95,'Hardware Feature set'!B:D,3,FALSE)="No"))))</f>
        <v>0</v>
      </c>
      <c r="J95" s="10" t="b">
        <f t="shared" si="6"/>
        <v>0</v>
      </c>
      <c r="K95" s="10" t="b">
        <f>IFERROR(VLOOKUP(B95,'Profile selection'!B:C,2,FALSE)="Yes",FALSE)</f>
        <v>0</v>
      </c>
      <c r="L95" s="50"/>
      <c r="M95" s="50"/>
    </row>
    <row r="96" spans="1:13" x14ac:dyDescent="0.25">
      <c r="A96" t="str">
        <f>'HIDDEN import'!B95</f>
        <v>TC_084_CS</v>
      </c>
      <c r="B96" t="str">
        <f>'HIDDEN import'!C95</f>
        <v>Security extension</v>
      </c>
      <c r="C96" t="str">
        <f>'HIDDEN import'!D95</f>
        <v>Downgrade security profile - Rejected</v>
      </c>
      <c r="D96" t="str" cm="1">
        <f t="array" ref="D96">_xlfn.IFS(VLOOKUP(A96&amp;" "&amp;B96,'HIDDEN import'!A:G,5,FALSE)="M",MD!$A$1,VLOOKUP(A96&amp;" "&amp;B96,'HIDDEN import'!A:G,5,FALSE)="O",MD!$A$4,AND(VLOOKUP(A96,'HIDDEN import'!B:E,4,FALSE)="C",NOT(ISERROR(VLOOKUP(E96,'Optional features'!B:D,1,FALSE)=E96))),MD!$A$3,AND(VLOOKUP(A96,'HIDDEN import'!B:E,4,FALSE)="C",_xlfn.IFNA(VLOOKUP(E96,'HIDDEN calc sheet'!A:C,3,FALSE)=TRUE,FALSE)),MD!$A$3,TRUE,MD!$A$2)</f>
        <v>Possibly mandatory, depending on your system</v>
      </c>
      <c r="E96" t="str">
        <f>IF('HIDDEN import'!F95=0,"",'HIDDEN import'!F95)</f>
        <v>Only applicable if the DUT supports multiple security profiles</v>
      </c>
      <c r="F96" t="str">
        <f>IF('HIDDEN import'!G95=0,"",'HIDDEN import'!G95)</f>
        <v/>
      </c>
      <c r="G96" s="144" t="str">
        <f>IFERROR(VLOOKUP($A96,'HIDDEN Testrun Results'!$A:$B,2,FALSE),"")</f>
        <v/>
      </c>
      <c r="H96" s="10" t="b">
        <f t="shared" si="5"/>
        <v>0</v>
      </c>
      <c r="I96" s="10" t="b">
        <f>IF(VLOOKUP(A96&amp;" "&amp;B96,'HIDDEN import'!A:G,5,FALSE)="M",TRUE,IFERROR(VLOOKUP(E96,'Optional features'!B:D,3,FALSE)="Yes",IFERROR(VLOOKUP(E96,'HIDDEN calc sheet'!A:B,2,FALSE),IFERROR(VLOOKUP(E96,'Additional questions'!B:D,3,FALSE)="Yes",VLOOKUP(E96,'Hardware Feature set'!B:D,3,FALSE)="No"))))</f>
        <v>0</v>
      </c>
      <c r="J96" s="10" t="b">
        <f t="shared" si="6"/>
        <v>0</v>
      </c>
      <c r="K96" s="10" t="b">
        <f>IFERROR(VLOOKUP(B96,'Profile selection'!B:C,2,FALSE)="Yes",FALSE)</f>
        <v>0</v>
      </c>
      <c r="L96" s="50"/>
      <c r="M96" s="50"/>
    </row>
    <row r="97" spans="1:13" x14ac:dyDescent="0.25">
      <c r="A97" t="str">
        <f>'HIDDEN import'!B96</f>
        <v>TC_085_CS</v>
      </c>
      <c r="B97" t="str">
        <f>'HIDDEN import'!C96</f>
        <v>Security extension</v>
      </c>
      <c r="C97" t="str">
        <f>'HIDDEN import'!D96</f>
        <v>Basic Authentication - Valid username/password combination</v>
      </c>
      <c r="D97" t="str" cm="1">
        <f t="array" ref="D97">_xlfn.IFS(VLOOKUP(A97&amp;" "&amp;B97,'HIDDEN import'!A:G,5,FALSE)="M",MD!$A$1,VLOOKUP(A97&amp;" "&amp;B97,'HIDDEN import'!A:G,5,FALSE)="O",MD!$A$4,AND(VLOOKUP(A97,'HIDDEN import'!B:E,4,FALSE)="C",NOT(ISERROR(VLOOKUP(E97,'Optional features'!B:D,1,FALSE)=E97))),MD!$A$3,AND(VLOOKUP(A97,'HIDDEN import'!B:E,4,FALSE)="C",_xlfn.IFNA(VLOOKUP(E97,'HIDDEN calc sheet'!A:C,3,FALSE)=TRUE,FALSE)),MD!$A$3,TRUE,MD!$A$2)</f>
        <v>Mandatory test for a mandatory feature</v>
      </c>
      <c r="E97" t="str">
        <f>IF('HIDDEN import'!F96=0,"",'HIDDEN import'!F96)</f>
        <v/>
      </c>
      <c r="F97" t="str">
        <f>IF('HIDDEN import'!G96=0,"",'HIDDEN import'!G96)</f>
        <v/>
      </c>
      <c r="G97" s="144" t="str">
        <f>IFERROR(VLOOKUP($A97,'HIDDEN Testrun Results'!$A:$B,2,FALSE),"")</f>
        <v/>
      </c>
      <c r="H97" s="10" t="b">
        <f t="shared" si="5"/>
        <v>0</v>
      </c>
      <c r="I97" s="10" t="b">
        <f>IF(VLOOKUP(A97&amp;" "&amp;B97,'HIDDEN import'!A:G,5,FALSE)="M",TRUE,IFERROR(VLOOKUP(E97,'Optional features'!B:D,3,FALSE)="Yes",IFERROR(VLOOKUP(E97,'HIDDEN calc sheet'!A:B,2,FALSE),IFERROR(VLOOKUP(E97,'Additional questions'!B:D,3,FALSE)="Yes",VLOOKUP(E97,'Hardware Feature set'!B:D,3,FALSE)="No"))))</f>
        <v>1</v>
      </c>
      <c r="J97" s="10" t="b">
        <f t="shared" si="6"/>
        <v>0</v>
      </c>
      <c r="K97" s="10" t="b">
        <f>IFERROR(VLOOKUP(B97,'Profile selection'!B:C,2,FALSE)="Yes",FALSE)</f>
        <v>0</v>
      </c>
      <c r="L97" s="50"/>
      <c r="M97" s="50"/>
    </row>
    <row r="98" spans="1:13" x14ac:dyDescent="0.25">
      <c r="A98" t="str">
        <f>'HIDDEN import'!B97</f>
        <v>TC_086_CS</v>
      </c>
      <c r="B98" t="str">
        <f>'HIDDEN import'!C97</f>
        <v>Security extension</v>
      </c>
      <c r="C98" t="str">
        <f>'HIDDEN import'!D97</f>
        <v>TLS - server-side certificate - Valid certificate</v>
      </c>
      <c r="D98" t="str" cm="1">
        <f t="array" ref="D98">_xlfn.IFS(VLOOKUP(A98&amp;" "&amp;B98,'HIDDEN import'!A:G,5,FALSE)="M",MD!$A$1,VLOOKUP(A98&amp;" "&amp;B98,'HIDDEN import'!A:G,5,FALSE)="O",MD!$A$4,AND(VLOOKUP(A98,'HIDDEN import'!B:E,4,FALSE)="C",NOT(ISERROR(VLOOKUP(E98,'Optional features'!B:D,1,FALSE)=E98))),MD!$A$3,AND(VLOOKUP(A98,'HIDDEN import'!B:E,4,FALSE)="C",_xlfn.IFNA(VLOOKUP(E98,'HIDDEN calc sheet'!A:C,3,FALSE)=TRUE,FALSE)),MD!$A$3,TRUE,MD!$A$2)</f>
        <v>Mandatory test for a mandatory feature</v>
      </c>
      <c r="E98" t="str">
        <f>IF('HIDDEN import'!F97=0,"",'HIDDEN import'!F97)</f>
        <v/>
      </c>
      <c r="F98" t="str">
        <f>IF('HIDDEN import'!G97=0,"",'HIDDEN import'!G97)</f>
        <v/>
      </c>
      <c r="G98" s="144" t="str">
        <f>IFERROR(VLOOKUP($A98,'HIDDEN Testrun Results'!$A:$B,2,FALSE),"")</f>
        <v/>
      </c>
      <c r="H98" s="10" t="b">
        <f t="shared" si="5"/>
        <v>0</v>
      </c>
      <c r="I98" s="10" t="b">
        <f>IF(VLOOKUP(A98&amp;" "&amp;B98,'HIDDEN import'!A:G,5,FALSE)="M",TRUE,IFERROR(VLOOKUP(E98,'Optional features'!B:D,3,FALSE)="Yes",IFERROR(VLOOKUP(E98,'HIDDEN calc sheet'!A:B,2,FALSE),IFERROR(VLOOKUP(E98,'Additional questions'!B:D,3,FALSE)="Yes",VLOOKUP(E98,'Hardware Feature set'!B:D,3,FALSE)="No"))))</f>
        <v>1</v>
      </c>
      <c r="J98" s="10" t="b">
        <f t="shared" si="6"/>
        <v>0</v>
      </c>
      <c r="K98" s="10" t="b">
        <f>IFERROR(VLOOKUP(B98,'Profile selection'!B:C,2,FALSE)="Yes",FALSE)</f>
        <v>0</v>
      </c>
      <c r="L98" s="50"/>
      <c r="M98" s="50"/>
    </row>
    <row r="99" spans="1:13" x14ac:dyDescent="0.25">
      <c r="A99" t="str">
        <f>'HIDDEN import'!B98</f>
        <v>TC_087_CS</v>
      </c>
      <c r="B99" t="str">
        <f>'HIDDEN import'!C98</f>
        <v>Security extension</v>
      </c>
      <c r="C99" t="str">
        <f>'HIDDEN import'!D98</f>
        <v>TLS - Client-side certificate - valid certificate</v>
      </c>
      <c r="D99" t="str" cm="1">
        <f t="array" ref="D99">_xlfn.IFS(VLOOKUP(A99&amp;" "&amp;B99,'HIDDEN import'!A:G,5,FALSE)="M",MD!$A$1,VLOOKUP(A99&amp;" "&amp;B99,'HIDDEN import'!A:G,5,FALSE)="O",MD!$A$4,AND(VLOOKUP(A99,'HIDDEN import'!B:E,4,FALSE)="C",NOT(ISERROR(VLOOKUP(E99,'Optional features'!B:D,1,FALSE)=E99))),MD!$A$3,AND(VLOOKUP(A99,'HIDDEN import'!B:E,4,FALSE)="C",_xlfn.IFNA(VLOOKUP(E99,'HIDDEN calc sheet'!A:C,3,FALSE)=TRUE,FALSE)),MD!$A$3,TRUE,MD!$A$2)</f>
        <v>Possibly mandatory, depending on your system</v>
      </c>
      <c r="E99" t="str">
        <f>IF('HIDDEN import'!F98=0,"",'HIDDEN import'!F98)</f>
        <v>Only applicable if the DUT supports security profile 3.</v>
      </c>
      <c r="F99" t="str">
        <f>IF('HIDDEN import'!G98=0,"",'HIDDEN import'!G98)</f>
        <v/>
      </c>
      <c r="G99" s="144" t="str">
        <f>IFERROR(VLOOKUP($A99,'HIDDEN Testrun Results'!$A:$B,2,FALSE),"")</f>
        <v/>
      </c>
      <c r="H99" s="10" t="b">
        <f t="shared" si="5"/>
        <v>0</v>
      </c>
      <c r="I99" s="10" t="b">
        <f>IF(VLOOKUP(A99&amp;" "&amp;B99,'HIDDEN import'!A:G,5,FALSE)="M",TRUE,IFERROR(VLOOKUP(E99,'Optional features'!B:D,3,FALSE)="Yes",IFERROR(VLOOKUP(E99,'HIDDEN calc sheet'!A:B,2,FALSE),IFERROR(VLOOKUP(E99,'Additional questions'!B:D,3,FALSE)="Yes",VLOOKUP(E99,'Hardware Feature set'!B:D,3,FALSE)="No"))))</f>
        <v>0</v>
      </c>
      <c r="J99" s="10" t="b">
        <f t="shared" si="6"/>
        <v>0</v>
      </c>
      <c r="K99" s="10" t="b">
        <f>IFERROR(VLOOKUP(B99,'Profile selection'!B:C,2,FALSE)="Yes",FALSE)</f>
        <v>0</v>
      </c>
      <c r="L99" s="50"/>
      <c r="M99" s="50"/>
    </row>
    <row r="100" spans="1:13" x14ac:dyDescent="0.25">
      <c r="G100" s="144"/>
    </row>
    <row r="101" spans="1:13" x14ac:dyDescent="0.25">
      <c r="G101" s="144"/>
    </row>
    <row r="102" spans="1:13" x14ac:dyDescent="0.25">
      <c r="G102" s="144"/>
    </row>
    <row r="103" spans="1:13" x14ac:dyDescent="0.25">
      <c r="G103" s="144"/>
    </row>
    <row r="104" spans="1:13" x14ac:dyDescent="0.25">
      <c r="G104" s="144"/>
    </row>
    <row r="105" spans="1:13" x14ac:dyDescent="0.25">
      <c r="G105" s="144"/>
    </row>
    <row r="106" spans="1:13" x14ac:dyDescent="0.25">
      <c r="G106" s="144"/>
    </row>
    <row r="107" spans="1:13" x14ac:dyDescent="0.25">
      <c r="G107" s="144"/>
    </row>
    <row r="108" spans="1:13" x14ac:dyDescent="0.25">
      <c r="G108" s="144"/>
    </row>
    <row r="109" spans="1:13" x14ac:dyDescent="0.25">
      <c r="G109" s="144"/>
    </row>
    <row r="110" spans="1:13" x14ac:dyDescent="0.25">
      <c r="G110" s="144"/>
    </row>
    <row r="111" spans="1:13" x14ac:dyDescent="0.25">
      <c r="G111" s="144"/>
    </row>
    <row r="112" spans="1:13" x14ac:dyDescent="0.25">
      <c r="G112" s="144"/>
    </row>
    <row r="113" spans="7:7" x14ac:dyDescent="0.25">
      <c r="G113" s="144"/>
    </row>
    <row r="114" spans="7:7" x14ac:dyDescent="0.25">
      <c r="G114" s="144"/>
    </row>
    <row r="115" spans="7:7" x14ac:dyDescent="0.25">
      <c r="G115" s="144"/>
    </row>
    <row r="116" spans="7:7" x14ac:dyDescent="0.25">
      <c r="G116" s="144"/>
    </row>
    <row r="117" spans="7:7" x14ac:dyDescent="0.25">
      <c r="G117" s="144"/>
    </row>
    <row r="118" spans="7:7" x14ac:dyDescent="0.25">
      <c r="G118" s="144"/>
    </row>
    <row r="119" spans="7:7" x14ac:dyDescent="0.25">
      <c r="G119" s="144"/>
    </row>
    <row r="120" spans="7:7" x14ac:dyDescent="0.25">
      <c r="G120" s="144"/>
    </row>
    <row r="121" spans="7:7" x14ac:dyDescent="0.25">
      <c r="G121" s="144"/>
    </row>
    <row r="122" spans="7:7" x14ac:dyDescent="0.25">
      <c r="G122" s="144"/>
    </row>
    <row r="123" spans="7:7" x14ac:dyDescent="0.25">
      <c r="G123" s="144"/>
    </row>
    <row r="124" spans="7:7" x14ac:dyDescent="0.25">
      <c r="G124" s="144"/>
    </row>
    <row r="125" spans="7:7" x14ac:dyDescent="0.25">
      <c r="G125" s="144"/>
    </row>
    <row r="126" spans="7:7" x14ac:dyDescent="0.25">
      <c r="G126" s="144"/>
    </row>
    <row r="127" spans="7:7" x14ac:dyDescent="0.25">
      <c r="G127" s="144"/>
    </row>
    <row r="128" spans="7:7" x14ac:dyDescent="0.25">
      <c r="G128" s="144"/>
    </row>
    <row r="129" spans="7:7" x14ac:dyDescent="0.25">
      <c r="G129" s="144"/>
    </row>
    <row r="130" spans="7:7" x14ac:dyDescent="0.25">
      <c r="G130" s="144"/>
    </row>
    <row r="131" spans="7:7" x14ac:dyDescent="0.25">
      <c r="G131" s="144"/>
    </row>
    <row r="132" spans="7:7" x14ac:dyDescent="0.25">
      <c r="G132" s="144"/>
    </row>
    <row r="133" spans="7:7" x14ac:dyDescent="0.25">
      <c r="G133" s="144"/>
    </row>
    <row r="134" spans="7:7" x14ac:dyDescent="0.25">
      <c r="G134" s="144"/>
    </row>
    <row r="135" spans="7:7" x14ac:dyDescent="0.25">
      <c r="G135" s="144"/>
    </row>
    <row r="136" spans="7:7" x14ac:dyDescent="0.25">
      <c r="G136" s="144"/>
    </row>
    <row r="137" spans="7:7" x14ac:dyDescent="0.25">
      <c r="G137" s="144"/>
    </row>
    <row r="138" spans="7:7" x14ac:dyDescent="0.25">
      <c r="G138" s="144"/>
    </row>
    <row r="139" spans="7:7" x14ac:dyDescent="0.25">
      <c r="G139" s="144"/>
    </row>
    <row r="140" spans="7:7" x14ac:dyDescent="0.25">
      <c r="G140" s="144"/>
    </row>
    <row r="141" spans="7:7" x14ac:dyDescent="0.25">
      <c r="G141" s="144"/>
    </row>
    <row r="142" spans="7:7" x14ac:dyDescent="0.25">
      <c r="G142" s="144"/>
    </row>
    <row r="143" spans="7:7" x14ac:dyDescent="0.25">
      <c r="G143" s="144"/>
    </row>
    <row r="144" spans="7:7" x14ac:dyDescent="0.25">
      <c r="G144" s="144"/>
    </row>
    <row r="145" spans="7:7" x14ac:dyDescent="0.25">
      <c r="G145" s="144"/>
    </row>
    <row r="146" spans="7:7" x14ac:dyDescent="0.25">
      <c r="G146" s="144"/>
    </row>
    <row r="147" spans="7:7" x14ac:dyDescent="0.25">
      <c r="G147" s="144"/>
    </row>
    <row r="148" spans="7:7" x14ac:dyDescent="0.25">
      <c r="G148" s="144"/>
    </row>
    <row r="149" spans="7:7" x14ac:dyDescent="0.25">
      <c r="G149" s="144"/>
    </row>
    <row r="150" spans="7:7" x14ac:dyDescent="0.25">
      <c r="G150" s="144"/>
    </row>
    <row r="151" spans="7:7" x14ac:dyDescent="0.25">
      <c r="G151" s="144"/>
    </row>
    <row r="152" spans="7:7" x14ac:dyDescent="0.25">
      <c r="G152" s="144"/>
    </row>
    <row r="153" spans="7:7" x14ac:dyDescent="0.25">
      <c r="G153" s="144"/>
    </row>
    <row r="154" spans="7:7" x14ac:dyDescent="0.25">
      <c r="G154" s="144"/>
    </row>
    <row r="155" spans="7:7" x14ac:dyDescent="0.25">
      <c r="G155" s="144"/>
    </row>
    <row r="156" spans="7:7" x14ac:dyDescent="0.25">
      <c r="G156" s="144"/>
    </row>
    <row r="157" spans="7:7" x14ac:dyDescent="0.25">
      <c r="G157" s="144"/>
    </row>
    <row r="158" spans="7:7" x14ac:dyDescent="0.25">
      <c r="G158" s="144"/>
    </row>
    <row r="159" spans="7:7" x14ac:dyDescent="0.25">
      <c r="G159" s="144"/>
    </row>
    <row r="160" spans="7:7" x14ac:dyDescent="0.25">
      <c r="G160" s="144"/>
    </row>
    <row r="161" spans="7:7" x14ac:dyDescent="0.25">
      <c r="G161" s="144"/>
    </row>
    <row r="162" spans="7:7" x14ac:dyDescent="0.25">
      <c r="G162" s="144"/>
    </row>
    <row r="163" spans="7:7" x14ac:dyDescent="0.25">
      <c r="G163" s="144"/>
    </row>
    <row r="164" spans="7:7" x14ac:dyDescent="0.25">
      <c r="G164" s="144"/>
    </row>
    <row r="165" spans="7:7" x14ac:dyDescent="0.25">
      <c r="G165" s="144"/>
    </row>
    <row r="166" spans="7:7" x14ac:dyDescent="0.25">
      <c r="G166" s="144"/>
    </row>
    <row r="167" spans="7:7" x14ac:dyDescent="0.25">
      <c r="G167" s="144"/>
    </row>
    <row r="168" spans="7:7" x14ac:dyDescent="0.25">
      <c r="G168" s="144"/>
    </row>
    <row r="169" spans="7:7" x14ac:dyDescent="0.25">
      <c r="G169" s="144"/>
    </row>
    <row r="170" spans="7:7" x14ac:dyDescent="0.25">
      <c r="G170" s="144"/>
    </row>
    <row r="171" spans="7:7" x14ac:dyDescent="0.25">
      <c r="G171" s="144"/>
    </row>
    <row r="172" spans="7:7" x14ac:dyDescent="0.25">
      <c r="G172" s="144"/>
    </row>
    <row r="173" spans="7:7" x14ac:dyDescent="0.25">
      <c r="G173" s="144"/>
    </row>
    <row r="174" spans="7:7" x14ac:dyDescent="0.25">
      <c r="G174" s="144"/>
    </row>
    <row r="175" spans="7:7" x14ac:dyDescent="0.25">
      <c r="G175" s="144"/>
    </row>
    <row r="176" spans="7:7" x14ac:dyDescent="0.25">
      <c r="G176" s="144"/>
    </row>
    <row r="177" spans="7:7" x14ac:dyDescent="0.25">
      <c r="G177" s="144"/>
    </row>
    <row r="178" spans="7:7" x14ac:dyDescent="0.25">
      <c r="G178" s="144"/>
    </row>
    <row r="179" spans="7:7" x14ac:dyDescent="0.25">
      <c r="G179" s="144"/>
    </row>
    <row r="180" spans="7:7" x14ac:dyDescent="0.25">
      <c r="G180" s="144"/>
    </row>
    <row r="181" spans="7:7" x14ac:dyDescent="0.25">
      <c r="G181" s="144"/>
    </row>
    <row r="182" spans="7:7" x14ac:dyDescent="0.25">
      <c r="G182" s="144"/>
    </row>
    <row r="183" spans="7:7" x14ac:dyDescent="0.25">
      <c r="G183" s="144"/>
    </row>
    <row r="184" spans="7:7" x14ac:dyDescent="0.25">
      <c r="G184" s="144"/>
    </row>
    <row r="185" spans="7:7" x14ac:dyDescent="0.25">
      <c r="G185" s="144"/>
    </row>
    <row r="186" spans="7:7" x14ac:dyDescent="0.25">
      <c r="G186" s="144"/>
    </row>
    <row r="187" spans="7:7" x14ac:dyDescent="0.25">
      <c r="G187" s="144"/>
    </row>
    <row r="188" spans="7:7" x14ac:dyDescent="0.25">
      <c r="G188" s="144"/>
    </row>
    <row r="189" spans="7:7" x14ac:dyDescent="0.25">
      <c r="G189" s="144"/>
    </row>
    <row r="190" spans="7:7" x14ac:dyDescent="0.25">
      <c r="G190" s="144"/>
    </row>
    <row r="191" spans="7:7" x14ac:dyDescent="0.25">
      <c r="G191" s="144"/>
    </row>
    <row r="192" spans="7:7" x14ac:dyDescent="0.25">
      <c r="G192" s="144"/>
    </row>
    <row r="193" spans="7:7" x14ac:dyDescent="0.25">
      <c r="G193" s="144"/>
    </row>
    <row r="194" spans="7:7" x14ac:dyDescent="0.25">
      <c r="G194" s="144"/>
    </row>
    <row r="195" spans="7:7" x14ac:dyDescent="0.25">
      <c r="G195" s="144"/>
    </row>
    <row r="196" spans="7:7" x14ac:dyDescent="0.25">
      <c r="G196" s="144"/>
    </row>
    <row r="197" spans="7:7" x14ac:dyDescent="0.25">
      <c r="G197" s="144"/>
    </row>
    <row r="198" spans="7:7" x14ac:dyDescent="0.25">
      <c r="G198" s="144"/>
    </row>
    <row r="199" spans="7:7" x14ac:dyDescent="0.25">
      <c r="G199" s="144"/>
    </row>
    <row r="200" spans="7:7" x14ac:dyDescent="0.25">
      <c r="G200" s="144"/>
    </row>
    <row r="201" spans="7:7" x14ac:dyDescent="0.25">
      <c r="G201" s="144"/>
    </row>
    <row r="202" spans="7:7" x14ac:dyDescent="0.25">
      <c r="G202" s="144"/>
    </row>
    <row r="203" spans="7:7" x14ac:dyDescent="0.25">
      <c r="G203" s="144"/>
    </row>
    <row r="204" spans="7:7" x14ac:dyDescent="0.25">
      <c r="G204" s="144"/>
    </row>
    <row r="205" spans="7:7" x14ac:dyDescent="0.25">
      <c r="G205" s="144"/>
    </row>
    <row r="206" spans="7:7" x14ac:dyDescent="0.25">
      <c r="G206" s="144"/>
    </row>
    <row r="207" spans="7:7" x14ac:dyDescent="0.25">
      <c r="G207" s="144"/>
    </row>
    <row r="208" spans="7:7" x14ac:dyDescent="0.25">
      <c r="G208" s="144"/>
    </row>
    <row r="209" spans="7:7" x14ac:dyDescent="0.25">
      <c r="G209" s="144"/>
    </row>
    <row r="210" spans="7:7" x14ac:dyDescent="0.25">
      <c r="G210" s="144"/>
    </row>
    <row r="211" spans="7:7" x14ac:dyDescent="0.25">
      <c r="G211" s="144"/>
    </row>
    <row r="212" spans="7:7" x14ac:dyDescent="0.25">
      <c r="G212" s="144"/>
    </row>
    <row r="213" spans="7:7" x14ac:dyDescent="0.25">
      <c r="G213" s="144"/>
    </row>
    <row r="214" spans="7:7" x14ac:dyDescent="0.25">
      <c r="G214" s="144"/>
    </row>
    <row r="215" spans="7:7" x14ac:dyDescent="0.25">
      <c r="G215" s="144"/>
    </row>
    <row r="216" spans="7:7" x14ac:dyDescent="0.25">
      <c r="G216" s="144"/>
    </row>
    <row r="217" spans="7:7" x14ac:dyDescent="0.25">
      <c r="G217" s="144"/>
    </row>
    <row r="218" spans="7:7" x14ac:dyDescent="0.25">
      <c r="G218" s="144"/>
    </row>
    <row r="219" spans="7:7" x14ac:dyDescent="0.25">
      <c r="G219" s="144"/>
    </row>
    <row r="220" spans="7:7" x14ac:dyDescent="0.25">
      <c r="G220" s="144"/>
    </row>
    <row r="221" spans="7:7" x14ac:dyDescent="0.25">
      <c r="G221" s="144"/>
    </row>
    <row r="222" spans="7:7" x14ac:dyDescent="0.25">
      <c r="G222" s="144"/>
    </row>
    <row r="223" spans="7:7" x14ac:dyDescent="0.25">
      <c r="G223" s="144"/>
    </row>
    <row r="224" spans="7:7" x14ac:dyDescent="0.25">
      <c r="G224" s="144"/>
    </row>
    <row r="225" spans="7:7" x14ac:dyDescent="0.25">
      <c r="G225" s="144"/>
    </row>
    <row r="226" spans="7:7" x14ac:dyDescent="0.25">
      <c r="G226" s="144"/>
    </row>
    <row r="227" spans="7:7" x14ac:dyDescent="0.25">
      <c r="G227" s="144"/>
    </row>
    <row r="228" spans="7:7" x14ac:dyDescent="0.25">
      <c r="G228" s="144"/>
    </row>
    <row r="229" spans="7:7" x14ac:dyDescent="0.25">
      <c r="G229" s="144"/>
    </row>
    <row r="230" spans="7:7" x14ac:dyDescent="0.25">
      <c r="G230" s="144"/>
    </row>
    <row r="231" spans="7:7" x14ac:dyDescent="0.25">
      <c r="G231" s="144"/>
    </row>
    <row r="232" spans="7:7" x14ac:dyDescent="0.25">
      <c r="G232" s="144"/>
    </row>
    <row r="233" spans="7:7" x14ac:dyDescent="0.25">
      <c r="G233" s="144"/>
    </row>
    <row r="234" spans="7:7" x14ac:dyDescent="0.25">
      <c r="G234" s="144"/>
    </row>
    <row r="235" spans="7:7" x14ac:dyDescent="0.25">
      <c r="G235" s="144"/>
    </row>
    <row r="236" spans="7:7" x14ac:dyDescent="0.25">
      <c r="G236" s="144"/>
    </row>
    <row r="237" spans="7:7" x14ac:dyDescent="0.25">
      <c r="G237" s="144"/>
    </row>
    <row r="238" spans="7:7" x14ac:dyDescent="0.25">
      <c r="G238" s="144"/>
    </row>
    <row r="239" spans="7:7" x14ac:dyDescent="0.25">
      <c r="G239" s="144"/>
    </row>
    <row r="240" spans="7:7" x14ac:dyDescent="0.25">
      <c r="G240" s="144"/>
    </row>
    <row r="241" spans="7:7" x14ac:dyDescent="0.25">
      <c r="G241" s="144"/>
    </row>
    <row r="242" spans="7:7" x14ac:dyDescent="0.25">
      <c r="G242" s="144"/>
    </row>
    <row r="243" spans="7:7" x14ac:dyDescent="0.25">
      <c r="G243" s="144"/>
    </row>
    <row r="244" spans="7:7" x14ac:dyDescent="0.25">
      <c r="G244" s="144"/>
    </row>
    <row r="245" spans="7:7" x14ac:dyDescent="0.25">
      <c r="G245" s="144"/>
    </row>
    <row r="246" spans="7:7" x14ac:dyDescent="0.25">
      <c r="G246" s="144"/>
    </row>
    <row r="247" spans="7:7" x14ac:dyDescent="0.25">
      <c r="G247" s="144"/>
    </row>
    <row r="248" spans="7:7" x14ac:dyDescent="0.25">
      <c r="G248" s="144"/>
    </row>
    <row r="249" spans="7:7" x14ac:dyDescent="0.25">
      <c r="G249" s="144"/>
    </row>
    <row r="250" spans="7:7" x14ac:dyDescent="0.25">
      <c r="G250" s="144"/>
    </row>
    <row r="251" spans="7:7" x14ac:dyDescent="0.25">
      <c r="G251" s="144"/>
    </row>
    <row r="252" spans="7:7" x14ac:dyDescent="0.25">
      <c r="G252" s="144"/>
    </row>
    <row r="253" spans="7:7" x14ac:dyDescent="0.25">
      <c r="G253" s="144"/>
    </row>
    <row r="254" spans="7:7" x14ac:dyDescent="0.25">
      <c r="G254" s="144"/>
    </row>
    <row r="255" spans="7:7" x14ac:dyDescent="0.25">
      <c r="G255" s="144"/>
    </row>
    <row r="256" spans="7:7" x14ac:dyDescent="0.25">
      <c r="G256" s="144"/>
    </row>
    <row r="257" spans="7:7" x14ac:dyDescent="0.25">
      <c r="G257" s="144"/>
    </row>
    <row r="258" spans="7:7" x14ac:dyDescent="0.25">
      <c r="G258" s="144"/>
    </row>
    <row r="259" spans="7:7" x14ac:dyDescent="0.25">
      <c r="G259" s="144"/>
    </row>
    <row r="260" spans="7:7" x14ac:dyDescent="0.25">
      <c r="G260" s="144"/>
    </row>
    <row r="261" spans="7:7" x14ac:dyDescent="0.25">
      <c r="G261" s="144"/>
    </row>
    <row r="262" spans="7:7" x14ac:dyDescent="0.25">
      <c r="G262" s="144"/>
    </row>
    <row r="263" spans="7:7" x14ac:dyDescent="0.25">
      <c r="G263" s="144"/>
    </row>
    <row r="264" spans="7:7" x14ac:dyDescent="0.25">
      <c r="G264" s="144"/>
    </row>
    <row r="265" spans="7:7" x14ac:dyDescent="0.25">
      <c r="G265" s="144"/>
    </row>
    <row r="266" spans="7:7" x14ac:dyDescent="0.25">
      <c r="G266" s="144"/>
    </row>
    <row r="267" spans="7:7" x14ac:dyDescent="0.25">
      <c r="G267" s="144"/>
    </row>
    <row r="268" spans="7:7" x14ac:dyDescent="0.25">
      <c r="G268" s="144"/>
    </row>
    <row r="269" spans="7:7" x14ac:dyDescent="0.25">
      <c r="G269" s="144"/>
    </row>
    <row r="270" spans="7:7" x14ac:dyDescent="0.25">
      <c r="G270" s="144"/>
    </row>
    <row r="271" spans="7:7" x14ac:dyDescent="0.25">
      <c r="G271" s="144"/>
    </row>
    <row r="272" spans="7:7" x14ac:dyDescent="0.25">
      <c r="G272" s="144"/>
    </row>
    <row r="273" spans="7:7" x14ac:dyDescent="0.25">
      <c r="G273" s="144"/>
    </row>
    <row r="274" spans="7:7" x14ac:dyDescent="0.25">
      <c r="G274" s="144"/>
    </row>
    <row r="275" spans="7:7" x14ac:dyDescent="0.25">
      <c r="G275" s="144"/>
    </row>
    <row r="276" spans="7:7" x14ac:dyDescent="0.25">
      <c r="G276" s="144"/>
    </row>
    <row r="277" spans="7:7" x14ac:dyDescent="0.25">
      <c r="G277" s="144"/>
    </row>
    <row r="278" spans="7:7" x14ac:dyDescent="0.25">
      <c r="G278" s="144"/>
    </row>
    <row r="279" spans="7:7" x14ac:dyDescent="0.25">
      <c r="G279" s="144"/>
    </row>
    <row r="280" spans="7:7" x14ac:dyDescent="0.25">
      <c r="G280" s="144"/>
    </row>
    <row r="281" spans="7:7" x14ac:dyDescent="0.25">
      <c r="G281" s="144"/>
    </row>
    <row r="282" spans="7:7" x14ac:dyDescent="0.25">
      <c r="G282" s="144"/>
    </row>
    <row r="283" spans="7:7" x14ac:dyDescent="0.25">
      <c r="G283" s="144"/>
    </row>
    <row r="284" spans="7:7" x14ac:dyDescent="0.25">
      <c r="G284" s="144"/>
    </row>
    <row r="285" spans="7:7" x14ac:dyDescent="0.25">
      <c r="G285" s="144"/>
    </row>
    <row r="286" spans="7:7" x14ac:dyDescent="0.25">
      <c r="G286" s="144"/>
    </row>
    <row r="287" spans="7:7" x14ac:dyDescent="0.25">
      <c r="G287" s="144"/>
    </row>
    <row r="288" spans="7:7" x14ac:dyDescent="0.25">
      <c r="G288" s="144"/>
    </row>
    <row r="289" spans="7:7" x14ac:dyDescent="0.25">
      <c r="G289" s="144"/>
    </row>
    <row r="290" spans="7:7" x14ac:dyDescent="0.25">
      <c r="G290" s="144"/>
    </row>
    <row r="291" spans="7:7" x14ac:dyDescent="0.25">
      <c r="G291" s="144"/>
    </row>
    <row r="292" spans="7:7" x14ac:dyDescent="0.25">
      <c r="G292" s="144"/>
    </row>
    <row r="293" spans="7:7" x14ac:dyDescent="0.25">
      <c r="G293" s="144"/>
    </row>
    <row r="294" spans="7:7" x14ac:dyDescent="0.25">
      <c r="G294" s="144"/>
    </row>
    <row r="295" spans="7:7" x14ac:dyDescent="0.25">
      <c r="G295" s="144"/>
    </row>
    <row r="296" spans="7:7" x14ac:dyDescent="0.25">
      <c r="G296" s="144"/>
    </row>
    <row r="297" spans="7:7" x14ac:dyDescent="0.25">
      <c r="G297" s="144"/>
    </row>
    <row r="298" spans="7:7" x14ac:dyDescent="0.25">
      <c r="G298" s="144"/>
    </row>
    <row r="299" spans="7:7" x14ac:dyDescent="0.25">
      <c r="G299" s="144"/>
    </row>
    <row r="300" spans="7:7" x14ac:dyDescent="0.25">
      <c r="G300" s="144"/>
    </row>
    <row r="301" spans="7:7" x14ac:dyDescent="0.25">
      <c r="G301" s="144"/>
    </row>
    <row r="302" spans="7:7" x14ac:dyDescent="0.25">
      <c r="G302" s="144"/>
    </row>
    <row r="303" spans="7:7" x14ac:dyDescent="0.25">
      <c r="G303" s="144"/>
    </row>
    <row r="304" spans="7:7" x14ac:dyDescent="0.25">
      <c r="G304" s="144"/>
    </row>
    <row r="305" spans="7:7" x14ac:dyDescent="0.25">
      <c r="G305" s="144"/>
    </row>
    <row r="306" spans="7:7" x14ac:dyDescent="0.25">
      <c r="G306" s="144"/>
    </row>
    <row r="307" spans="7:7" x14ac:dyDescent="0.25">
      <c r="G307" s="144"/>
    </row>
    <row r="308" spans="7:7" x14ac:dyDescent="0.25">
      <c r="G308" s="144"/>
    </row>
    <row r="309" spans="7:7" x14ac:dyDescent="0.25">
      <c r="G309" s="144"/>
    </row>
    <row r="310" spans="7:7" x14ac:dyDescent="0.25">
      <c r="G310" s="144"/>
    </row>
    <row r="311" spans="7:7" x14ac:dyDescent="0.25">
      <c r="G311" s="144"/>
    </row>
    <row r="312" spans="7:7" x14ac:dyDescent="0.25">
      <c r="G312" s="144"/>
    </row>
    <row r="313" spans="7:7" x14ac:dyDescent="0.25">
      <c r="G313" s="144"/>
    </row>
    <row r="314" spans="7:7" x14ac:dyDescent="0.25">
      <c r="G314" s="144"/>
    </row>
    <row r="315" spans="7:7" x14ac:dyDescent="0.25">
      <c r="G315" s="144"/>
    </row>
    <row r="316" spans="7:7" x14ac:dyDescent="0.25">
      <c r="G316" s="144"/>
    </row>
    <row r="317" spans="7:7" x14ac:dyDescent="0.25">
      <c r="G317" s="144"/>
    </row>
    <row r="318" spans="7:7" x14ac:dyDescent="0.25">
      <c r="G318" s="144"/>
    </row>
    <row r="319" spans="7:7" x14ac:dyDescent="0.25">
      <c r="G319" s="144"/>
    </row>
    <row r="320" spans="7:7" x14ac:dyDescent="0.25">
      <c r="G320" s="144"/>
    </row>
    <row r="321" spans="7:7" x14ac:dyDescent="0.25">
      <c r="G321" s="144"/>
    </row>
    <row r="322" spans="7:7" x14ac:dyDescent="0.25">
      <c r="G322" s="144"/>
    </row>
    <row r="323" spans="7:7" x14ac:dyDescent="0.25">
      <c r="G323" s="144"/>
    </row>
    <row r="324" spans="7:7" x14ac:dyDescent="0.25">
      <c r="G324" s="144"/>
    </row>
    <row r="325" spans="7:7" x14ac:dyDescent="0.25">
      <c r="G325" s="144"/>
    </row>
    <row r="326" spans="7:7" x14ac:dyDescent="0.25">
      <c r="G326" s="144"/>
    </row>
    <row r="327" spans="7:7" x14ac:dyDescent="0.25">
      <c r="G327" s="144"/>
    </row>
    <row r="328" spans="7:7" x14ac:dyDescent="0.25">
      <c r="G328" s="144"/>
    </row>
    <row r="329" spans="7:7" x14ac:dyDescent="0.25">
      <c r="G329" s="144"/>
    </row>
    <row r="330" spans="7:7" x14ac:dyDescent="0.25">
      <c r="G330" s="144"/>
    </row>
    <row r="331" spans="7:7" x14ac:dyDescent="0.25">
      <c r="G331" s="144"/>
    </row>
    <row r="332" spans="7:7" x14ac:dyDescent="0.25">
      <c r="G332" s="144"/>
    </row>
    <row r="333" spans="7:7" x14ac:dyDescent="0.25">
      <c r="G333" s="144"/>
    </row>
    <row r="334" spans="7:7" x14ac:dyDescent="0.25">
      <c r="G334" s="144"/>
    </row>
    <row r="335" spans="7:7" x14ac:dyDescent="0.25">
      <c r="G335" s="144"/>
    </row>
    <row r="336" spans="7:7" x14ac:dyDescent="0.25">
      <c r="G336" s="144"/>
    </row>
    <row r="337" spans="7:7" x14ac:dyDescent="0.25">
      <c r="G337" s="144"/>
    </row>
    <row r="338" spans="7:7" x14ac:dyDescent="0.25">
      <c r="G338" s="144"/>
    </row>
    <row r="339" spans="7:7" x14ac:dyDescent="0.25">
      <c r="G339" s="144"/>
    </row>
    <row r="340" spans="7:7" x14ac:dyDescent="0.25">
      <c r="G340" s="144"/>
    </row>
    <row r="341" spans="7:7" x14ac:dyDescent="0.25">
      <c r="G341" s="144"/>
    </row>
    <row r="342" spans="7:7" x14ac:dyDescent="0.25">
      <c r="G342" s="144"/>
    </row>
    <row r="343" spans="7:7" x14ac:dyDescent="0.25">
      <c r="G343" s="144"/>
    </row>
    <row r="344" spans="7:7" x14ac:dyDescent="0.25">
      <c r="G344" s="144"/>
    </row>
    <row r="345" spans="7:7" x14ac:dyDescent="0.25">
      <c r="G345" s="144"/>
    </row>
    <row r="346" spans="7:7" x14ac:dyDescent="0.25">
      <c r="G346" s="144"/>
    </row>
    <row r="347" spans="7:7" x14ac:dyDescent="0.25">
      <c r="G347" s="144"/>
    </row>
    <row r="348" spans="7:7" x14ac:dyDescent="0.25">
      <c r="G348" s="144"/>
    </row>
    <row r="349" spans="7:7" x14ac:dyDescent="0.25">
      <c r="G349" s="144"/>
    </row>
    <row r="350" spans="7:7" x14ac:dyDescent="0.25">
      <c r="G350" s="144"/>
    </row>
    <row r="351" spans="7:7" x14ac:dyDescent="0.25">
      <c r="G351" s="144"/>
    </row>
    <row r="352" spans="7:7" x14ac:dyDescent="0.25">
      <c r="G352" s="144"/>
    </row>
    <row r="353" spans="7:7" x14ac:dyDescent="0.25">
      <c r="G353" s="144"/>
    </row>
    <row r="354" spans="7:7" x14ac:dyDescent="0.25">
      <c r="G354" s="144"/>
    </row>
    <row r="355" spans="7:7" x14ac:dyDescent="0.25">
      <c r="G355" s="144"/>
    </row>
    <row r="356" spans="7:7" x14ac:dyDescent="0.25">
      <c r="G356" s="144"/>
    </row>
    <row r="357" spans="7:7" x14ac:dyDescent="0.25">
      <c r="G357" s="144"/>
    </row>
    <row r="358" spans="7:7" x14ac:dyDescent="0.25">
      <c r="G358" s="144"/>
    </row>
    <row r="359" spans="7:7" x14ac:dyDescent="0.25">
      <c r="G359" s="144"/>
    </row>
    <row r="360" spans="7:7" x14ac:dyDescent="0.25">
      <c r="G360" s="144"/>
    </row>
    <row r="361" spans="7:7" x14ac:dyDescent="0.25">
      <c r="G361" s="144"/>
    </row>
    <row r="362" spans="7:7" x14ac:dyDescent="0.25">
      <c r="G362" s="144"/>
    </row>
    <row r="363" spans="7:7" x14ac:dyDescent="0.25">
      <c r="G363" s="144"/>
    </row>
    <row r="364" spans="7:7" x14ac:dyDescent="0.25">
      <c r="G364" s="144"/>
    </row>
    <row r="365" spans="7:7" x14ac:dyDescent="0.25">
      <c r="G365" s="144"/>
    </row>
    <row r="366" spans="7:7" x14ac:dyDescent="0.25">
      <c r="G366" s="144"/>
    </row>
    <row r="367" spans="7:7" x14ac:dyDescent="0.25">
      <c r="G367" s="144"/>
    </row>
    <row r="368" spans="7:7" x14ac:dyDescent="0.25">
      <c r="G368" s="144"/>
    </row>
    <row r="369" spans="7:7" x14ac:dyDescent="0.25">
      <c r="G369" s="144"/>
    </row>
    <row r="370" spans="7:7" x14ac:dyDescent="0.25">
      <c r="G370" s="144"/>
    </row>
    <row r="371" spans="7:7" x14ac:dyDescent="0.25">
      <c r="G371" s="144"/>
    </row>
    <row r="372" spans="7:7" x14ac:dyDescent="0.25">
      <c r="G372" s="144"/>
    </row>
    <row r="373" spans="7:7" x14ac:dyDescent="0.25">
      <c r="G373" s="144"/>
    </row>
    <row r="374" spans="7:7" x14ac:dyDescent="0.25">
      <c r="G374" s="144"/>
    </row>
    <row r="375" spans="7:7" x14ac:dyDescent="0.25">
      <c r="G375" s="144"/>
    </row>
    <row r="376" spans="7:7" x14ac:dyDescent="0.25">
      <c r="G376" s="144"/>
    </row>
    <row r="377" spans="7:7" x14ac:dyDescent="0.25">
      <c r="G377" s="144"/>
    </row>
    <row r="378" spans="7:7" x14ac:dyDescent="0.25">
      <c r="G378" s="144"/>
    </row>
    <row r="379" spans="7:7" x14ac:dyDescent="0.25">
      <c r="G379" s="144"/>
    </row>
    <row r="380" spans="7:7" x14ac:dyDescent="0.25">
      <c r="G380" s="144"/>
    </row>
    <row r="381" spans="7:7" x14ac:dyDescent="0.25">
      <c r="G381" s="144"/>
    </row>
    <row r="382" spans="7:7" x14ac:dyDescent="0.25">
      <c r="G382" s="144"/>
    </row>
    <row r="383" spans="7:7" x14ac:dyDescent="0.25">
      <c r="G383" s="144"/>
    </row>
    <row r="384" spans="7:7" x14ac:dyDescent="0.25">
      <c r="G384" s="144"/>
    </row>
    <row r="385" spans="7:7" x14ac:dyDescent="0.25">
      <c r="G385" s="144"/>
    </row>
    <row r="386" spans="7:7" x14ac:dyDescent="0.25">
      <c r="G386" s="144"/>
    </row>
    <row r="387" spans="7:7" x14ac:dyDescent="0.25">
      <c r="G387" s="144"/>
    </row>
    <row r="388" spans="7:7" x14ac:dyDescent="0.25">
      <c r="G388" s="144"/>
    </row>
    <row r="389" spans="7:7" x14ac:dyDescent="0.25">
      <c r="G389" s="144"/>
    </row>
    <row r="390" spans="7:7" x14ac:dyDescent="0.25">
      <c r="G390" s="144"/>
    </row>
    <row r="391" spans="7:7" x14ac:dyDescent="0.25">
      <c r="G391" s="144"/>
    </row>
    <row r="392" spans="7:7" x14ac:dyDescent="0.25">
      <c r="G392" s="144"/>
    </row>
    <row r="393" spans="7:7" x14ac:dyDescent="0.25">
      <c r="G393" s="144"/>
    </row>
    <row r="394" spans="7:7" x14ac:dyDescent="0.25">
      <c r="G394" s="144"/>
    </row>
    <row r="395" spans="7:7" x14ac:dyDescent="0.25">
      <c r="G395" s="144"/>
    </row>
    <row r="396" spans="7:7" x14ac:dyDescent="0.25">
      <c r="G396" s="144"/>
    </row>
    <row r="397" spans="7:7" x14ac:dyDescent="0.25">
      <c r="G397" s="144"/>
    </row>
    <row r="398" spans="7:7" x14ac:dyDescent="0.25">
      <c r="G398" s="144"/>
    </row>
    <row r="399" spans="7:7" x14ac:dyDescent="0.25">
      <c r="G399" s="144"/>
    </row>
    <row r="400" spans="7:7" x14ac:dyDescent="0.25">
      <c r="G400" s="144"/>
    </row>
    <row r="401" spans="7:7" x14ac:dyDescent="0.25">
      <c r="G401" s="144"/>
    </row>
    <row r="402" spans="7:7" x14ac:dyDescent="0.25">
      <c r="G402" s="144"/>
    </row>
    <row r="403" spans="7:7" x14ac:dyDescent="0.25">
      <c r="G403" s="144"/>
    </row>
    <row r="404" spans="7:7" x14ac:dyDescent="0.25">
      <c r="G404" s="144"/>
    </row>
    <row r="405" spans="7:7" x14ac:dyDescent="0.25">
      <c r="G405" s="144"/>
    </row>
    <row r="406" spans="7:7" x14ac:dyDescent="0.25">
      <c r="G406" s="144"/>
    </row>
    <row r="407" spans="7:7" x14ac:dyDescent="0.25">
      <c r="G407" s="144"/>
    </row>
    <row r="408" spans="7:7" x14ac:dyDescent="0.25">
      <c r="G408" s="144"/>
    </row>
    <row r="409" spans="7:7" x14ac:dyDescent="0.25">
      <c r="G409" s="144"/>
    </row>
    <row r="410" spans="7:7" x14ac:dyDescent="0.25">
      <c r="G410" s="144"/>
    </row>
    <row r="411" spans="7:7" x14ac:dyDescent="0.25">
      <c r="G411" s="144"/>
    </row>
    <row r="412" spans="7:7" x14ac:dyDescent="0.25">
      <c r="G412" s="144"/>
    </row>
    <row r="413" spans="7:7" x14ac:dyDescent="0.25">
      <c r="G413" s="144"/>
    </row>
    <row r="414" spans="7:7" x14ac:dyDescent="0.25">
      <c r="G414" s="144"/>
    </row>
    <row r="415" spans="7:7" x14ac:dyDescent="0.25">
      <c r="G415" s="144"/>
    </row>
    <row r="416" spans="7:7" x14ac:dyDescent="0.25">
      <c r="G416" s="144"/>
    </row>
    <row r="417" spans="7:7" x14ac:dyDescent="0.25">
      <c r="G417" s="144"/>
    </row>
    <row r="418" spans="7:7" x14ac:dyDescent="0.25">
      <c r="G418" s="144"/>
    </row>
    <row r="419" spans="7:7" x14ac:dyDescent="0.25">
      <c r="G419" s="144"/>
    </row>
    <row r="420" spans="7:7" x14ac:dyDescent="0.25">
      <c r="G420" s="144"/>
    </row>
    <row r="421" spans="7:7" x14ac:dyDescent="0.25">
      <c r="G421" s="144"/>
    </row>
    <row r="422" spans="7:7" x14ac:dyDescent="0.25">
      <c r="G422" s="144"/>
    </row>
    <row r="423" spans="7:7" x14ac:dyDescent="0.25">
      <c r="G423" s="144"/>
    </row>
    <row r="424" spans="7:7" x14ac:dyDescent="0.25">
      <c r="G424" s="144"/>
    </row>
    <row r="425" spans="7:7" x14ac:dyDescent="0.25">
      <c r="G425" s="144"/>
    </row>
    <row r="426" spans="7:7" x14ac:dyDescent="0.25">
      <c r="G426" s="144"/>
    </row>
    <row r="427" spans="7:7" x14ac:dyDescent="0.25">
      <c r="G427" s="144"/>
    </row>
    <row r="428" spans="7:7" x14ac:dyDescent="0.25">
      <c r="G428" s="144"/>
    </row>
    <row r="429" spans="7:7" x14ac:dyDescent="0.25">
      <c r="G429" s="144"/>
    </row>
    <row r="430" spans="7:7" x14ac:dyDescent="0.25">
      <c r="G430" s="144"/>
    </row>
    <row r="431" spans="7:7" x14ac:dyDescent="0.25">
      <c r="G431" s="144"/>
    </row>
    <row r="432" spans="7:7" x14ac:dyDescent="0.25">
      <c r="G432" s="144"/>
    </row>
    <row r="433" spans="7:7" x14ac:dyDescent="0.25">
      <c r="G433" s="144"/>
    </row>
    <row r="434" spans="7:7" x14ac:dyDescent="0.25">
      <c r="G434" s="144"/>
    </row>
    <row r="435" spans="7:7" x14ac:dyDescent="0.25">
      <c r="G435" s="144"/>
    </row>
    <row r="436" spans="7:7" x14ac:dyDescent="0.25">
      <c r="G436" s="144"/>
    </row>
    <row r="437" spans="7:7" x14ac:dyDescent="0.25">
      <c r="G437" s="144"/>
    </row>
    <row r="438" spans="7:7" x14ac:dyDescent="0.25">
      <c r="G438" s="144"/>
    </row>
    <row r="439" spans="7:7" x14ac:dyDescent="0.25">
      <c r="G439" s="144"/>
    </row>
    <row r="440" spans="7:7" x14ac:dyDescent="0.25">
      <c r="G440" s="144"/>
    </row>
    <row r="441" spans="7:7" x14ac:dyDescent="0.25">
      <c r="G441" s="144"/>
    </row>
    <row r="442" spans="7:7" x14ac:dyDescent="0.25">
      <c r="G442" s="144"/>
    </row>
    <row r="443" spans="7:7" x14ac:dyDescent="0.25">
      <c r="G443" s="144"/>
    </row>
    <row r="444" spans="7:7" x14ac:dyDescent="0.25">
      <c r="G444" s="144"/>
    </row>
    <row r="445" spans="7:7" x14ac:dyDescent="0.25">
      <c r="G445" s="144"/>
    </row>
    <row r="446" spans="7:7" x14ac:dyDescent="0.25">
      <c r="G446" s="144"/>
    </row>
    <row r="447" spans="7:7" x14ac:dyDescent="0.25">
      <c r="G447" s="144"/>
    </row>
    <row r="448" spans="7:7" x14ac:dyDescent="0.25">
      <c r="G448" s="144"/>
    </row>
    <row r="449" spans="7:7" ht="15.75" customHeight="1" x14ac:dyDescent="0.25">
      <c r="G449" s="144"/>
    </row>
  </sheetData>
  <sheetProtection algorithmName="SHA-512" hashValue="XpI756LqKmcVKCCbaNySi7XAZ/wHEVuWXa8xF++5Lxkr2tr8z1boddD4TPHi1nQK8neIk1HMGubIZu8uX21PNQ==" saltValue="0vlkxtydbQZDeM/17mMblg==" spinCount="100000" sheet="1" formatColumns="0" autoFilter="0"/>
  <autoFilter ref="A2:K448" xr:uid="{BD8AEFF0-6C9E-4092-8A8D-C5FF711F20D5}"/>
  <sortState xmlns:xlrd2="http://schemas.microsoft.com/office/spreadsheetml/2017/richdata2" ref="A3:K448">
    <sortCondition ref="A3:A448"/>
  </sortState>
  <mergeCells count="1">
    <mergeCell ref="A1:C1"/>
  </mergeCells>
  <pageMargins left="0.7" right="0.7" top="0.75" bottom="0.75" header="0.3" footer="0.3"/>
  <pageSetup paperSize="9" orientation="portrait" r:id="rId1"/>
  <headerFooter>
    <oddFooter>&amp;C_x000D_&amp;1#&amp;"Arial"&amp;9&amp;K000000 Internal</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3AF2F2-0E93-4FB2-8E0B-05D42B17F12E}">
  <sheetPr>
    <tabColor theme="7"/>
    <pageSetUpPr fitToPage="1"/>
  </sheetPr>
  <dimension ref="B1:M84"/>
  <sheetViews>
    <sheetView showGridLines="0" zoomScaleNormal="100" workbookViewId="0">
      <selection activeCell="B11" sqref="B11"/>
    </sheetView>
  </sheetViews>
  <sheetFormatPr defaultColWidth="9" defaultRowHeight="15" x14ac:dyDescent="0.25"/>
  <cols>
    <col min="1" max="1" width="2.375" style="67" customWidth="1"/>
    <col min="2" max="2" width="21.875" style="67" customWidth="1"/>
    <col min="3" max="3" width="32.875" style="67" customWidth="1"/>
    <col min="4" max="4" width="2" style="67" customWidth="1"/>
    <col min="5" max="5" width="8.5" style="67" customWidth="1"/>
    <col min="6" max="6" width="13.375" style="67" customWidth="1"/>
    <col min="7" max="7" width="9" style="67"/>
    <col min="8" max="8" width="42.375" style="67" customWidth="1"/>
    <col min="9" max="16384" width="9" style="67"/>
  </cols>
  <sheetData>
    <row r="1" spans="2:13" customFormat="1" ht="61.5" customHeight="1" x14ac:dyDescent="0.25">
      <c r="B1" s="67"/>
      <c r="C1" s="365" t="s">
        <v>188</v>
      </c>
      <c r="D1" s="365"/>
      <c r="E1" s="365"/>
      <c r="F1" s="365"/>
      <c r="H1" s="317" t="s">
        <v>207</v>
      </c>
      <c r="I1" s="134" t="str">
        <f>IF(AND(ISERROR(FIND("&lt;",_xlfn.CONCAT(C17:C33))),_xlfn.CONCAT(G16:G33)=""),"VALID","INVALID")</f>
        <v>INVALID</v>
      </c>
    </row>
    <row r="2" spans="2:13" customFormat="1" ht="37.5" customHeight="1" x14ac:dyDescent="0.25">
      <c r="B2" s="67"/>
      <c r="C2" s="401" t="s">
        <v>217</v>
      </c>
      <c r="D2" s="401"/>
      <c r="E2" s="401"/>
      <c r="F2" s="401"/>
      <c r="H2" s="317" t="s">
        <v>571</v>
      </c>
      <c r="I2" s="134" t="str">
        <f>IF(AND(I1="VALID",'Hardware Feature set'!M1="VALID",'Optional features'!F1="VALID",'Additional questions'!F1="VALID",'Other relevant settings'!F1="VALID",'Performance Measurement'!I1="VALID"),"VALID","INVALID")</f>
        <v>INVALID</v>
      </c>
    </row>
    <row r="3" spans="2:13" customFormat="1" ht="18" customHeight="1" x14ac:dyDescent="0.25">
      <c r="B3" s="67"/>
      <c r="C3" s="3"/>
      <c r="D3" s="3"/>
      <c r="E3" s="3"/>
      <c r="F3" s="3"/>
      <c r="H3" s="168"/>
      <c r="I3" s="134"/>
    </row>
    <row r="4" spans="2:13" customFormat="1" ht="18" customHeight="1" thickBot="1" x14ac:dyDescent="0.3">
      <c r="B4" s="67"/>
      <c r="C4" s="3"/>
      <c r="D4" s="3"/>
      <c r="E4" s="3"/>
      <c r="F4" s="3"/>
      <c r="H4" s="168"/>
      <c r="I4" s="134"/>
    </row>
    <row r="5" spans="2:13" customFormat="1" ht="22.5" customHeight="1" thickBot="1" x14ac:dyDescent="0.3">
      <c r="B5" s="409" t="s">
        <v>594</v>
      </c>
      <c r="C5" s="410"/>
      <c r="D5" s="410"/>
      <c r="E5" s="410"/>
      <c r="F5" s="410"/>
      <c r="G5" s="411"/>
      <c r="H5" s="168"/>
      <c r="I5" s="384" t="s">
        <v>601</v>
      </c>
      <c r="J5" s="385"/>
      <c r="K5" s="385"/>
      <c r="L5" s="385"/>
      <c r="M5" s="386"/>
    </row>
    <row r="6" spans="2:13" customFormat="1" ht="22.5" customHeight="1" thickBot="1" x14ac:dyDescent="0.3">
      <c r="B6" s="95" t="str">
        <f>'Hardware Feature set'!C8</f>
        <v>OCPP Software Version</v>
      </c>
      <c r="C6" s="412" t="str">
        <f>IF(ISERROR(VLOOKUP("firmwareVersion",'HIDDEN Testrun Results'!A:B,2,FALSE)),"&lt;will be filled in by testlab&gt;",VLOOKUP("firmwareVersion",'HIDDEN Testrun Results'!A:B,2,FALSE))</f>
        <v>&lt;will be filled in by testlab&gt;</v>
      </c>
      <c r="D6" s="412"/>
      <c r="E6" s="412"/>
      <c r="F6" s="412"/>
      <c r="G6" s="413"/>
      <c r="H6" s="137" t="str">
        <f>IF(ISBLANK(C6),"&lt;---- This field cannot be left empty!",IF(ISERROR(VLOOKUP("firmwareVersion",'HIDDEN Testrun Results'!A:B,2,FALSE)),"",IF(VLOOKUP("firmwareVersion",'HIDDEN Testrun Results'!A:B,2,FALSE)='Hardware Feature set'!D8,"","&lt;---- Version not matching vendor information!")))</f>
        <v/>
      </c>
      <c r="I6" s="387"/>
      <c r="J6" s="388"/>
      <c r="K6" s="388"/>
      <c r="L6" s="388"/>
      <c r="M6" s="389"/>
    </row>
    <row r="7" spans="2:13" customFormat="1" ht="22.5" customHeight="1" thickBot="1" x14ac:dyDescent="0.3">
      <c r="B7" s="305" t="s">
        <v>595</v>
      </c>
      <c r="C7" s="414" t="str">
        <f>IFERROR(VLOOKUP(SUBSTITUTE(B7," ",""),'HIDDEN Testrun Results'!$A:$B,2,FALSE),"&lt;will be filled in by testlab&gt;")</f>
        <v>&lt;will be filled in by testlab&gt;</v>
      </c>
      <c r="D7" s="414"/>
      <c r="E7" s="414"/>
      <c r="F7" s="414"/>
      <c r="G7" s="415"/>
      <c r="H7" s="168"/>
      <c r="I7" s="390"/>
      <c r="J7" s="391"/>
      <c r="K7" s="391"/>
      <c r="L7" s="391"/>
      <c r="M7" s="392"/>
    </row>
    <row r="8" spans="2:13" customFormat="1" ht="16.5" thickBot="1" x14ac:dyDescent="0.3">
      <c r="B8" s="281"/>
      <c r="C8" s="282"/>
      <c r="D8" s="3"/>
      <c r="E8" s="3"/>
      <c r="F8" s="3"/>
      <c r="H8" s="168"/>
      <c r="I8" s="393"/>
      <c r="J8" s="394"/>
      <c r="K8" s="394"/>
      <c r="L8" s="394"/>
      <c r="M8" s="395"/>
    </row>
    <row r="9" spans="2:13" customFormat="1" ht="50.25" customHeight="1" thickBot="1" x14ac:dyDescent="0.3">
      <c r="B9" s="402" t="s">
        <v>596</v>
      </c>
      <c r="C9" s="403"/>
      <c r="D9" s="403"/>
      <c r="E9" s="403"/>
      <c r="F9" s="403"/>
      <c r="G9" s="404"/>
      <c r="H9" s="168"/>
      <c r="I9" s="393"/>
      <c r="J9" s="394"/>
      <c r="K9" s="394"/>
      <c r="L9" s="394"/>
      <c r="M9" s="395"/>
    </row>
    <row r="10" spans="2:13" customFormat="1" ht="16.5" thickBot="1" x14ac:dyDescent="0.3">
      <c r="B10" s="283" t="s">
        <v>48</v>
      </c>
      <c r="C10" s="284" t="s">
        <v>597</v>
      </c>
      <c r="D10" s="405" t="s">
        <v>598</v>
      </c>
      <c r="E10" s="405"/>
      <c r="F10" s="284" t="s">
        <v>599</v>
      </c>
      <c r="G10" s="285" t="s">
        <v>600</v>
      </c>
      <c r="H10" s="168"/>
      <c r="I10" s="393"/>
      <c r="J10" s="394"/>
      <c r="K10" s="394"/>
      <c r="L10" s="394"/>
      <c r="M10" s="395"/>
    </row>
    <row r="11" spans="2:13" customFormat="1" ht="15.75" x14ac:dyDescent="0.25">
      <c r="B11" s="320"/>
      <c r="C11" s="321"/>
      <c r="D11" s="406"/>
      <c r="E11" s="406"/>
      <c r="F11" s="322"/>
      <c r="G11" s="323"/>
      <c r="H11" s="168"/>
      <c r="I11" s="393"/>
      <c r="J11" s="394"/>
      <c r="K11" s="394"/>
      <c r="L11" s="394"/>
      <c r="M11" s="395"/>
    </row>
    <row r="12" spans="2:13" customFormat="1" ht="15.75" x14ac:dyDescent="0.25">
      <c r="B12" s="324"/>
      <c r="C12" s="325"/>
      <c r="D12" s="407"/>
      <c r="E12" s="407"/>
      <c r="F12" s="326"/>
      <c r="G12" s="327"/>
      <c r="H12" s="168"/>
      <c r="I12" s="393"/>
      <c r="J12" s="394"/>
      <c r="K12" s="394"/>
      <c r="L12" s="394"/>
      <c r="M12" s="395"/>
    </row>
    <row r="13" spans="2:13" customFormat="1" ht="15.75" x14ac:dyDescent="0.25">
      <c r="B13" s="324"/>
      <c r="C13" s="325"/>
      <c r="D13" s="407"/>
      <c r="E13" s="407"/>
      <c r="F13" s="326"/>
      <c r="G13" s="327"/>
      <c r="H13" s="168"/>
      <c r="I13" s="393"/>
      <c r="J13" s="394"/>
      <c r="K13" s="394"/>
      <c r="L13" s="394"/>
      <c r="M13" s="395"/>
    </row>
    <row r="14" spans="2:13" customFormat="1" ht="16.5" thickBot="1" x14ac:dyDescent="0.3">
      <c r="B14" s="328"/>
      <c r="C14" s="329"/>
      <c r="D14" s="408"/>
      <c r="E14" s="408"/>
      <c r="F14" s="330"/>
      <c r="G14" s="331"/>
      <c r="H14" s="168"/>
      <c r="I14" s="393"/>
      <c r="J14" s="394"/>
      <c r="K14" s="394"/>
      <c r="L14" s="394"/>
      <c r="M14" s="395"/>
    </row>
    <row r="15" spans="2:13" customFormat="1" ht="16.5" thickBot="1" x14ac:dyDescent="0.3">
      <c r="B15" s="281"/>
      <c r="C15" s="282"/>
      <c r="D15" s="3"/>
      <c r="E15" s="3"/>
      <c r="F15" s="3"/>
      <c r="H15" s="168"/>
      <c r="I15" s="393"/>
      <c r="J15" s="394"/>
      <c r="K15" s="394"/>
      <c r="L15" s="394"/>
      <c r="M15" s="395"/>
    </row>
    <row r="16" spans="2:13" ht="19.5" thickBot="1" x14ac:dyDescent="0.3">
      <c r="B16" s="419" t="s">
        <v>132</v>
      </c>
      <c r="C16" s="420"/>
      <c r="D16" s="77"/>
      <c r="E16" s="80" t="s">
        <v>140</v>
      </c>
      <c r="F16" s="120" t="s">
        <v>182</v>
      </c>
      <c r="G16" s="137" t="str">
        <f>IF(ISBLANK(F16),"&lt;---- This field cannot be left empty!",IF(NOT(ISERROR(FIND("&lt;",F16))),"&lt;---- Please enter a valid date",IF(F16-IFERROR(VLOOKUP("Last test start",'HIDDEN Testrun Results'!$A:$B,2,FALSE),"0")&lt;0,"&lt;---- This date cannot be before the date of the last log file","")))</f>
        <v>&lt;---- Please enter a valid date</v>
      </c>
      <c r="I16" s="393"/>
      <c r="J16" s="394"/>
      <c r="K16" s="394"/>
      <c r="L16" s="394"/>
      <c r="M16" s="395"/>
    </row>
    <row r="17" spans="2:13" ht="21.75" customHeight="1" x14ac:dyDescent="0.25">
      <c r="B17" s="68" t="s">
        <v>89</v>
      </c>
      <c r="C17" s="124" t="s">
        <v>183</v>
      </c>
      <c r="D17" s="78"/>
      <c r="E17" s="121" t="s">
        <v>141</v>
      </c>
      <c r="F17" s="122"/>
      <c r="G17" s="137" t="str">
        <f t="shared" ref="G17:G21" si="0">IF(ISBLANK(C17),"&lt;---- This field cannot be left empty!",IF(NOT(ISERROR(FIND("&lt;",C17))),"&lt;---- Please enter a valid value",""))</f>
        <v>&lt;---- Please enter a valid value</v>
      </c>
      <c r="I17" s="393"/>
      <c r="J17" s="394"/>
      <c r="K17" s="394"/>
      <c r="L17" s="394"/>
      <c r="M17" s="395"/>
    </row>
    <row r="18" spans="2:13" ht="21.75" customHeight="1" x14ac:dyDescent="0.25">
      <c r="B18" s="69" t="s">
        <v>133</v>
      </c>
      <c r="C18" s="125" t="s">
        <v>134</v>
      </c>
      <c r="D18" s="78"/>
      <c r="E18" s="393"/>
      <c r="F18" s="395"/>
      <c r="G18" s="137" t="str">
        <f t="shared" si="0"/>
        <v>&lt;---- Please enter a valid value</v>
      </c>
      <c r="I18" s="393"/>
      <c r="J18" s="394"/>
      <c r="K18" s="394"/>
      <c r="L18" s="394"/>
      <c r="M18" s="395"/>
    </row>
    <row r="19" spans="2:13" ht="21.75" customHeight="1" x14ac:dyDescent="0.25">
      <c r="B19" s="69" t="s">
        <v>135</v>
      </c>
      <c r="C19" s="126" t="s">
        <v>181</v>
      </c>
      <c r="D19" s="78"/>
      <c r="E19" s="393"/>
      <c r="F19" s="395"/>
      <c r="G19" s="137" t="str">
        <f t="shared" si="0"/>
        <v>&lt;---- Please enter a valid value</v>
      </c>
      <c r="I19" s="393"/>
      <c r="J19" s="394"/>
      <c r="K19" s="394"/>
      <c r="L19" s="394"/>
      <c r="M19" s="395"/>
    </row>
    <row r="20" spans="2:13" ht="21.75" customHeight="1" x14ac:dyDescent="0.25">
      <c r="B20" s="69" t="s">
        <v>136</v>
      </c>
      <c r="C20" s="126" t="s">
        <v>184</v>
      </c>
      <c r="D20" s="78"/>
      <c r="E20" s="393"/>
      <c r="F20" s="395"/>
      <c r="G20" s="137" t="str">
        <f t="shared" si="0"/>
        <v>&lt;---- Please enter a valid value</v>
      </c>
      <c r="I20" s="393"/>
      <c r="J20" s="394"/>
      <c r="K20" s="394"/>
      <c r="L20" s="394"/>
      <c r="M20" s="395"/>
    </row>
    <row r="21" spans="2:13" ht="21.75" customHeight="1" thickBot="1" x14ac:dyDescent="0.3">
      <c r="B21" s="70" t="s">
        <v>137</v>
      </c>
      <c r="C21" s="127" t="s">
        <v>178</v>
      </c>
      <c r="D21" s="79"/>
      <c r="E21" s="396"/>
      <c r="F21" s="398"/>
      <c r="G21" s="137" t="str">
        <f t="shared" si="0"/>
        <v>&lt;---- Please enter a valid value</v>
      </c>
      <c r="I21" s="396"/>
      <c r="J21" s="397"/>
      <c r="K21" s="397"/>
      <c r="L21" s="397"/>
      <c r="M21" s="398"/>
    </row>
    <row r="22" spans="2:13" ht="16.5" customHeight="1" x14ac:dyDescent="0.25"/>
    <row r="23" spans="2:13" ht="15.75" thickBot="1" x14ac:dyDescent="0.3"/>
    <row r="24" spans="2:13" ht="19.5" thickBot="1" x14ac:dyDescent="0.3">
      <c r="B24" s="399" t="s">
        <v>138</v>
      </c>
      <c r="C24" s="400"/>
      <c r="D24" s="77"/>
      <c r="E24" s="80" t="s">
        <v>140</v>
      </c>
      <c r="F24" s="120" t="s">
        <v>182</v>
      </c>
      <c r="G24" s="137" t="str">
        <f>IF(ISBLANK(F24),"&lt;---- This field cannot be left empty!",IF(NOT(ISERROR(FIND("&lt;",F24))),"&lt;---- Please enter a valid date",IF(F24-IFERROR(VLOOKUP("Last test start",'HIDDEN Testrun Results'!$A:$B,2,FALSE),"0")&lt;0,"&lt;---- This date cannot be before the date of the last log file",IF(F24&lt;F16,"&lt;---- The test lab signature date cannot be earlier than the vendor signature date",""))))</f>
        <v>&lt;---- Please enter a valid date</v>
      </c>
    </row>
    <row r="25" spans="2:13" ht="23.25" customHeight="1" x14ac:dyDescent="0.25">
      <c r="B25" s="97" t="s">
        <v>162</v>
      </c>
      <c r="C25" s="128" t="s">
        <v>165</v>
      </c>
      <c r="D25" s="78"/>
      <c r="E25" s="121" t="s">
        <v>141</v>
      </c>
      <c r="F25" s="123"/>
      <c r="G25" s="137" t="str">
        <f>IF(ISBLANK(C25),"&lt;---- This field cannot be left empty!",IF(NOT(ISERROR(FIND("&lt;",C25))),"&lt;---- Please enter a valid date",""))</f>
        <v>&lt;---- Please enter a valid date</v>
      </c>
    </row>
    <row r="26" spans="2:13" ht="23.25" customHeight="1" x14ac:dyDescent="0.25">
      <c r="B26" s="95" t="s">
        <v>163</v>
      </c>
      <c r="C26" s="129" t="s">
        <v>164</v>
      </c>
      <c r="D26" s="78"/>
      <c r="E26" s="421"/>
      <c r="F26" s="422"/>
      <c r="G26" s="137" t="str">
        <f>IF(ISBLANK(C26),"&lt;---- This field cannot be left empty!",IF(NOT(ISERROR(FIND("&lt;",C26))),"&lt;---- Please enter a valid value",""))</f>
        <v>&lt;---- Please enter a valid value</v>
      </c>
    </row>
    <row r="27" spans="2:13" ht="23.25" customHeight="1" x14ac:dyDescent="0.25">
      <c r="B27" s="95" t="s">
        <v>142</v>
      </c>
      <c r="C27" s="130" t="s">
        <v>187</v>
      </c>
      <c r="D27" s="78"/>
      <c r="E27" s="421"/>
      <c r="F27" s="422"/>
      <c r="G27" s="137" t="str">
        <f t="shared" ref="G27:G33" si="1">IF(ISBLANK(C27),"&lt;---- This field cannot be left empty!",IF(NOT(ISERROR(FIND("&lt;",C27))),"&lt;---- Please enter a valid value",""))</f>
        <v>&lt;---- Please enter a valid value</v>
      </c>
    </row>
    <row r="28" spans="2:13" ht="23.25" customHeight="1" x14ac:dyDescent="0.25">
      <c r="B28" s="98" t="s">
        <v>89</v>
      </c>
      <c r="C28" s="131" t="s">
        <v>185</v>
      </c>
      <c r="D28" s="78"/>
      <c r="E28" s="421"/>
      <c r="F28" s="422"/>
      <c r="G28" s="137" t="str">
        <f t="shared" si="1"/>
        <v>&lt;---- Please enter a valid value</v>
      </c>
    </row>
    <row r="29" spans="2:13" ht="23.25" customHeight="1" x14ac:dyDescent="0.25">
      <c r="B29" s="98" t="s">
        <v>522</v>
      </c>
      <c r="C29" s="226" t="s">
        <v>523</v>
      </c>
      <c r="D29" s="181"/>
      <c r="E29" s="421"/>
      <c r="F29" s="422"/>
      <c r="G29" s="137" t="str">
        <f>IF(NOT(ISERROR(FIND("&lt;",C29))),"&lt;---- Please enter a valid value or leave empty when not applicable",IF(C28=C29,"&lt;---- Reviewer cannot be the same as the lab representative, please leave empty if not applicable.",""))</f>
        <v>&lt;---- Please enter a valid value or leave empty when not applicable</v>
      </c>
    </row>
    <row r="30" spans="2:13" ht="23.25" customHeight="1" x14ac:dyDescent="0.25">
      <c r="B30" s="99" t="s">
        <v>133</v>
      </c>
      <c r="C30" s="132" t="s">
        <v>179</v>
      </c>
      <c r="D30" s="96"/>
      <c r="E30" s="421"/>
      <c r="F30" s="422"/>
      <c r="G30" s="137" t="str">
        <f t="shared" si="1"/>
        <v>&lt;---- Please enter a valid value</v>
      </c>
    </row>
    <row r="31" spans="2:13" ht="23.25" customHeight="1" x14ac:dyDescent="0.25">
      <c r="B31" s="99" t="s">
        <v>135</v>
      </c>
      <c r="C31" s="132" t="s">
        <v>180</v>
      </c>
      <c r="E31" s="421"/>
      <c r="F31" s="422"/>
      <c r="G31" s="137" t="str">
        <f t="shared" si="1"/>
        <v>&lt;---- Please enter a valid value</v>
      </c>
    </row>
    <row r="32" spans="2:13" ht="23.25" customHeight="1" x14ac:dyDescent="0.25">
      <c r="B32" s="99" t="s">
        <v>136</v>
      </c>
      <c r="C32" s="132" t="s">
        <v>186</v>
      </c>
      <c r="D32" s="78"/>
      <c r="E32" s="421"/>
      <c r="F32" s="422"/>
      <c r="G32" s="137" t="str">
        <f t="shared" si="1"/>
        <v>&lt;---- Please enter a valid value</v>
      </c>
    </row>
    <row r="33" spans="2:7" ht="23.25" customHeight="1" thickBot="1" x14ac:dyDescent="0.3">
      <c r="B33" s="100" t="s">
        <v>137</v>
      </c>
      <c r="C33" s="133" t="s">
        <v>177</v>
      </c>
      <c r="D33" s="79"/>
      <c r="E33" s="423"/>
      <c r="F33" s="424"/>
      <c r="G33" s="137" t="str">
        <f t="shared" si="1"/>
        <v>&lt;---- Please enter a valid value</v>
      </c>
    </row>
    <row r="34" spans="2:7" ht="23.25" customHeight="1" thickBot="1" x14ac:dyDescent="0.3"/>
    <row r="35" spans="2:7" ht="23.25" customHeight="1" thickBot="1" x14ac:dyDescent="0.3">
      <c r="B35" s="399" t="s">
        <v>602</v>
      </c>
      <c r="C35" s="400"/>
    </row>
    <row r="36" spans="2:7" ht="23.25" customHeight="1" x14ac:dyDescent="0.25">
      <c r="B36" s="97" t="s">
        <v>603</v>
      </c>
      <c r="C36" s="312" t="str">
        <f>IF(IFERROR(VLOOKUP(SUBSTITUTE(B36," ",""),'HIDDEN Testrun Results'!$A:$B,2,FALSE),"&lt;will be filled in by testlab&gt;")="&lt;will be filled in by testlab&gt;","&lt;will be filled in by testlab&gt;",SUBSTITUTE(VLOOKUP(SUBSTITUTE(B36," ",""),'HIDDEN Testrun Results'!$A:$B,2,FALSE)," ",", "))</f>
        <v>&lt;will be filled in by testlab&gt;</v>
      </c>
    </row>
    <row r="37" spans="2:7" ht="23.25" customHeight="1" x14ac:dyDescent="0.25">
      <c r="B37" s="286" t="s">
        <v>622</v>
      </c>
      <c r="C37" s="313" t="str">
        <f>IFERROR(VLOOKUP(SUBSTITUTE(B37," ",""),'HIDDEN Testrun Results'!$A:$B,2,FALSE),"&lt;will be filled in by testlab&gt;")</f>
        <v>&lt;will be filled in by testlab&gt;</v>
      </c>
    </row>
    <row r="38" spans="2:7" ht="23.25" customHeight="1" thickBot="1" x14ac:dyDescent="0.3">
      <c r="B38" s="314" t="s">
        <v>604</v>
      </c>
      <c r="C38" s="315" t="str">
        <f>VLOOKUP("ConfigID",'HIDDEN calc sheet'!A:B,2,FALSE)</f>
        <v>45EE6184-C558433F</v>
      </c>
    </row>
    <row r="39" spans="2:7" ht="23.25" customHeight="1" x14ac:dyDescent="0.25"/>
    <row r="40" spans="2:7" ht="15.75" thickBot="1" x14ac:dyDescent="0.3"/>
    <row r="41" spans="2:7" ht="15.75" thickBot="1" x14ac:dyDescent="0.3">
      <c r="B41" s="416" t="s">
        <v>550</v>
      </c>
      <c r="C41" s="417"/>
      <c r="D41" s="417"/>
      <c r="E41" s="417"/>
      <c r="F41" s="418"/>
    </row>
    <row r="42" spans="2:7" x14ac:dyDescent="0.25">
      <c r="B42" s="231"/>
      <c r="C42" s="232"/>
      <c r="D42" s="232"/>
      <c r="E42" s="232"/>
      <c r="F42" s="233"/>
    </row>
    <row r="43" spans="2:7" x14ac:dyDescent="0.25">
      <c r="B43" s="231"/>
      <c r="C43" s="232"/>
      <c r="D43" s="232"/>
      <c r="E43" s="232"/>
      <c r="F43" s="233"/>
    </row>
    <row r="44" spans="2:7" x14ac:dyDescent="0.25">
      <c r="B44" s="231"/>
      <c r="C44" s="232"/>
      <c r="D44" s="232"/>
      <c r="E44" s="232"/>
      <c r="F44" s="233"/>
    </row>
    <row r="45" spans="2:7" x14ac:dyDescent="0.25">
      <c r="B45" s="231"/>
      <c r="C45" s="232"/>
      <c r="D45" s="232"/>
      <c r="E45" s="232"/>
      <c r="F45" s="233"/>
    </row>
    <row r="46" spans="2:7" x14ac:dyDescent="0.25">
      <c r="B46" s="231"/>
      <c r="C46" s="232"/>
      <c r="D46" s="232"/>
      <c r="E46" s="232"/>
      <c r="F46" s="233"/>
    </row>
    <row r="47" spans="2:7" x14ac:dyDescent="0.25">
      <c r="B47" s="231"/>
      <c r="C47" s="232"/>
      <c r="D47" s="232"/>
      <c r="E47" s="232"/>
      <c r="F47" s="233"/>
    </row>
    <row r="48" spans="2:7" x14ac:dyDescent="0.25">
      <c r="B48" s="231"/>
      <c r="C48" s="232"/>
      <c r="D48" s="232"/>
      <c r="E48" s="232"/>
      <c r="F48" s="233"/>
    </row>
    <row r="49" spans="2:6" x14ac:dyDescent="0.25">
      <c r="B49" s="231"/>
      <c r="C49" s="232"/>
      <c r="D49" s="232"/>
      <c r="E49" s="232"/>
      <c r="F49" s="233"/>
    </row>
    <row r="50" spans="2:6" x14ac:dyDescent="0.25">
      <c r="B50" s="231"/>
      <c r="C50" s="232"/>
      <c r="D50" s="232"/>
      <c r="E50" s="232"/>
      <c r="F50" s="233"/>
    </row>
    <row r="51" spans="2:6" x14ac:dyDescent="0.25">
      <c r="B51" s="231"/>
      <c r="C51" s="232"/>
      <c r="D51" s="232"/>
      <c r="E51" s="232"/>
      <c r="F51" s="233"/>
    </row>
    <row r="52" spans="2:6" x14ac:dyDescent="0.25">
      <c r="B52" s="231"/>
      <c r="C52" s="232"/>
      <c r="D52" s="232"/>
      <c r="E52" s="232"/>
      <c r="F52" s="233"/>
    </row>
    <row r="53" spans="2:6" x14ac:dyDescent="0.25">
      <c r="B53" s="231"/>
      <c r="C53" s="232"/>
      <c r="D53" s="232"/>
      <c r="E53" s="232"/>
      <c r="F53" s="233"/>
    </row>
    <row r="54" spans="2:6" x14ac:dyDescent="0.25">
      <c r="B54" s="231"/>
      <c r="C54" s="232"/>
      <c r="D54" s="232"/>
      <c r="E54" s="232"/>
      <c r="F54" s="233"/>
    </row>
    <row r="55" spans="2:6" x14ac:dyDescent="0.25">
      <c r="B55" s="231"/>
      <c r="C55" s="232"/>
      <c r="D55" s="232"/>
      <c r="E55" s="232"/>
      <c r="F55" s="233"/>
    </row>
    <row r="56" spans="2:6" x14ac:dyDescent="0.25">
      <c r="B56" s="231"/>
      <c r="C56" s="232"/>
      <c r="D56" s="232"/>
      <c r="E56" s="232"/>
      <c r="F56" s="233"/>
    </row>
    <row r="57" spans="2:6" x14ac:dyDescent="0.25">
      <c r="B57" s="231"/>
      <c r="C57" s="232"/>
      <c r="D57" s="232"/>
      <c r="E57" s="232"/>
      <c r="F57" s="233"/>
    </row>
    <row r="58" spans="2:6" x14ac:dyDescent="0.25">
      <c r="B58" s="231"/>
      <c r="C58" s="232"/>
      <c r="D58" s="232"/>
      <c r="E58" s="232"/>
      <c r="F58" s="233"/>
    </row>
    <row r="59" spans="2:6" x14ac:dyDescent="0.25">
      <c r="B59" s="231"/>
      <c r="C59" s="232"/>
      <c r="D59" s="232"/>
      <c r="E59" s="232"/>
      <c r="F59" s="233"/>
    </row>
    <row r="60" spans="2:6" x14ac:dyDescent="0.25">
      <c r="B60" s="231"/>
      <c r="C60" s="232"/>
      <c r="D60" s="232"/>
      <c r="E60" s="232"/>
      <c r="F60" s="233"/>
    </row>
    <row r="61" spans="2:6" x14ac:dyDescent="0.25">
      <c r="B61" s="231"/>
      <c r="C61" s="232"/>
      <c r="D61" s="232"/>
      <c r="E61" s="232"/>
      <c r="F61" s="233"/>
    </row>
    <row r="62" spans="2:6" x14ac:dyDescent="0.25">
      <c r="B62" s="231"/>
      <c r="C62" s="232"/>
      <c r="D62" s="232"/>
      <c r="E62" s="232"/>
      <c r="F62" s="233"/>
    </row>
    <row r="63" spans="2:6" x14ac:dyDescent="0.25">
      <c r="B63" s="231"/>
      <c r="C63" s="232"/>
      <c r="D63" s="232"/>
      <c r="E63" s="232"/>
      <c r="F63" s="233"/>
    </row>
    <row r="64" spans="2:6" x14ac:dyDescent="0.25">
      <c r="B64" s="231"/>
      <c r="C64" s="232"/>
      <c r="D64" s="232"/>
      <c r="E64" s="232"/>
      <c r="F64" s="233"/>
    </row>
    <row r="65" spans="2:6" x14ac:dyDescent="0.25">
      <c r="B65" s="231"/>
      <c r="C65" s="232"/>
      <c r="D65" s="232"/>
      <c r="E65" s="232"/>
      <c r="F65" s="233"/>
    </row>
    <row r="66" spans="2:6" x14ac:dyDescent="0.25">
      <c r="B66" s="231"/>
      <c r="C66" s="232"/>
      <c r="D66" s="232"/>
      <c r="E66" s="232"/>
      <c r="F66" s="233"/>
    </row>
    <row r="67" spans="2:6" x14ac:dyDescent="0.25">
      <c r="B67" s="231"/>
      <c r="C67" s="232"/>
      <c r="D67" s="232"/>
      <c r="E67" s="232"/>
      <c r="F67" s="233"/>
    </row>
    <row r="68" spans="2:6" x14ac:dyDescent="0.25">
      <c r="B68" s="231"/>
      <c r="C68" s="232"/>
      <c r="D68" s="232"/>
      <c r="E68" s="232"/>
      <c r="F68" s="233"/>
    </row>
    <row r="69" spans="2:6" x14ac:dyDescent="0.25">
      <c r="B69" s="231"/>
      <c r="C69" s="232"/>
      <c r="D69" s="232"/>
      <c r="E69" s="232"/>
      <c r="F69" s="233"/>
    </row>
    <row r="70" spans="2:6" x14ac:dyDescent="0.25">
      <c r="B70" s="231"/>
      <c r="C70" s="232"/>
      <c r="D70" s="232"/>
      <c r="E70" s="232"/>
      <c r="F70" s="233"/>
    </row>
    <row r="71" spans="2:6" x14ac:dyDescent="0.25">
      <c r="B71" s="231"/>
      <c r="C71" s="232"/>
      <c r="D71" s="232"/>
      <c r="E71" s="232"/>
      <c r="F71" s="233"/>
    </row>
    <row r="72" spans="2:6" x14ac:dyDescent="0.25">
      <c r="B72" s="231"/>
      <c r="C72" s="232"/>
      <c r="D72" s="232"/>
      <c r="E72" s="232"/>
      <c r="F72" s="233"/>
    </row>
    <row r="73" spans="2:6" x14ac:dyDescent="0.25">
      <c r="B73" s="231"/>
      <c r="C73" s="232"/>
      <c r="D73" s="232"/>
      <c r="E73" s="232"/>
      <c r="F73" s="233"/>
    </row>
    <row r="74" spans="2:6" x14ac:dyDescent="0.25">
      <c r="B74" s="231"/>
      <c r="C74" s="232"/>
      <c r="D74" s="232"/>
      <c r="E74" s="232"/>
      <c r="F74" s="233"/>
    </row>
    <row r="75" spans="2:6" x14ac:dyDescent="0.25">
      <c r="B75" s="231"/>
      <c r="C75" s="232"/>
      <c r="D75" s="232"/>
      <c r="E75" s="232"/>
      <c r="F75" s="233"/>
    </row>
    <row r="76" spans="2:6" x14ac:dyDescent="0.25">
      <c r="B76" s="231"/>
      <c r="C76" s="232"/>
      <c r="D76" s="232"/>
      <c r="E76" s="232"/>
      <c r="F76" s="233"/>
    </row>
    <row r="77" spans="2:6" x14ac:dyDescent="0.25">
      <c r="B77" s="231"/>
      <c r="C77" s="232"/>
      <c r="D77" s="232"/>
      <c r="E77" s="232"/>
      <c r="F77" s="233"/>
    </row>
    <row r="78" spans="2:6" x14ac:dyDescent="0.25">
      <c r="B78" s="231"/>
      <c r="C78" s="232"/>
      <c r="D78" s="232"/>
      <c r="E78" s="232"/>
      <c r="F78" s="233"/>
    </row>
    <row r="79" spans="2:6" x14ac:dyDescent="0.25">
      <c r="B79" s="231"/>
      <c r="C79" s="232"/>
      <c r="D79" s="232"/>
      <c r="E79" s="232"/>
      <c r="F79" s="233"/>
    </row>
    <row r="80" spans="2:6" x14ac:dyDescent="0.25">
      <c r="B80" s="231"/>
      <c r="C80" s="232"/>
      <c r="D80" s="232"/>
      <c r="E80" s="232"/>
      <c r="F80" s="233"/>
    </row>
    <row r="81" spans="2:6" x14ac:dyDescent="0.25">
      <c r="B81" s="231"/>
      <c r="C81" s="232"/>
      <c r="D81" s="232"/>
      <c r="E81" s="232"/>
      <c r="F81" s="233"/>
    </row>
    <row r="82" spans="2:6" x14ac:dyDescent="0.25">
      <c r="B82" s="231"/>
      <c r="C82" s="232"/>
      <c r="D82" s="232"/>
      <c r="E82" s="232"/>
      <c r="F82" s="233"/>
    </row>
    <row r="83" spans="2:6" x14ac:dyDescent="0.25">
      <c r="B83" s="231"/>
      <c r="C83" s="232"/>
      <c r="D83" s="232"/>
      <c r="E83" s="232"/>
      <c r="F83" s="233"/>
    </row>
    <row r="84" spans="2:6" ht="15.75" thickBot="1" x14ac:dyDescent="0.3">
      <c r="B84" s="234"/>
      <c r="C84" s="235"/>
      <c r="D84" s="235"/>
      <c r="E84" s="235"/>
      <c r="F84" s="236"/>
    </row>
  </sheetData>
  <sheetProtection algorithmName="SHA-512" hashValue="eWXhOGmPRJM8VHQZTY77KjgAWKJaLVgse4WCEk+bFWX9wbOpKYQ4Jtv3KUxoHhBpemFsVrqzZobtI/KZHGcVaw==" saltValue="M5WemSIG/I0H3j9M/OH0ZQ==" spinCount="100000" sheet="1" formatCells="0" formatColumns="0" formatRows="0"/>
  <mergeCells count="19">
    <mergeCell ref="B41:F41"/>
    <mergeCell ref="B16:C16"/>
    <mergeCell ref="B24:C24"/>
    <mergeCell ref="E18:F21"/>
    <mergeCell ref="E26:F33"/>
    <mergeCell ref="I5:M6"/>
    <mergeCell ref="I7:M21"/>
    <mergeCell ref="B35:C35"/>
    <mergeCell ref="C1:F1"/>
    <mergeCell ref="C2:F2"/>
    <mergeCell ref="B9:G9"/>
    <mergeCell ref="D10:E10"/>
    <mergeCell ref="D11:E11"/>
    <mergeCell ref="D12:E12"/>
    <mergeCell ref="D13:E13"/>
    <mergeCell ref="D14:E14"/>
    <mergeCell ref="B5:G5"/>
    <mergeCell ref="C6:G6"/>
    <mergeCell ref="C7:G7"/>
  </mergeCells>
  <conditionalFormatting sqref="I1:I4">
    <cfRule type="cellIs" dxfId="3" priority="1" operator="equal">
      <formula>"INVALID"</formula>
    </cfRule>
    <cfRule type="cellIs" dxfId="2" priority="2" operator="equal">
      <formula>"VALID"</formula>
    </cfRule>
  </conditionalFormatting>
  <dataValidations count="4">
    <dataValidation type="date" operator="greaterThan" allowBlank="1" showInputMessage="1" showErrorMessage="1" sqref="C25 F24 F16" xr:uid="{ED79C86B-D7E5-4B02-BFA4-8DCF8A860946}">
      <formula1>45108</formula1>
    </dataValidation>
    <dataValidation type="whole" allowBlank="1" showInputMessage="1" showErrorMessage="1" sqref="D11:E14" xr:uid="{20C17DFC-2FCF-40D7-B5E3-D4B8562F7DFF}">
      <formula1>1</formula1>
      <formula2>65535</formula2>
    </dataValidation>
    <dataValidation type="list" allowBlank="1" showInputMessage="1" showErrorMessage="1" sqref="G11:G14" xr:uid="{E7E5D9F0-FBC2-474C-AB1D-AB54436C9478}">
      <formula1>"Yes,No"</formula1>
    </dataValidation>
    <dataValidation type="list" allowBlank="1" showInputMessage="1" showErrorMessage="1" sqref="F11:F14" xr:uid="{C42F3791-9640-4581-B442-62BC9262E484}">
      <formula1>"Inbound,Outbound"</formula1>
    </dataValidation>
  </dataValidations>
  <pageMargins left="0.7" right="0.7" top="0.75" bottom="0.75" header="0.3" footer="0.3"/>
  <pageSetup scale="77" orientation="portrait" r:id="rId1"/>
  <headerFooter>
    <oddFooter>&amp;C_x000D_&amp;1#&amp;"Arial"&amp;9&amp;K000000 Internal</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1D7215-8E0D-45C5-92A8-D7B52F495F5E}">
  <dimension ref="B1:O36"/>
  <sheetViews>
    <sheetView showGridLines="0" zoomScale="85" zoomScaleNormal="85" workbookViewId="0">
      <selection activeCell="G7" sqref="G7"/>
    </sheetView>
  </sheetViews>
  <sheetFormatPr defaultColWidth="8.875" defaultRowHeight="15.75" x14ac:dyDescent="0.25"/>
  <cols>
    <col min="1" max="1" width="1.625" customWidth="1"/>
    <col min="2" max="2" width="3.625" style="10" customWidth="1"/>
    <col min="3" max="3" width="14" customWidth="1"/>
    <col min="4" max="4" width="38.125" customWidth="1"/>
    <col min="5" max="5" width="47.875" customWidth="1"/>
    <col min="6" max="6" width="3.125" customWidth="1"/>
    <col min="7" max="7" width="22.375" customWidth="1"/>
    <col min="8" max="13" width="20.625" customWidth="1"/>
    <col min="14" max="14" width="16.375" customWidth="1"/>
    <col min="15" max="15" width="2.125" customWidth="1"/>
    <col min="16" max="16" width="28.375" customWidth="1"/>
    <col min="17" max="17" width="1.625" customWidth="1"/>
    <col min="18" max="18" width="20.875" bestFit="1" customWidth="1"/>
    <col min="19" max="19" width="21.125" bestFit="1" customWidth="1"/>
    <col min="20" max="20" width="20.125" bestFit="1" customWidth="1"/>
    <col min="21" max="21" width="21.125" customWidth="1"/>
    <col min="22" max="22" width="21.125" bestFit="1" customWidth="1"/>
    <col min="23" max="23" width="2.125" customWidth="1"/>
    <col min="24" max="25" width="22.125" customWidth="1"/>
  </cols>
  <sheetData>
    <row r="1" spans="3:14" ht="39" customHeight="1" x14ac:dyDescent="0.35">
      <c r="C1" s="358" t="s">
        <v>579</v>
      </c>
      <c r="D1" s="358"/>
      <c r="J1" s="245"/>
      <c r="K1" s="245"/>
      <c r="M1" s="246" t="str">
        <f>IF(AND('Hardware Feature set'!D15="Yes",'Hardware Feature set'!D16="Yes"),"INVALID",IF(NOT(ISERROR(FIND("&lt;",_xlfn.CONCAT(N5:N23)))),"INVALID",IF('Hardware Feature set'!D5&lt;&gt;"Charging Station","INVALID",IF(_xlfn.CONCAT(N5:N30)&lt;&gt;"","INVALID","VALID"))))</f>
        <v>INVALID</v>
      </c>
    </row>
    <row r="3" spans="3:14" x14ac:dyDescent="0.25">
      <c r="C3" t="s">
        <v>580</v>
      </c>
    </row>
    <row r="5" spans="3:14" ht="15.75" customHeight="1" x14ac:dyDescent="0.25">
      <c r="C5" s="434" t="s">
        <v>581</v>
      </c>
      <c r="D5" s="435"/>
      <c r="E5" s="436"/>
      <c r="G5" s="434" t="s">
        <v>582</v>
      </c>
      <c r="H5" s="435"/>
      <c r="I5" s="435"/>
      <c r="J5" s="435"/>
      <c r="K5" s="435"/>
      <c r="L5" s="435"/>
      <c r="M5" s="436"/>
      <c r="N5" s="247"/>
    </row>
    <row r="6" spans="3:14" ht="15.75" customHeight="1" x14ac:dyDescent="0.25">
      <c r="C6" s="256"/>
      <c r="D6" s="257"/>
    </row>
    <row r="7" spans="3:14" x14ac:dyDescent="0.25">
      <c r="C7" s="309" t="s">
        <v>89</v>
      </c>
      <c r="D7" s="258" t="s">
        <v>583</v>
      </c>
      <c r="E7" s="259" t="str">
        <f>'Hardware Feature set'!D7</f>
        <v>&lt;type name and / or model number&gt; </v>
      </c>
      <c r="G7" s="350" t="s">
        <v>634</v>
      </c>
      <c r="H7" s="351"/>
      <c r="I7" s="352"/>
      <c r="J7" s="352"/>
      <c r="K7" s="353"/>
      <c r="L7" s="351"/>
      <c r="M7" s="354"/>
    </row>
    <row r="8" spans="3:14" x14ac:dyDescent="0.25">
      <c r="E8" s="10"/>
      <c r="F8" s="10"/>
      <c r="G8" s="172"/>
      <c r="H8" s="10"/>
      <c r="I8" s="10"/>
      <c r="J8" s="10"/>
      <c r="K8" s="10"/>
      <c r="L8" s="10"/>
      <c r="M8" s="341"/>
    </row>
    <row r="9" spans="3:14" x14ac:dyDescent="0.25">
      <c r="C9" s="310" t="s">
        <v>619</v>
      </c>
      <c r="D9" s="258" t="s">
        <v>584</v>
      </c>
      <c r="E9" s="260" t="str">
        <f>VLOOKUP("ConfigID",'HIDDEN calc sheet'!A:B,2,FALSE)</f>
        <v>45EE6184-C558433F</v>
      </c>
      <c r="F9" s="248"/>
      <c r="G9" s="343" t="str">
        <f>IF(_xlfn.CONCAT(G13:G23)="","",VLOOKUP("FamilyMember_1_ConfigID",'HIDDEN calc sheet'!A:B,2,FALSE))</f>
        <v/>
      </c>
      <c r="H9" s="344" t="str">
        <f>IF(_xlfn.CONCAT(H13:H23)="","",VLOOKUP("FamilyMember_2_ConfigID",'HIDDEN calc sheet'!A:B,2,FALSE))</f>
        <v/>
      </c>
      <c r="I9" s="345" t="str">
        <f>IF(_xlfn.CONCAT(I13:I23)="","",VLOOKUP("FamilyMember_3_ConfigID",'HIDDEN calc sheet'!A:B,2,FALSE))</f>
        <v/>
      </c>
      <c r="J9" s="344" t="str">
        <f>IF(_xlfn.CONCAT(J13:J23)="","",VLOOKUP("FamilyMember_4_ConfigID",'HIDDEN calc sheet'!A:B,2,FALSE))</f>
        <v/>
      </c>
      <c r="K9" s="345" t="str">
        <f>IF(_xlfn.CONCAT(K13:K23)="","",VLOOKUP("FamilyMember_5_ConfigID",'HIDDEN calc sheet'!A:B,2,FALSE))</f>
        <v/>
      </c>
      <c r="L9" s="346" t="str">
        <f>IF(_xlfn.CONCAT(L13:L23)="","",VLOOKUP("FamilyMember_6_ConfigID",'HIDDEN calc sheet'!A:B,2,FALSE))</f>
        <v/>
      </c>
      <c r="M9" s="347" t="str">
        <f>IF(_xlfn.CONCAT(M13:M23)="","",VLOOKUP("FamilyMember_7_ConfigID",'HIDDEN calc sheet'!A:B,2,FALSE))</f>
        <v/>
      </c>
    </row>
    <row r="10" spans="3:14" ht="57.75" customHeight="1" x14ac:dyDescent="0.25">
      <c r="C10" s="311" t="s">
        <v>48</v>
      </c>
      <c r="D10" s="258" t="s">
        <v>48</v>
      </c>
      <c r="E10" s="342" t="s">
        <v>632</v>
      </c>
      <c r="F10" s="248"/>
      <c r="G10" s="355" t="s">
        <v>633</v>
      </c>
      <c r="H10" s="356"/>
      <c r="I10" s="348"/>
      <c r="J10" s="356"/>
      <c r="K10" s="348"/>
      <c r="L10" s="348"/>
      <c r="M10" s="349"/>
    </row>
    <row r="11" spans="3:14" x14ac:dyDescent="0.25">
      <c r="C11" s="288"/>
      <c r="E11" s="248"/>
      <c r="F11" s="248"/>
      <c r="G11" s="332"/>
      <c r="H11" s="333"/>
      <c r="I11" s="334"/>
      <c r="J11" s="333"/>
      <c r="K11" s="334"/>
      <c r="L11" s="335"/>
      <c r="M11" s="336"/>
    </row>
    <row r="12" spans="3:14" x14ac:dyDescent="0.25">
      <c r="C12" s="306" t="s">
        <v>12</v>
      </c>
      <c r="D12" s="291" t="s">
        <v>9</v>
      </c>
      <c r="E12" s="292"/>
      <c r="G12" s="337"/>
      <c r="I12" s="338"/>
      <c r="K12" s="338"/>
      <c r="L12" s="339"/>
      <c r="M12" s="340"/>
    </row>
    <row r="13" spans="3:14" x14ac:dyDescent="0.25">
      <c r="C13" s="261" t="str">
        <f>'Hardware Feature set'!B20</f>
        <v>HFS-8</v>
      </c>
      <c r="D13" s="259" t="str">
        <f>VLOOKUP(C13,'Hardware Feature set'!$B$13:$D$26,2,FALSE)</f>
        <v>No. Connectors</v>
      </c>
      <c r="E13" s="260">
        <f>VLOOKUP(C13,'Hardware Feature set'!$B$13:$D$26,3,FALSE)</f>
        <v>1</v>
      </c>
      <c r="F13" s="248"/>
      <c r="G13" s="276"/>
      <c r="H13" s="294"/>
      <c r="I13" s="277"/>
      <c r="J13" s="294"/>
      <c r="K13" s="277"/>
      <c r="L13" s="278"/>
      <c r="M13" s="279"/>
      <c r="N13" s="137" t="str">
        <f>IF(AND(E13=1,COUNTIF(G13:M13,"&gt;1")&gt;0),"&lt;-- Family member cannot have &gt;1 connector if representative product only has 1","")</f>
        <v/>
      </c>
    </row>
    <row r="14" spans="3:14" x14ac:dyDescent="0.25">
      <c r="C14" s="262" t="str">
        <f>'Hardware Feature set'!B21</f>
        <v>HFS-9</v>
      </c>
      <c r="D14" s="259" t="str">
        <f>VLOOKUP(C14,'Hardware Feature set'!$B$13:$D$26,2,FALSE)</f>
        <v>Communication technology  </v>
      </c>
      <c r="E14" s="260" t="str">
        <f>VLOOKUP(C14,'Hardware Feature set'!$B$13:$D$26,3,FALSE)</f>
        <v>&lt;specify supported communication technology/ies&gt;</v>
      </c>
      <c r="F14" s="248"/>
      <c r="G14" s="272"/>
      <c r="H14" s="50"/>
      <c r="I14" s="273"/>
      <c r="J14" s="50"/>
      <c r="K14" s="273"/>
      <c r="L14" s="274"/>
      <c r="M14" s="275"/>
    </row>
    <row r="15" spans="3:14" x14ac:dyDescent="0.25">
      <c r="C15" s="262" t="str">
        <f>'Hardware Feature set'!B22</f>
        <v>HFS-10</v>
      </c>
      <c r="D15" s="259" t="str">
        <f>VLOOKUP(C15,'Hardware Feature set'!$B$13:$D$26,2,FALSE)</f>
        <v>RFID readers </v>
      </c>
      <c r="E15" s="260" t="str">
        <f>VLOOKUP(C15,'Hardware Feature set'!$B$13:$D$26,3,FALSE)</f>
        <v>&lt;select RFID Reader configuration&gt;</v>
      </c>
      <c r="F15" s="248"/>
      <c r="G15" s="276"/>
      <c r="H15" s="294"/>
      <c r="I15" s="277"/>
      <c r="J15" s="294"/>
      <c r="K15" s="277"/>
      <c r="L15" s="278"/>
      <c r="M15" s="279"/>
      <c r="N15" s="137" t="str">
        <f>IF(NOT((COUNTIF(G15:M15,E15)+COUNTIF(G15:M15,"None"))=COUNTA(G7:M7)),"&lt;-- Family members must have the same no. RFID readers or None","")</f>
        <v>&lt;-- Family members must have the same no. RFID readers or None</v>
      </c>
    </row>
    <row r="16" spans="3:14" x14ac:dyDescent="0.25">
      <c r="C16" s="262" t="s">
        <v>588</v>
      </c>
      <c r="D16" s="259" t="str">
        <f>VLOOKUP(C16,'Hardware Feature set'!$B$13:$D$26,2,FALSE)</f>
        <v>DC power level (kW)</v>
      </c>
      <c r="E16" s="260" t="str">
        <f>VLOOKUP(C16,'Hardware Feature set'!$B$13:$D$26,3,FALSE)</f>
        <v>&lt;specify DC power level&gt;</v>
      </c>
      <c r="F16" s="248"/>
      <c r="G16" s="272"/>
      <c r="H16" s="50"/>
      <c r="I16" s="273"/>
      <c r="J16" s="50"/>
      <c r="K16" s="273"/>
      <c r="L16" s="274"/>
      <c r="M16" s="275"/>
      <c r="N16" s="137" t="str">
        <f>IF(AND(E16&gt;=50,COUNTIF(G16:M16,"&lt;50")&gt;0),"&lt;-- Family member cannot have power level below 50 kW if representative product is above 50 kW",IF(AND(E16&lt;50,COUNTIF(G16:M16,"&gt;=50")&gt;0),"&lt;-- Family member cannot have power level above 50 kW if representative product is below 50 kW",""))</f>
        <v/>
      </c>
    </row>
    <row r="17" spans="3:15" x14ac:dyDescent="0.25">
      <c r="C17" s="288"/>
      <c r="E17" s="248"/>
      <c r="F17" s="248"/>
      <c r="G17" s="332"/>
      <c r="H17" s="333"/>
      <c r="I17" s="334"/>
      <c r="J17" s="333"/>
      <c r="K17" s="334"/>
      <c r="L17" s="335"/>
      <c r="M17" s="336"/>
      <c r="N17" s="137"/>
    </row>
    <row r="18" spans="3:15" x14ac:dyDescent="0.25">
      <c r="C18" s="306" t="s">
        <v>12</v>
      </c>
      <c r="D18" s="291" t="s">
        <v>605</v>
      </c>
      <c r="E18" s="290"/>
      <c r="G18" s="337"/>
      <c r="I18" s="338"/>
      <c r="K18" s="338"/>
      <c r="L18" s="339"/>
      <c r="M18" s="340"/>
    </row>
    <row r="19" spans="3:15" ht="45" customHeight="1" x14ac:dyDescent="0.25">
      <c r="C19" s="262" t="s">
        <v>62</v>
      </c>
      <c r="D19" s="259" t="str">
        <f>VLOOKUP(C19,'Additional questions'!$B$4:$D$15,2,FALSE)</f>
        <v>Does your Charging Station enforce a selection of EVSE (by design) prior to authorization?</v>
      </c>
      <c r="E19" s="260" t="str">
        <f>VLOOKUP(C19,'Additional questions'!$B$4:$D$15,3,FALSE)</f>
        <v>No</v>
      </c>
      <c r="F19" s="248"/>
      <c r="G19" s="276"/>
      <c r="H19" s="294"/>
      <c r="I19" s="277"/>
      <c r="J19" s="294"/>
      <c r="K19" s="277"/>
      <c r="L19" s="278"/>
      <c r="M19" s="279"/>
      <c r="N19" s="137" t="str">
        <f>IF(AND(E19="Yes",COUNTIF(G19:M19,"No")&gt;0),"&lt;-- Family member cannot have AQ-5 set to No if representative product has it set to Yes","")</f>
        <v/>
      </c>
    </row>
    <row r="20" spans="3:15" x14ac:dyDescent="0.25">
      <c r="C20" s="288"/>
      <c r="E20" s="248"/>
      <c r="F20" s="248"/>
      <c r="G20" s="337"/>
      <c r="I20" s="338"/>
      <c r="K20" s="338"/>
      <c r="L20" s="339"/>
      <c r="M20" s="340"/>
      <c r="N20" s="137"/>
    </row>
    <row r="21" spans="3:15" x14ac:dyDescent="0.25">
      <c r="C21" s="307" t="s">
        <v>12</v>
      </c>
      <c r="D21" s="291" t="s">
        <v>606</v>
      </c>
      <c r="E21" s="290"/>
      <c r="G21" s="332"/>
      <c r="H21" s="333"/>
      <c r="I21" s="334"/>
      <c r="J21" s="333"/>
      <c r="K21" s="334"/>
      <c r="L21" s="335"/>
      <c r="M21" s="336"/>
    </row>
    <row r="22" spans="3:15" x14ac:dyDescent="0.25">
      <c r="C22" s="262" t="s">
        <v>539</v>
      </c>
      <c r="D22" s="259" t="str">
        <f>VLOOKUP(C22,'Optional features'!$B$17:$D$20,2,FALSE)</f>
        <v>MeterValuesSampledData</v>
      </c>
      <c r="E22" s="263" t="str">
        <f>VLOOKUP(C22,'Optional features'!$B$17:$D$20,3,FALSE)</f>
        <v>&lt;will be filled in by testlab&gt;</v>
      </c>
      <c r="F22" s="249"/>
      <c r="G22" s="272"/>
      <c r="H22" s="50"/>
      <c r="I22" s="273"/>
      <c r="J22" s="50"/>
      <c r="K22" s="273"/>
      <c r="L22" s="274"/>
      <c r="M22" s="275"/>
    </row>
    <row r="23" spans="3:15" x14ac:dyDescent="0.25">
      <c r="C23" s="262" t="s">
        <v>540</v>
      </c>
      <c r="D23" s="259" t="str">
        <f>VLOOKUP(C23,'Optional features'!$B$17:$D$20,2,FALSE)</f>
        <v>MeterValuesAlignedData</v>
      </c>
      <c r="E23" s="263" t="str">
        <f>VLOOKUP(C23,'Optional features'!$B$17:$D$20,3,FALSE)</f>
        <v>&lt;will be filled in by testlab&gt;</v>
      </c>
      <c r="F23" s="249"/>
      <c r="G23" s="295"/>
      <c r="H23" s="296"/>
      <c r="I23" s="297"/>
      <c r="J23" s="296"/>
      <c r="K23" s="297"/>
      <c r="L23" s="298"/>
      <c r="M23" s="299"/>
    </row>
    <row r="25" spans="3:15" ht="117" customHeight="1" x14ac:dyDescent="0.25">
      <c r="C25" s="293" t="s">
        <v>607</v>
      </c>
      <c r="D25" s="289"/>
      <c r="E25" s="290"/>
      <c r="G25" s="300"/>
      <c r="H25" s="301"/>
      <c r="I25" s="302"/>
      <c r="J25" s="301"/>
      <c r="K25" s="302"/>
      <c r="L25" s="303"/>
      <c r="M25" s="304"/>
    </row>
    <row r="29" spans="3:15" ht="41.25" customHeight="1" x14ac:dyDescent="0.25">
      <c r="C29" s="425" t="s">
        <v>585</v>
      </c>
      <c r="D29" s="425"/>
      <c r="E29" s="244"/>
      <c r="F29" s="244"/>
      <c r="G29" s="244"/>
      <c r="H29" s="244"/>
      <c r="I29" s="244"/>
      <c r="J29" s="244"/>
      <c r="K29" s="244"/>
      <c r="L29" s="244"/>
      <c r="M29" s="244"/>
      <c r="N29" s="244"/>
      <c r="O29" s="168"/>
    </row>
    <row r="30" spans="3:15" ht="16.5" thickBot="1" x14ac:dyDescent="0.3">
      <c r="C30" s="250"/>
      <c r="D30" s="250"/>
      <c r="E30" s="250"/>
      <c r="F30" s="250"/>
      <c r="G30" s="250"/>
      <c r="H30" s="250"/>
      <c r="I30" s="250"/>
      <c r="J30" s="250"/>
      <c r="K30" s="250"/>
      <c r="L30" s="250"/>
      <c r="M30" s="250"/>
      <c r="N30" s="250"/>
      <c r="O30" s="250"/>
    </row>
    <row r="31" spans="3:15" ht="19.5" thickBot="1" x14ac:dyDescent="0.3">
      <c r="C31" s="426" t="s">
        <v>132</v>
      </c>
      <c r="D31" s="427"/>
      <c r="E31" s="439" t="s">
        <v>140</v>
      </c>
      <c r="F31" s="440"/>
      <c r="G31" s="251" t="s">
        <v>182</v>
      </c>
      <c r="H31" s="137" t="str">
        <f>IF(ISBLANK(G31),"&lt;---- This field cannot be left empty!",IF(NOT(ISERROR(FIND("&lt;",G31))),"&lt;---- Please enter a valid date",""))</f>
        <v>&lt;---- Please enter a valid date</v>
      </c>
    </row>
    <row r="32" spans="3:15" ht="24.75" customHeight="1" x14ac:dyDescent="0.25">
      <c r="C32" s="264" t="s">
        <v>89</v>
      </c>
      <c r="D32" s="265" t="s">
        <v>183</v>
      </c>
      <c r="E32" s="437" t="s">
        <v>141</v>
      </c>
      <c r="F32" s="438"/>
      <c r="G32" s="252"/>
      <c r="H32" s="137" t="str">
        <f>IF(ISBLANK(D32),"&lt;---- This field cannot be left empty!",IF(NOT(ISERROR(FIND("&lt;",D32))),"&lt;---- Please enter a valid value",""))</f>
        <v>&lt;---- Please enter a valid value</v>
      </c>
    </row>
    <row r="33" spans="3:8" ht="24.75" customHeight="1" x14ac:dyDescent="0.25">
      <c r="C33" s="266" t="s">
        <v>133</v>
      </c>
      <c r="D33" s="267" t="s">
        <v>134</v>
      </c>
      <c r="E33" s="428"/>
      <c r="F33" s="429"/>
      <c r="G33" s="430"/>
      <c r="H33" s="137" t="str">
        <f>IF(ISBLANK(D33),"&lt;---- This field cannot be left empty!",IF(NOT(ISERROR(FIND("&lt;",D33))),"&lt;---- Please enter a valid value",""))</f>
        <v>&lt;---- Please enter a valid value</v>
      </c>
    </row>
    <row r="34" spans="3:8" ht="24.75" customHeight="1" x14ac:dyDescent="0.25">
      <c r="C34" s="266" t="s">
        <v>135</v>
      </c>
      <c r="D34" s="267" t="s">
        <v>181</v>
      </c>
      <c r="E34" s="428"/>
      <c r="F34" s="429"/>
      <c r="G34" s="430"/>
      <c r="H34" s="137" t="str">
        <f>IF(ISBLANK(D34),"&lt;---- This field cannot be left empty!",IF(NOT(ISERROR(FIND("&lt;",D34))),"&lt;---- Please enter a valid value",""))</f>
        <v>&lt;---- Please enter a valid value</v>
      </c>
    </row>
    <row r="35" spans="3:8" ht="24.75" customHeight="1" x14ac:dyDescent="0.25">
      <c r="C35" s="266" t="s">
        <v>136</v>
      </c>
      <c r="D35" s="267" t="s">
        <v>184</v>
      </c>
      <c r="E35" s="428"/>
      <c r="F35" s="429"/>
      <c r="G35" s="430"/>
      <c r="H35" s="137" t="str">
        <f>IF(ISBLANK(D35),"&lt;---- This field cannot be left empty!",IF(NOT(ISERROR(FIND("&lt;",D35))),"&lt;---- Please enter a valid value",""))</f>
        <v>&lt;---- Please enter a valid value</v>
      </c>
    </row>
    <row r="36" spans="3:8" ht="24.75" customHeight="1" thickBot="1" x14ac:dyDescent="0.3">
      <c r="C36" s="268" t="s">
        <v>137</v>
      </c>
      <c r="D36" s="269" t="s">
        <v>178</v>
      </c>
      <c r="E36" s="431"/>
      <c r="F36" s="432"/>
      <c r="G36" s="433"/>
      <c r="H36" s="137" t="str">
        <f>IF(ISBLANK(D36),"&lt;---- This field cannot be left empty!",IF(NOT(ISERROR(FIND("&lt;",D36))),"&lt;---- Please enter a valid value",""))</f>
        <v>&lt;---- Please enter a valid value</v>
      </c>
    </row>
  </sheetData>
  <sheetProtection algorithmName="SHA-512" hashValue="H6O4NWt/CE5mnOIasdPofwj7k6eJzd9jvi3oRyWxJOzF1BlAC+3kh5cNms27EzOvJe21321+vdNVScIktymqGA==" saltValue="rN5C6S3TA8G0P+esdjEtOw==" spinCount="100000" sheet="1" objects="1" scenarios="1"/>
  <mergeCells count="8">
    <mergeCell ref="C29:D29"/>
    <mergeCell ref="C31:D31"/>
    <mergeCell ref="E33:G36"/>
    <mergeCell ref="C1:D1"/>
    <mergeCell ref="G5:M5"/>
    <mergeCell ref="C5:E5"/>
    <mergeCell ref="E32:F32"/>
    <mergeCell ref="E31:F31"/>
  </mergeCells>
  <conditionalFormatting sqref="M1">
    <cfRule type="cellIs" dxfId="1" priority="1" operator="equal">
      <formula>"INVALID"</formula>
    </cfRule>
    <cfRule type="cellIs" dxfId="0" priority="2" operator="equal">
      <formula>"VALID"</formula>
    </cfRule>
  </conditionalFormatting>
  <dataValidations count="5">
    <dataValidation type="date" operator="greaterThan" allowBlank="1" showInputMessage="1" showErrorMessage="1" sqref="G31" xr:uid="{0B9AC6B0-601B-423A-910B-931B0B9C5C9F}">
      <formula1>45108</formula1>
    </dataValidation>
    <dataValidation type="list" allowBlank="1" showInputMessage="1" showErrorMessage="1" sqref="G19:M19" xr:uid="{D57AC3D7-AC78-A04C-BBE9-C95DE7F78207}">
      <formula1>"Yes;No"</formula1>
    </dataValidation>
    <dataValidation type="whole" operator="greaterThan" allowBlank="1" showInputMessage="1" showErrorMessage="1" sqref="G16:M16" xr:uid="{E94D3836-1B33-DA4B-BE12-F4ADD6884B9A}">
      <formula1>0</formula1>
    </dataValidation>
    <dataValidation type="list" allowBlank="1" showInputMessage="1" showErrorMessage="1" sqref="G15:M15" xr:uid="{A6AA5339-0EAC-4F45-ADAE-607366DAC789}">
      <formula1>"None,Single,One per EVSE"</formula1>
    </dataValidation>
    <dataValidation type="whole" showInputMessage="1" showErrorMessage="1" sqref="G13:M13" xr:uid="{34EE373B-8C13-794A-8EA5-76CB9C6904E7}">
      <formula1>1</formula1>
      <formula2>E13</formula2>
    </dataValidation>
  </dataValidations>
  <pageMargins left="0.7" right="0.7" top="0.75" bottom="0.75" header="0.3" footer="0.3"/>
  <pageSetup orientation="portrait" r:id="rId1"/>
  <ignoredErrors>
    <ignoredError sqref="G9:M9" unlockedFormula="1"/>
  </ignoredError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9A5F02-67F7-AC4D-A0FB-E39ED9F19490}">
  <dimension ref="A1:B2"/>
  <sheetViews>
    <sheetView workbookViewId="0"/>
  </sheetViews>
  <sheetFormatPr defaultColWidth="11" defaultRowHeight="15.75" x14ac:dyDescent="0.25"/>
  <cols>
    <col min="1" max="1" width="14.375" bestFit="1" customWidth="1"/>
    <col min="2" max="2" width="8.125" bestFit="1" customWidth="1"/>
  </cols>
  <sheetData>
    <row r="1" spans="1:2" x14ac:dyDescent="0.25">
      <c r="A1" t="s">
        <v>12</v>
      </c>
      <c r="B1" t="s">
        <v>139</v>
      </c>
    </row>
    <row r="2" spans="1:2" x14ac:dyDescent="0.25">
      <c r="A2" s="318"/>
      <c r="B2" s="319"/>
    </row>
  </sheetData>
  <pageMargins left="0.7" right="0.7" top="0.75" bottom="0.75" header="0.3" footer="0.3"/>
  <headerFooter>
    <oddFooter>&amp;C_x000D_&amp;1#&amp;"Arial"&amp;9&amp;K000000 Internal</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5DA6EC-228C-4B93-8847-10C87A627F19}">
  <dimension ref="A1:I82"/>
  <sheetViews>
    <sheetView topLeftCell="A39" zoomScaleNormal="100" workbookViewId="0">
      <selection activeCell="B41" sqref="B41"/>
    </sheetView>
  </sheetViews>
  <sheetFormatPr defaultColWidth="8.875" defaultRowHeight="15.75" x14ac:dyDescent="0.25"/>
  <cols>
    <col min="1" max="1" width="134.625" customWidth="1"/>
    <col min="2" max="2" width="29.125" style="10" customWidth="1"/>
    <col min="3" max="3" width="29.125" customWidth="1"/>
    <col min="4" max="5" width="10.125" customWidth="1"/>
    <col min="6" max="6" width="25.5" bestFit="1" customWidth="1"/>
  </cols>
  <sheetData>
    <row r="1" spans="1:9" x14ac:dyDescent="0.25">
      <c r="A1" s="1" t="s">
        <v>105</v>
      </c>
      <c r="B1" s="21" t="s">
        <v>106</v>
      </c>
      <c r="C1" s="1" t="s">
        <v>107</v>
      </c>
      <c r="D1" s="1" t="s">
        <v>108</v>
      </c>
      <c r="E1" s="1"/>
      <c r="I1" t="s">
        <v>109</v>
      </c>
    </row>
    <row r="2" spans="1:9" x14ac:dyDescent="0.25">
      <c r="A2" t="s">
        <v>435</v>
      </c>
      <c r="B2" s="10" t="b">
        <f>AND(VLOOKUP("C-04",'Optional features'!B:D,3,FALSE)="Yes",VLOOKUP("C-07",'Optional features'!B:D,3,FALSE)="Yes")</f>
        <v>0</v>
      </c>
      <c r="C2" t="b">
        <v>1</v>
      </c>
      <c r="D2" t="b">
        <f>NOT(ISERROR(VLOOKUP(A2,'Charging Station Testcases'!E:E,1,FALSE)=A2))</f>
        <v>0</v>
      </c>
    </row>
    <row r="3" spans="1:9" x14ac:dyDescent="0.25">
      <c r="A3" t="s">
        <v>329</v>
      </c>
      <c r="B3" s="10" t="b">
        <f>VLOOKUP("Security Profile 3: TLS (1.2 or higher) with Client Side Certificates",Security_profiles,2,FALSE)="Yes"</f>
        <v>0</v>
      </c>
      <c r="C3" t="b">
        <v>0</v>
      </c>
      <c r="D3" t="b">
        <f>NOT(ISERROR(VLOOKUP(A3,'Charging Station Testcases'!E:E,1,FALSE)=A3))</f>
        <v>1</v>
      </c>
    </row>
    <row r="4" spans="1:9" x14ac:dyDescent="0.25">
      <c r="A4" t="s">
        <v>437</v>
      </c>
      <c r="B4" s="10" t="b">
        <f>NOT(VLOOKUP("Local Authorization List Management",'Profile selection'!B:C,2,FALSE)="Yes")</f>
        <v>1</v>
      </c>
      <c r="C4" t="b">
        <v>0</v>
      </c>
      <c r="D4" t="b">
        <f>NOT(ISERROR(VLOOKUP(A4,'Charging Station Testcases'!E:E,1,FALSE)=A4))</f>
        <v>1</v>
      </c>
    </row>
    <row r="5" spans="1:9" x14ac:dyDescent="0.25">
      <c r="A5" t="s">
        <v>261</v>
      </c>
      <c r="B5" s="10" t="b">
        <f>NOT(VLOOKUP("Product Subtype",'Hardware Feature set'!C:D,2,FALSE)="Mode 1/2-only Charging Station")</f>
        <v>1</v>
      </c>
      <c r="C5" t="b">
        <v>0</v>
      </c>
      <c r="D5" t="b">
        <f>NOT(ISERROR(VLOOKUP(A5,'Charging Station Testcases'!E:E,1,FALSE)=A5))</f>
        <v>0</v>
      </c>
    </row>
    <row r="6" spans="1:9" x14ac:dyDescent="0.25">
      <c r="A6" t="s">
        <v>429</v>
      </c>
      <c r="B6" s="10" t="b">
        <f>NOT(VLOOKUP("Product Subtype",'Hardware Feature set'!C:D,2,FALSE)="Mode 1/2-only Charging Station")</f>
        <v>1</v>
      </c>
      <c r="C6" t="b">
        <v>0</v>
      </c>
      <c r="D6" t="b">
        <f>NOT(ISERROR(VLOOKUP(A6,'Charging Station Testcases'!E:E,1,FALSE)=A6))</f>
        <v>0</v>
      </c>
    </row>
    <row r="7" spans="1:9" x14ac:dyDescent="0.25">
      <c r="A7" s="2" t="s">
        <v>438</v>
      </c>
      <c r="B7" s="10" t="b">
        <f>AND(VLOOKUP("HFS-1",'Hardware Feature set'!B:D,3,FALSE)="Yes",NOT(VLOOKUP("Product Subtype",'Hardware Feature set'!C:D,2,FALSE)="Mode 1/2-only Charging Station"))</f>
        <v>0</v>
      </c>
      <c r="C7" t="b">
        <v>0</v>
      </c>
      <c r="D7" t="b">
        <f>NOT(ISERROR(VLOOKUP(A7,'Charging Station Testcases'!E:E,1,FALSE)=A7))</f>
        <v>1</v>
      </c>
    </row>
    <row r="8" spans="1:9" x14ac:dyDescent="0.25">
      <c r="A8" s="2" t="s">
        <v>439</v>
      </c>
      <c r="B8" s="10" t="b">
        <f>OR(VLOOKUP("HFS-2",'Hardware Feature set'!B:D,3,FALSE)="Yes",VLOOKUP("Product Subtype",'Hardware Feature set'!C:D,2,FALSE)="Mode 1/2-only Charging Station")</f>
        <v>0</v>
      </c>
      <c r="C8" t="b">
        <v>0</v>
      </c>
      <c r="D8" t="b">
        <f>NOT(ISERROR(VLOOKUP(A8,'Charging Station Testcases'!E:E,1,FALSE)=A8))</f>
        <v>1</v>
      </c>
    </row>
    <row r="9" spans="1:9" x14ac:dyDescent="0.25">
      <c r="A9" t="s">
        <v>440</v>
      </c>
      <c r="B9" s="10" t="b">
        <f>VLOOKUP("HFS-2",'Hardware Feature set'!B:D,3,FALSE)="No"</f>
        <v>1</v>
      </c>
      <c r="C9" t="b">
        <v>0</v>
      </c>
      <c r="D9" t="b">
        <f>NOT(ISERROR(VLOOKUP(A9,'Charging Station Testcases'!E:E,1,FALSE)=A9))</f>
        <v>1</v>
      </c>
    </row>
    <row r="10" spans="1:9" x14ac:dyDescent="0.25">
      <c r="A10" s="2" t="s">
        <v>441</v>
      </c>
      <c r="B10" s="10" t="b">
        <f>AND(VLOOKUP("C-01",'Optional features'!B:D,3,FALSE)="Yes",VLOOKUP("C-07",'Optional features'!B:D,3,FALSE)="Yes")</f>
        <v>0</v>
      </c>
      <c r="C10" t="b">
        <v>1</v>
      </c>
      <c r="D10" t="b">
        <f>NOT(ISERROR(VLOOKUP(A10,'Charging Station Testcases'!E:E,1,FALSE)=A10))</f>
        <v>0</v>
      </c>
    </row>
    <row r="11" spans="1:9" x14ac:dyDescent="0.25">
      <c r="A11" s="2" t="s">
        <v>461</v>
      </c>
      <c r="B11" s="10" t="b">
        <f>VLOOKUP("AQ-7.1",'Additional questions'!B:D,3,FALSE)="Yes"</f>
        <v>0</v>
      </c>
      <c r="C11" t="b">
        <v>1</v>
      </c>
      <c r="D11" t="b">
        <f>NOT(ISERROR(VLOOKUP(A11,'Charging Station Testcases'!E:E,1,FALSE)=A11))</f>
        <v>1</v>
      </c>
    </row>
    <row r="12" spans="1:9" x14ac:dyDescent="0.25">
      <c r="A12" s="2" t="s">
        <v>462</v>
      </c>
      <c r="B12" s="10" t="b">
        <f>VLOOKUP("AQ-7.2",'Additional questions'!B:D,3,FALSE)="Yes"</f>
        <v>1</v>
      </c>
      <c r="C12" t="b">
        <v>1</v>
      </c>
      <c r="D12" t="b">
        <f>NOT(ISERROR(VLOOKUP(A12,'Charging Station Testcases'!E:E,1,FALSE)=A12))</f>
        <v>1</v>
      </c>
    </row>
    <row r="13" spans="1:9" x14ac:dyDescent="0.25">
      <c r="A13" t="s">
        <v>327</v>
      </c>
      <c r="B13" s="10" t="b">
        <f>OR(VLOOKUP("Security Profile 1: Unsecured Transport with Basic Authentication",Security_profiles,2,FALSE)="Yes",VLOOKUP("Security Profile 2: TLS (1.2 or higher) with Basic Authentication",Security_profiles,2,FALSE)="Yes")</f>
        <v>0</v>
      </c>
      <c r="C13" t="b">
        <v>0</v>
      </c>
      <c r="D13" t="b">
        <f>NOT(ISERROR(VLOOKUP(A13,'Charging Station Testcases'!E:E,1,FALSE)=A13))</f>
        <v>0</v>
      </c>
    </row>
    <row r="14" spans="1:9" x14ac:dyDescent="0.25">
      <c r="A14" s="2" t="s">
        <v>562</v>
      </c>
      <c r="B14" s="10" t="b">
        <f>AND(NOT(VLOOKUP("Product Subtype",'Hardware Feature set'!C:D,2,FALSE)="Mode 1/2-only Charging Station"),VLOOKUP("C-06.1",'Optional features'!B:D,3,FALSE)="Yes")</f>
        <v>1</v>
      </c>
      <c r="C14" t="b">
        <v>1</v>
      </c>
      <c r="D14" t="b">
        <f>NOT(ISERROR(VLOOKUP(A14,'Charging Station Testcases'!E:E,1,FALSE)=A14))</f>
        <v>1</v>
      </c>
      <c r="E14" t="s">
        <v>561</v>
      </c>
    </row>
    <row r="15" spans="1:9" x14ac:dyDescent="0.25">
      <c r="A15" s="2" t="s">
        <v>450</v>
      </c>
      <c r="B15" s="10" t="b">
        <f>AND(VLOOKUP("HFS-2",'Hardware Feature set'!B:D,3,FALSE)="No",NOT(VLOOKUP("Product Subtype",'Hardware Feature set'!C:D,2,FALSE)="Mode 1/2-only Charging Station"),VLOOKUP("C-06.2",'Optional features'!B:D,3,FALSE)="Yes")</f>
        <v>0</v>
      </c>
      <c r="C15" t="b">
        <v>1</v>
      </c>
      <c r="D15" t="b">
        <f>NOT(ISERROR(VLOOKUP(A15,'Charging Station Testcases'!E:E,1,FALSE)=A15))</f>
        <v>1</v>
      </c>
    </row>
    <row r="16" spans="1:9" x14ac:dyDescent="0.25">
      <c r="A16" s="2" t="s">
        <v>451</v>
      </c>
      <c r="B16" s="10" t="b">
        <f>OR(VLOOKUP("Product Subtype",'Hardware Feature set'!C:D,2,FALSE)="Mode 1/2-only Charging Station",VLOOKUP("C-06.2",'Optional features'!B:D,3,FALSE)="Yes")</f>
        <v>0</v>
      </c>
      <c r="C16" t="b">
        <v>1</v>
      </c>
      <c r="D16" t="b">
        <f>NOT(ISERROR(VLOOKUP(A16,'Charging Station Testcases'!E:E,1,FALSE)=A16))</f>
        <v>1</v>
      </c>
    </row>
    <row r="17" spans="1:4" x14ac:dyDescent="0.25">
      <c r="A17" t="s">
        <v>452</v>
      </c>
      <c r="B17" s="10" t="b">
        <f>NOT(VLOOKUP("Product Subtype",'Hardware Feature set'!C:D,2,FALSE)="Mode 1/2-only Charging Station")</f>
        <v>1</v>
      </c>
      <c r="C17" t="b">
        <v>0</v>
      </c>
      <c r="D17" t="b">
        <f>NOT(ISERROR(VLOOKUP(A17,'Charging Station Testcases'!E:E,1,FALSE)=A17))</f>
        <v>1</v>
      </c>
    </row>
    <row r="18" spans="1:4" x14ac:dyDescent="0.25">
      <c r="A18" t="s">
        <v>457</v>
      </c>
      <c r="B18" s="10" t="b">
        <f>AND(VLOOKUP("C-07",'Optional features'!B:D,3,FALSE)="Yes",VLOOKUP("C-08",'Optional features'!B:D,3,FALSE)="Yes")</f>
        <v>1</v>
      </c>
      <c r="C18" t="b">
        <v>1</v>
      </c>
      <c r="D18" t="b">
        <f>NOT(ISERROR(VLOOKUP(A18,'Charging Station Testcases'!E:E,1,FALSE)=A18))</f>
        <v>1</v>
      </c>
    </row>
    <row r="19" spans="1:4" x14ac:dyDescent="0.25">
      <c r="A19" t="s">
        <v>458</v>
      </c>
      <c r="B19" s="10" t="b">
        <f>AND(VLOOKUP("C-04",'Optional features'!B:D,3,FALSE)="Yes",VLOOKUP("C-07",'Optional features'!B:D,3,FALSE)="Yes",VLOOKUP("C-08",'Optional features'!B:D,3,FALSE)="Yes")</f>
        <v>0</v>
      </c>
      <c r="C19" t="b">
        <v>1</v>
      </c>
      <c r="D19" t="b">
        <f>NOT(ISERROR(VLOOKUP(A19,'Charging Station Testcases'!E:E,1,FALSE)=A19))</f>
        <v>1</v>
      </c>
    </row>
    <row r="20" spans="1:4" x14ac:dyDescent="0.25">
      <c r="A20" s="2" t="s">
        <v>459</v>
      </c>
      <c r="B20" s="10" t="b">
        <f>AND(VLOOKUP("C-01",'Optional features'!B:D,3,FALSE)="Yes",VLOOKUP("C-07",'Optional features'!B:D,3,FALSE)="Yes",VLOOKUP("C-08",'Optional features'!B:D,3,FALSE)="Yes")</f>
        <v>0</v>
      </c>
      <c r="C20" t="b">
        <v>1</v>
      </c>
      <c r="D20" t="b">
        <f>NOT(ISERROR(VLOOKUP(A20,'Charging Station Testcases'!E:E,1,FALSE)=A20))</f>
        <v>1</v>
      </c>
    </row>
    <row r="21" spans="1:4" x14ac:dyDescent="0.25">
      <c r="A21" t="s">
        <v>468</v>
      </c>
      <c r="B21" s="10" t="b">
        <f>NOT(OR(VLOOKUP("Security Profile 2: TLS (1.2 or higher) with Basic Authentication",Security_profiles,2,FALSE)="Yes",VLOOKUP("Security Profile 3: TLS (1.2 or higher) with Client Side Certificates",Security_profiles,2,FALSE)="Yes"))</f>
        <v>1</v>
      </c>
      <c r="C21" t="b">
        <v>0</v>
      </c>
      <c r="D21" t="b">
        <f>NOT(ISERROR(VLOOKUP(A21,'Charging Station Testcases'!E:E,1,FALSE)=A21))</f>
        <v>1</v>
      </c>
    </row>
    <row r="22" spans="1:4" x14ac:dyDescent="0.25">
      <c r="A22" t="s">
        <v>475</v>
      </c>
      <c r="B22" s="10" t="b">
        <f>COUNTIF('Optional features'!D37:D39,"Yes")&gt;1</f>
        <v>0</v>
      </c>
      <c r="C22" t="b">
        <v>0</v>
      </c>
      <c r="D22" t="b">
        <f>NOT(ISERROR(VLOOKUP(A22,'Charging Station Testcases'!E:E,1,FALSE)=A22))</f>
        <v>1</v>
      </c>
    </row>
    <row r="23" spans="1:4" x14ac:dyDescent="0.25">
      <c r="A23" t="s">
        <v>504</v>
      </c>
      <c r="B23" s="10" t="b">
        <f>VLOOKUP("Security Profile 1: Unsecured Transport with Basic Authentication",Security_profiles,2,FALSE)="Yes"</f>
        <v>0</v>
      </c>
      <c r="C23" t="b">
        <v>0</v>
      </c>
      <c r="D23" t="b">
        <f>NOT(ISERROR(VLOOKUP(A23,'Charging Station Testcases'!E:E,1,FALSE)=A23))</f>
        <v>0</v>
      </c>
    </row>
    <row r="24" spans="1:4" x14ac:dyDescent="0.25">
      <c r="A24" t="s">
        <v>506</v>
      </c>
      <c r="B24" s="10" t="b">
        <f>VLOOKUP("Security Profile 2: TLS (1.2 or higher) with Basic Authentication",Security_profiles,2,FALSE)="Yes"</f>
        <v>0</v>
      </c>
      <c r="C24" t="b">
        <v>0</v>
      </c>
      <c r="D24" t="b">
        <f>NOT(ISERROR(VLOOKUP(A24,'Charging Station Testcases'!E:E,1,FALSE)=A24))</f>
        <v>0</v>
      </c>
    </row>
    <row r="25" spans="1:4" x14ac:dyDescent="0.25">
      <c r="A25" t="s">
        <v>529</v>
      </c>
      <c r="B25" s="10" t="b">
        <f>VLOOKUP("AQ-2",'Additional questions'!B:D,3,FALSE)="No"</f>
        <v>1</v>
      </c>
      <c r="C25" t="b">
        <v>0</v>
      </c>
      <c r="D25" t="b">
        <f>NOT(ISERROR(VLOOKUP(A25,'Charging Station Testcases'!E:E,1,FALSE)=A25))</f>
        <v>1</v>
      </c>
    </row>
    <row r="26" spans="1:4" x14ac:dyDescent="0.25">
      <c r="A26" t="s">
        <v>531</v>
      </c>
      <c r="B26" s="10" t="b">
        <f>AND(VLOOKUP("C-07",'Optional features'!B:D,3,FALSE)="Yes",VLOOKUP("C-08",'Optional features'!B:D,3,FALSE)="Yes",VLOOKUP("AQ-2",'Additional questions'!B:D,3,FALSE)="No")</f>
        <v>1</v>
      </c>
      <c r="C26" t="b">
        <v>0</v>
      </c>
      <c r="D26" t="b">
        <f>NOT(ISERROR(VLOOKUP(A26,'Charging Station Testcases'!E:E,1,FALSE)=A26))</f>
        <v>1</v>
      </c>
    </row>
    <row r="27" spans="1:4" x14ac:dyDescent="0.25">
      <c r="A27" t="s">
        <v>530</v>
      </c>
      <c r="B27" s="10" t="b">
        <f>AND(VLOOKUP("R-1",'Optional features'!B:D,3,FALSE)="Yes",VLOOKUP("AQ-2",'Additional questions'!B:D,3,FALSE)="No")</f>
        <v>0</v>
      </c>
      <c r="C27" t="b">
        <v>1</v>
      </c>
      <c r="D27" t="b">
        <f>NOT(ISERROR(VLOOKUP(A27,'Charging Station Testcases'!E:E,1,FALSE)=A27))</f>
        <v>1</v>
      </c>
    </row>
    <row r="28" spans="1:4" x14ac:dyDescent="0.25">
      <c r="A28" t="s">
        <v>566</v>
      </c>
      <c r="B28" s="10" t="b">
        <f>OR(VLOOKUP("Security Profile 1: Unsecured Transport with Basic Authentication",Security_profiles,2,FALSE)="Yes",VLOOKUP("Security Profile 2: TLS (1.2 or higher) with Basic Authentication",Security_profiles,2,FALSE)="Yes")</f>
        <v>0</v>
      </c>
      <c r="C28" t="b">
        <v>0</v>
      </c>
      <c r="D28" t="b">
        <f>NOT(ISERROR(VLOOKUP(A28,'Charging Station Testcases'!E:E,1,FALSE)=A28))</f>
        <v>0</v>
      </c>
    </row>
    <row r="29" spans="1:4" x14ac:dyDescent="0.25">
      <c r="A29" t="s">
        <v>567</v>
      </c>
      <c r="B29" s="10" t="b">
        <f>OR(VLOOKUP("Security Profile 3: TLS (1.2 or higher) with Client Side Certificates",Security_profiles,2,FALSE)="Yes",VLOOKUP("Security Profile 2: TLS (1.2 or higher) with Basic Authentication",Security_profiles,2,FALSE)="Yes")</f>
        <v>0</v>
      </c>
      <c r="C29" t="b">
        <v>0</v>
      </c>
      <c r="D29" t="b">
        <f>NOT(ISERROR(VLOOKUP(A29,'Charging Station Testcases'!E:E,1,FALSE)=A29))</f>
        <v>0</v>
      </c>
    </row>
    <row r="30" spans="1:4" x14ac:dyDescent="0.25">
      <c r="A30" t="s">
        <v>611</v>
      </c>
      <c r="B30" s="10" t="str">
        <f>DEC2HEX(B48)&amp;"-"&amp;DEC2HEX(B39)</f>
        <v>45EE6184-C558433F</v>
      </c>
    </row>
    <row r="31" spans="1:4" x14ac:dyDescent="0.25">
      <c r="A31" t="s">
        <v>612</v>
      </c>
      <c r="B31" s="10" t="e" cm="1" vm="1">
        <f t="array" ref="B31">DEC2HEX(B48)&amp;"-"&amp;DEC2HEX(CalculateConfigID(C31))</f>
        <v>#VALUE!</v>
      </c>
      <c r="C31" t="str">
        <f>_xlfn.CONCAT('OCPP family members'!G13:G23)</f>
        <v/>
      </c>
    </row>
    <row r="32" spans="1:4" x14ac:dyDescent="0.25">
      <c r="A32" t="s">
        <v>613</v>
      </c>
      <c r="B32" s="10" t="e" cm="1" vm="1">
        <f t="array" ref="B32">DEC2HEX(B48)&amp;"-"&amp;DEC2HEX(CalculateConfigID(C32))</f>
        <v>#VALUE!</v>
      </c>
      <c r="C32" t="str">
        <f>_xlfn.CONCAT('OCPP family members'!H13:H23)</f>
        <v/>
      </c>
    </row>
    <row r="33" spans="1:3" x14ac:dyDescent="0.25">
      <c r="A33" t="s">
        <v>614</v>
      </c>
      <c r="B33" s="10" t="e" cm="1" vm="1">
        <f t="array" ref="B33">DEC2HEX(B48)&amp;"-"&amp;DEC2HEX(CalculateConfigID(C33))</f>
        <v>#VALUE!</v>
      </c>
      <c r="C33" t="str">
        <f>_xlfn.CONCAT('OCPP family members'!I13:I23)</f>
        <v/>
      </c>
    </row>
    <row r="34" spans="1:3" x14ac:dyDescent="0.25">
      <c r="A34" t="s">
        <v>615</v>
      </c>
      <c r="B34" s="10" t="e" cm="1" vm="1">
        <f t="array" ref="B34">DEC2HEX(B48)&amp;"-"&amp;DEC2HEX(CalculateConfigID(C34))</f>
        <v>#VALUE!</v>
      </c>
      <c r="C34" t="str">
        <f>_xlfn.CONCAT('OCPP family members'!J13:J23)</f>
        <v/>
      </c>
    </row>
    <row r="35" spans="1:3" x14ac:dyDescent="0.25">
      <c r="A35" t="s">
        <v>616</v>
      </c>
      <c r="B35" s="10" t="e" cm="1" vm="1">
        <f t="array" ref="B35">DEC2HEX(B48)&amp;"-"&amp;DEC2HEX(CalculateConfigID(C35))</f>
        <v>#VALUE!</v>
      </c>
      <c r="C35" t="str">
        <f>_xlfn.CONCAT('OCPP family members'!K13:K23)</f>
        <v/>
      </c>
    </row>
    <row r="36" spans="1:3" x14ac:dyDescent="0.25">
      <c r="A36" t="s">
        <v>617</v>
      </c>
      <c r="B36" s="10" t="e" cm="1" vm="1">
        <f t="array" ref="B36">DEC2HEX(B48)&amp;"-"&amp;DEC2HEX(CalculateConfigID(C36))</f>
        <v>#VALUE!</v>
      </c>
      <c r="C36" t="str">
        <f>_xlfn.CONCAT('OCPP family members'!L13:L23)</f>
        <v/>
      </c>
    </row>
    <row r="37" spans="1:3" x14ac:dyDescent="0.25">
      <c r="A37" t="s">
        <v>618</v>
      </c>
      <c r="B37" s="10" t="e" cm="1" vm="1">
        <f t="array" ref="B37">DEC2HEX(B48)&amp;"-"&amp;DEC2HEX(CalculateConfigID(C37))</f>
        <v>#VALUE!</v>
      </c>
      <c r="C37" t="str">
        <f>_xlfn.CONCAT('OCPP family members'!M13:M23)</f>
        <v/>
      </c>
    </row>
    <row r="39" spans="1:3" x14ac:dyDescent="0.25">
      <c r="A39" t="s">
        <v>610</v>
      </c>
      <c r="B39" s="10" cm="1">
        <f t="array" ref="B39">CalculateConfigID(C39)</f>
        <v>3310895935</v>
      </c>
      <c r="C39" t="str">
        <f>_xlfn.CONCAT(B40:B46)</f>
        <v>1&lt;specify supported communication technology/ies&gt;&lt;select RFID Reader configuration&gt;&lt;specify DC power level&gt;No&lt;will be filled in by testlab&gt;&lt;will be filled in by testlab&gt;</v>
      </c>
    </row>
    <row r="40" spans="1:3" x14ac:dyDescent="0.25">
      <c r="A40" t="s">
        <v>29</v>
      </c>
      <c r="B40" s="10">
        <f>VLOOKUP($A40,'Hardware Feature set'!B:D,3,FALSE)</f>
        <v>1</v>
      </c>
    </row>
    <row r="41" spans="1:3" x14ac:dyDescent="0.25">
      <c r="A41" t="s">
        <v>150</v>
      </c>
      <c r="B41" s="10" t="str">
        <f>VLOOKUP($A41,'Hardware Feature set'!B:D,3,FALSE) &amp; ""</f>
        <v>&lt;specify supported communication technology/ies&gt;</v>
      </c>
    </row>
    <row r="42" spans="1:3" x14ac:dyDescent="0.25">
      <c r="A42" t="s">
        <v>151</v>
      </c>
      <c r="B42" s="10" t="str">
        <f>VLOOKUP($A42,'Hardware Feature set'!B:D,3,FALSE)</f>
        <v>&lt;select RFID Reader configuration&gt;</v>
      </c>
    </row>
    <row r="43" spans="1:3" x14ac:dyDescent="0.25">
      <c r="A43" t="s">
        <v>588</v>
      </c>
      <c r="B43" s="10" t="str">
        <f>VLOOKUP($A43,'Hardware Feature set'!B:D,3,FALSE) &amp; ""</f>
        <v>&lt;specify DC power level&gt;</v>
      </c>
    </row>
    <row r="44" spans="1:3" x14ac:dyDescent="0.25">
      <c r="A44" t="s">
        <v>62</v>
      </c>
      <c r="B44" s="10" t="str">
        <f>VLOOKUP($A44,'Additional questions'!B:D,3,FALSE)</f>
        <v>No</v>
      </c>
    </row>
    <row r="45" spans="1:3" x14ac:dyDescent="0.25">
      <c r="A45" t="s">
        <v>539</v>
      </c>
      <c r="B45" s="10" t="str">
        <f>VLOOKUP($A45,'Optional features'!B:D,3,FALSE) &amp; ""</f>
        <v>&lt;will be filled in by testlab&gt;</v>
      </c>
    </row>
    <row r="46" spans="1:3" x14ac:dyDescent="0.25">
      <c r="A46" t="s">
        <v>540</v>
      </c>
      <c r="B46" s="10" t="str">
        <f>VLOOKUP($A46,'Optional features'!B:D,3,FALSE) &amp; ""</f>
        <v>&lt;will be filled in by testlab&gt;</v>
      </c>
    </row>
    <row r="48" spans="1:3" x14ac:dyDescent="0.25">
      <c r="A48" t="s">
        <v>609</v>
      </c>
      <c r="B48" s="10" cm="1">
        <f t="array" ref="B48">CalculateConfigID(C48)</f>
        <v>1173250436</v>
      </c>
      <c r="C48" t="str">
        <f>_xlfn.CONCAT(B49:B82)</f>
        <v>YesNoNoNoNoNoNoNoNoNoNoYesNoYesYesNoNoNoNoNoNoNo{,list,of,cipher,suites,},-&gt;,at,least,one,of,TLS_ECDHE_ECDSA_WITH_AES_128_GCM_SHA256,TLS_ECDHE_ECDSA_WITH_AES_256_GCM_SHA384,OR,TLS_RSA_WITH_AES_128_GCM_SHA256,TLS_RSA_WITH_AES_256_GCM_SHA384NoNoNoNoNoNoYesNoNoNoNo</v>
      </c>
    </row>
    <row r="49" spans="1:2" x14ac:dyDescent="0.25">
      <c r="A49" t="s">
        <v>49</v>
      </c>
      <c r="B49" s="10" t="str">
        <f>VLOOKUP($A49,'Profile selection'!B:C,2,FALSE)</f>
        <v>Yes</v>
      </c>
    </row>
    <row r="50" spans="1:2" x14ac:dyDescent="0.25">
      <c r="A50" t="s">
        <v>219</v>
      </c>
      <c r="B50" s="10" t="str">
        <f>VLOOKUP($A50,'Profile selection'!B:C,2,FALSE)</f>
        <v>No</v>
      </c>
    </row>
    <row r="51" spans="1:2" x14ac:dyDescent="0.25">
      <c r="A51" t="s">
        <v>50</v>
      </c>
      <c r="B51" s="10" t="str">
        <f>VLOOKUP($A51,'Profile selection'!B:C,2,FALSE)</f>
        <v>No</v>
      </c>
    </row>
    <row r="52" spans="1:2" x14ac:dyDescent="0.25">
      <c r="A52" t="s">
        <v>51</v>
      </c>
      <c r="B52" s="10" t="str">
        <f>VLOOKUP($A52,'Profile selection'!B:C,2,FALSE)</f>
        <v>No</v>
      </c>
    </row>
    <row r="53" spans="1:2" x14ac:dyDescent="0.25">
      <c r="A53" t="s">
        <v>222</v>
      </c>
      <c r="B53" s="10" t="str">
        <f>VLOOKUP($A53,'Profile selection'!B:C,2,FALSE)</f>
        <v>No</v>
      </c>
    </row>
    <row r="54" spans="1:2" x14ac:dyDescent="0.25">
      <c r="A54" t="s">
        <v>53</v>
      </c>
      <c r="B54" s="10" t="str">
        <f>VLOOKUP($A54,'Profile selection'!B:C,2,FALSE)</f>
        <v>No</v>
      </c>
    </row>
    <row r="55" spans="1:2" x14ac:dyDescent="0.25">
      <c r="A55" t="s">
        <v>497</v>
      </c>
      <c r="B55" s="10" t="str">
        <f>VLOOKUP($A55,'Profile selection'!B:C,2,FALSE)</f>
        <v>No</v>
      </c>
    </row>
    <row r="56" spans="1:2" x14ac:dyDescent="0.25">
      <c r="A56" t="s">
        <v>37</v>
      </c>
      <c r="B56" s="10" t="str">
        <f>VLOOKUP($A56,'Optional features'!B:D,3,FALSE)</f>
        <v>No</v>
      </c>
    </row>
    <row r="57" spans="1:2" x14ac:dyDescent="0.25">
      <c r="A57" t="s">
        <v>38</v>
      </c>
      <c r="B57" s="10" t="str">
        <f>VLOOKUP($A57,'Optional features'!B:D,3,FALSE)</f>
        <v>No</v>
      </c>
    </row>
    <row r="58" spans="1:2" x14ac:dyDescent="0.25">
      <c r="A58" t="s">
        <v>39</v>
      </c>
      <c r="B58" s="10" t="str">
        <f>VLOOKUP($A58,'Optional features'!B:D,3,FALSE)</f>
        <v>No</v>
      </c>
    </row>
    <row r="59" spans="1:2" x14ac:dyDescent="0.25">
      <c r="A59" t="s">
        <v>232</v>
      </c>
      <c r="B59" s="10" t="str">
        <f>VLOOKUP($A59,'Optional features'!B:D,3,FALSE)</f>
        <v>No</v>
      </c>
    </row>
    <row r="60" spans="1:2" x14ac:dyDescent="0.25">
      <c r="A60" t="s">
        <v>41</v>
      </c>
      <c r="B60" s="10" t="str">
        <f>VLOOKUP($A60,'Optional features'!B:D,3,FALSE)</f>
        <v>Yes</v>
      </c>
    </row>
    <row r="61" spans="1:2" x14ac:dyDescent="0.25">
      <c r="A61" t="s">
        <v>42</v>
      </c>
      <c r="B61" s="10" t="str">
        <f>VLOOKUP($A61,'Optional features'!B:D,3,FALSE)</f>
        <v>No</v>
      </c>
    </row>
    <row r="62" spans="1:2" x14ac:dyDescent="0.25">
      <c r="A62" t="s">
        <v>231</v>
      </c>
      <c r="B62" s="10" t="str">
        <f>VLOOKUP($A62,'Optional features'!B:D,3,FALSE)</f>
        <v>Yes</v>
      </c>
    </row>
    <row r="63" spans="1:2" x14ac:dyDescent="0.25">
      <c r="A63" t="s">
        <v>432</v>
      </c>
      <c r="B63" s="10" t="str">
        <f>VLOOKUP($A63,'Optional features'!B:D,3,FALSE)</f>
        <v>Yes</v>
      </c>
    </row>
    <row r="64" spans="1:2" x14ac:dyDescent="0.25">
      <c r="A64" t="s">
        <v>477</v>
      </c>
      <c r="B64" s="10" t="str">
        <f>VLOOKUP($A64,'Optional features'!B:D,3,FALSE)</f>
        <v>No</v>
      </c>
    </row>
    <row r="65" spans="1:2" x14ac:dyDescent="0.25">
      <c r="A65" t="s">
        <v>228</v>
      </c>
      <c r="B65" s="10" t="str">
        <f>VLOOKUP($A65,'Optional features'!B:D,3,FALSE)</f>
        <v>No</v>
      </c>
    </row>
    <row r="66" spans="1:2" x14ac:dyDescent="0.25">
      <c r="A66" t="s">
        <v>229</v>
      </c>
      <c r="B66" s="10" t="str">
        <f>VLOOKUP($A66,'Optional features'!B:D,3,FALSE)</f>
        <v>No</v>
      </c>
    </row>
    <row r="67" spans="1:2" x14ac:dyDescent="0.25">
      <c r="A67" t="s">
        <v>127</v>
      </c>
      <c r="B67" s="10" t="str">
        <f>VLOOKUP($A67,'Optional features'!B:D,3,FALSE)</f>
        <v>No</v>
      </c>
    </row>
    <row r="68" spans="1:2" x14ac:dyDescent="0.25">
      <c r="A68" t="s">
        <v>227</v>
      </c>
      <c r="B68" s="10" t="str">
        <f>VLOOKUP($A68,'Optional features'!B:D,3,FALSE)</f>
        <v>No</v>
      </c>
    </row>
    <row r="69" spans="1:2" x14ac:dyDescent="0.25">
      <c r="A69" t="s">
        <v>493</v>
      </c>
      <c r="B69" s="10" t="str">
        <f>VLOOKUP($A69,'Optional features'!B:D,3,FALSE)</f>
        <v>No</v>
      </c>
    </row>
    <row r="70" spans="1:2" x14ac:dyDescent="0.25">
      <c r="A70" t="s">
        <v>495</v>
      </c>
      <c r="B70" s="10" t="str">
        <f>VLOOKUP($A70,'Optional features'!B:D,3,FALSE)</f>
        <v>No</v>
      </c>
    </row>
    <row r="71" spans="1:2" x14ac:dyDescent="0.25">
      <c r="A71" t="s">
        <v>494</v>
      </c>
      <c r="B71" t="str">
        <f>SUBSTITUTE(TRIM(CLEAN((SUBSTITUTE(SUBSTITUTE(VLOOKUP($A71,'Optional features'!B:D,3,FALSE),CHAR(160)," "),"+",""))))," ", ",")</f>
        <v>{,list,of,cipher,suites,},-&gt;,at,least,one,of,TLS_ECDHE_ECDSA_WITH_AES_128_GCM_SHA256,TLS_ECDHE_ECDSA_WITH_AES_256_GCM_SHA384,OR,TLS_RSA_WITH_AES_128_GCM_SHA256,TLS_RSA_WITH_AES_256_GCM_SHA384</v>
      </c>
    </row>
    <row r="72" spans="1:2" x14ac:dyDescent="0.25">
      <c r="A72" t="s">
        <v>57</v>
      </c>
      <c r="B72" s="10" t="str">
        <f>VLOOKUP($A72,'Additional questions'!B:D,3,FALSE)</f>
        <v>No</v>
      </c>
    </row>
    <row r="73" spans="1:2" x14ac:dyDescent="0.25">
      <c r="A73" t="s">
        <v>58</v>
      </c>
      <c r="B73" s="10" t="str">
        <f>VLOOKUP($A73,'Additional questions'!B:D,3,FALSE)</f>
        <v>No</v>
      </c>
    </row>
    <row r="74" spans="1:2" x14ac:dyDescent="0.25">
      <c r="A74" t="s">
        <v>60</v>
      </c>
      <c r="B74" s="10" t="str">
        <f>VLOOKUP($A74,'Additional questions'!B:D,3,FALSE)</f>
        <v>No</v>
      </c>
    </row>
    <row r="75" spans="1:2" x14ac:dyDescent="0.25">
      <c r="A75" t="s">
        <v>61</v>
      </c>
      <c r="B75" s="10" t="str">
        <f>VLOOKUP($A75,'Additional questions'!B:D,3,FALSE)</f>
        <v>No</v>
      </c>
    </row>
    <row r="76" spans="1:2" x14ac:dyDescent="0.25">
      <c r="A76" t="s">
        <v>63</v>
      </c>
      <c r="B76" s="10" t="str">
        <f>VLOOKUP($A76,'Additional questions'!B:D,3,FALSE)</f>
        <v>No</v>
      </c>
    </row>
    <row r="77" spans="1:2" x14ac:dyDescent="0.25">
      <c r="A77" t="s">
        <v>461</v>
      </c>
      <c r="B77" s="10" t="str">
        <f>VLOOKUP($A77,'Additional questions'!B:D,3,FALSE)</f>
        <v>No</v>
      </c>
    </row>
    <row r="78" spans="1:2" x14ac:dyDescent="0.25">
      <c r="A78" t="s">
        <v>462</v>
      </c>
      <c r="B78" s="10" t="str">
        <f>VLOOKUP($A78,'Additional questions'!B:D,3,FALSE)</f>
        <v>Yes</v>
      </c>
    </row>
    <row r="79" spans="1:2" x14ac:dyDescent="0.25">
      <c r="A79" t="s">
        <v>13</v>
      </c>
      <c r="B79" s="10" t="str">
        <f>VLOOKUP($A79,'Hardware Feature set'!B:D,3,FALSE)</f>
        <v>No</v>
      </c>
    </row>
    <row r="80" spans="1:2" x14ac:dyDescent="0.25">
      <c r="A80" t="s">
        <v>16</v>
      </c>
      <c r="B80" s="10" t="str">
        <f>VLOOKUP($A80,'Hardware Feature set'!B:D,3,FALSE)</f>
        <v>No</v>
      </c>
    </row>
    <row r="81" spans="1:2" x14ac:dyDescent="0.25">
      <c r="A81" t="s">
        <v>18</v>
      </c>
      <c r="B81" s="10" t="str">
        <f>VLOOKUP($A81,'Hardware Feature set'!B:D,3,FALSE)</f>
        <v>No</v>
      </c>
    </row>
    <row r="82" spans="1:2" x14ac:dyDescent="0.25">
      <c r="A82" t="s">
        <v>21</v>
      </c>
      <c r="B82" s="10" t="str">
        <f>VLOOKUP($A82,'Hardware Feature set'!B:D,3,FALSE)</f>
        <v>No</v>
      </c>
    </row>
  </sheetData>
  <autoFilter ref="A1:F85" xr:uid="{A46B0863-728A-4947-9CAE-18DFD3654F03}"/>
  <pageMargins left="0.7" right="0.7" top="0.75" bottom="0.75" header="0.3" footer="0.3"/>
  <pageSetup orientation="portrait" r:id="rId1"/>
  <headerFooter>
    <oddFooter>&amp;C_x000D_&amp;1#&amp;"Arial"&amp;9&amp;K000000 Internal</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54F979-10AD-44F5-A300-18583FCA57EE}">
  <dimension ref="A1:G98"/>
  <sheetViews>
    <sheetView topLeftCell="A65" zoomScale="85" zoomScaleNormal="85" workbookViewId="0"/>
  </sheetViews>
  <sheetFormatPr defaultColWidth="8.875" defaultRowHeight="15.75" x14ac:dyDescent="0.25"/>
  <cols>
    <col min="1" max="1" width="20.125" customWidth="1"/>
    <col min="2" max="2" width="17.625" bestFit="1" customWidth="1"/>
    <col min="3" max="3" width="17.875" customWidth="1"/>
    <col min="4" max="4" width="67.625" customWidth="1"/>
    <col min="5" max="5" width="8.625" bestFit="1" customWidth="1"/>
    <col min="6" max="7" width="83.125" bestFit="1" customWidth="1"/>
  </cols>
  <sheetData>
    <row r="1" spans="1:7" x14ac:dyDescent="0.25">
      <c r="A1" s="1" t="s">
        <v>123</v>
      </c>
      <c r="B1" s="1" t="s">
        <v>88</v>
      </c>
      <c r="C1" s="1" t="s">
        <v>47</v>
      </c>
      <c r="D1" s="1" t="s">
        <v>89</v>
      </c>
      <c r="E1" s="1" t="s">
        <v>111</v>
      </c>
      <c r="F1" s="1" t="s">
        <v>91</v>
      </c>
      <c r="G1" s="1" t="s">
        <v>92</v>
      </c>
    </row>
    <row r="2" spans="1:7" x14ac:dyDescent="0.25">
      <c r="A2" t="str">
        <f t="shared" ref="A2:A61" si="0">B2&amp;" "&amp;C2</f>
        <v>TC_001_CS Core</v>
      </c>
      <c r="B2" t="s">
        <v>336</v>
      </c>
      <c r="C2" t="s">
        <v>49</v>
      </c>
      <c r="D2" t="s">
        <v>252</v>
      </c>
      <c r="E2" t="s">
        <v>124</v>
      </c>
    </row>
    <row r="3" spans="1:7" x14ac:dyDescent="0.25">
      <c r="A3" t="str">
        <f t="shared" si="0"/>
        <v>TC_002_CS Core</v>
      </c>
      <c r="B3" t="s">
        <v>337</v>
      </c>
      <c r="C3" t="s">
        <v>49</v>
      </c>
      <c r="D3" t="s">
        <v>253</v>
      </c>
      <c r="E3" t="s">
        <v>124</v>
      </c>
    </row>
    <row r="4" spans="1:7" x14ac:dyDescent="0.25">
      <c r="A4" t="str">
        <f t="shared" si="0"/>
        <v>TC_003_CS Core</v>
      </c>
      <c r="B4" t="s">
        <v>338</v>
      </c>
      <c r="C4" t="s">
        <v>49</v>
      </c>
      <c r="D4" t="s">
        <v>255</v>
      </c>
      <c r="E4" t="s">
        <v>125</v>
      </c>
      <c r="F4" t="s">
        <v>531</v>
      </c>
      <c r="G4" t="s">
        <v>433</v>
      </c>
    </row>
    <row r="5" spans="1:7" x14ac:dyDescent="0.25">
      <c r="A5" t="str">
        <f t="shared" si="0"/>
        <v>TC_004_1_CS Core</v>
      </c>
      <c r="B5" t="s">
        <v>339</v>
      </c>
      <c r="C5" t="s">
        <v>49</v>
      </c>
      <c r="D5" t="s">
        <v>256</v>
      </c>
      <c r="E5" t="s">
        <v>125</v>
      </c>
      <c r="F5" t="s">
        <v>457</v>
      </c>
      <c r="G5" t="s">
        <v>433</v>
      </c>
    </row>
    <row r="6" spans="1:7" x14ac:dyDescent="0.25">
      <c r="A6" t="str">
        <f t="shared" si="0"/>
        <v>TC_004_2_CS Core</v>
      </c>
      <c r="B6" t="s">
        <v>340</v>
      </c>
      <c r="C6" t="s">
        <v>49</v>
      </c>
      <c r="D6" t="s">
        <v>257</v>
      </c>
      <c r="E6" t="s">
        <v>125</v>
      </c>
      <c r="F6" t="s">
        <v>231</v>
      </c>
      <c r="G6" t="s">
        <v>434</v>
      </c>
    </row>
    <row r="7" spans="1:7" x14ac:dyDescent="0.25">
      <c r="A7" t="str">
        <f t="shared" si="0"/>
        <v>TC_068_CS Core</v>
      </c>
      <c r="B7" t="s">
        <v>341</v>
      </c>
      <c r="C7" t="s">
        <v>49</v>
      </c>
      <c r="D7" t="s">
        <v>259</v>
      </c>
      <c r="E7" t="s">
        <v>125</v>
      </c>
      <c r="F7" t="s">
        <v>457</v>
      </c>
      <c r="G7" t="s">
        <v>433</v>
      </c>
    </row>
    <row r="8" spans="1:7" x14ac:dyDescent="0.25">
      <c r="A8" t="str">
        <f t="shared" si="0"/>
        <v>TC_069_CS Core</v>
      </c>
      <c r="B8" t="s">
        <v>342</v>
      </c>
      <c r="C8" t="s">
        <v>49</v>
      </c>
      <c r="D8" t="s">
        <v>260</v>
      </c>
      <c r="E8" t="s">
        <v>125</v>
      </c>
      <c r="F8" t="s">
        <v>457</v>
      </c>
      <c r="G8" t="s">
        <v>433</v>
      </c>
    </row>
    <row r="9" spans="1:7" ht="141.75" x14ac:dyDescent="0.25">
      <c r="A9" t="str">
        <f t="shared" si="0"/>
        <v>TC_005_1_CS Core</v>
      </c>
      <c r="B9" t="s">
        <v>343</v>
      </c>
      <c r="C9" t="s">
        <v>49</v>
      </c>
      <c r="D9" t="s">
        <v>479</v>
      </c>
      <c r="E9" t="s">
        <v>125</v>
      </c>
      <c r="F9" s="2" t="s">
        <v>450</v>
      </c>
      <c r="G9" s="2" t="s">
        <v>469</v>
      </c>
    </row>
    <row r="10" spans="1:7" ht="110.25" x14ac:dyDescent="0.25">
      <c r="A10" t="str">
        <f t="shared" si="0"/>
        <v>TC_005_2_CS Core</v>
      </c>
      <c r="B10" t="s">
        <v>344</v>
      </c>
      <c r="C10" t="s">
        <v>49</v>
      </c>
      <c r="D10" t="s">
        <v>480</v>
      </c>
      <c r="E10" t="s">
        <v>125</v>
      </c>
      <c r="F10" s="2" t="s">
        <v>451</v>
      </c>
      <c r="G10" s="2" t="s">
        <v>470</v>
      </c>
    </row>
    <row r="11" spans="1:7" ht="47.25" x14ac:dyDescent="0.25">
      <c r="A11" t="str">
        <f t="shared" si="0"/>
        <v>TC_005_3_CS Core</v>
      </c>
      <c r="B11" t="s">
        <v>345</v>
      </c>
      <c r="C11" t="s">
        <v>49</v>
      </c>
      <c r="D11" t="s">
        <v>481</v>
      </c>
      <c r="E11" t="s">
        <v>125</v>
      </c>
      <c r="F11" s="2" t="s">
        <v>562</v>
      </c>
      <c r="G11" s="2" t="s">
        <v>563</v>
      </c>
    </row>
    <row r="12" spans="1:7" x14ac:dyDescent="0.25">
      <c r="A12" t="str">
        <f t="shared" si="0"/>
        <v>TC_007_CS Core</v>
      </c>
      <c r="B12" t="s">
        <v>346</v>
      </c>
      <c r="C12" t="s">
        <v>49</v>
      </c>
      <c r="D12" t="s">
        <v>262</v>
      </c>
      <c r="E12" t="s">
        <v>125</v>
      </c>
      <c r="F12" t="s">
        <v>39</v>
      </c>
      <c r="G12" t="s">
        <v>119</v>
      </c>
    </row>
    <row r="13" spans="1:7" x14ac:dyDescent="0.25">
      <c r="A13" t="str">
        <f t="shared" si="0"/>
        <v>TC_061_CS Core</v>
      </c>
      <c r="B13" t="s">
        <v>347</v>
      </c>
      <c r="C13" t="s">
        <v>49</v>
      </c>
      <c r="D13" t="s">
        <v>263</v>
      </c>
      <c r="E13" t="s">
        <v>125</v>
      </c>
      <c r="F13" t="s">
        <v>458</v>
      </c>
      <c r="G13" t="s">
        <v>436</v>
      </c>
    </row>
    <row r="14" spans="1:7" x14ac:dyDescent="0.25">
      <c r="A14" t="str">
        <f t="shared" si="0"/>
        <v>TC_010_CS Core</v>
      </c>
      <c r="B14" t="s">
        <v>348</v>
      </c>
      <c r="C14" t="s">
        <v>49</v>
      </c>
      <c r="D14" t="s">
        <v>264</v>
      </c>
      <c r="E14" t="s">
        <v>125</v>
      </c>
      <c r="F14" s="2" t="s">
        <v>529</v>
      </c>
    </row>
    <row r="15" spans="1:7" x14ac:dyDescent="0.25">
      <c r="A15" t="str">
        <f t="shared" si="0"/>
        <v>TC_011_1_CS Core</v>
      </c>
      <c r="B15" t="s">
        <v>349</v>
      </c>
      <c r="C15" t="s">
        <v>49</v>
      </c>
      <c r="D15" t="s">
        <v>265</v>
      </c>
      <c r="E15" t="s">
        <v>124</v>
      </c>
    </row>
    <row r="16" spans="1:7" x14ac:dyDescent="0.25">
      <c r="A16" t="str">
        <f t="shared" si="0"/>
        <v>TC_011_2_CS Core</v>
      </c>
      <c r="B16" t="s">
        <v>350</v>
      </c>
      <c r="C16" t="s">
        <v>49</v>
      </c>
      <c r="D16" t="s">
        <v>482</v>
      </c>
      <c r="E16" t="s">
        <v>124</v>
      </c>
    </row>
    <row r="17" spans="1:7" x14ac:dyDescent="0.25">
      <c r="A17" t="str">
        <f t="shared" si="0"/>
        <v>TC_012_CS Core</v>
      </c>
      <c r="B17" t="s">
        <v>351</v>
      </c>
      <c r="C17" t="s">
        <v>49</v>
      </c>
      <c r="D17" t="s">
        <v>266</v>
      </c>
      <c r="E17" t="s">
        <v>124</v>
      </c>
    </row>
    <row r="18" spans="1:7" x14ac:dyDescent="0.25">
      <c r="A18" t="str">
        <f t="shared" si="0"/>
        <v>TC_013_CS Core</v>
      </c>
      <c r="B18" t="s">
        <v>352</v>
      </c>
      <c r="C18" t="s">
        <v>49</v>
      </c>
      <c r="D18" t="s">
        <v>267</v>
      </c>
      <c r="E18" t="s">
        <v>124</v>
      </c>
    </row>
    <row r="19" spans="1:7" x14ac:dyDescent="0.25">
      <c r="A19" t="str">
        <f t="shared" si="0"/>
        <v>TC_014_CS Core</v>
      </c>
      <c r="B19" t="s">
        <v>353</v>
      </c>
      <c r="C19" t="s">
        <v>49</v>
      </c>
      <c r="D19" t="s">
        <v>268</v>
      </c>
      <c r="E19" t="s">
        <v>124</v>
      </c>
    </row>
    <row r="20" spans="1:7" x14ac:dyDescent="0.25">
      <c r="A20" t="str">
        <f t="shared" si="0"/>
        <v>TC_015_CS Core</v>
      </c>
      <c r="B20" t="s">
        <v>354</v>
      </c>
      <c r="C20" t="s">
        <v>49</v>
      </c>
      <c r="D20" t="s">
        <v>269</v>
      </c>
      <c r="E20" t="s">
        <v>124</v>
      </c>
    </row>
    <row r="21" spans="1:7" x14ac:dyDescent="0.25">
      <c r="A21" t="str">
        <f t="shared" si="0"/>
        <v>TC_016_CS Core</v>
      </c>
      <c r="B21" t="s">
        <v>355</v>
      </c>
      <c r="C21" t="s">
        <v>49</v>
      </c>
      <c r="D21" t="s">
        <v>270</v>
      </c>
      <c r="E21" t="s">
        <v>124</v>
      </c>
    </row>
    <row r="22" spans="1:7" ht="31.5" x14ac:dyDescent="0.25">
      <c r="A22" t="str">
        <f t="shared" si="0"/>
        <v>TC_017_1_CS Core</v>
      </c>
      <c r="B22" t="s">
        <v>356</v>
      </c>
      <c r="C22" t="s">
        <v>49</v>
      </c>
      <c r="D22" t="s">
        <v>271</v>
      </c>
      <c r="E22" t="s">
        <v>125</v>
      </c>
      <c r="F22" s="2" t="s">
        <v>438</v>
      </c>
      <c r="G22" s="2" t="s">
        <v>424</v>
      </c>
    </row>
    <row r="23" spans="1:7" ht="31.5" x14ac:dyDescent="0.25">
      <c r="A23" t="str">
        <f t="shared" si="0"/>
        <v>TC_017_2_CS Core</v>
      </c>
      <c r="B23" t="s">
        <v>357</v>
      </c>
      <c r="C23" t="s">
        <v>49</v>
      </c>
      <c r="D23" t="s">
        <v>272</v>
      </c>
      <c r="E23" t="s">
        <v>125</v>
      </c>
      <c r="F23" s="2" t="s">
        <v>439</v>
      </c>
      <c r="G23" s="2" t="s">
        <v>425</v>
      </c>
    </row>
    <row r="24" spans="1:7" ht="31.5" x14ac:dyDescent="0.25">
      <c r="A24" t="str">
        <f t="shared" si="0"/>
        <v>TC_018_1_CS Core</v>
      </c>
      <c r="B24" t="s">
        <v>358</v>
      </c>
      <c r="C24" t="s">
        <v>49</v>
      </c>
      <c r="D24" t="s">
        <v>273</v>
      </c>
      <c r="E24" t="s">
        <v>125</v>
      </c>
      <c r="F24" s="2" t="s">
        <v>438</v>
      </c>
      <c r="G24" s="2" t="s">
        <v>424</v>
      </c>
    </row>
    <row r="25" spans="1:7" ht="31.5" x14ac:dyDescent="0.25">
      <c r="A25" t="str">
        <f t="shared" si="0"/>
        <v>TC_018_2_CS Core</v>
      </c>
      <c r="B25" t="s">
        <v>359</v>
      </c>
      <c r="C25" t="s">
        <v>49</v>
      </c>
      <c r="D25" t="s">
        <v>274</v>
      </c>
      <c r="E25" t="s">
        <v>125</v>
      </c>
      <c r="F25" s="2" t="s">
        <v>439</v>
      </c>
      <c r="G25" s="2" t="s">
        <v>425</v>
      </c>
    </row>
    <row r="26" spans="1:7" x14ac:dyDescent="0.25">
      <c r="A26" t="str">
        <f t="shared" si="0"/>
        <v>TC_019_CS Core</v>
      </c>
      <c r="B26" t="s">
        <v>360</v>
      </c>
      <c r="C26" t="s">
        <v>49</v>
      </c>
      <c r="D26" t="s">
        <v>275</v>
      </c>
      <c r="E26" t="s">
        <v>124</v>
      </c>
    </row>
    <row r="27" spans="1:7" x14ac:dyDescent="0.25">
      <c r="A27" t="str">
        <f t="shared" si="0"/>
        <v>TC_021_CS Core</v>
      </c>
      <c r="B27" t="s">
        <v>361</v>
      </c>
      <c r="C27" t="s">
        <v>49</v>
      </c>
      <c r="D27" t="s">
        <v>276</v>
      </c>
      <c r="E27" t="s">
        <v>124</v>
      </c>
    </row>
    <row r="28" spans="1:7" x14ac:dyDescent="0.25">
      <c r="A28" t="str">
        <f t="shared" si="0"/>
        <v>TC_070_CS Core</v>
      </c>
      <c r="B28" t="s">
        <v>362</v>
      </c>
      <c r="C28" t="s">
        <v>49</v>
      </c>
      <c r="D28" t="s">
        <v>277</v>
      </c>
      <c r="E28" t="s">
        <v>124</v>
      </c>
    </row>
    <row r="29" spans="1:7" x14ac:dyDescent="0.25">
      <c r="A29" t="str">
        <f t="shared" si="0"/>
        <v>TC_071_CS Core</v>
      </c>
      <c r="B29" t="s">
        <v>363</v>
      </c>
      <c r="C29" t="s">
        <v>49</v>
      </c>
      <c r="D29" t="s">
        <v>517</v>
      </c>
      <c r="E29" t="s">
        <v>124</v>
      </c>
    </row>
    <row r="30" spans="1:7" x14ac:dyDescent="0.25">
      <c r="A30" t="str">
        <f t="shared" si="0"/>
        <v>TC_023_CS Core</v>
      </c>
      <c r="B30" t="s">
        <v>364</v>
      </c>
      <c r="C30" t="s">
        <v>49</v>
      </c>
      <c r="D30" t="s">
        <v>513</v>
      </c>
      <c r="E30" t="s">
        <v>124</v>
      </c>
    </row>
    <row r="31" spans="1:7" x14ac:dyDescent="0.25">
      <c r="A31" t="str">
        <f t="shared" si="0"/>
        <v>TC_024_CS Core</v>
      </c>
      <c r="B31" t="s">
        <v>365</v>
      </c>
      <c r="C31" t="s">
        <v>49</v>
      </c>
      <c r="D31" t="s">
        <v>514</v>
      </c>
      <c r="E31" t="s">
        <v>254</v>
      </c>
      <c r="F31" t="s">
        <v>440</v>
      </c>
      <c r="G31" t="s">
        <v>278</v>
      </c>
    </row>
    <row r="32" spans="1:7" x14ac:dyDescent="0.25">
      <c r="A32" t="str">
        <f t="shared" si="0"/>
        <v>TC_026_CS Core</v>
      </c>
      <c r="B32" t="s">
        <v>366</v>
      </c>
      <c r="C32" t="s">
        <v>49</v>
      </c>
      <c r="D32" t="s">
        <v>281</v>
      </c>
      <c r="E32" t="s">
        <v>124</v>
      </c>
    </row>
    <row r="33" spans="1:7" x14ac:dyDescent="0.25">
      <c r="A33" t="str">
        <f t="shared" si="0"/>
        <v>TC_028_CS Core</v>
      </c>
      <c r="B33" t="s">
        <v>367</v>
      </c>
      <c r="C33" t="s">
        <v>49</v>
      </c>
      <c r="D33" t="s">
        <v>282</v>
      </c>
      <c r="E33" t="s">
        <v>124</v>
      </c>
    </row>
    <row r="34" spans="1:7" x14ac:dyDescent="0.25">
      <c r="A34" t="str">
        <f t="shared" si="0"/>
        <v>TC_030_CS Core</v>
      </c>
      <c r="B34" t="s">
        <v>368</v>
      </c>
      <c r="C34" t="s">
        <v>49</v>
      </c>
      <c r="D34" t="s">
        <v>283</v>
      </c>
      <c r="E34" t="s">
        <v>254</v>
      </c>
    </row>
    <row r="35" spans="1:7" x14ac:dyDescent="0.25">
      <c r="A35" t="str">
        <f t="shared" si="0"/>
        <v>TC_031_CS Core</v>
      </c>
      <c r="B35" t="s">
        <v>369</v>
      </c>
      <c r="C35" t="s">
        <v>49</v>
      </c>
      <c r="D35" t="s">
        <v>284</v>
      </c>
      <c r="E35" t="s">
        <v>124</v>
      </c>
    </row>
    <row r="36" spans="1:7" x14ac:dyDescent="0.25">
      <c r="A36" t="str">
        <f t="shared" si="0"/>
        <v>TC_032_1_CS Core</v>
      </c>
      <c r="B36" t="s">
        <v>370</v>
      </c>
      <c r="C36" t="s">
        <v>49</v>
      </c>
      <c r="D36" t="s">
        <v>285</v>
      </c>
      <c r="E36" t="s">
        <v>286</v>
      </c>
      <c r="F36" t="s">
        <v>461</v>
      </c>
      <c r="G36" t="s">
        <v>287</v>
      </c>
    </row>
    <row r="37" spans="1:7" x14ac:dyDescent="0.25">
      <c r="A37" t="str">
        <f t="shared" si="0"/>
        <v>TC_032_2_CS Core</v>
      </c>
      <c r="B37" t="s">
        <v>371</v>
      </c>
      <c r="C37" t="s">
        <v>49</v>
      </c>
      <c r="D37" t="s">
        <v>288</v>
      </c>
      <c r="E37" t="s">
        <v>125</v>
      </c>
      <c r="F37" t="s">
        <v>462</v>
      </c>
      <c r="G37" t="s">
        <v>289</v>
      </c>
    </row>
    <row r="38" spans="1:7" x14ac:dyDescent="0.25">
      <c r="A38" t="str">
        <f t="shared" si="0"/>
        <v>TC_034_CS Core</v>
      </c>
      <c r="B38" t="s">
        <v>372</v>
      </c>
      <c r="C38" t="s">
        <v>49</v>
      </c>
      <c r="D38" t="s">
        <v>290</v>
      </c>
      <c r="E38" t="s">
        <v>124</v>
      </c>
    </row>
    <row r="39" spans="1:7" x14ac:dyDescent="0.25">
      <c r="A39" t="str">
        <f t="shared" si="0"/>
        <v>TC_036_CS Core</v>
      </c>
      <c r="B39" t="s">
        <v>373</v>
      </c>
      <c r="C39" t="s">
        <v>49</v>
      </c>
      <c r="D39" t="s">
        <v>291</v>
      </c>
      <c r="E39" t="s">
        <v>124</v>
      </c>
    </row>
    <row r="40" spans="1:7" ht="110.25" x14ac:dyDescent="0.25">
      <c r="A40" t="str">
        <f t="shared" si="0"/>
        <v>TC_037_1_CS Core</v>
      </c>
      <c r="B40" t="s">
        <v>374</v>
      </c>
      <c r="C40" t="s">
        <v>49</v>
      </c>
      <c r="D40" t="s">
        <v>483</v>
      </c>
      <c r="E40" t="s">
        <v>125</v>
      </c>
      <c r="F40" s="2" t="s">
        <v>459</v>
      </c>
      <c r="G40" s="2" t="s">
        <v>426</v>
      </c>
    </row>
    <row r="41" spans="1:7" ht="157.5" x14ac:dyDescent="0.25">
      <c r="A41" t="str">
        <f t="shared" si="0"/>
        <v>TC_037_2_CS Core</v>
      </c>
      <c r="B41" t="s">
        <v>375</v>
      </c>
      <c r="C41" t="s">
        <v>49</v>
      </c>
      <c r="D41" t="s">
        <v>484</v>
      </c>
      <c r="E41" t="s">
        <v>125</v>
      </c>
      <c r="F41" s="2" t="s">
        <v>459</v>
      </c>
      <c r="G41" s="2" t="s">
        <v>427</v>
      </c>
    </row>
    <row r="42" spans="1:7" ht="110.25" x14ac:dyDescent="0.25">
      <c r="A42" t="str">
        <f t="shared" si="0"/>
        <v>TC_037_3_CS Core</v>
      </c>
      <c r="B42" t="s">
        <v>376</v>
      </c>
      <c r="C42" t="s">
        <v>49</v>
      </c>
      <c r="D42" t="s">
        <v>485</v>
      </c>
      <c r="E42" t="s">
        <v>125</v>
      </c>
      <c r="F42" s="2" t="s">
        <v>459</v>
      </c>
      <c r="G42" s="2" t="s">
        <v>428</v>
      </c>
    </row>
    <row r="43" spans="1:7" x14ac:dyDescent="0.25">
      <c r="A43" t="str">
        <f t="shared" si="0"/>
        <v>TC_038_CS Core</v>
      </c>
      <c r="B43" t="s">
        <v>377</v>
      </c>
      <c r="C43" t="s">
        <v>49</v>
      </c>
      <c r="D43" t="s">
        <v>293</v>
      </c>
      <c r="E43" t="s">
        <v>125</v>
      </c>
      <c r="F43" s="2" t="s">
        <v>432</v>
      </c>
      <c r="G43" t="s">
        <v>294</v>
      </c>
    </row>
    <row r="44" spans="1:7" x14ac:dyDescent="0.25">
      <c r="A44" t="str">
        <f t="shared" si="0"/>
        <v>TC_039_CS Core</v>
      </c>
      <c r="B44" t="s">
        <v>378</v>
      </c>
      <c r="C44" t="s">
        <v>49</v>
      </c>
      <c r="D44" t="s">
        <v>295</v>
      </c>
      <c r="E44" t="s">
        <v>125</v>
      </c>
      <c r="F44" s="2" t="s">
        <v>459</v>
      </c>
      <c r="G44" t="s">
        <v>292</v>
      </c>
    </row>
    <row r="45" spans="1:7" x14ac:dyDescent="0.25">
      <c r="A45" t="str">
        <f t="shared" si="0"/>
        <v>TC_040_1_CS Core</v>
      </c>
      <c r="B45" t="s">
        <v>379</v>
      </c>
      <c r="C45" t="s">
        <v>49</v>
      </c>
      <c r="D45" t="s">
        <v>486</v>
      </c>
      <c r="E45" t="s">
        <v>124</v>
      </c>
    </row>
    <row r="46" spans="1:7" x14ac:dyDescent="0.25">
      <c r="A46" t="str">
        <f t="shared" si="0"/>
        <v>TC_040_2_CS Core</v>
      </c>
      <c r="B46" t="s">
        <v>380</v>
      </c>
      <c r="C46" t="s">
        <v>49</v>
      </c>
      <c r="D46" t="s">
        <v>487</v>
      </c>
      <c r="E46" t="s">
        <v>124</v>
      </c>
    </row>
    <row r="47" spans="1:7" x14ac:dyDescent="0.25">
      <c r="A47" t="str">
        <f t="shared" si="0"/>
        <v>TC_042_1_CS Core</v>
      </c>
      <c r="B47" t="s">
        <v>381</v>
      </c>
      <c r="C47" t="s">
        <v>49</v>
      </c>
      <c r="D47" t="s">
        <v>280</v>
      </c>
      <c r="E47" t="s">
        <v>125</v>
      </c>
      <c r="F47" t="s">
        <v>437</v>
      </c>
    </row>
    <row r="48" spans="1:7" x14ac:dyDescent="0.25">
      <c r="A48" t="str">
        <f t="shared" si="0"/>
        <v>TC_042_2_CS Local Authorization List Management</v>
      </c>
      <c r="B48" t="s">
        <v>382</v>
      </c>
      <c r="C48" t="s">
        <v>50</v>
      </c>
      <c r="D48" t="s">
        <v>296</v>
      </c>
      <c r="E48" t="s">
        <v>124</v>
      </c>
    </row>
    <row r="49" spans="1:7" x14ac:dyDescent="0.25">
      <c r="A49" t="str">
        <f t="shared" si="0"/>
        <v>TC_043_CS Local Authorization List Management</v>
      </c>
      <c r="B49" t="s">
        <v>383</v>
      </c>
      <c r="C49" t="s">
        <v>50</v>
      </c>
      <c r="D49" t="s">
        <v>297</v>
      </c>
      <c r="E49" t="s">
        <v>124</v>
      </c>
    </row>
    <row r="50" spans="1:7" x14ac:dyDescent="0.25">
      <c r="A50" t="str">
        <f t="shared" si="0"/>
        <v>TC_043_1_CS Core</v>
      </c>
      <c r="B50" t="s">
        <v>384</v>
      </c>
      <c r="C50" t="s">
        <v>49</v>
      </c>
      <c r="D50" t="s">
        <v>279</v>
      </c>
      <c r="E50" t="s">
        <v>125</v>
      </c>
      <c r="F50" t="s">
        <v>437</v>
      </c>
    </row>
    <row r="51" spans="1:7" x14ac:dyDescent="0.25">
      <c r="A51" t="str">
        <f t="shared" si="0"/>
        <v>TC_043_2_CS Local Authorization List Management</v>
      </c>
      <c r="B51" t="s">
        <v>385</v>
      </c>
      <c r="C51" t="s">
        <v>50</v>
      </c>
      <c r="D51" t="s">
        <v>126</v>
      </c>
      <c r="E51" t="s">
        <v>124</v>
      </c>
    </row>
    <row r="52" spans="1:7" x14ac:dyDescent="0.25">
      <c r="A52" t="str">
        <f t="shared" si="0"/>
        <v>TC_043_3_CS Local Authorization List Management</v>
      </c>
      <c r="B52" t="s">
        <v>386</v>
      </c>
      <c r="C52" t="s">
        <v>50</v>
      </c>
      <c r="D52" t="s">
        <v>298</v>
      </c>
      <c r="E52" t="s">
        <v>254</v>
      </c>
    </row>
    <row r="53" spans="1:7" x14ac:dyDescent="0.25">
      <c r="A53" t="str">
        <f t="shared" si="0"/>
        <v>TC_008_CS Local Authorization List Management</v>
      </c>
      <c r="B53" t="s">
        <v>387</v>
      </c>
      <c r="C53" t="s">
        <v>50</v>
      </c>
      <c r="D53" t="s">
        <v>299</v>
      </c>
      <c r="E53" t="s">
        <v>124</v>
      </c>
    </row>
    <row r="54" spans="1:7" x14ac:dyDescent="0.25">
      <c r="A54" t="str">
        <f t="shared" si="0"/>
        <v>TC_044_1_CS Firmware Management</v>
      </c>
      <c r="B54" t="s">
        <v>388</v>
      </c>
      <c r="C54" t="s">
        <v>219</v>
      </c>
      <c r="D54" t="s">
        <v>300</v>
      </c>
      <c r="E54" t="s">
        <v>125</v>
      </c>
      <c r="F54" t="s">
        <v>468</v>
      </c>
      <c r="G54" t="s">
        <v>466</v>
      </c>
    </row>
    <row r="55" spans="1:7" x14ac:dyDescent="0.25">
      <c r="A55" t="str">
        <f t="shared" si="0"/>
        <v>TC_044_2_CS Firmware Management</v>
      </c>
      <c r="B55" t="s">
        <v>389</v>
      </c>
      <c r="C55" t="s">
        <v>219</v>
      </c>
      <c r="D55" t="s">
        <v>301</v>
      </c>
      <c r="E55" t="s">
        <v>125</v>
      </c>
      <c r="F55" t="s">
        <v>468</v>
      </c>
      <c r="G55" t="s">
        <v>467</v>
      </c>
    </row>
    <row r="56" spans="1:7" x14ac:dyDescent="0.25">
      <c r="A56" t="str">
        <f t="shared" si="0"/>
        <v>TC_044_3_CS Firmware Management</v>
      </c>
      <c r="B56" t="s">
        <v>390</v>
      </c>
      <c r="C56" t="s">
        <v>219</v>
      </c>
      <c r="D56" t="s">
        <v>302</v>
      </c>
      <c r="E56" t="s">
        <v>125</v>
      </c>
      <c r="F56" t="s">
        <v>468</v>
      </c>
      <c r="G56" t="s">
        <v>467</v>
      </c>
    </row>
    <row r="57" spans="1:7" x14ac:dyDescent="0.25">
      <c r="A57" t="str">
        <f t="shared" si="0"/>
        <v>TC_045_1_CS Firmware Management</v>
      </c>
      <c r="B57" t="s">
        <v>391</v>
      </c>
      <c r="C57" t="s">
        <v>219</v>
      </c>
      <c r="D57" t="s">
        <v>303</v>
      </c>
      <c r="E57" t="s">
        <v>124</v>
      </c>
    </row>
    <row r="58" spans="1:7" x14ac:dyDescent="0.25">
      <c r="A58" t="str">
        <f t="shared" si="0"/>
        <v>TC_045_2_CS Firmware Management</v>
      </c>
      <c r="B58" t="s">
        <v>392</v>
      </c>
      <c r="C58" t="s">
        <v>219</v>
      </c>
      <c r="D58" t="s">
        <v>304</v>
      </c>
      <c r="E58" t="s">
        <v>124</v>
      </c>
    </row>
    <row r="59" spans="1:7" x14ac:dyDescent="0.25">
      <c r="A59" t="str">
        <f t="shared" si="0"/>
        <v>TC_046_1_CS Reservation</v>
      </c>
      <c r="B59" t="s">
        <v>393</v>
      </c>
      <c r="C59" t="s">
        <v>53</v>
      </c>
      <c r="D59" t="s">
        <v>515</v>
      </c>
      <c r="E59" t="s">
        <v>125</v>
      </c>
      <c r="F59" t="s">
        <v>231</v>
      </c>
      <c r="G59" t="s">
        <v>258</v>
      </c>
    </row>
    <row r="60" spans="1:7" x14ac:dyDescent="0.25">
      <c r="A60" t="str">
        <f t="shared" si="0"/>
        <v>TC_046_2_CS Reservation</v>
      </c>
      <c r="B60" t="s">
        <v>394</v>
      </c>
      <c r="C60" t="s">
        <v>53</v>
      </c>
      <c r="D60" t="s">
        <v>516</v>
      </c>
      <c r="E60" t="s">
        <v>124</v>
      </c>
    </row>
    <row r="61" spans="1:7" x14ac:dyDescent="0.25">
      <c r="A61" t="str">
        <f t="shared" si="0"/>
        <v>TC_047_CS Reservation</v>
      </c>
      <c r="B61" t="s">
        <v>395</v>
      </c>
      <c r="C61" t="s">
        <v>53</v>
      </c>
      <c r="D61" t="s">
        <v>305</v>
      </c>
      <c r="E61" t="s">
        <v>124</v>
      </c>
    </row>
    <row r="62" spans="1:7" x14ac:dyDescent="0.25">
      <c r="A62" t="str">
        <f t="shared" ref="A62:A98" si="1">B62&amp;" "&amp;C62</f>
        <v>TC_048_2_CS Reservation</v>
      </c>
      <c r="B62" t="s">
        <v>396</v>
      </c>
      <c r="C62" t="s">
        <v>53</v>
      </c>
      <c r="D62" t="s">
        <v>306</v>
      </c>
      <c r="E62" t="s">
        <v>125</v>
      </c>
      <c r="F62" t="s">
        <v>529</v>
      </c>
    </row>
    <row r="63" spans="1:7" x14ac:dyDescent="0.25">
      <c r="A63" t="str">
        <f t="shared" si="1"/>
        <v>TC_048_3_CS Reservation</v>
      </c>
      <c r="B63" t="s">
        <v>397</v>
      </c>
      <c r="C63" t="s">
        <v>53</v>
      </c>
      <c r="D63" t="s">
        <v>307</v>
      </c>
      <c r="E63" t="s">
        <v>124</v>
      </c>
    </row>
    <row r="64" spans="1:7" x14ac:dyDescent="0.25">
      <c r="A64" t="str">
        <f t="shared" si="1"/>
        <v>TC_048_4_CS Reservation</v>
      </c>
      <c r="B64" t="s">
        <v>398</v>
      </c>
      <c r="C64" t="s">
        <v>53</v>
      </c>
      <c r="D64" t="s">
        <v>511</v>
      </c>
      <c r="E64" t="s">
        <v>254</v>
      </c>
    </row>
    <row r="65" spans="1:7" x14ac:dyDescent="0.25">
      <c r="A65" t="str">
        <f t="shared" si="1"/>
        <v>TC_049_CS Reservation</v>
      </c>
      <c r="B65" t="s">
        <v>399</v>
      </c>
      <c r="C65" t="s">
        <v>53</v>
      </c>
      <c r="D65" t="s">
        <v>308</v>
      </c>
      <c r="E65" t="s">
        <v>125</v>
      </c>
      <c r="F65" t="s">
        <v>127</v>
      </c>
      <c r="G65" t="s">
        <v>225</v>
      </c>
    </row>
    <row r="66" spans="1:7" x14ac:dyDescent="0.25">
      <c r="A66" t="str">
        <f t="shared" si="1"/>
        <v>TC_050_2_CS Reservation</v>
      </c>
      <c r="B66" t="s">
        <v>400</v>
      </c>
      <c r="C66" t="s">
        <v>53</v>
      </c>
      <c r="D66" t="s">
        <v>309</v>
      </c>
      <c r="E66" t="s">
        <v>125</v>
      </c>
      <c r="F66" t="s">
        <v>530</v>
      </c>
      <c r="G66" t="s">
        <v>225</v>
      </c>
    </row>
    <row r="67" spans="1:7" x14ac:dyDescent="0.25">
      <c r="A67" t="str">
        <f t="shared" si="1"/>
        <v>TC_050_3_CS Reservation</v>
      </c>
      <c r="B67" t="s">
        <v>401</v>
      </c>
      <c r="C67" t="s">
        <v>53</v>
      </c>
      <c r="D67" t="s">
        <v>310</v>
      </c>
      <c r="E67" t="s">
        <v>125</v>
      </c>
      <c r="F67" t="s">
        <v>127</v>
      </c>
      <c r="G67" t="s">
        <v>225</v>
      </c>
    </row>
    <row r="68" spans="1:7" x14ac:dyDescent="0.25">
      <c r="A68" t="str">
        <f t="shared" si="1"/>
        <v>TC_051_CS Reservation</v>
      </c>
      <c r="B68" t="s">
        <v>402</v>
      </c>
      <c r="C68" t="s">
        <v>53</v>
      </c>
      <c r="D68" t="s">
        <v>311</v>
      </c>
      <c r="E68" t="s">
        <v>124</v>
      </c>
    </row>
    <row r="69" spans="1:7" x14ac:dyDescent="0.25">
      <c r="A69" t="str">
        <f t="shared" si="1"/>
        <v>TC_052_CS Reservation</v>
      </c>
      <c r="B69" t="s">
        <v>403</v>
      </c>
      <c r="C69" t="s">
        <v>53</v>
      </c>
      <c r="D69" t="s">
        <v>312</v>
      </c>
      <c r="E69" t="s">
        <v>124</v>
      </c>
    </row>
    <row r="70" spans="1:7" x14ac:dyDescent="0.25">
      <c r="A70" t="str">
        <f t="shared" si="1"/>
        <v>TC_053_CS Reservation</v>
      </c>
      <c r="B70" t="s">
        <v>404</v>
      </c>
      <c r="C70" t="s">
        <v>53</v>
      </c>
      <c r="D70" t="s">
        <v>313</v>
      </c>
      <c r="E70" t="s">
        <v>124</v>
      </c>
    </row>
    <row r="71" spans="1:7" x14ac:dyDescent="0.25">
      <c r="A71" t="str">
        <f t="shared" si="1"/>
        <v>TC_054_CS Remote Trigger</v>
      </c>
      <c r="B71" t="s">
        <v>405</v>
      </c>
      <c r="C71" t="s">
        <v>222</v>
      </c>
      <c r="D71" t="s">
        <v>314</v>
      </c>
      <c r="E71" t="s">
        <v>124</v>
      </c>
    </row>
    <row r="72" spans="1:7" x14ac:dyDescent="0.25">
      <c r="A72" t="str">
        <f t="shared" si="1"/>
        <v>TC_055_CS Remote Trigger</v>
      </c>
      <c r="B72" t="s">
        <v>406</v>
      </c>
      <c r="C72" t="s">
        <v>222</v>
      </c>
      <c r="D72" t="s">
        <v>315</v>
      </c>
      <c r="E72" t="s">
        <v>124</v>
      </c>
    </row>
    <row r="73" spans="1:7" x14ac:dyDescent="0.25">
      <c r="A73" t="str">
        <f t="shared" si="1"/>
        <v>TC_056_CS Smart Charging</v>
      </c>
      <c r="B73" t="s">
        <v>407</v>
      </c>
      <c r="C73" t="s">
        <v>51</v>
      </c>
      <c r="D73" t="s">
        <v>316</v>
      </c>
      <c r="E73" t="s">
        <v>125</v>
      </c>
      <c r="F73" t="s">
        <v>452</v>
      </c>
      <c r="G73" t="s">
        <v>261</v>
      </c>
    </row>
    <row r="74" spans="1:7" x14ac:dyDescent="0.25">
      <c r="A74" t="str">
        <f t="shared" si="1"/>
        <v>TC_057_CS Smart Charging</v>
      </c>
      <c r="B74" t="s">
        <v>408</v>
      </c>
      <c r="C74" t="s">
        <v>51</v>
      </c>
      <c r="D74" t="s">
        <v>317</v>
      </c>
      <c r="E74" t="s">
        <v>125</v>
      </c>
      <c r="F74" t="s">
        <v>452</v>
      </c>
      <c r="G74" t="s">
        <v>261</v>
      </c>
    </row>
    <row r="75" spans="1:7" x14ac:dyDescent="0.25">
      <c r="A75" t="str">
        <f t="shared" si="1"/>
        <v>TC_058_1_CS Smart Charging</v>
      </c>
      <c r="B75" t="s">
        <v>409</v>
      </c>
      <c r="C75" t="s">
        <v>51</v>
      </c>
      <c r="D75" t="s">
        <v>318</v>
      </c>
      <c r="E75" t="s">
        <v>125</v>
      </c>
      <c r="F75" t="s">
        <v>452</v>
      </c>
      <c r="G75" t="s">
        <v>261</v>
      </c>
    </row>
    <row r="76" spans="1:7" x14ac:dyDescent="0.25">
      <c r="A76" t="str">
        <f t="shared" si="1"/>
        <v>TC_058_2_CS Smart Charging</v>
      </c>
      <c r="B76" t="s">
        <v>410</v>
      </c>
      <c r="C76" t="s">
        <v>51</v>
      </c>
      <c r="D76" t="s">
        <v>319</v>
      </c>
      <c r="E76" t="s">
        <v>125</v>
      </c>
      <c r="F76" t="s">
        <v>452</v>
      </c>
      <c r="G76" t="s">
        <v>261</v>
      </c>
    </row>
    <row r="77" spans="1:7" x14ac:dyDescent="0.25">
      <c r="A77" t="str">
        <f t="shared" si="1"/>
        <v>TC_082_CS Smart Charging</v>
      </c>
      <c r="B77" t="s">
        <v>411</v>
      </c>
      <c r="C77" t="s">
        <v>51</v>
      </c>
      <c r="D77" t="s">
        <v>320</v>
      </c>
      <c r="E77" t="s">
        <v>125</v>
      </c>
      <c r="F77" t="s">
        <v>452</v>
      </c>
      <c r="G77" t="s">
        <v>261</v>
      </c>
    </row>
    <row r="78" spans="1:7" x14ac:dyDescent="0.25">
      <c r="A78" t="str">
        <f t="shared" si="1"/>
        <v>TC_066_CS Smart Charging</v>
      </c>
      <c r="B78" t="s">
        <v>412</v>
      </c>
      <c r="C78" t="s">
        <v>51</v>
      </c>
      <c r="D78" t="s">
        <v>321</v>
      </c>
      <c r="E78" t="s">
        <v>125</v>
      </c>
      <c r="F78" t="s">
        <v>452</v>
      </c>
      <c r="G78" t="s">
        <v>261</v>
      </c>
    </row>
    <row r="79" spans="1:7" x14ac:dyDescent="0.25">
      <c r="A79" t="str">
        <f t="shared" si="1"/>
        <v>TC_067_CS Smart Charging</v>
      </c>
      <c r="B79" t="s">
        <v>413</v>
      </c>
      <c r="C79" t="s">
        <v>51</v>
      </c>
      <c r="D79" t="s">
        <v>322</v>
      </c>
      <c r="E79" t="s">
        <v>125</v>
      </c>
      <c r="F79" t="s">
        <v>452</v>
      </c>
      <c r="G79" t="s">
        <v>261</v>
      </c>
    </row>
    <row r="80" spans="1:7" ht="31.5" x14ac:dyDescent="0.25">
      <c r="A80" t="str">
        <f t="shared" si="1"/>
        <v>TC_072_CS Smart Charging</v>
      </c>
      <c r="B80" t="s">
        <v>414</v>
      </c>
      <c r="C80" t="s">
        <v>51</v>
      </c>
      <c r="D80" t="s">
        <v>323</v>
      </c>
      <c r="E80" t="s">
        <v>125</v>
      </c>
      <c r="F80" t="s">
        <v>452</v>
      </c>
      <c r="G80" s="2" t="s">
        <v>429</v>
      </c>
    </row>
    <row r="81" spans="1:7" x14ac:dyDescent="0.25">
      <c r="A81" t="str">
        <f t="shared" si="1"/>
        <v>TC_059_CS Smart Charging</v>
      </c>
      <c r="B81" t="s">
        <v>415</v>
      </c>
      <c r="C81" t="s">
        <v>51</v>
      </c>
      <c r="D81" t="s">
        <v>324</v>
      </c>
      <c r="E81" t="s">
        <v>125</v>
      </c>
      <c r="F81" t="s">
        <v>452</v>
      </c>
      <c r="G81" t="s">
        <v>261</v>
      </c>
    </row>
    <row r="82" spans="1:7" x14ac:dyDescent="0.25">
      <c r="A82" t="str">
        <f t="shared" si="1"/>
        <v>TC_062_CS Core</v>
      </c>
      <c r="B82" t="s">
        <v>416</v>
      </c>
      <c r="C82" t="s">
        <v>49</v>
      </c>
      <c r="D82" t="s">
        <v>448</v>
      </c>
      <c r="E82" t="s">
        <v>124</v>
      </c>
    </row>
    <row r="83" spans="1:7" x14ac:dyDescent="0.25">
      <c r="A83" t="str">
        <f t="shared" si="1"/>
        <v>TC_060_CS Smart Charging</v>
      </c>
      <c r="B83" t="s">
        <v>447</v>
      </c>
      <c r="C83" t="s">
        <v>51</v>
      </c>
      <c r="D83" t="s">
        <v>325</v>
      </c>
      <c r="E83" t="s">
        <v>124</v>
      </c>
      <c r="G83" t="s">
        <v>261</v>
      </c>
    </row>
    <row r="84" spans="1:7" x14ac:dyDescent="0.25">
      <c r="A84" t="str">
        <f t="shared" si="1"/>
        <v>TC_073_CS Security extension</v>
      </c>
      <c r="B84" t="s">
        <v>431</v>
      </c>
      <c r="C84" t="s">
        <v>497</v>
      </c>
      <c r="D84" t="s">
        <v>326</v>
      </c>
      <c r="E84" t="s">
        <v>124</v>
      </c>
    </row>
    <row r="85" spans="1:7" x14ac:dyDescent="0.25">
      <c r="A85" t="str">
        <f t="shared" si="1"/>
        <v>TC_074_CS Security extension</v>
      </c>
      <c r="B85" t="s">
        <v>417</v>
      </c>
      <c r="C85" t="s">
        <v>497</v>
      </c>
      <c r="D85" t="s">
        <v>328</v>
      </c>
      <c r="E85" t="s">
        <v>125</v>
      </c>
      <c r="F85" t="s">
        <v>329</v>
      </c>
    </row>
    <row r="86" spans="1:7" x14ac:dyDescent="0.25">
      <c r="A86" t="str">
        <f t="shared" si="1"/>
        <v>TC_075_1_CS Security extension</v>
      </c>
      <c r="B86" t="s">
        <v>445</v>
      </c>
      <c r="C86" t="s">
        <v>497</v>
      </c>
      <c r="D86" t="s">
        <v>512</v>
      </c>
      <c r="E86" t="s">
        <v>124</v>
      </c>
    </row>
    <row r="87" spans="1:7" x14ac:dyDescent="0.25">
      <c r="A87" t="str">
        <f t="shared" si="1"/>
        <v>TC_075_2_CS Security extension</v>
      </c>
      <c r="B87" t="s">
        <v>446</v>
      </c>
      <c r="C87" t="s">
        <v>497</v>
      </c>
      <c r="D87" t="s">
        <v>449</v>
      </c>
      <c r="E87" t="s">
        <v>124</v>
      </c>
    </row>
    <row r="88" spans="1:7" x14ac:dyDescent="0.25">
      <c r="A88" t="str">
        <f t="shared" si="1"/>
        <v>TC_076_CS Security extension</v>
      </c>
      <c r="B88" t="s">
        <v>418</v>
      </c>
      <c r="C88" t="s">
        <v>497</v>
      </c>
      <c r="D88" t="s">
        <v>330</v>
      </c>
      <c r="E88" t="s">
        <v>124</v>
      </c>
    </row>
    <row r="89" spans="1:7" x14ac:dyDescent="0.25">
      <c r="A89" t="str">
        <f t="shared" si="1"/>
        <v>TC_077_CS Security extension</v>
      </c>
      <c r="B89" t="s">
        <v>419</v>
      </c>
      <c r="C89" t="s">
        <v>497</v>
      </c>
      <c r="D89" t="s">
        <v>331</v>
      </c>
      <c r="E89" t="s">
        <v>125</v>
      </c>
      <c r="F89" t="s">
        <v>329</v>
      </c>
    </row>
    <row r="90" spans="1:7" x14ac:dyDescent="0.25">
      <c r="A90" t="str">
        <f t="shared" si="1"/>
        <v>TC_078_CS Security extension</v>
      </c>
      <c r="B90" t="s">
        <v>420</v>
      </c>
      <c r="C90" t="s">
        <v>497</v>
      </c>
      <c r="D90" t="s">
        <v>332</v>
      </c>
      <c r="E90" t="s">
        <v>124</v>
      </c>
    </row>
    <row r="91" spans="1:7" x14ac:dyDescent="0.25">
      <c r="A91" t="str">
        <f t="shared" si="1"/>
        <v>TC_079_CS Security extension</v>
      </c>
      <c r="B91" t="s">
        <v>421</v>
      </c>
      <c r="C91" t="s">
        <v>497</v>
      </c>
      <c r="D91" t="s">
        <v>333</v>
      </c>
      <c r="E91" t="s">
        <v>124</v>
      </c>
    </row>
    <row r="92" spans="1:7" x14ac:dyDescent="0.25">
      <c r="A92" t="str">
        <f t="shared" si="1"/>
        <v>TC_080_CS Security extension</v>
      </c>
      <c r="B92" t="s">
        <v>422</v>
      </c>
      <c r="C92" t="s">
        <v>497</v>
      </c>
      <c r="D92" t="s">
        <v>334</v>
      </c>
      <c r="E92" t="s">
        <v>124</v>
      </c>
    </row>
    <row r="93" spans="1:7" x14ac:dyDescent="0.25">
      <c r="A93" t="str">
        <f t="shared" si="1"/>
        <v>TC_081_CS Security extension</v>
      </c>
      <c r="B93" t="s">
        <v>423</v>
      </c>
      <c r="C93" t="s">
        <v>497</v>
      </c>
      <c r="D93" t="s">
        <v>335</v>
      </c>
      <c r="E93" t="s">
        <v>124</v>
      </c>
    </row>
    <row r="94" spans="1:7" x14ac:dyDescent="0.25">
      <c r="A94" t="str">
        <f t="shared" si="1"/>
        <v>TC_083_CS Security extension</v>
      </c>
      <c r="B94" t="s">
        <v>472</v>
      </c>
      <c r="C94" t="s">
        <v>497</v>
      </c>
      <c r="D94" t="s">
        <v>471</v>
      </c>
      <c r="E94" t="s">
        <v>125</v>
      </c>
      <c r="F94" t="s">
        <v>475</v>
      </c>
    </row>
    <row r="95" spans="1:7" x14ac:dyDescent="0.25">
      <c r="A95" t="str">
        <f t="shared" si="1"/>
        <v>TC_084_CS Security extension</v>
      </c>
      <c r="B95" t="s">
        <v>473</v>
      </c>
      <c r="C95" t="s">
        <v>497</v>
      </c>
      <c r="D95" t="s">
        <v>474</v>
      </c>
      <c r="E95" t="s">
        <v>125</v>
      </c>
      <c r="F95" t="s">
        <v>475</v>
      </c>
    </row>
    <row r="96" spans="1:7" x14ac:dyDescent="0.25">
      <c r="A96" t="str">
        <f t="shared" si="1"/>
        <v>TC_085_CS Security extension</v>
      </c>
      <c r="B96" t="s">
        <v>508</v>
      </c>
      <c r="C96" t="s">
        <v>497</v>
      </c>
      <c r="D96" t="s">
        <v>503</v>
      </c>
      <c r="E96" t="s">
        <v>124</v>
      </c>
    </row>
    <row r="97" spans="1:6" x14ac:dyDescent="0.25">
      <c r="A97" t="str">
        <f t="shared" si="1"/>
        <v>TC_086_CS Security extension</v>
      </c>
      <c r="B97" t="s">
        <v>509</v>
      </c>
      <c r="C97" t="s">
        <v>497</v>
      </c>
      <c r="D97" t="s">
        <v>505</v>
      </c>
      <c r="E97" t="s">
        <v>124</v>
      </c>
    </row>
    <row r="98" spans="1:6" x14ac:dyDescent="0.25">
      <c r="A98" t="str">
        <f t="shared" si="1"/>
        <v>TC_087_CS Security extension</v>
      </c>
      <c r="B98" t="s">
        <v>510</v>
      </c>
      <c r="C98" t="s">
        <v>497</v>
      </c>
      <c r="D98" t="s">
        <v>507</v>
      </c>
      <c r="E98" t="s">
        <v>125</v>
      </c>
      <c r="F98" t="s">
        <v>329</v>
      </c>
    </row>
  </sheetData>
  <autoFilter ref="A1:G1" xr:uid="{9354F979-10AD-44F5-A300-18583FCA57EE}"/>
  <sortState xmlns:xlrd2="http://schemas.microsoft.com/office/spreadsheetml/2017/richdata2" ref="B2:G450">
    <sortCondition ref="B2:B450"/>
  </sortState>
  <pageMargins left="0.7" right="0.7" top="0.75" bottom="0.75" header="0.3" footer="0.3"/>
  <pageSetup paperSize="9" orientation="portrait" r:id="rId1"/>
  <headerFooter>
    <oddFooter>&amp;C_x000D_&amp;1#&amp;"Arial"&amp;9&amp;K000000 Internal</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866920-8EEC-4B56-B3CF-D353EEFB53B3}">
  <dimension ref="A1:D25"/>
  <sheetViews>
    <sheetView zoomScaleNormal="100" workbookViewId="0"/>
  </sheetViews>
  <sheetFormatPr defaultColWidth="8.875" defaultRowHeight="15.75" x14ac:dyDescent="0.25"/>
  <cols>
    <col min="1" max="1" width="7.125" bestFit="1" customWidth="1"/>
    <col min="2" max="2" width="29.125" customWidth="1"/>
    <col min="3" max="3" width="104.625" bestFit="1" customWidth="1"/>
    <col min="4" max="4" width="199.625" bestFit="1" customWidth="1"/>
  </cols>
  <sheetData>
    <row r="1" spans="1:4" x14ac:dyDescent="0.25">
      <c r="A1" t="s">
        <v>35</v>
      </c>
      <c r="B1" t="s">
        <v>496</v>
      </c>
      <c r="C1" t="s">
        <v>110</v>
      </c>
      <c r="D1" t="s">
        <v>111</v>
      </c>
    </row>
    <row r="2" spans="1:4" x14ac:dyDescent="0.25">
      <c r="A2" t="s">
        <v>36</v>
      </c>
      <c r="B2" t="s">
        <v>49</v>
      </c>
      <c r="C2" t="s">
        <v>113</v>
      </c>
      <c r="D2" t="s">
        <v>214</v>
      </c>
    </row>
    <row r="3" spans="1:4" x14ac:dyDescent="0.25">
      <c r="A3" t="s">
        <v>37</v>
      </c>
      <c r="B3" t="s">
        <v>49</v>
      </c>
      <c r="C3" t="s">
        <v>460</v>
      </c>
      <c r="D3" t="s">
        <v>112</v>
      </c>
    </row>
    <row r="4" spans="1:4" x14ac:dyDescent="0.25">
      <c r="A4" t="s">
        <v>38</v>
      </c>
      <c r="B4" t="s">
        <v>49</v>
      </c>
      <c r="C4" t="s">
        <v>114</v>
      </c>
      <c r="D4" t="s">
        <v>112</v>
      </c>
    </row>
    <row r="5" spans="1:4" x14ac:dyDescent="0.25">
      <c r="A5" t="s">
        <v>39</v>
      </c>
      <c r="B5" t="s">
        <v>49</v>
      </c>
      <c r="C5" t="s">
        <v>578</v>
      </c>
      <c r="D5" t="s">
        <v>112</v>
      </c>
    </row>
    <row r="6" spans="1:4" x14ac:dyDescent="0.25">
      <c r="A6" t="s">
        <v>232</v>
      </c>
      <c r="B6" t="s">
        <v>49</v>
      </c>
      <c r="C6" t="s">
        <v>230</v>
      </c>
      <c r="D6" t="s">
        <v>112</v>
      </c>
    </row>
    <row r="7" spans="1:4" x14ac:dyDescent="0.25">
      <c r="A7" t="s">
        <v>40</v>
      </c>
      <c r="B7" t="s">
        <v>49</v>
      </c>
      <c r="C7" t="s">
        <v>577</v>
      </c>
      <c r="D7" t="s">
        <v>144</v>
      </c>
    </row>
    <row r="8" spans="1:4" x14ac:dyDescent="0.25">
      <c r="A8" t="s">
        <v>41</v>
      </c>
      <c r="B8" t="s">
        <v>49</v>
      </c>
      <c r="C8" t="s">
        <v>115</v>
      </c>
      <c r="D8" t="s">
        <v>112</v>
      </c>
    </row>
    <row r="9" spans="1:4" x14ac:dyDescent="0.25">
      <c r="A9" t="s">
        <v>42</v>
      </c>
      <c r="B9" t="s">
        <v>49</v>
      </c>
      <c r="C9" t="s">
        <v>116</v>
      </c>
      <c r="D9" t="s">
        <v>112</v>
      </c>
    </row>
    <row r="10" spans="1:4" x14ac:dyDescent="0.25">
      <c r="A10" t="s">
        <v>231</v>
      </c>
      <c r="B10" t="s">
        <v>49</v>
      </c>
      <c r="C10" t="s">
        <v>434</v>
      </c>
      <c r="D10" t="s">
        <v>112</v>
      </c>
    </row>
    <row r="11" spans="1:4" x14ac:dyDescent="0.25">
      <c r="A11" t="s">
        <v>432</v>
      </c>
      <c r="B11" t="s">
        <v>49</v>
      </c>
      <c r="C11" t="s">
        <v>456</v>
      </c>
      <c r="D11" t="s">
        <v>112</v>
      </c>
    </row>
    <row r="12" spans="1:4" x14ac:dyDescent="0.25">
      <c r="A12" t="s">
        <v>494</v>
      </c>
      <c r="B12" t="s">
        <v>430</v>
      </c>
      <c r="C12" t="s">
        <v>117</v>
      </c>
      <c r="D12" t="s">
        <v>118</v>
      </c>
    </row>
    <row r="13" spans="1:4" x14ac:dyDescent="0.25">
      <c r="A13" t="s">
        <v>226</v>
      </c>
      <c r="B13" t="s">
        <v>51</v>
      </c>
      <c r="C13" t="s">
        <v>120</v>
      </c>
      <c r="D13" t="s">
        <v>234</v>
      </c>
    </row>
    <row r="14" spans="1:4" x14ac:dyDescent="0.25">
      <c r="A14" t="s">
        <v>228</v>
      </c>
      <c r="B14" t="s">
        <v>51</v>
      </c>
      <c r="C14" t="s">
        <v>121</v>
      </c>
      <c r="D14" t="s">
        <v>112</v>
      </c>
    </row>
    <row r="15" spans="1:4" x14ac:dyDescent="0.25">
      <c r="A15" t="s">
        <v>229</v>
      </c>
      <c r="B15" t="s">
        <v>51</v>
      </c>
      <c r="C15" t="s">
        <v>122</v>
      </c>
      <c r="D15" t="s">
        <v>112</v>
      </c>
    </row>
    <row r="16" spans="1:4" x14ac:dyDescent="0.25">
      <c r="A16" t="s">
        <v>127</v>
      </c>
      <c r="B16" t="s">
        <v>233</v>
      </c>
      <c r="C16" t="s">
        <v>576</v>
      </c>
      <c r="D16" t="s">
        <v>112</v>
      </c>
    </row>
    <row r="17" spans="1:4" x14ac:dyDescent="0.25">
      <c r="A17" t="s">
        <v>477</v>
      </c>
      <c r="B17" t="s">
        <v>219</v>
      </c>
      <c r="C17" t="s">
        <v>478</v>
      </c>
      <c r="D17" t="s">
        <v>112</v>
      </c>
    </row>
    <row r="18" spans="1:4" x14ac:dyDescent="0.25">
      <c r="A18" t="s">
        <v>227</v>
      </c>
      <c r="B18" t="s">
        <v>497</v>
      </c>
      <c r="C18" t="s">
        <v>502</v>
      </c>
      <c r="D18" t="s">
        <v>112</v>
      </c>
    </row>
    <row r="19" spans="1:4" x14ac:dyDescent="0.25">
      <c r="A19" t="s">
        <v>493</v>
      </c>
      <c r="B19" t="s">
        <v>497</v>
      </c>
      <c r="C19" t="s">
        <v>501</v>
      </c>
      <c r="D19" t="s">
        <v>112</v>
      </c>
    </row>
    <row r="20" spans="1:4" x14ac:dyDescent="0.25">
      <c r="A20" t="s">
        <v>495</v>
      </c>
      <c r="B20" t="s">
        <v>497</v>
      </c>
      <c r="C20" t="s">
        <v>500</v>
      </c>
      <c r="D20" t="s">
        <v>112</v>
      </c>
    </row>
    <row r="21" spans="1:4" x14ac:dyDescent="0.25">
      <c r="A21" t="s">
        <v>538</v>
      </c>
      <c r="B21" t="s">
        <v>49</v>
      </c>
      <c r="C21" t="s">
        <v>541</v>
      </c>
      <c r="D21" t="s">
        <v>542</v>
      </c>
    </row>
    <row r="22" spans="1:4" x14ac:dyDescent="0.25">
      <c r="A22" t="s">
        <v>539</v>
      </c>
      <c r="B22" t="s">
        <v>49</v>
      </c>
      <c r="C22" t="s">
        <v>543</v>
      </c>
      <c r="D22" t="s">
        <v>542</v>
      </c>
    </row>
    <row r="23" spans="1:4" x14ac:dyDescent="0.25">
      <c r="B23" t="s">
        <v>49</v>
      </c>
      <c r="C23" t="s">
        <v>544</v>
      </c>
      <c r="D23" t="s">
        <v>542</v>
      </c>
    </row>
    <row r="24" spans="1:4" x14ac:dyDescent="0.25">
      <c r="A24" t="s">
        <v>540</v>
      </c>
      <c r="B24" t="s">
        <v>49</v>
      </c>
      <c r="C24" t="s">
        <v>545</v>
      </c>
      <c r="D24" t="s">
        <v>542</v>
      </c>
    </row>
    <row r="25" spans="1:4" x14ac:dyDescent="0.25">
      <c r="B25" t="s">
        <v>49</v>
      </c>
      <c r="C25" t="s">
        <v>546</v>
      </c>
      <c r="D25" t="s">
        <v>542</v>
      </c>
    </row>
  </sheetData>
  <phoneticPr fontId="36" type="noConversion"/>
  <pageMargins left="0.7" right="0.7" top="0.75" bottom="0.75" header="0.3" footer="0.3"/>
  <headerFooter>
    <oddFooter>&amp;C_x000D_&amp;1#&amp;"Arial"&amp;9&amp;K000000 Internal</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982C58-DCD6-4818-9A0F-45D812E9F9DB}">
  <dimension ref="A1:H4"/>
  <sheetViews>
    <sheetView workbookViewId="0">
      <selection activeCell="N24" sqref="N24"/>
    </sheetView>
  </sheetViews>
  <sheetFormatPr defaultColWidth="8.875" defaultRowHeight="15.75" x14ac:dyDescent="0.25"/>
  <cols>
    <col min="1" max="1" width="51.375" customWidth="1"/>
  </cols>
  <sheetData>
    <row r="1" spans="1:8" x14ac:dyDescent="0.25">
      <c r="A1" t="s">
        <v>96</v>
      </c>
      <c r="B1" t="s">
        <v>124</v>
      </c>
      <c r="E1" t="s">
        <v>208</v>
      </c>
      <c r="H1" t="s">
        <v>624</v>
      </c>
    </row>
    <row r="2" spans="1:8" x14ac:dyDescent="0.25">
      <c r="A2" t="s">
        <v>98</v>
      </c>
      <c r="B2" t="s">
        <v>125</v>
      </c>
      <c r="E2" t="s">
        <v>209</v>
      </c>
      <c r="H2" t="s">
        <v>625</v>
      </c>
    </row>
    <row r="3" spans="1:8" x14ac:dyDescent="0.25">
      <c r="A3" t="s">
        <v>97</v>
      </c>
      <c r="B3" t="s">
        <v>125</v>
      </c>
      <c r="E3" t="s">
        <v>210</v>
      </c>
      <c r="H3" t="s">
        <v>626</v>
      </c>
    </row>
    <row r="4" spans="1:8" x14ac:dyDescent="0.25">
      <c r="A4" t="s">
        <v>442</v>
      </c>
      <c r="B4" t="s">
        <v>254</v>
      </c>
    </row>
  </sheetData>
  <pageMargins left="0.7" right="0.7" top="0.75" bottom="0.75" header="0.3" footer="0.3"/>
  <headerFooter>
    <oddFooter>&amp;C_x000D_&amp;1#&amp;"Arial"&amp;9&amp;K000000 Internal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4c0df782-0713-43be-b8d1-e2ff849827a7" xsi:nil="true"/>
    <lcf76f155ced4ddcb4097134ff3c332f xmlns="4d8613b4-e81d-4525-b3bf-245aa758d498">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381D62FE54BF1D49A4E2FF9B597CC145" ma:contentTypeVersion="16" ma:contentTypeDescription="Een nieuw document maken." ma:contentTypeScope="" ma:versionID="1f8b24117face3f15985504c530e0944">
  <xsd:schema xmlns:xsd="http://www.w3.org/2001/XMLSchema" xmlns:xs="http://www.w3.org/2001/XMLSchema" xmlns:p="http://schemas.microsoft.com/office/2006/metadata/properties" xmlns:ns2="4d8613b4-e81d-4525-b3bf-245aa758d498" xmlns:ns3="4c0df782-0713-43be-b8d1-e2ff849827a7" targetNamespace="http://schemas.microsoft.com/office/2006/metadata/properties" ma:root="true" ma:fieldsID="9dd2f6231fa2505e99cb1c0f558a04e0" ns2:_="" ns3:_="">
    <xsd:import namespace="4d8613b4-e81d-4525-b3bf-245aa758d498"/>
    <xsd:import namespace="4c0df782-0713-43be-b8d1-e2ff849827a7"/>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LengthInSeconds" minOccurs="0"/>
                <xsd:element ref="ns2:MediaServiceDateTaken" minOccurs="0"/>
                <xsd:element ref="ns2:MediaServiceGenerationTime" minOccurs="0"/>
                <xsd:element ref="ns2:MediaServiceEventHashCode" minOccurs="0"/>
                <xsd:element ref="ns2:MediaServiceOCR" minOccurs="0"/>
                <xsd:element ref="ns2:MediaServiceLocation" minOccurs="0"/>
                <xsd:element ref="ns3:SharedWithUsers" minOccurs="0"/>
                <xsd:element ref="ns3:SharedWithDetail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d8613b4-e81d-4525-b3bf-245aa758d49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Location" ma:index="18"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Afbeeldingtags" ma:readOnly="false" ma:fieldId="{5cf76f15-5ced-4ddc-b409-7134ff3c332f}" ma:taxonomyMulti="true" ma:sspId="88de567b-8e6c-4af0-ad3d-8df73b5d25c6"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4c0df782-0713-43be-b8d1-e2ff849827a7" elementFormDefault="qualified">
    <xsd:import namespace="http://schemas.microsoft.com/office/2006/documentManagement/types"/>
    <xsd:import namespace="http://schemas.microsoft.com/office/infopath/2007/PartnerControls"/>
    <xsd:element name="SharedWithUsers" ma:index="19"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Gedeeld met details" ma:internalName="SharedWithDetails" ma:readOnly="true">
      <xsd:simpleType>
        <xsd:restriction base="dms:Note">
          <xsd:maxLength value="255"/>
        </xsd:restriction>
      </xsd:simpleType>
    </xsd:element>
    <xsd:element name="TaxCatchAll" ma:index="23" nillable="true" ma:displayName="Taxonomy Catch All Column" ma:hidden="true" ma:list="{3cec4785-7953-43cd-b88d-f7a19bc64697}" ma:internalName="TaxCatchAll" ma:showField="CatchAllData" ma:web="4c0df782-0713-43be-b8d1-e2ff849827a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AE41E37-E4D8-4D58-87C7-704F401B18C5}">
  <ds:schemaRefs>
    <ds:schemaRef ds:uri="http://schemas.microsoft.com/office/2006/metadata/properties"/>
    <ds:schemaRef ds:uri="http://schemas.microsoft.com/office/2006/documentManagement/types"/>
    <ds:schemaRef ds:uri="http://purl.org/dc/terms/"/>
    <ds:schemaRef ds:uri="4c0df782-0713-43be-b8d1-e2ff849827a7"/>
    <ds:schemaRef ds:uri="http://schemas.microsoft.com/office/infopath/2007/PartnerControls"/>
    <ds:schemaRef ds:uri="http://purl.org/dc/elements/1.1/"/>
    <ds:schemaRef ds:uri="http://schemas.openxmlformats.org/package/2006/metadata/core-properties"/>
    <ds:schemaRef ds:uri="4d8613b4-e81d-4525-b3bf-245aa758d498"/>
    <ds:schemaRef ds:uri="http://www.w3.org/XML/1998/namespace"/>
    <ds:schemaRef ds:uri="http://purl.org/dc/dcmitype/"/>
  </ds:schemaRefs>
</ds:datastoreItem>
</file>

<file path=customXml/itemProps2.xml><?xml version="1.0" encoding="utf-8"?>
<ds:datastoreItem xmlns:ds="http://schemas.openxmlformats.org/officeDocument/2006/customXml" ds:itemID="{4B181CE2-DB0E-4720-AFA9-6EF8293AEA44}">
  <ds:schemaRefs>
    <ds:schemaRef ds:uri="http://schemas.microsoft.com/office/2006/metadata/contentType"/>
    <ds:schemaRef ds:uri="http://schemas.microsoft.com/office/2006/metadata/properties/metaAttributes"/>
    <ds:schemaRef ds:uri="http://www.w3.org/2000/xmlns/"/>
    <ds:schemaRef ds:uri="http://www.w3.org/2001/XMLSchema"/>
    <ds:schemaRef ds:uri="4d8613b4-e81d-4525-b3bf-245aa758d498"/>
    <ds:schemaRef ds:uri="4c0df782-0713-43be-b8d1-e2ff849827a7"/>
    <ds:schemaRef ds:uri="http://schemas.microsoft.com/office/2006/metadata/properties"/>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29F2A46-E0C0-4240-968F-3A29C80244F4}">
  <ds:schemaRefs>
    <ds:schemaRef ds:uri="http://schemas.microsoft.com/sharepoint/v3/contenttype/forms"/>
  </ds:schemaRefs>
</ds:datastoreItem>
</file>

<file path=docMetadata/LabelInfo.xml><?xml version="1.0" encoding="utf-8"?>
<clbl:labelList xmlns:clbl="http://schemas.microsoft.com/office/2020/mipLabelMetadata">
  <clbl:label id="{4af293e6-3850-4258-b2c7-0aa0e3bfa7d9}" enabled="1" method="Privileged" siteId="{b9fec68c-c92d-461e-9a97-3d03a0f18b82}" contentBits="3"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55</vt:i4>
      </vt:variant>
    </vt:vector>
  </HeadingPairs>
  <TitlesOfParts>
    <vt:vector size="71" baseType="lpstr">
      <vt:lpstr>Explanation</vt:lpstr>
      <vt:lpstr>Hardware Feature set</vt:lpstr>
      <vt:lpstr>Profile selection</vt:lpstr>
      <vt:lpstr>Optional features</vt:lpstr>
      <vt:lpstr>Additional questions</vt:lpstr>
      <vt:lpstr>Other relevant settings</vt:lpstr>
      <vt:lpstr>Vendor Specific Settings</vt:lpstr>
      <vt:lpstr>Performance Measurement</vt:lpstr>
      <vt:lpstr>Charging Station Testcases</vt:lpstr>
      <vt:lpstr>Statement of Approval</vt:lpstr>
      <vt:lpstr>OCPP family members</vt:lpstr>
      <vt:lpstr>HIDDEN Testrun Results</vt:lpstr>
      <vt:lpstr>HIDDEN calc sheet</vt:lpstr>
      <vt:lpstr>HIDDEN import</vt:lpstr>
      <vt:lpstr>HIDDEN features</vt:lpstr>
      <vt:lpstr>MD</vt:lpstr>
      <vt:lpstr>Additional_DUT_information</vt:lpstr>
      <vt:lpstr>Additional_Network_Communication_Ports</vt:lpstr>
      <vt:lpstr>Additional_questions</vt:lpstr>
      <vt:lpstr>Additional_questions_description</vt:lpstr>
      <vt:lpstr>Additional_Test_information</vt:lpstr>
      <vt:lpstr>CE_Security</vt:lpstr>
      <vt:lpstr>CE_Security_Cipher_Suites</vt:lpstr>
      <vt:lpstr>certificate_photo</vt:lpstr>
      <vt:lpstr>Certification_Extensions</vt:lpstr>
      <vt:lpstr>Communication_technology</vt:lpstr>
      <vt:lpstr>CP_CORE</vt:lpstr>
      <vt:lpstr>CP_CORE_description</vt:lpstr>
      <vt:lpstr>CP_Firmware_Management</vt:lpstr>
      <vt:lpstr>CP_Reservation</vt:lpstr>
      <vt:lpstr>CP_Smart_Charging</vt:lpstr>
      <vt:lpstr>Device_info</vt:lpstr>
      <vt:lpstr>DUT_photo</vt:lpstr>
      <vt:lpstr>EVSE_list</vt:lpstr>
      <vt:lpstr>Hardware_feature_set</vt:lpstr>
      <vt:lpstr>Hardware_feature_set_description</vt:lpstr>
      <vt:lpstr>Measured_performance</vt:lpstr>
      <vt:lpstr>Metervalues</vt:lpstr>
      <vt:lpstr>OCPP_16_Certification</vt:lpstr>
      <vt:lpstr>Other_relevant_settings</vt:lpstr>
      <vt:lpstr>Other_relevant_settings_description</vt:lpstr>
      <vt:lpstr>Performance_measurement</vt:lpstr>
      <vt:lpstr>Performance_measurement_description</vt:lpstr>
      <vt:lpstr>Performed_On</vt:lpstr>
      <vt:lpstr>PICS_Id</vt:lpstr>
      <vt:lpstr>Product_Family_Distinct_Features</vt:lpstr>
      <vt:lpstr>Product_Family_Member_1</vt:lpstr>
      <vt:lpstr>Product_Family_Member_2</vt:lpstr>
      <vt:lpstr>Product_Family_Member_3</vt:lpstr>
      <vt:lpstr>Product_Family_Member_4</vt:lpstr>
      <vt:lpstr>Product_Family_Member_5</vt:lpstr>
      <vt:lpstr>Product_Family_Member_6</vt:lpstr>
      <vt:lpstr>Product_Family_Member_7</vt:lpstr>
      <vt:lpstr>Profile_Selection</vt:lpstr>
      <vt:lpstr>Security_profiles</vt:lpstr>
      <vt:lpstr>Test_laboratory</vt:lpstr>
      <vt:lpstr>Test_laboratory_signature</vt:lpstr>
      <vt:lpstr>Test_laboratory_signature_image</vt:lpstr>
      <vt:lpstr>Test_Location</vt:lpstr>
      <vt:lpstr>Test_Report_Reference</vt:lpstr>
      <vt:lpstr>Testcase_List</vt:lpstr>
      <vt:lpstr>Testcase_List_description</vt:lpstr>
      <vt:lpstr>'HIDDEN Testrun Results'!testresults</vt:lpstr>
      <vt:lpstr>Vendor</vt:lpstr>
      <vt:lpstr>Vendor_Family_Members</vt:lpstr>
      <vt:lpstr>Vendor_signature</vt:lpstr>
      <vt:lpstr>Vendor_signature_Family_Members</vt:lpstr>
      <vt:lpstr>Vendor_signature_image</vt:lpstr>
      <vt:lpstr>vendor_signature_image_Family_Members</vt:lpstr>
      <vt:lpstr>Vendor_Specific_Settings</vt:lpstr>
      <vt:lpstr>Vendor_Specific_Settings_description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OCPP 2.0.1. PICS CS</dc:title>
  <dc:subject>OCPP 2.0.1 Protocol Implementation Confirmance Statement for Charging Stations</dc:subject>
  <dc:creator>Open Charge Alliance</dc:creator>
  <cp:keywords/>
  <dc:description/>
  <cp:lastModifiedBy>Klapwijk, Paul</cp:lastModifiedBy>
  <cp:revision/>
  <dcterms:created xsi:type="dcterms:W3CDTF">2023-01-12T22:50:24Z</dcterms:created>
  <dcterms:modified xsi:type="dcterms:W3CDTF">2025-03-20T16:25:55Z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0x010100381D62FE54BF1D49A4E2FF9B597CC145</vt:lpwstr>
  </property>
  <property fmtid="{D5CDD505-2E9C-101B-9397-08002B2CF9AE}" pid="3" name="MediaServiceImageTags">
    <vt:lpwstr/>
  </property>
</Properties>
</file>