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wsl.localhost\Ubuntu-24.04\home\paul\local_git\OCTT-certification\kevin\release\"/>
    </mc:Choice>
  </mc:AlternateContent>
  <xr:revisionPtr revIDLastSave="0" documentId="13_ncr:1_{D5311093-E824-4460-86DF-B10D6EF0F296}" xr6:coauthVersionLast="47" xr6:coauthVersionMax="47" xr10:uidLastSave="{00000000-0000-0000-0000-000000000000}"/>
  <workbookProtection workbookAlgorithmName="SHA-512" workbookHashValue="ddfrizyEn+U1zKoyK7Ldqj1Nv5g1pyC/klJCu28XxhXw84gg5Esr9wv9xZG38Zz/qiKC8y2qBVLgfy0scWF+TA==" workbookSaltValue="IPZoFuVQe9gjMvyWErditw==" workbookSpinCount="100000" lockStructure="1"/>
  <bookViews>
    <workbookView xWindow="28680" yWindow="-120" windowWidth="30960" windowHeight="16800" tabRatio="913" xr2:uid="{AA674DD9-1E2A-F346-8CC4-024FE9D19703}"/>
  </bookViews>
  <sheets>
    <sheet name="Explanation" sheetId="12" r:id="rId1"/>
    <sheet name="General information" sheetId="3" r:id="rId2"/>
    <sheet name="Profile selection" sheetId="13" r:id="rId3"/>
    <sheet name="Optional features" sheetId="20"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import" sheetId="11" state="hidden" r:id="rId11"/>
    <sheet name="HIDDEN calc sheet" sheetId="15" state="hidden" r:id="rId12"/>
    <sheet name="HIDDEN features" sheetId="21" state="hidden" r:id="rId13"/>
    <sheet name="MD" sheetId="9" state="hidden" r:id="rId14"/>
  </sheets>
  <definedNames>
    <definedName name="_xlnm._FilterDatabase" localSheetId="8" hidden="1">'CSMS Testcases'!$A$2:$K$249</definedName>
    <definedName name="_xlnm._FilterDatabase" localSheetId="10" hidden="1">'HIDDEN import'!$A$1:$G$71</definedName>
    <definedName name="Additional_questions">'Additional questions'!$B$4:$D$5</definedName>
    <definedName name="Additional_Test_information">'Statement of Approval'!$B$23:$C$25</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CORE">'Optional features'!$B$4:$D$5</definedName>
    <definedName name="Device_info">'General information'!$B$2:$C$5</definedName>
    <definedName name="Measured_performance">'Performance Measurement'!$B$10:$F$12</definedName>
    <definedName name="OCPP_16_Certification">Explanation!$C$6:$D$11</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Explanation!$D$41</definedName>
    <definedName name="Profile_Selection">'Profile selection'!$B$3:$D$6</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Testcases'!$A$2:$M$9999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E5" i="10" l="1"/>
  <c r="E5" i="20"/>
  <c r="E4" i="13"/>
  <c r="E6" i="13"/>
  <c r="E5" i="13"/>
  <c r="B6" i="15" l="1"/>
  <c r="A69" i="1"/>
  <c r="B69" i="1"/>
  <c r="C69" i="1"/>
  <c r="D69" i="1"/>
  <c r="J69" i="1" s="1"/>
  <c r="H69" i="1" s="1"/>
  <c r="E69" i="1"/>
  <c r="F69" i="1"/>
  <c r="G69" i="1"/>
  <c r="I69" i="1"/>
  <c r="K69" i="1"/>
  <c r="A68" i="11"/>
  <c r="B3" i="15" l="1"/>
  <c r="G12" i="17"/>
  <c r="G13" i="17"/>
  <c r="B2" i="15"/>
  <c r="A71" i="11"/>
  <c r="A70" i="11"/>
  <c r="A69"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A8" i="11"/>
  <c r="A7" i="11"/>
  <c r="A6" i="11"/>
  <c r="A5" i="11"/>
  <c r="A4" i="11"/>
  <c r="A3" i="11"/>
  <c r="A2" i="11"/>
  <c r="C6" i="17" l="1"/>
  <c r="B12" i="15" l="1"/>
  <c r="B11" i="15"/>
  <c r="B10" i="15"/>
  <c r="B9" i="15"/>
  <c r="B8" i="15"/>
  <c r="C4" i="15" s="1"/>
  <c r="G4" i="17"/>
  <c r="I1" i="8"/>
  <c r="C23" i="17"/>
  <c r="A72" i="1" l="1"/>
  <c r="B72" i="1"/>
  <c r="C72" i="1"/>
  <c r="E72" i="1"/>
  <c r="F72" i="1"/>
  <c r="G72" i="1"/>
  <c r="I72" i="1"/>
  <c r="K72" i="1"/>
  <c r="C24" i="17"/>
  <c r="D72" i="1" l="1"/>
  <c r="J72" i="1" s="1"/>
  <c r="H72" i="1" s="1"/>
  <c r="B4" i="15" a="1"/>
  <c r="B4" i="15" s="1"/>
  <c r="B5" i="15" s="1"/>
  <c r="C25" i="17" s="1"/>
  <c r="G16" i="17" l="1"/>
  <c r="A60" i="1" l="1"/>
  <c r="B60" i="1"/>
  <c r="K60" i="1" s="1"/>
  <c r="C60" i="1"/>
  <c r="E60" i="1"/>
  <c r="F60" i="1"/>
  <c r="A61" i="1"/>
  <c r="G61" i="1" s="1"/>
  <c r="B61" i="1"/>
  <c r="K61" i="1" s="1"/>
  <c r="C61" i="1"/>
  <c r="E61" i="1"/>
  <c r="F61" i="1"/>
  <c r="A62" i="1"/>
  <c r="B62" i="1"/>
  <c r="K62" i="1" s="1"/>
  <c r="C62" i="1"/>
  <c r="E62" i="1"/>
  <c r="F62" i="1"/>
  <c r="A63" i="1"/>
  <c r="G63" i="1" s="1"/>
  <c r="B63" i="1"/>
  <c r="C63" i="1"/>
  <c r="E63" i="1"/>
  <c r="F63" i="1"/>
  <c r="A64" i="1"/>
  <c r="G64" i="1" s="1"/>
  <c r="B64" i="1"/>
  <c r="K64" i="1" s="1"/>
  <c r="C64" i="1"/>
  <c r="E64" i="1"/>
  <c r="F64" i="1"/>
  <c r="A65" i="1"/>
  <c r="G65" i="1" s="1"/>
  <c r="B65" i="1"/>
  <c r="K65" i="1" s="1"/>
  <c r="C65" i="1"/>
  <c r="E65" i="1"/>
  <c r="F65" i="1"/>
  <c r="A66" i="1"/>
  <c r="G66" i="1" s="1"/>
  <c r="B66" i="1"/>
  <c r="C66" i="1"/>
  <c r="E66" i="1"/>
  <c r="F66" i="1"/>
  <c r="A67" i="1"/>
  <c r="B67" i="1"/>
  <c r="C67" i="1"/>
  <c r="E67" i="1"/>
  <c r="F67" i="1"/>
  <c r="A68" i="1"/>
  <c r="G68" i="1" s="1"/>
  <c r="B68" i="1"/>
  <c r="K68" i="1" s="1"/>
  <c r="C68" i="1"/>
  <c r="E68" i="1"/>
  <c r="F68" i="1"/>
  <c r="A70" i="1"/>
  <c r="G70" i="1" s="1"/>
  <c r="B70" i="1"/>
  <c r="K70" i="1" s="1"/>
  <c r="C70" i="1"/>
  <c r="E70" i="1"/>
  <c r="F70" i="1"/>
  <c r="A71" i="1"/>
  <c r="B71" i="1"/>
  <c r="K71" i="1" s="1"/>
  <c r="C71" i="1"/>
  <c r="E71" i="1"/>
  <c r="F71" i="1"/>
  <c r="C5" i="20"/>
  <c r="A4" i="1"/>
  <c r="G4" i="1" s="1"/>
  <c r="B4" i="1"/>
  <c r="K4" i="1" s="1"/>
  <c r="C4" i="1"/>
  <c r="E4" i="1"/>
  <c r="F4" i="1"/>
  <c r="A5" i="1"/>
  <c r="G5" i="1" s="1"/>
  <c r="B5" i="1"/>
  <c r="K5" i="1" s="1"/>
  <c r="C5" i="1"/>
  <c r="E5" i="1"/>
  <c r="F5" i="1"/>
  <c r="A6" i="1"/>
  <c r="G6" i="1" s="1"/>
  <c r="B6" i="1"/>
  <c r="K6" i="1" s="1"/>
  <c r="C6" i="1"/>
  <c r="E6" i="1"/>
  <c r="F6" i="1"/>
  <c r="A7" i="1"/>
  <c r="G7" i="1" s="1"/>
  <c r="B7" i="1"/>
  <c r="K7" i="1" s="1"/>
  <c r="C7" i="1"/>
  <c r="E7" i="1"/>
  <c r="F7" i="1"/>
  <c r="A8" i="1"/>
  <c r="G8" i="1" s="1"/>
  <c r="B8" i="1"/>
  <c r="K8" i="1" s="1"/>
  <c r="C8" i="1"/>
  <c r="E8" i="1"/>
  <c r="F8" i="1"/>
  <c r="A9" i="1"/>
  <c r="G9" i="1" s="1"/>
  <c r="B9" i="1"/>
  <c r="K9" i="1" s="1"/>
  <c r="C9" i="1"/>
  <c r="E9" i="1"/>
  <c r="F9" i="1"/>
  <c r="A10" i="1"/>
  <c r="G10" i="1" s="1"/>
  <c r="B10" i="1"/>
  <c r="C10" i="1"/>
  <c r="E10" i="1"/>
  <c r="F10" i="1"/>
  <c r="A11" i="1"/>
  <c r="G11" i="1" s="1"/>
  <c r="B11" i="1"/>
  <c r="C11" i="1"/>
  <c r="E11" i="1"/>
  <c r="F11" i="1"/>
  <c r="A12" i="1"/>
  <c r="G12" i="1" s="1"/>
  <c r="B12" i="1"/>
  <c r="K12" i="1" s="1"/>
  <c r="C12" i="1"/>
  <c r="E12" i="1"/>
  <c r="F12" i="1"/>
  <c r="A13" i="1"/>
  <c r="B13" i="1"/>
  <c r="K13" i="1" s="1"/>
  <c r="C13" i="1"/>
  <c r="E13" i="1"/>
  <c r="F13" i="1"/>
  <c r="A14" i="1"/>
  <c r="B14" i="1"/>
  <c r="K14" i="1" s="1"/>
  <c r="C14" i="1"/>
  <c r="E14" i="1"/>
  <c r="F14" i="1"/>
  <c r="A15" i="1"/>
  <c r="G15" i="1" s="1"/>
  <c r="B15" i="1"/>
  <c r="K15" i="1" s="1"/>
  <c r="C15" i="1"/>
  <c r="E15" i="1"/>
  <c r="F15" i="1"/>
  <c r="A16" i="1"/>
  <c r="G16" i="1" s="1"/>
  <c r="B16" i="1"/>
  <c r="K16" i="1" s="1"/>
  <c r="C16" i="1"/>
  <c r="E16" i="1"/>
  <c r="F16" i="1"/>
  <c r="A17" i="1"/>
  <c r="B17" i="1"/>
  <c r="K17" i="1" s="1"/>
  <c r="C17" i="1"/>
  <c r="E17" i="1"/>
  <c r="F17" i="1"/>
  <c r="A18" i="1"/>
  <c r="G18" i="1" s="1"/>
  <c r="B18" i="1"/>
  <c r="K18" i="1" s="1"/>
  <c r="C18" i="1"/>
  <c r="E18" i="1"/>
  <c r="F18" i="1"/>
  <c r="A19" i="1"/>
  <c r="B19" i="1"/>
  <c r="K19" i="1" s="1"/>
  <c r="C19" i="1"/>
  <c r="E19" i="1"/>
  <c r="F19" i="1"/>
  <c r="A20" i="1"/>
  <c r="G20" i="1" s="1"/>
  <c r="B20" i="1"/>
  <c r="K20" i="1" s="1"/>
  <c r="C20" i="1"/>
  <c r="E20" i="1"/>
  <c r="F20" i="1"/>
  <c r="A21" i="1"/>
  <c r="G21" i="1" s="1"/>
  <c r="B21" i="1"/>
  <c r="K21" i="1" s="1"/>
  <c r="C21" i="1"/>
  <c r="E21" i="1"/>
  <c r="F21" i="1"/>
  <c r="A22" i="1"/>
  <c r="G22" i="1" s="1"/>
  <c r="B22" i="1"/>
  <c r="K22" i="1" s="1"/>
  <c r="C22" i="1"/>
  <c r="E22" i="1"/>
  <c r="F22" i="1"/>
  <c r="A23" i="1"/>
  <c r="G23" i="1" s="1"/>
  <c r="B23" i="1"/>
  <c r="K23" i="1" s="1"/>
  <c r="C23" i="1"/>
  <c r="E23" i="1"/>
  <c r="F23" i="1"/>
  <c r="A24" i="1"/>
  <c r="G24" i="1" s="1"/>
  <c r="B24" i="1"/>
  <c r="K24" i="1" s="1"/>
  <c r="C24" i="1"/>
  <c r="E24" i="1"/>
  <c r="F24" i="1"/>
  <c r="A25" i="1"/>
  <c r="B25" i="1"/>
  <c r="K25" i="1" s="1"/>
  <c r="C25" i="1"/>
  <c r="E25" i="1"/>
  <c r="F25" i="1"/>
  <c r="A26" i="1"/>
  <c r="G26" i="1" s="1"/>
  <c r="B26" i="1"/>
  <c r="C26" i="1"/>
  <c r="E26" i="1"/>
  <c r="F26" i="1"/>
  <c r="A27" i="1"/>
  <c r="G27" i="1" s="1"/>
  <c r="B27" i="1"/>
  <c r="C27" i="1"/>
  <c r="E27" i="1"/>
  <c r="F27" i="1"/>
  <c r="A28" i="1"/>
  <c r="G28" i="1" s="1"/>
  <c r="B28" i="1"/>
  <c r="K28" i="1" s="1"/>
  <c r="C28" i="1"/>
  <c r="E28" i="1"/>
  <c r="F28" i="1"/>
  <c r="A29" i="1"/>
  <c r="B29" i="1"/>
  <c r="K29" i="1" s="1"/>
  <c r="C29" i="1"/>
  <c r="E29" i="1"/>
  <c r="F29" i="1"/>
  <c r="A30" i="1"/>
  <c r="B30" i="1"/>
  <c r="K30" i="1" s="1"/>
  <c r="C30" i="1"/>
  <c r="E30" i="1"/>
  <c r="F30" i="1"/>
  <c r="A31" i="1"/>
  <c r="G31" i="1" s="1"/>
  <c r="B31" i="1"/>
  <c r="K31" i="1" s="1"/>
  <c r="C31" i="1"/>
  <c r="E31" i="1"/>
  <c r="F31" i="1"/>
  <c r="A32" i="1"/>
  <c r="G32" i="1" s="1"/>
  <c r="B32" i="1"/>
  <c r="K32" i="1" s="1"/>
  <c r="C32" i="1"/>
  <c r="E32" i="1"/>
  <c r="F32" i="1"/>
  <c r="A33" i="1"/>
  <c r="B33" i="1"/>
  <c r="K33" i="1" s="1"/>
  <c r="C33" i="1"/>
  <c r="E33" i="1"/>
  <c r="F33" i="1"/>
  <c r="A34" i="1"/>
  <c r="G34" i="1" s="1"/>
  <c r="B34" i="1"/>
  <c r="K34" i="1" s="1"/>
  <c r="C34" i="1"/>
  <c r="E34" i="1"/>
  <c r="F34" i="1"/>
  <c r="A35" i="1"/>
  <c r="G35" i="1" s="1"/>
  <c r="B35" i="1"/>
  <c r="K35" i="1" s="1"/>
  <c r="C35" i="1"/>
  <c r="E35" i="1"/>
  <c r="F35" i="1"/>
  <c r="A36" i="1"/>
  <c r="B36" i="1"/>
  <c r="K36" i="1" s="1"/>
  <c r="C36" i="1"/>
  <c r="E36" i="1"/>
  <c r="F36" i="1"/>
  <c r="A37" i="1"/>
  <c r="G37" i="1" s="1"/>
  <c r="B37" i="1"/>
  <c r="K37" i="1" s="1"/>
  <c r="C37" i="1"/>
  <c r="E37" i="1"/>
  <c r="F37" i="1"/>
  <c r="A38" i="1"/>
  <c r="G38" i="1" s="1"/>
  <c r="B38" i="1"/>
  <c r="K38" i="1" s="1"/>
  <c r="C38" i="1"/>
  <c r="E38" i="1"/>
  <c r="F38" i="1"/>
  <c r="A39" i="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C43" i="1"/>
  <c r="E43" i="1"/>
  <c r="F43" i="1"/>
  <c r="A44" i="1"/>
  <c r="G44" i="1" s="1"/>
  <c r="B44" i="1"/>
  <c r="K44" i="1" s="1"/>
  <c r="C44" i="1"/>
  <c r="E44" i="1"/>
  <c r="F44" i="1"/>
  <c r="A45" i="1"/>
  <c r="B45" i="1"/>
  <c r="K45" i="1" s="1"/>
  <c r="C45" i="1"/>
  <c r="E45" i="1"/>
  <c r="F45" i="1"/>
  <c r="A46" i="1"/>
  <c r="B46" i="1"/>
  <c r="K46" i="1" s="1"/>
  <c r="C46" i="1"/>
  <c r="E46" i="1"/>
  <c r="F46" i="1"/>
  <c r="A47" i="1"/>
  <c r="B47" i="1"/>
  <c r="K47" i="1" s="1"/>
  <c r="C47" i="1"/>
  <c r="E47" i="1"/>
  <c r="F47" i="1"/>
  <c r="A48" i="1"/>
  <c r="G48" i="1" s="1"/>
  <c r="B48" i="1"/>
  <c r="C48" i="1"/>
  <c r="E48" i="1"/>
  <c r="F48" i="1"/>
  <c r="A49" i="1"/>
  <c r="B49" i="1"/>
  <c r="K49" i="1" s="1"/>
  <c r="C49" i="1"/>
  <c r="E49" i="1"/>
  <c r="F49" i="1"/>
  <c r="A50" i="1"/>
  <c r="G50" i="1" s="1"/>
  <c r="B50" i="1"/>
  <c r="K50" i="1" s="1"/>
  <c r="C50" i="1"/>
  <c r="E50" i="1"/>
  <c r="F50" i="1"/>
  <c r="A51" i="1"/>
  <c r="B51" i="1"/>
  <c r="K51" i="1" s="1"/>
  <c r="C51" i="1"/>
  <c r="E51" i="1"/>
  <c r="F51" i="1"/>
  <c r="A52" i="1"/>
  <c r="B52" i="1"/>
  <c r="K52" i="1" s="1"/>
  <c r="C52" i="1"/>
  <c r="E52" i="1"/>
  <c r="F52" i="1"/>
  <c r="A53" i="1"/>
  <c r="G53" i="1" s="1"/>
  <c r="B53" i="1"/>
  <c r="K53" i="1" s="1"/>
  <c r="C53" i="1"/>
  <c r="E53" i="1"/>
  <c r="F53" i="1"/>
  <c r="A54" i="1"/>
  <c r="G54" i="1" s="1"/>
  <c r="B54" i="1"/>
  <c r="K54" i="1" s="1"/>
  <c r="C54" i="1"/>
  <c r="E54" i="1"/>
  <c r="F54" i="1"/>
  <c r="A55" i="1"/>
  <c r="B55" i="1"/>
  <c r="K55" i="1" s="1"/>
  <c r="C55" i="1"/>
  <c r="E55" i="1"/>
  <c r="F55" i="1"/>
  <c r="A56" i="1"/>
  <c r="G56" i="1" s="1"/>
  <c r="B56" i="1"/>
  <c r="K56" i="1" s="1"/>
  <c r="C56" i="1"/>
  <c r="E56" i="1"/>
  <c r="F56" i="1"/>
  <c r="A57" i="1"/>
  <c r="G57" i="1" s="1"/>
  <c r="B57" i="1"/>
  <c r="K57" i="1" s="1"/>
  <c r="C57" i="1"/>
  <c r="E57" i="1"/>
  <c r="F57" i="1"/>
  <c r="A58" i="1"/>
  <c r="G58" i="1" s="1"/>
  <c r="B58" i="1"/>
  <c r="K58" i="1" s="1"/>
  <c r="C58" i="1"/>
  <c r="E58" i="1"/>
  <c r="F58" i="1"/>
  <c r="A59" i="1"/>
  <c r="G59" i="1" s="1"/>
  <c r="B59" i="1"/>
  <c r="C59" i="1"/>
  <c r="E59" i="1"/>
  <c r="F59" i="1"/>
  <c r="K63" i="1" l="1"/>
  <c r="G67" i="1"/>
  <c r="K66" i="1"/>
  <c r="G62" i="1"/>
  <c r="K67" i="1"/>
  <c r="G60" i="1"/>
  <c r="G71" i="1"/>
  <c r="F1" i="20"/>
  <c r="G47" i="1"/>
  <c r="G25" i="1"/>
  <c r="G51" i="1"/>
  <c r="K48" i="1"/>
  <c r="G39" i="1"/>
  <c r="G55" i="1"/>
  <c r="K26" i="1"/>
  <c r="K10" i="1"/>
  <c r="G19" i="1"/>
  <c r="G45" i="1"/>
  <c r="G29" i="1"/>
  <c r="G13" i="1"/>
  <c r="K59" i="1"/>
  <c r="K43" i="1"/>
  <c r="K27" i="1"/>
  <c r="K11" i="1"/>
  <c r="G52" i="1"/>
  <c r="G36" i="1"/>
  <c r="G49" i="1"/>
  <c r="G33" i="1"/>
  <c r="G17" i="1"/>
  <c r="G46" i="1"/>
  <c r="G30" i="1"/>
  <c r="G14" i="1"/>
  <c r="A3" i="1" l="1"/>
  <c r="G3" i="1" s="1"/>
  <c r="B3" i="1"/>
  <c r="K3" i="1" s="1"/>
  <c r="C3" i="1"/>
  <c r="E3" i="1"/>
  <c r="F3" i="1"/>
  <c r="D6" i="15" l="1"/>
  <c r="D3" i="15"/>
  <c r="D2" i="15"/>
  <c r="G20" i="17" l="1"/>
  <c r="G19" i="17"/>
  <c r="G18" i="17"/>
  <c r="G17" i="17"/>
  <c r="G15" i="17"/>
  <c r="G14" i="17"/>
  <c r="G9" i="17"/>
  <c r="G8" i="17"/>
  <c r="G7" i="17"/>
  <c r="G6" i="17"/>
  <c r="G5" i="17"/>
  <c r="C12" i="8"/>
  <c r="D12" i="8"/>
  <c r="E12" i="8"/>
  <c r="E11" i="8"/>
  <c r="D11" i="8"/>
  <c r="C11" i="8"/>
  <c r="I1" i="17" l="1"/>
  <c r="H7" i="8"/>
  <c r="H6" i="8"/>
  <c r="F1" i="10"/>
  <c r="I2" i="17" s="1"/>
  <c r="D5" i="3"/>
  <c r="D4" i="3"/>
  <c r="D3" i="3"/>
  <c r="D2" i="3"/>
  <c r="F1" i="3" s="1"/>
  <c r="F2" i="3" l="1"/>
  <c r="F2" i="10"/>
  <c r="I2" i="8"/>
  <c r="F2" i="20"/>
  <c r="I68" i="1"/>
  <c r="I70" i="1"/>
  <c r="D68" i="1"/>
  <c r="J68" i="1" s="1"/>
  <c r="I65" i="1"/>
  <c r="I67" i="1"/>
  <c r="I62" i="1"/>
  <c r="D64" i="1"/>
  <c r="J64" i="1" s="1"/>
  <c r="D61" i="1"/>
  <c r="J61" i="1" s="1"/>
  <c r="D63" i="1"/>
  <c r="J63" i="1" s="1"/>
  <c r="D71" i="1"/>
  <c r="J71" i="1" s="1"/>
  <c r="D67" i="1"/>
  <c r="J67" i="1" s="1"/>
  <c r="D60" i="1"/>
  <c r="J60" i="1" s="1"/>
  <c r="I66" i="1"/>
  <c r="I64" i="1"/>
  <c r="D70" i="1"/>
  <c r="J70" i="1" s="1"/>
  <c r="D66" i="1"/>
  <c r="J66" i="1" s="1"/>
  <c r="I63" i="1"/>
  <c r="D62" i="1"/>
  <c r="J62" i="1" s="1"/>
  <c r="D65" i="1"/>
  <c r="J65" i="1" s="1"/>
  <c r="I61" i="1"/>
  <c r="I60" i="1"/>
  <c r="I71" i="1"/>
  <c r="D44" i="1"/>
  <c r="J44" i="1" s="1"/>
  <c r="D58" i="1"/>
  <c r="J58" i="1" s="1"/>
  <c r="D42" i="1"/>
  <c r="J42" i="1" s="1"/>
  <c r="D53" i="1"/>
  <c r="J53" i="1" s="1"/>
  <c r="I12" i="1"/>
  <c r="I25" i="1"/>
  <c r="D28" i="1"/>
  <c r="J28" i="1" s="1"/>
  <c r="H28" i="1" s="1"/>
  <c r="I44" i="1"/>
  <c r="D56" i="1"/>
  <c r="J56" i="1" s="1"/>
  <c r="I7" i="1"/>
  <c r="I23" i="1"/>
  <c r="I42" i="1"/>
  <c r="D54" i="1"/>
  <c r="J54" i="1" s="1"/>
  <c r="D38" i="1"/>
  <c r="J38" i="1" s="1"/>
  <c r="I5" i="1"/>
  <c r="I45" i="1"/>
  <c r="I26" i="1"/>
  <c r="D57" i="1"/>
  <c r="J57" i="1" s="1"/>
  <c r="D24" i="1"/>
  <c r="J24" i="1" s="1"/>
  <c r="D41" i="1"/>
  <c r="J41" i="1" s="1"/>
  <c r="I22" i="1"/>
  <c r="I38" i="1"/>
  <c r="D12" i="1"/>
  <c r="J12" i="1" s="1"/>
  <c r="D51" i="1"/>
  <c r="J51" i="1" s="1"/>
  <c r="H51" i="1" s="1"/>
  <c r="I50" i="1"/>
  <c r="D26" i="1"/>
  <c r="J26" i="1" s="1"/>
  <c r="H26" i="1" s="1"/>
  <c r="I17" i="1"/>
  <c r="I56" i="1"/>
  <c r="D50" i="1"/>
  <c r="J50" i="1" s="1"/>
  <c r="I35" i="1"/>
  <c r="D4" i="1"/>
  <c r="J4" i="1" s="1"/>
  <c r="I54" i="1"/>
  <c r="I48" i="1"/>
  <c r="I20" i="1"/>
  <c r="D27" i="1"/>
  <c r="J27" i="1" s="1"/>
  <c r="I11" i="1"/>
  <c r="D25" i="1"/>
  <c r="J25" i="1" s="1"/>
  <c r="D5" i="1"/>
  <c r="J5" i="1" s="1"/>
  <c r="D17" i="1"/>
  <c r="J17" i="1" s="1"/>
  <c r="D21" i="1"/>
  <c r="J21" i="1" s="1"/>
  <c r="I51" i="1"/>
  <c r="I13" i="1"/>
  <c r="I40" i="1"/>
  <c r="D46" i="1"/>
  <c r="J46" i="1" s="1"/>
  <c r="D34" i="1"/>
  <c r="J34" i="1" s="1"/>
  <c r="H34" i="1" s="1"/>
  <c r="I8" i="1"/>
  <c r="I59" i="1"/>
  <c r="I6" i="1"/>
  <c r="D32" i="1"/>
  <c r="J32" i="1" s="1"/>
  <c r="D23" i="1"/>
  <c r="J23" i="1" s="1"/>
  <c r="D30" i="1"/>
  <c r="J30" i="1" s="1"/>
  <c r="D9" i="1"/>
  <c r="J9" i="1" s="1"/>
  <c r="D19" i="1"/>
  <c r="J19" i="1" s="1"/>
  <c r="D18" i="1"/>
  <c r="J18" i="1" s="1"/>
  <c r="I32" i="1"/>
  <c r="D6" i="1"/>
  <c r="J6" i="1" s="1"/>
  <c r="D40" i="1"/>
  <c r="J40" i="1" s="1"/>
  <c r="D36" i="1"/>
  <c r="J36" i="1" s="1"/>
  <c r="D45" i="1"/>
  <c r="J45" i="1" s="1"/>
  <c r="D7" i="1"/>
  <c r="J7" i="1" s="1"/>
  <c r="D16" i="1"/>
  <c r="J16" i="1" s="1"/>
  <c r="D13" i="1"/>
  <c r="J13" i="1" s="1"/>
  <c r="I24" i="1"/>
  <c r="D10" i="1"/>
  <c r="J10" i="1" s="1"/>
  <c r="I30" i="1"/>
  <c r="D37" i="1"/>
  <c r="J37" i="1" s="1"/>
  <c r="I18" i="1"/>
  <c r="D39" i="1"/>
  <c r="J39" i="1" s="1"/>
  <c r="D49" i="1"/>
  <c r="J49" i="1" s="1"/>
  <c r="D52" i="1"/>
  <c r="J52" i="1" s="1"/>
  <c r="I19" i="1"/>
  <c r="I46" i="1"/>
  <c r="D20" i="1"/>
  <c r="J20" i="1" s="1"/>
  <c r="D8" i="1"/>
  <c r="J8" i="1" s="1"/>
  <c r="I4" i="1"/>
  <c r="D59" i="1"/>
  <c r="J59" i="1" s="1"/>
  <c r="D14" i="1"/>
  <c r="J14" i="1" s="1"/>
  <c r="I58" i="1"/>
  <c r="D33" i="1"/>
  <c r="J33" i="1" s="1"/>
  <c r="H33" i="1" s="1"/>
  <c r="I29" i="1"/>
  <c r="I52" i="1"/>
  <c r="I36" i="1"/>
  <c r="I49" i="1"/>
  <c r="I33" i="1"/>
  <c r="D43" i="1"/>
  <c r="J43" i="1" s="1"/>
  <c r="H43" i="1" s="1"/>
  <c r="I15" i="1"/>
  <c r="I21" i="1"/>
  <c r="I14" i="1"/>
  <c r="I43" i="1"/>
  <c r="I27" i="1"/>
  <c r="D15" i="1"/>
  <c r="J15" i="1" s="1"/>
  <c r="D11" i="1"/>
  <c r="J11" i="1" s="1"/>
  <c r="I31" i="1"/>
  <c r="D55" i="1"/>
  <c r="J55" i="1" s="1"/>
  <c r="D47" i="1"/>
  <c r="J47" i="1" s="1"/>
  <c r="I55" i="1"/>
  <c r="I41" i="1"/>
  <c r="I10" i="1"/>
  <c r="D29" i="1"/>
  <c r="J29" i="1" s="1"/>
  <c r="D35" i="1"/>
  <c r="J35" i="1" s="1"/>
  <c r="I34" i="1"/>
  <c r="I37" i="1"/>
  <c r="D48" i="1"/>
  <c r="J48" i="1" s="1"/>
  <c r="D22" i="1"/>
  <c r="J22" i="1" s="1"/>
  <c r="D31" i="1"/>
  <c r="J31" i="1" s="1"/>
  <c r="I57" i="1"/>
  <c r="I47" i="1"/>
  <c r="I39" i="1"/>
  <c r="I53" i="1"/>
  <c r="I28" i="1"/>
  <c r="I9" i="1"/>
  <c r="I16" i="1"/>
  <c r="D3" i="1"/>
  <c r="J3" i="1" s="1"/>
  <c r="I3" i="1"/>
  <c r="H47" i="1" l="1"/>
  <c r="H46" i="1"/>
  <c r="H52" i="1"/>
  <c r="H54" i="1"/>
  <c r="H62" i="1"/>
  <c r="H67" i="1"/>
  <c r="H65" i="1"/>
  <c r="H70" i="1"/>
  <c r="H71" i="1"/>
  <c r="H64" i="1"/>
  <c r="H60" i="1"/>
  <c r="H63" i="1"/>
  <c r="H61" i="1"/>
  <c r="H66" i="1"/>
  <c r="H68" i="1"/>
  <c r="H16" i="1"/>
  <c r="H40" i="1"/>
  <c r="H53" i="1"/>
  <c r="H49" i="1"/>
  <c r="H7" i="1"/>
  <c r="H18" i="1"/>
  <c r="H41" i="1"/>
  <c r="H13" i="1"/>
  <c r="H5" i="1"/>
  <c r="H12" i="1"/>
  <c r="H25" i="1"/>
  <c r="H24" i="1"/>
  <c r="H45" i="1"/>
  <c r="H35" i="1"/>
  <c r="H30" i="1"/>
  <c r="H23" i="1"/>
  <c r="H22" i="1"/>
  <c r="H14" i="1"/>
  <c r="H37" i="1"/>
  <c r="H55" i="1"/>
  <c r="H19" i="1"/>
  <c r="H36" i="1"/>
  <c r="H15" i="1"/>
  <c r="H4" i="1"/>
  <c r="H6" i="1"/>
  <c r="H39" i="1"/>
  <c r="H21" i="1"/>
  <c r="H17" i="1"/>
  <c r="H10" i="1"/>
  <c r="H9" i="1"/>
  <c r="H11" i="1"/>
  <c r="H31" i="1"/>
  <c r="H27" i="1"/>
  <c r="H20" i="1"/>
  <c r="H32" i="1"/>
  <c r="H48" i="1"/>
  <c r="H57" i="1"/>
  <c r="H59" i="1"/>
  <c r="H42" i="1"/>
  <c r="H8" i="1"/>
  <c r="H58" i="1"/>
  <c r="H50" i="1"/>
  <c r="H29" i="1"/>
  <c r="H56" i="1"/>
  <c r="H38" i="1"/>
  <c r="H44" i="1"/>
  <c r="H3"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<sst xmlns="http://schemas.openxmlformats.org/spreadsheetml/2006/main" count="561" uniqueCount="314">
  <si>
    <t>Protocol Implementation Conformance Statement</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</si>
  <si>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</si>
  <si>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</si>
  <si>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</si>
  <si>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</si>
  <si>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</si>
  <si>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</si>
  <si>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</si>
  <si>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</si>
  <si>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</si>
  <si>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</si>
  <si>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</si>
  <si>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</si>
  <si>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</si>
  <si>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Basic Charging Station functionality for booting, authorization (incl. cache if available), configuration, transactions, remote control, including basic security.</t>
  </si>
  <si>
    <t>No</t>
  </si>
  <si>
    <t>Smart Charging</t>
  </si>
  <si>
    <t>Support for Smart Charging (all profile types, including stacking), to control charging.</t>
  </si>
  <si>
    <t>Additional question</t>
  </si>
  <si>
    <t>Can your CSMS be configured to first respond to a BootNotificationRequest with status Pending or Rejected?</t>
  </si>
  <si>
    <t>Testcase</t>
  </si>
  <si>
    <t>Name</t>
  </si>
  <si>
    <t>CSMS Status</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</si>
  <si>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</si>
  <si>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</si>
  <si>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</si>
  <si>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</si>
  <si>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</si>
  <si>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</si>
  <si>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</si>
  <si>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</si>
  <si>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</si>
  <si>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</si>
  <si>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</si>
  <si>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</si>
  <si>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</si>
  <si>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</si>
  <si>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</si>
  <si>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</si>
  <si>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</si>
  <si>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M</t>
  </si>
  <si>
    <t>C</t>
  </si>
  <si>
    <t>Send Local Authorization List - Full</t>
  </si>
  <si>
    <t>Key</t>
  </si>
  <si>
    <t>Value (based on formula)</t>
  </si>
  <si>
    <t>Optional feature related</t>
  </si>
  <si>
    <t>Used</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</si>
  <si>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</si>
  <si>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</si>
  <si>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</si>
  <si>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</si>
  <si>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</si>
  <si>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</si>
  <si>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</si>
  <si>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</si>
  <si>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</si>
  <si>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</si>
  <si>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</si>
  <si>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Charging Station Management System</t>
  </si>
  <si>
    <t>…</t>
  </si>
  <si>
    <t>Test Report Reference</t>
  </si>
  <si>
    <t>Vendor provided performance values</t>
  </si>
  <si>
    <t>Max Value</t>
  </si>
  <si>
    <t>Min Value</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</si>
  <si>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</si>
  <si>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</si>
  <si>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</si>
  <si>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</si>
  <si>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</si>
  <si>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</si>
  <si>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</si>
  <si>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</si>
  <si>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</si>
  <si>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</si>
  <si>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</si>
  <si>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</si>
  <si>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</si>
  <si>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</si>
  <si>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</si>
  <si>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</si>
  <si>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</si>
  <si>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</si>
  <si>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</si>
  <si>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</si>
  <si>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</si>
  <si>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</si>
  <si>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</si>
  <si>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</si>
  <si>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</si>
  <si>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</si>
  <si>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</si>
  <si>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</si>
  <si>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</si>
  <si>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t>Vendor Name </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</si>
  <si>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</si>
  <si>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</si>
  <si>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</si>
  <si>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</si>
  <si>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</si>
  <si>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</si>
  <si>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</si>
  <si>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</si>
  <si>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</si>
  <si>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</si>
  <si>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</si>
  <si>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</si>
  <si>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Statement of Approval is currently: </t>
  </si>
  <si>
    <t>Changelog:</t>
  </si>
  <si>
    <t>OCPP 1.6 Certification</t>
  </si>
  <si>
    <t>Edition 2 FINAL, 2017-09-28</t>
  </si>
  <si>
    <t>1.0.0</t>
  </si>
  <si>
    <t>Initial version</t>
  </si>
  <si>
    <t>TC_003_CSMS</t>
  </si>
  <si>
    <t>TC_004_1_CSMS</t>
  </si>
  <si>
    <t>TC_004_2_CSMS</t>
  </si>
  <si>
    <t>TC_005_1_CSMS</t>
  </si>
  <si>
    <t>TC_007_CSMS</t>
  </si>
  <si>
    <t>TC_061_CSMS</t>
  </si>
  <si>
    <t>TC_010_CSMS</t>
  </si>
  <si>
    <t>TC_011_1_CSMS</t>
  </si>
  <si>
    <t>TC_011_2_CSMS</t>
  </si>
  <si>
    <t>TC_012_CSMS</t>
  </si>
  <si>
    <t>TC_013_CSMS</t>
  </si>
  <si>
    <t>TC_014_CSMS</t>
  </si>
  <si>
    <t>TC_017_1_CSMS</t>
  </si>
  <si>
    <t>TC_017_2_CSMS</t>
  </si>
  <si>
    <t>TC_019_1_CSMS</t>
  </si>
  <si>
    <t>TC_019_2_CSMS</t>
  </si>
  <si>
    <t>TC_021_CSMS</t>
  </si>
  <si>
    <t>TC_023_1_CSMS</t>
  </si>
  <si>
    <t>TC_023_2_CSMS</t>
  </si>
  <si>
    <t>TC_023_3_CSMS</t>
  </si>
  <si>
    <t>TC_024_CSMS</t>
  </si>
  <si>
    <t>TC_026_CSMS</t>
  </si>
  <si>
    <t>TC_028_CSMS</t>
  </si>
  <si>
    <t>TC_030_CSMS</t>
  </si>
  <si>
    <t>TC_031_CSMS</t>
  </si>
  <si>
    <t>TC_032_1_CSMS</t>
  </si>
  <si>
    <t>TC_037_1_CSMS</t>
  </si>
  <si>
    <t>TC_037_3_CSMS</t>
  </si>
  <si>
    <t>TC_039_CSMS</t>
  </si>
  <si>
    <t>TC_040_1_CSMS</t>
  </si>
  <si>
    <t>TC_040_2_CSMS</t>
  </si>
  <si>
    <t>TC_042_2_CSMS</t>
  </si>
  <si>
    <t>TC_043_3_CSMS</t>
  </si>
  <si>
    <t>TC_043_4_CSMS</t>
  </si>
  <si>
    <t>TC_043_5_CSMS</t>
  </si>
  <si>
    <t>TC_045_1_CSMS</t>
  </si>
  <si>
    <t>TC_045_2_CSMS</t>
  </si>
  <si>
    <t>TC_046_CSMS</t>
  </si>
  <si>
    <t>TC_047_CSMS</t>
  </si>
  <si>
    <t>TC_048_2_CSMS</t>
  </si>
  <si>
    <t>TC_048_3_CSMS</t>
  </si>
  <si>
    <t>TC_048_4_CSMS</t>
  </si>
  <si>
    <t>TC_049_CSMS</t>
  </si>
  <si>
    <t>TC_051_CSMS</t>
  </si>
  <si>
    <t>TC_054_CSMS</t>
  </si>
  <si>
    <t>TC_055_CSMS</t>
  </si>
  <si>
    <t>TC_056_CSMS</t>
  </si>
  <si>
    <t>TC_057_CSMS</t>
  </si>
  <si>
    <t>TC_066_CSMS</t>
  </si>
  <si>
    <t>TC_067_CSMS</t>
  </si>
  <si>
    <t>TC_059_CSMS</t>
  </si>
  <si>
    <t>TC_064_CSMS</t>
  </si>
  <si>
    <t>TC_074_CSMS</t>
  </si>
  <si>
    <t>TC_076_CSMS</t>
  </si>
  <si>
    <t>TC_077_CSMS</t>
  </si>
  <si>
    <t>TC_078_CSMS</t>
  </si>
  <si>
    <t>TC_079_CSMS</t>
  </si>
  <si>
    <t>TC_080_CSMS</t>
  </si>
  <si>
    <t>TC_081_CSMS</t>
  </si>
  <si>
    <t>Regular Charging Session - Plugin First</t>
  </si>
  <si>
    <t>Regular Charging Session – Identification First</t>
  </si>
  <si>
    <t>Regular Charging Session – Identification First - ConnectionTimeOut</t>
  </si>
  <si>
    <t>Regular Start Charging Session – Cached Id</t>
  </si>
  <si>
    <t>Clear Authorization Data in Authorization Cache</t>
  </si>
  <si>
    <t>Remote Start Charging Session – Cable Plugged in First</t>
  </si>
  <si>
    <t>Remote Start Charging Session – Remote Start First</t>
  </si>
  <si>
    <t>Remote Stop Charging Session</t>
  </si>
  <si>
    <t>Hard Reset Without transaction</t>
  </si>
  <si>
    <t>Soft Reset Without Transaction</t>
  </si>
  <si>
    <t>Unlock connector - no charging session running (Not fixed cable)</t>
  </si>
  <si>
    <t>Unlock connector - no charging session running (Fixed cable)</t>
  </si>
  <si>
    <t>Retrieve all configuration keys</t>
  </si>
  <si>
    <t>Retrieve specific configuration key</t>
  </si>
  <si>
    <t>Change/set Configuration</t>
  </si>
  <si>
    <t>Start Charging Session – Authorize invalid</t>
  </si>
  <si>
    <t>Start Charging Session – Authorize expired</t>
  </si>
  <si>
    <t>Start Charging Session – Authorize blocked</t>
  </si>
  <si>
    <t>Start Charging Session Lock Failure</t>
  </si>
  <si>
    <t>Remote Start Charging Session – Rejected</t>
  </si>
  <si>
    <t>Remote Stop Transaction – Rejected</t>
  </si>
  <si>
    <t>O</t>
  </si>
  <si>
    <t>Unlock Connector – Unlock Failure</t>
  </si>
  <si>
    <t>Unlock Connector – Unknown Connector</t>
  </si>
  <si>
    <t>Power failure boot charging point - configured to stop transaction(s) before going down</t>
  </si>
  <si>
    <t>Offline Transaction</t>
  </si>
  <si>
    <t>Configuration keys</t>
  </si>
  <si>
    <t>Configuration Keys</t>
  </si>
  <si>
    <t>Data Transfer to a Central System</t>
  </si>
  <si>
    <t>Get Local List Version (empty)</t>
  </si>
  <si>
    <t>Send Local Authorization List - Failed</t>
  </si>
  <si>
    <t>Send Local Authorization List - Differential</t>
  </si>
  <si>
    <t>Get Diagnostics</t>
  </si>
  <si>
    <t>Get Diagnostics - Upload Failed</t>
  </si>
  <si>
    <t>Reservation of a Connector - Expire</t>
  </si>
  <si>
    <t>Reservation of a Connector - Occupied</t>
  </si>
  <si>
    <t>Reservation of a Connector - Unavailable</t>
  </si>
  <si>
    <t>Reservation of a Charge Point - Transaction</t>
  </si>
  <si>
    <t>Cancel Reservation</t>
  </si>
  <si>
    <t>Trigger Message</t>
  </si>
  <si>
    <t>Trigger Message - Rejected</t>
  </si>
  <si>
    <t>Central Smart Charging - TxDefaultProfile</t>
  </si>
  <si>
    <t>Central Smart Charging - TxProfile</t>
  </si>
  <si>
    <t>Get Composite Schedule</t>
  </si>
  <si>
    <t>Clear Charging Profile</t>
  </si>
  <si>
    <t>Remote Start Transaction with Charging Profile</t>
  </si>
  <si>
    <t>Update Charge Point Password for HTTP Basic Authentication</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</si>
  <si>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</si>
  <si>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</si>
  <si>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</si>
  <si>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</si>
  <si>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</si>
  <si>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</si>
  <si>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Optional test case</t>
  </si>
  <si>
    <t>Pure optional</t>
  </si>
  <si>
    <t>The timeout used for exchanging OCPP response messages. Messages to the DUT can be handled within this timeout.</t>
  </si>
  <si>
    <t>TC_073_CSMS</t>
  </si>
  <si>
    <t>TC_052_CSMS</t>
  </si>
  <si>
    <t>TC_053_CSMS</t>
  </si>
  <si>
    <t>Cancel Reservation - Rejected</t>
  </si>
  <si>
    <t>Use a reserved Connector with parentIdTag</t>
  </si>
  <si>
    <t xml:space="preserve">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</si>
  <si>
    <t>TC_001_CSMS</t>
  </si>
  <si>
    <t>Update Charge Point Certificate by request of Central System</t>
  </si>
  <si>
    <t>TC_075_1_CSMS</t>
  </si>
  <si>
    <t>TC_075_2_CSMS</t>
  </si>
  <si>
    <t>Install a certificate on the Charge Point - CentralSystemRootCertificate</t>
  </si>
  <si>
    <t>Offline Start Transaction - Valid IdTag</t>
  </si>
  <si>
    <t>Offline Start Transaction - Invalid IdTag - StopTransactionOnInvalidId = true</t>
  </si>
  <si>
    <t>EV Side Disconnected - StopTransactionOnEVSideDisconnect = true - UnlockConnectorOnEVSideDisconnect = true</t>
  </si>
  <si>
    <t>Id </t>
  </si>
  <si>
    <t>Supported / Present </t>
  </si>
  <si>
    <t>Optional</t>
  </si>
  <si>
    <t>Security Profile 1: Unsecured Transport with Basic Authentication</t>
  </si>
  <si>
    <t>Optional features</t>
  </si>
  <si>
    <t xml:space="preserve">List of Optional Features is currently: </t>
  </si>
  <si>
    <t>TC_085_CSMS</t>
  </si>
  <si>
    <t>TC_086_CSMS</t>
  </si>
  <si>
    <t>TC_087_CSMS</t>
  </si>
  <si>
    <t>Basic Authentication - Valid username/password combination</t>
  </si>
  <si>
    <t>TLS - server-side certificate - Valid certificate</t>
  </si>
  <si>
    <t>TLS - Client-side certificate - valid certificate</t>
  </si>
  <si>
    <t>Only applicable if the DUT supports security profile 1.</t>
  </si>
  <si>
    <t>Cold Boot Charge Point</t>
  </si>
  <si>
    <t>Remote Start Charging Session – Time Out</t>
  </si>
  <si>
    <t>Reservation of a Connector - Transaction</t>
  </si>
  <si>
    <t>Reservation of a Connector - Rejected</t>
  </si>
  <si>
    <t>Install a certificate on the Charge Point - ManufacturerRootCertificate</t>
  </si>
  <si>
    <t>Name reviewer</t>
  </si>
  <si>
    <t>&lt;optional testlab reviewer name&gt;</t>
  </si>
  <si>
    <t>I hereby declare that the information provided in the document is correct and complete and that I approve this document to be submitted for OCPP 1.6 certification based on this information.</t>
  </si>
  <si>
    <t>Feature</t>
  </si>
  <si>
    <t xml:space="preserve">Name </t>
  </si>
  <si>
    <t>Security Whitepaper Edition 3 (Improved security for OCPP 1.6-J v1.3, 2022-02-17)</t>
  </si>
  <si>
    <t>Test lab result</t>
  </si>
  <si>
    <t>Test lab remark</t>
  </si>
  <si>
    <t>1.0.1</t>
  </si>
  <si>
    <t>Fixed formula for test cases 085 and 086</t>
  </si>
  <si>
    <t>The complete PICS is currently</t>
  </si>
  <si>
    <t>Answer</t>
  </si>
  <si>
    <t>AQ-10</t>
  </si>
  <si>
    <t>Additional Test information</t>
  </si>
  <si>
    <t>OCTT version(s) used</t>
  </si>
  <si>
    <t>Config ID</t>
  </si>
  <si>
    <t>FamilyConfigID</t>
  </si>
  <si>
    <t>ConfigID</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</si>
  <si>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</si>
  <si>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</si>
  <si>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</si>
  <si>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</si>
  <si>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</si>
  <si>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PICS Id:</t>
  </si>
  <si>
    <t>Update for new Certification Program and added TC_083_CSMS</t>
  </si>
  <si>
    <t>TC_083_CSMS</t>
  </si>
  <si>
    <t>Upgrade security profile</t>
  </si>
  <si>
    <t>2.0.0</t>
  </si>
  <si>
    <t>Required test based on configuration</t>
  </si>
  <si>
    <t>Additional questions for lab testing</t>
  </si>
  <si>
    <t>Ethernet/Cloud</t>
  </si>
  <si>
    <t>2.0.1</t>
  </si>
  <si>
    <t>Added option to select Ethernet/Cloud as a communication technology for the performance measurement.</t>
  </si>
  <si>
    <t>Extension(s)</t>
  </si>
  <si>
    <t>2.0.2</t>
  </si>
  <si>
    <t>Added field validations and updated logo.</t>
  </si>
  <si>
    <t>The complete PICS is currently:</t>
  </si>
  <si>
    <t>General information is now:</t>
  </si>
  <si>
    <t>&lt;vendor company name&gt; </t>
  </si>
  <si>
    <t>2.1.0</t>
  </si>
  <si>
    <t>Release 2025-06</t>
  </si>
  <si>
    <t>Advanced Security</t>
  </si>
  <si>
    <t>Support for TLS with client authentication.</t>
  </si>
  <si>
    <t>Core Features</t>
  </si>
  <si>
    <t>C-11</t>
  </si>
  <si>
    <t>Only applicable if the DUT supports Advanced security.</t>
  </si>
  <si>
    <t>3.0.0</t>
  </si>
  <si>
    <t>Initial version for the revised certification program.</t>
  </si>
  <si>
    <t>Advanced Security OR C-11</t>
  </si>
  <si>
    <t>TC_088_CSMS</t>
  </si>
  <si>
    <t>WebSocket Subprotocol negotiation</t>
  </si>
  <si>
    <t>Errata 2025-04</t>
  </si>
  <si>
    <t>3.0.1</t>
  </si>
  <si>
    <t>Fixed validation for drop-down fields.</t>
  </si>
  <si>
    <t>ad16a9d6ac61139607be8a652808e75a45c0dfee7b689423f6c5ed6fdc921d71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</si>
</sst>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31"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sz val="8"/>
      <name val="Calibri"/>
      <family val="2"/>
      <scheme val="minor"/>
    </font>
    <font>
      <i/>
      <sz val="11"/>
      <color theme="1"/>
      <name val="Calibri"/>
      <family val="2"/>
      <scheme val="minor"/>
    </font>
    <font>
      <i/>
      <sz val="10"/>
      <color theme="1"/>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77">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6" fillId="0" borderId="0"/>
    <xf numFmtId="0" fontId="3" fillId="0" borderId="0"/>
    <xf numFmtId="0" fontId="3" fillId="0" borderId="0"/>
    <xf numFmtId="0" fontId="3" fillId="0" borderId="0"/>
    <xf numFmtId="0" fontId="3" fillId="0" borderId="0"/>
  </cellStyleXfs>
  <cellXfs count="147">
    <xf numFmtId="0" fontId="0" fillId="0" borderId="0" xfId="0"/>
    <xf numFmtId="0" fontId="7" fillId="0" borderId="0" xfId="0" applyFont="1"/>
    <xf numFmtId="0" fontId="10" fillId="0" borderId="0" xfId="0" applyFont="1" applyAlignment="1">
      <alignment horizontal="left" vertical="center" wrapText="1"/>
    </xf>
    <xf numFmtId="0" fontId="0" fillId="0" borderId="0" xfId="0" applyAlignment="1">
      <alignment wrapText="1"/>
    </xf>
    <xf numFmtId="0" fontId="14" fillId="0" borderId="0" xfId="0" applyFont="1"/>
    <xf numFmtId="0" fontId="15" fillId="0" borderId="0" xfId="0" applyFont="1"/>
    <xf numFmtId="0" fontId="16" fillId="0" borderId="0" xfId="0" applyFont="1"/>
    <xf numFmtId="0" fontId="17" fillId="0" borderId="0" xfId="0" applyFont="1"/>
    <xf numFmtId="0" fontId="18"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19" fillId="0" borderId="0" xfId="0" applyFont="1" applyAlignment="1">
      <alignment wrapText="1"/>
    </xf>
    <xf numFmtId="0" fontId="21" fillId="0" borderId="0" xfId="0" applyFont="1" applyAlignment="1">
      <alignment horizontal="center" vertical="center"/>
    </xf>
    <xf numFmtId="0" fontId="8" fillId="0" borderId="19" xfId="0" applyFont="1" applyBorder="1" applyAlignment="1">
      <alignment horizontal="left" vertical="center" wrapText="1"/>
    </xf>
    <xf numFmtId="0" fontId="7" fillId="3" borderId="0" xfId="0" applyFont="1" applyFill="1" applyAlignment="1">
      <alignment horizontal="center"/>
    </xf>
    <xf numFmtId="0" fontId="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7" fillId="3" borderId="0" xfId="0" applyFont="1" applyFill="1"/>
    <xf numFmtId="0" fontId="0" fillId="0" borderId="0" xfId="0" applyProtection="1">
      <protection locked="0"/>
    </xf>
    <xf numFmtId="0" fontId="6" fillId="0" borderId="0" xfId="1"/>
    <xf numFmtId="0" fontId="6" fillId="0" borderId="23" xfId="1" applyBorder="1"/>
    <xf numFmtId="0" fontId="6" fillId="0" borderId="24" xfId="1" applyBorder="1" applyAlignment="1">
      <alignment vertical="center"/>
    </xf>
    <xf numFmtId="0" fontId="24" fillId="0" borderId="26" xfId="1" applyFont="1" applyBorder="1" applyAlignment="1">
      <alignment vertical="center"/>
    </xf>
    <xf numFmtId="0" fontId="6" fillId="0" borderId="28" xfId="1" applyBorder="1"/>
    <xf numFmtId="0" fontId="24" fillId="0" borderId="29" xfId="1" applyFont="1" applyBorder="1" applyAlignment="1">
      <alignment vertical="center"/>
    </xf>
    <xf numFmtId="0" fontId="24" fillId="0" borderId="35" xfId="1" applyFont="1" applyBorder="1" applyAlignment="1">
      <alignment vertical="center"/>
    </xf>
    <xf numFmtId="0" fontId="6" fillId="0" borderId="37" xfId="1" applyBorder="1"/>
    <xf numFmtId="0" fontId="8" fillId="0" borderId="18" xfId="0" applyFont="1" applyBorder="1" applyAlignment="1">
      <alignment horizontal="center" vertical="center" wrapText="1"/>
    </xf>
    <xf numFmtId="0" fontId="8" fillId="0" borderId="40" xfId="0" applyFont="1" applyBorder="1" applyAlignment="1">
      <alignment horizontal="left" vertical="center" wrapText="1"/>
    </xf>
    <xf numFmtId="0" fontId="8" fillId="0" borderId="41" xfId="0" applyFont="1" applyBorder="1" applyAlignment="1">
      <alignment horizontal="left" vertical="center" wrapText="1"/>
    </xf>
    <xf numFmtId="0" fontId="10" fillId="4" borderId="6" xfId="0" applyFont="1" applyFill="1" applyBorder="1" applyAlignment="1" applyProtection="1">
      <alignment horizontal="left" vertical="center" wrapText="1"/>
      <protection locked="0"/>
    </xf>
    <xf numFmtId="164" fontId="18" fillId="0" borderId="0" xfId="0" quotePrefix="1" applyNumberFormat="1" applyFont="1" applyAlignment="1">
      <alignment horizontal="left"/>
    </xf>
    <xf numFmtId="0" fontId="10" fillId="0" borderId="4" xfId="0" applyFont="1" applyBorder="1" applyAlignment="1" applyProtection="1">
      <alignment horizontal="left" vertical="center" wrapText="1"/>
      <protection locked="0"/>
    </xf>
    <xf numFmtId="0" fontId="8" fillId="0" borderId="20" xfId="0" applyFont="1" applyBorder="1" applyAlignment="1">
      <alignment horizontal="center" vertical="center" wrapText="1"/>
    </xf>
    <xf numFmtId="0" fontId="8" fillId="0" borderId="42" xfId="0" applyFont="1" applyBorder="1" applyAlignment="1">
      <alignment horizontal="left" vertical="center" wrapText="1"/>
    </xf>
    <xf numFmtId="0" fontId="6" fillId="0" borderId="31" xfId="1" applyBorder="1" applyAlignment="1">
      <alignment vertical="center"/>
    </xf>
    <xf numFmtId="0" fontId="6" fillId="0" borderId="32" xfId="1" applyBorder="1" applyAlignment="1">
      <alignment vertical="center"/>
    </xf>
    <xf numFmtId="0" fontId="24" fillId="0" borderId="59" xfId="1" applyFont="1" applyBorder="1" applyAlignment="1">
      <alignment horizontal="left" vertical="center"/>
    </xf>
    <xf numFmtId="165" fontId="18" fillId="0" borderId="0" xfId="0" applyNumberFormat="1" applyFont="1" applyAlignment="1">
      <alignment horizontal="left"/>
    </xf>
    <xf numFmtId="0" fontId="10" fillId="0" borderId="2" xfId="0" applyFont="1" applyBorder="1" applyAlignment="1" applyProtection="1">
      <alignment horizontal="left" vertical="center" wrapText="1"/>
      <protection locked="0"/>
    </xf>
    <xf numFmtId="0" fontId="6" fillId="0" borderId="30" xfId="1" applyBorder="1" applyAlignment="1" applyProtection="1">
      <alignment vertical="center"/>
      <protection locked="0"/>
    </xf>
    <xf numFmtId="0" fontId="6" fillId="0" borderId="36" xfId="1" applyBorder="1" applyAlignment="1" applyProtection="1">
      <alignment vertical="center"/>
      <protection locked="0"/>
    </xf>
    <xf numFmtId="14" fontId="6" fillId="0" borderId="25" xfId="1" applyNumberFormat="1" applyBorder="1" applyAlignment="1" applyProtection="1">
      <alignment horizontal="left" vertical="center"/>
      <protection locked="0"/>
    </xf>
    <xf numFmtId="0" fontId="6" fillId="0" borderId="60" xfId="1" applyBorder="1" applyAlignment="1" applyProtection="1">
      <alignment horizontal="left" vertical="center"/>
      <protection locked="0"/>
    </xf>
    <xf numFmtId="0" fontId="6" fillId="0" borderId="61" xfId="1" applyBorder="1" applyAlignment="1" applyProtection="1">
      <alignment vertical="center"/>
      <protection locked="0"/>
    </xf>
    <xf numFmtId="0" fontId="6" fillId="0" borderId="62" xfId="1" applyBorder="1" applyAlignment="1" applyProtection="1">
      <alignment vertical="center"/>
      <protection locked="0"/>
    </xf>
    <xf numFmtId="0" fontId="6" fillId="0" borderId="63" xfId="1" applyBorder="1" applyAlignment="1" applyProtection="1">
      <alignment vertical="center"/>
      <protection locked="0"/>
    </xf>
    <xf numFmtId="14" fontId="6" fillId="0" borderId="25" xfId="1" applyNumberFormat="1" applyBorder="1" applyAlignment="1" applyProtection="1">
      <alignment vertical="center"/>
      <protection locked="0"/>
    </xf>
    <xf numFmtId="0" fontId="12" fillId="0" borderId="55" xfId="0" applyFont="1" applyBorder="1" applyAlignment="1" applyProtection="1">
      <alignment horizontal="left" vertical="center" wrapText="1"/>
      <protection locked="0"/>
    </xf>
    <xf numFmtId="0" fontId="10" fillId="0" borderId="43"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44" xfId="0" applyFont="1" applyBorder="1" applyAlignment="1" applyProtection="1">
      <alignment horizontal="left" vertical="center" wrapText="1"/>
      <protection locked="0"/>
    </xf>
    <xf numFmtId="14" fontId="6" fillId="0" borderId="32" xfId="1" applyNumberFormat="1" applyBorder="1" applyAlignment="1">
      <alignment vertical="center"/>
    </xf>
    <xf numFmtId="0" fontId="6" fillId="0" borderId="64" xfId="1" applyBorder="1"/>
    <xf numFmtId="0" fontId="7" fillId="0" borderId="0" xfId="0" applyFont="1" applyAlignment="1">
      <alignment vertical="center"/>
    </xf>
    <xf numFmtId="0" fontId="27" fillId="0" borderId="0" xfId="0" applyFont="1" applyAlignment="1">
      <alignment vertical="center"/>
    </xf>
    <xf numFmtId="0" fontId="10" fillId="2" borderId="56" xfId="0" applyFont="1" applyFill="1" applyBorder="1" applyAlignment="1" applyProtection="1">
      <alignment vertical="center" wrapText="1"/>
      <protection locked="0"/>
    </xf>
    <xf numFmtId="0" fontId="10" fillId="4" borderId="57" xfId="0" applyFont="1" applyFill="1" applyBorder="1" applyAlignment="1" applyProtection="1">
      <alignment horizontal="left" vertical="center" wrapText="1"/>
      <protection locked="0"/>
    </xf>
    <xf numFmtId="0" fontId="10" fillId="2" borderId="58" xfId="0" applyFont="1" applyFill="1" applyBorder="1" applyAlignment="1" applyProtection="1">
      <alignment vertical="center" wrapText="1"/>
      <protection locked="0"/>
    </xf>
    <xf numFmtId="0" fontId="0" fillId="0" borderId="0" xfId="0" applyAlignment="1">
      <alignment vertical="center"/>
    </xf>
    <xf numFmtId="0" fontId="10" fillId="0" borderId="15" xfId="0" applyFont="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24" fillId="0" borderId="65" xfId="1" applyFont="1" applyBorder="1" applyAlignment="1">
      <alignment vertical="center"/>
    </xf>
    <xf numFmtId="0" fontId="0" fillId="0" borderId="0" xfId="0" applyAlignment="1">
      <alignment horizontal="right" vertical="center"/>
    </xf>
    <xf numFmtId="0" fontId="0" fillId="0" borderId="0" xfId="0" applyAlignment="1">
      <alignment horizontal="right"/>
    </xf>
    <xf numFmtId="49" fontId="8" fillId="2" borderId="66" xfId="0" applyNumberFormat="1" applyFont="1" applyFill="1" applyBorder="1" applyAlignment="1">
      <alignment horizontal="left" vertical="center" wrapText="1"/>
    </xf>
    <xf numFmtId="0" fontId="8" fillId="2" borderId="67" xfId="0" applyFont="1" applyFill="1" applyBorder="1" applyAlignment="1">
      <alignment horizontal="left" vertical="center" wrapText="1"/>
    </xf>
    <xf numFmtId="0" fontId="8" fillId="2" borderId="68" xfId="0" applyFont="1" applyFill="1" applyBorder="1" applyAlignment="1">
      <alignment horizontal="center" vertical="center" wrapText="1"/>
    </xf>
    <xf numFmtId="49" fontId="13" fillId="0" borderId="0" xfId="0" applyNumberFormat="1" applyFont="1" applyAlignment="1">
      <alignment horizontal="left" vertical="center" wrapText="1"/>
    </xf>
    <xf numFmtId="49" fontId="0" fillId="0" borderId="0" xfId="0" applyNumberFormat="1"/>
    <xf numFmtId="0" fontId="5" fillId="0" borderId="61" xfId="1" applyFont="1" applyBorder="1" applyAlignment="1" applyProtection="1">
      <alignment vertical="center"/>
      <protection locked="0"/>
    </xf>
    <xf numFmtId="0" fontId="7" fillId="3" borderId="0" xfId="0" applyFont="1" applyFill="1" applyAlignment="1">
      <alignment horizontal="left"/>
    </xf>
    <xf numFmtId="0" fontId="24" fillId="0" borderId="71" xfId="1" applyFont="1" applyBorder="1" applyAlignment="1">
      <alignment horizontal="left"/>
    </xf>
    <xf numFmtId="0" fontId="29" fillId="0" borderId="0" xfId="0" applyFont="1" applyAlignment="1">
      <alignment wrapText="1"/>
    </xf>
    <xf numFmtId="14" fontId="4" fillId="0" borderId="72" xfId="1" applyNumberFormat="1" applyFont="1" applyBorder="1" applyAlignment="1">
      <alignment horizontal="left" vertical="center"/>
    </xf>
    <xf numFmtId="0" fontId="24" fillId="0" borderId="73" xfId="1" applyFont="1" applyBorder="1" applyAlignment="1">
      <alignment horizontal="left"/>
    </xf>
    <xf numFmtId="14" fontId="4" fillId="0" borderId="74" xfId="1" applyNumberFormat="1" applyFont="1" applyBorder="1" applyAlignment="1">
      <alignment horizontal="left" vertical="center"/>
    </xf>
    <xf numFmtId="0" fontId="24" fillId="0" borderId="75" xfId="1" applyFont="1" applyBorder="1" applyAlignment="1">
      <alignment vertical="center"/>
    </xf>
    <xf numFmtId="0" fontId="4" fillId="0" borderId="76" xfId="1" applyFont="1" applyBorder="1" applyAlignment="1">
      <alignment vertical="center"/>
    </xf>
    <xf numFmtId="0" fontId="18" fillId="0" borderId="0" xfId="0" applyFont="1" applyAlignment="1">
      <alignment horizontal="right"/>
    </xf>
    <xf numFmtId="0" fontId="6" fillId="0" borderId="30" xfId="1" applyBorder="1" applyAlignment="1">
      <alignment vertical="center"/>
    </xf>
    <xf numFmtId="49" fontId="13" fillId="0" borderId="19" xfId="0" applyNumberFormat="1" applyFont="1" applyBorder="1" applyAlignment="1">
      <alignment horizontal="left" vertical="center" wrapText="1"/>
    </xf>
    <xf numFmtId="0" fontId="13" fillId="0" borderId="20"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49" fontId="13" fillId="0" borderId="18" xfId="0" applyNumberFormat="1" applyFont="1" applyBorder="1" applyAlignment="1">
      <alignment horizontal="left" vertical="center" wrapText="1"/>
    </xf>
    <xf numFmtId="0" fontId="22" fillId="4" borderId="18" xfId="0" applyFont="1" applyFill="1" applyBorder="1" applyAlignment="1">
      <alignment horizontal="left" vertical="center" wrapText="1"/>
    </xf>
    <xf numFmtId="0" fontId="9" fillId="2" borderId="19" xfId="0" applyFont="1" applyFill="1" applyBorder="1" applyAlignment="1">
      <alignment horizontal="left" vertical="center" wrapText="1"/>
    </xf>
    <xf numFmtId="0" fontId="13" fillId="2" borderId="20" xfId="0" applyFont="1" applyFill="1" applyBorder="1" applyAlignment="1" applyProtection="1">
      <alignment horizontal="center" vertical="center" wrapText="1"/>
      <protection locked="0"/>
    </xf>
    <xf numFmtId="0" fontId="1" fillId="0" borderId="27" xfId="1" applyFont="1" applyBorder="1" applyAlignment="1" applyProtection="1">
      <alignment vertical="center"/>
      <protection locked="0"/>
    </xf>
    <xf numFmtId="0" fontId="8" fillId="0" borderId="1" xfId="0" applyFont="1" applyBorder="1" applyAlignment="1">
      <alignment horizontal="left" vertical="center" wrapText="1"/>
    </xf>
    <xf numFmtId="0" fontId="9"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9" fillId="0" borderId="3" xfId="0" applyFont="1" applyBorder="1" applyAlignment="1">
      <alignment horizontal="left" vertical="center" wrapText="1"/>
    </xf>
    <xf numFmtId="0" fontId="9" fillId="4" borderId="5" xfId="0" applyFont="1" applyFill="1" applyBorder="1" applyAlignment="1">
      <alignment horizontal="left" vertical="center" wrapText="1"/>
    </xf>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1" fillId="2" borderId="9" xfId="0" applyFont="1" applyFill="1" applyBorder="1" applyAlignment="1">
      <alignment vertical="center" wrapText="1"/>
    </xf>
    <xf numFmtId="0" fontId="11" fillId="2" borderId="9" xfId="0" applyFont="1" applyFill="1" applyBorder="1" applyAlignment="1">
      <alignment horizontal="center" vertical="center" wrapText="1"/>
    </xf>
    <xf numFmtId="0" fontId="11" fillId="0" borderId="10" xfId="0" applyFont="1" applyBorder="1" applyAlignment="1">
      <alignment vertical="center" wrapText="1"/>
    </xf>
    <xf numFmtId="0" fontId="9" fillId="2" borderId="11" xfId="0" applyFont="1" applyFill="1" applyBorder="1" applyAlignment="1">
      <alignment vertical="center" wrapText="1"/>
    </xf>
    <xf numFmtId="0" fontId="9" fillId="0" borderId="54" xfId="0" applyFont="1" applyBorder="1" applyAlignment="1">
      <alignment horizontal="left" vertical="center" wrapText="1"/>
    </xf>
    <xf numFmtId="0" fontId="12" fillId="0" borderId="10" xfId="0" applyFont="1" applyBorder="1" applyAlignment="1">
      <alignment vertical="center" wrapText="1"/>
    </xf>
    <xf numFmtId="0" fontId="12" fillId="2" borderId="15" xfId="0" applyFont="1" applyFill="1" applyBorder="1" applyAlignment="1">
      <alignment horizontal="left" vertical="center" wrapText="1"/>
    </xf>
    <xf numFmtId="0" fontId="9" fillId="0" borderId="47" xfId="0" applyFont="1" applyBorder="1" applyAlignment="1">
      <alignment vertical="center" wrapText="1"/>
    </xf>
    <xf numFmtId="0" fontId="9" fillId="2" borderId="16" xfId="0" applyFont="1" applyFill="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center" vertical="center" wrapText="1"/>
    </xf>
    <xf numFmtId="0" fontId="8" fillId="3" borderId="13"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0" borderId="10" xfId="0" applyFont="1" applyBorder="1" applyAlignment="1">
      <alignment vertical="center" wrapText="1"/>
    </xf>
    <xf numFmtId="0" fontId="23" fillId="0" borderId="0" xfId="0" applyFont="1" applyAlignment="1">
      <alignment horizontal="center" vertical="center" wrapText="1"/>
    </xf>
    <xf numFmtId="0" fontId="26" fillId="0" borderId="17" xfId="0" applyFont="1" applyBorder="1" applyAlignment="1">
      <alignment horizontal="left" vertical="center" wrapText="1"/>
    </xf>
    <xf numFmtId="0" fontId="0" fillId="0" borderId="17" xfId="0" applyBorder="1"/>
    <xf numFmtId="0" fontId="8" fillId="3" borderId="45" xfId="0" applyFont="1" applyFill="1" applyBorder="1" applyAlignment="1">
      <alignment horizontal="left" vertical="center" wrapText="1"/>
    </xf>
    <xf numFmtId="0" fontId="8" fillId="3" borderId="46" xfId="0" applyFont="1" applyFill="1" applyBorder="1" applyAlignment="1">
      <alignment horizontal="center" vertical="center" wrapText="1"/>
    </xf>
    <xf numFmtId="2" fontId="12" fillId="0" borderId="10" xfId="0" applyNumberFormat="1" applyFont="1" applyBorder="1" applyAlignment="1">
      <alignment horizontal="center" vertical="center" wrapText="1"/>
    </xf>
    <xf numFmtId="2" fontId="12" fillId="2" borderId="15" xfId="0" applyNumberFormat="1" applyFont="1" applyFill="1" applyBorder="1" applyAlignment="1">
      <alignment horizontal="center" vertical="center" wrapText="1"/>
    </xf>
    <xf numFmtId="0" fontId="9" fillId="2" borderId="11" xfId="0" applyFont="1" applyFill="1" applyBorder="1" applyAlignment="1">
      <alignment horizontal="center" vertical="center" wrapText="1"/>
    </xf>
    <xf numFmtId="0" fontId="21" fillId="0" borderId="14" xfId="0" applyFont="1" applyBorder="1" applyAlignment="1">
      <alignment horizontal="center" vertical="center"/>
    </xf>
    <xf numFmtId="0" fontId="21" fillId="0" borderId="0" xfId="0" applyFont="1" applyAlignment="1">
      <alignment horizontal="center"/>
    </xf>
    <xf numFmtId="49" fontId="21" fillId="0" borderId="0" xfId="0" applyNumberFormat="1" applyFont="1" applyAlignment="1">
      <alignment horizontal="center"/>
    </xf>
    <xf numFmtId="0" fontId="30" fillId="0" borderId="0" xfId="0" applyFont="1" applyAlignment="1">
      <alignment wrapText="1"/>
    </xf>
    <xf numFmtId="0" fontId="23" fillId="0" borderId="0" xfId="0" applyFont="1" applyAlignment="1">
      <alignment horizontal="center" vertical="center"/>
    </xf>
    <xf numFmtId="0" fontId="10" fillId="0" borderId="0" xfId="0" applyFont="1" applyAlignment="1">
      <alignment vertical="center" wrapText="1"/>
    </xf>
    <xf numFmtId="0" fontId="23" fillId="0" borderId="0" xfId="0" applyFont="1" applyAlignment="1">
      <alignment horizontal="center" vertical="center" wrapText="1"/>
    </xf>
    <xf numFmtId="0" fontId="8" fillId="3" borderId="13" xfId="0" applyFont="1" applyFill="1" applyBorder="1" applyAlignment="1">
      <alignment vertical="center" wrapText="1"/>
    </xf>
    <xf numFmtId="0" fontId="10" fillId="0" borderId="48" xfId="0" applyFont="1" applyBorder="1" applyAlignment="1">
      <alignment vertical="center" wrapText="1"/>
    </xf>
    <xf numFmtId="0" fontId="10" fillId="0" borderId="49" xfId="0" applyFont="1" applyBorder="1" applyAlignment="1">
      <alignment vertical="center" wrapText="1"/>
    </xf>
    <xf numFmtId="0" fontId="10" fillId="0" borderId="50" xfId="0" applyFont="1" applyBorder="1" applyAlignment="1">
      <alignment vertical="center" wrapText="1"/>
    </xf>
    <xf numFmtId="0" fontId="10" fillId="2" borderId="51" xfId="0" applyFont="1" applyFill="1" applyBorder="1" applyAlignment="1">
      <alignment vertical="center" wrapText="1"/>
    </xf>
    <xf numFmtId="0" fontId="10" fillId="2" borderId="52" xfId="0" applyFont="1" applyFill="1" applyBorder="1" applyAlignment="1">
      <alignment vertical="center" wrapText="1"/>
    </xf>
    <xf numFmtId="0" fontId="10" fillId="2" borderId="53" xfId="0" applyFont="1" applyFill="1" applyBorder="1" applyAlignment="1">
      <alignment vertical="center" wrapText="1"/>
    </xf>
    <xf numFmtId="0" fontId="10" fillId="0" borderId="0" xfId="0" applyFont="1" applyAlignment="1">
      <alignment horizontal="left" vertical="center" wrapText="1"/>
    </xf>
    <xf numFmtId="0" fontId="26" fillId="0" borderId="14" xfId="0" applyFont="1" applyBorder="1" applyAlignment="1">
      <alignment vertical="center" wrapText="1"/>
    </xf>
    <xf numFmtId="0" fontId="30" fillId="0" borderId="0" xfId="0" applyFont="1" applyAlignment="1">
      <alignment vertical="top" wrapText="1"/>
    </xf>
    <xf numFmtId="0" fontId="2" fillId="0" borderId="0" xfId="0" applyFont="1" applyAlignment="1">
      <alignment horizontal="left" wrapText="1"/>
    </xf>
    <xf numFmtId="0" fontId="25" fillId="5" borderId="69" xfId="1" applyFont="1" applyFill="1" applyBorder="1" applyAlignment="1">
      <alignment horizontal="left" vertical="center"/>
    </xf>
    <xf numFmtId="0" fontId="25" fillId="5" borderId="70" xfId="1" applyFont="1" applyFill="1" applyBorder="1" applyAlignment="1">
      <alignment horizontal="left" vertical="center"/>
    </xf>
    <xf numFmtId="0" fontId="6" fillId="0" borderId="33" xfId="1" applyBorder="1" applyAlignment="1" applyProtection="1">
      <alignment horizontal="center"/>
      <protection locked="0"/>
    </xf>
    <xf numFmtId="0" fontId="6" fillId="0" borderId="34" xfId="1" applyBorder="1" applyAlignment="1" applyProtection="1">
      <alignment horizontal="center"/>
      <protection locked="0"/>
    </xf>
    <xf numFmtId="0" fontId="6" fillId="0" borderId="38" xfId="1" applyBorder="1" applyAlignment="1" applyProtection="1">
      <alignment horizontal="center"/>
      <protection locked="0"/>
    </xf>
    <xf numFmtId="0" fontId="6" fillId="0" borderId="39" xfId="1" applyBorder="1" applyAlignment="1" applyProtection="1">
      <alignment horizontal="center"/>
      <protection locked="0"/>
    </xf>
    <xf numFmtId="0" fontId="25" fillId="5" borderId="21" xfId="1" applyFont="1" applyFill="1" applyBorder="1" applyAlignment="1">
      <alignment horizontal="left" vertical="center"/>
    </xf>
    <xf numFmtId="0" fontId="25" fillId="5" borderId="22" xfId="1" applyFont="1" applyFill="1" applyBorder="1" applyAlignment="1">
      <alignment horizontal="left" vertical="center"/>
    </xf>
  </cellXfs>
  <cellStyles count="6">
    <cellStyle name="Normal" xfId="0" builtinId="0"/>
    <cellStyle name="Normal 2" xfId="1" xr:uid="{6D2080AF-0422-4F9E-8394-4F8C4E0F7B6C}"/>
    <cellStyle name="Normal 2 2" xfId="3" xr:uid="{9A611A15-88B8-4333-855F-EE6F526CB143}"/>
    <cellStyle name="Normal 2 2 2" xfId="5" xr:uid="{7CA35618-981C-45AE-A34D-06FF8B0F6748}"/>
    <cellStyle name="Normal 2 3" xfId="4" xr:uid="{2C6FA759-BE26-4790-8FDC-35CF4CF57F20}"/>
    <cellStyle name="Normal 2 4" xfId="2" xr:uid="{030F5AD0-DB9B-4BA8-91F1-7E3CB2C10199}"/>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334269</xdr:colOff>
      <xdr:row>2</xdr:row>
      <xdr:rowOff>365649</xdr:rowOff>
    </xdr:to>
    <xdr:pic>
      <xdr:nvPicPr>
        <xdr:cNvPr id="3" name="Picture 2">
          <a:extLst>
            <a:ext uri="{FF2B5EF4-FFF2-40B4-BE49-F238E27FC236}">
              <a16:creationId xmlns:a16="http://schemas.microsoft.com/office/drawing/2014/main" id="{F0023409-B89A-4433-A201-40DEB086ED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63554" cy="6787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47625</xdr:rowOff>
    </xdr:from>
    <xdr:to>
      <xdr:col>0</xdr:col>
      <xdr:colOff>995304</xdr:colOff>
      <xdr:row>0</xdr:row>
      <xdr:rowOff>719979</xdr:rowOff>
    </xdr:to>
    <xdr:pic>
      <xdr:nvPicPr>
        <xdr:cNvPr id="3" name="Picture 2">
          <a:extLst>
            <a:ext uri="{FF2B5EF4-FFF2-40B4-BE49-F238E27FC236}">
              <a16:creationId xmlns:a16="http://schemas.microsoft.com/office/drawing/2014/main" id="{2C9BE66F-2105-4023-94B0-AD68BE0531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22412</xdr:colOff>
      <xdr:row>0</xdr:row>
      <xdr:rowOff>33618</xdr:rowOff>
    </xdr:from>
    <xdr:to>
      <xdr:col>1</xdr:col>
      <xdr:colOff>320598</xdr:colOff>
      <xdr:row>1</xdr:row>
      <xdr:rowOff>321386</xdr:rowOff>
    </xdr:to>
    <xdr:pic>
      <xdr:nvPicPr>
        <xdr:cNvPr id="3" name="Picture 2">
          <a:extLst>
            <a:ext uri="{FF2B5EF4-FFF2-40B4-BE49-F238E27FC236}">
              <a16:creationId xmlns:a16="http://schemas.microsoft.com/office/drawing/2014/main" id="{FCF36032-3F0A-4B86-9ABE-8790043F9D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33618"/>
          <a:ext cx="966729" cy="668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320934</xdr:colOff>
      <xdr:row>1</xdr:row>
      <xdr:rowOff>285639</xdr:rowOff>
    </xdr:to>
    <xdr:pic>
      <xdr:nvPicPr>
        <xdr:cNvPr id="3" name="Picture 2">
          <a:extLst>
            <a:ext uri="{FF2B5EF4-FFF2-40B4-BE49-F238E27FC236}">
              <a16:creationId xmlns:a16="http://schemas.microsoft.com/office/drawing/2014/main" id="{5B6EF5F8-7635-431A-ADB8-302719FD25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0</xdr:col>
      <xdr:colOff>1033404</xdr:colOff>
      <xdr:row>1</xdr:row>
      <xdr:rowOff>24654</xdr:rowOff>
    </xdr:to>
    <xdr:pic>
      <xdr:nvPicPr>
        <xdr:cNvPr id="3" name="Picture 2">
          <a:extLst>
            <a:ext uri="{FF2B5EF4-FFF2-40B4-BE49-F238E27FC236}">
              <a16:creationId xmlns:a16="http://schemas.microsoft.com/office/drawing/2014/main" id="{26816DB2-147D-459F-8E66-B762ED9BC0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0</xdr:col>
      <xdr:colOff>1014354</xdr:colOff>
      <xdr:row>1</xdr:row>
      <xdr:rowOff>539004</xdr:rowOff>
    </xdr:to>
    <xdr:pic>
      <xdr:nvPicPr>
        <xdr:cNvPr id="3" name="Picture 2">
          <a:extLst>
            <a:ext uri="{FF2B5EF4-FFF2-40B4-BE49-F238E27FC236}">
              <a16:creationId xmlns:a16="http://schemas.microsoft.com/office/drawing/2014/main" id="{EBDB48E4-34E5-4AE0-9F1E-32C73D661D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0</xdr:row>
      <xdr:rowOff>66675</xdr:rowOff>
    </xdr:from>
    <xdr:to>
      <xdr:col>0</xdr:col>
      <xdr:colOff>1023879</xdr:colOff>
      <xdr:row>0</xdr:row>
      <xdr:rowOff>739029</xdr:rowOff>
    </xdr:to>
    <xdr:pic>
      <xdr:nvPicPr>
        <xdr:cNvPr id="2" name="Picture 1">
          <a:extLst>
            <a:ext uri="{FF2B5EF4-FFF2-40B4-BE49-F238E27FC236}">
              <a16:creationId xmlns:a16="http://schemas.microsoft.com/office/drawing/2014/main" id="{324EC01A-314C-484A-9A25-1A90B4DEB4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1</xdr:col>
      <xdr:colOff>869574</xdr:colOff>
      <xdr:row>0</xdr:row>
      <xdr:rowOff>731409</xdr:rowOff>
    </xdr:to>
    <xdr:pic>
      <xdr:nvPicPr>
        <xdr:cNvPr id="2" name="Picture 1">
          <a:extLst>
            <a:ext uri="{FF2B5EF4-FFF2-40B4-BE49-F238E27FC236}">
              <a16:creationId xmlns:a16="http://schemas.microsoft.com/office/drawing/2014/main" id="{42EFB796-A02D-4742-9263-66923FF559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AB3ADE9D-E4E6-FD49-AC0D-781453E45937}"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C3:D41"/>
  <sheetViews>
    <sheetView showGridLines="0" tabSelected="1" workbookViewId="0"/>
  </sheetViews>
  <sheetFormatPr defaultColWidth="8.625" defaultRowHeight="15.75" x14ac:dyDescent="0.25"/>
  <cols>
    <col min="3" max="3" width="25.125" customWidth="1"/>
    <col min="4" max="4" width="94.625" customWidth="1"/>
  </cols>
  <sheetData>
    <row r="3" spans="3:4" ht="36" x14ac:dyDescent="0.55000000000000004">
      <c r="C3" s="4" t="s">
        <v>0</v>
      </c>
      <c r="D3" s="5"/>
    </row>
    <row r="5" spans="3:4" ht="21" x14ac:dyDescent="0.35">
      <c r="C5" s="6" t="s">
        <v>108</v>
      </c>
      <c r="D5" s="7"/>
    </row>
    <row r="6" spans="3:4" x14ac:dyDescent="0.25">
      <c r="C6" s="8" t="s">
        <v>66</v>
      </c>
      <c r="D6" s="33" t="s">
        <v>311</v>
      </c>
    </row>
    <row r="7" spans="3:4" x14ac:dyDescent="0.25">
      <c r="C7" s="8" t="s">
        <v>1</v>
      </c>
      <c r="D7" s="40">
        <v>45994</v>
      </c>
    </row>
    <row r="8" spans="3:4" x14ac:dyDescent="0.25">
      <c r="C8" s="8"/>
      <c r="D8" s="9"/>
    </row>
    <row r="9" spans="3:4" x14ac:dyDescent="0.25">
      <c r="C9" s="8" t="s">
        <v>67</v>
      </c>
      <c r="D9" s="9" t="s">
        <v>109</v>
      </c>
    </row>
    <row r="10" spans="3:4" x14ac:dyDescent="0.25">
      <c r="C10" s="8" t="s">
        <v>68</v>
      </c>
      <c r="D10" s="9" t="s">
        <v>310</v>
      </c>
    </row>
    <row r="11" spans="3:4" x14ac:dyDescent="0.25">
      <c r="C11" s="8" t="s">
        <v>292</v>
      </c>
      <c r="D11" s="9" t="s">
        <v>264</v>
      </c>
    </row>
    <row r="13" spans="3:4" x14ac:dyDescent="0.25">
      <c r="D13" s="8" t="s">
        <v>2</v>
      </c>
    </row>
    <row r="14" spans="3:4" ht="189" x14ac:dyDescent="0.25">
      <c r="D14" s="10" t="s">
        <v>232</v>
      </c>
    </row>
    <row r="16" spans="3:4" x14ac:dyDescent="0.25">
      <c r="D16" s="1" t="s">
        <v>3</v>
      </c>
    </row>
    <row r="17" spans="3:4" x14ac:dyDescent="0.25">
      <c r="C17" s="11">
        <v>1</v>
      </c>
      <c r="D17" s="12" t="s">
        <v>4</v>
      </c>
    </row>
    <row r="18" spans="3:4" ht="31.5" x14ac:dyDescent="0.25">
      <c r="C18" s="11">
        <v>2</v>
      </c>
      <c r="D18" s="12" t="s">
        <v>5</v>
      </c>
    </row>
    <row r="19" spans="3:4" ht="31.5" x14ac:dyDescent="0.25">
      <c r="C19" s="11">
        <v>3</v>
      </c>
      <c r="D19" s="12" t="s">
        <v>96</v>
      </c>
    </row>
    <row r="20" spans="3:4" x14ac:dyDescent="0.25">
      <c r="C20" s="11">
        <v>4</v>
      </c>
      <c r="D20" s="3" t="s">
        <v>6</v>
      </c>
    </row>
    <row r="21" spans="3:4" ht="31.5" x14ac:dyDescent="0.25">
      <c r="C21" s="11">
        <v>5</v>
      </c>
      <c r="D21" s="12" t="s">
        <v>97</v>
      </c>
    </row>
    <row r="22" spans="3:4" ht="31.5" x14ac:dyDescent="0.25">
      <c r="C22" s="11">
        <v>6</v>
      </c>
      <c r="D22" s="12" t="s">
        <v>101</v>
      </c>
    </row>
    <row r="23" spans="3:4" x14ac:dyDescent="0.25">
      <c r="C23" s="11"/>
    </row>
    <row r="24" spans="3:4" x14ac:dyDescent="0.25">
      <c r="D24" s="1" t="s">
        <v>98</v>
      </c>
    </row>
    <row r="25" spans="3:4" ht="35.1" customHeight="1" x14ac:dyDescent="0.25">
      <c r="C25" s="11">
        <v>7</v>
      </c>
      <c r="D25" s="10" t="s">
        <v>105</v>
      </c>
    </row>
    <row r="26" spans="3:4" ht="31.5" x14ac:dyDescent="0.25">
      <c r="C26" s="11">
        <v>8</v>
      </c>
      <c r="D26" s="3" t="s">
        <v>99</v>
      </c>
    </row>
    <row r="27" spans="3:4" x14ac:dyDescent="0.25">
      <c r="C27" s="11">
        <v>9</v>
      </c>
      <c r="D27" t="s">
        <v>100</v>
      </c>
    </row>
    <row r="31" spans="3:4" x14ac:dyDescent="0.25">
      <c r="C31" s="8" t="s">
        <v>107</v>
      </c>
      <c r="D31" s="1"/>
    </row>
    <row r="32" spans="3:4" x14ac:dyDescent="0.25">
      <c r="C32" s="66" t="s">
        <v>311</v>
      </c>
      <c r="D32" t="s">
        <v>312</v>
      </c>
    </row>
    <row r="33" spans="3:4" x14ac:dyDescent="0.25">
      <c r="C33" s="66" t="s">
        <v>305</v>
      </c>
      <c r="D33" t="s">
        <v>306</v>
      </c>
    </row>
    <row r="34" spans="3:4" x14ac:dyDescent="0.25">
      <c r="C34" s="66" t="s">
        <v>298</v>
      </c>
      <c r="D34" t="s">
        <v>299</v>
      </c>
    </row>
    <row r="35" spans="3:4" x14ac:dyDescent="0.25">
      <c r="C35" s="66" t="s">
        <v>293</v>
      </c>
      <c r="D35" t="s">
        <v>294</v>
      </c>
    </row>
    <row r="36" spans="3:4" x14ac:dyDescent="0.25">
      <c r="C36" s="66" t="s">
        <v>290</v>
      </c>
      <c r="D36" t="s">
        <v>291</v>
      </c>
    </row>
    <row r="37" spans="3:4" x14ac:dyDescent="0.25">
      <c r="C37" s="66" t="s">
        <v>286</v>
      </c>
      <c r="D37" t="s">
        <v>283</v>
      </c>
    </row>
    <row r="38" spans="3:4" x14ac:dyDescent="0.25">
      <c r="C38" s="66" t="s">
        <v>267</v>
      </c>
      <c r="D38" t="s">
        <v>268</v>
      </c>
    </row>
    <row r="39" spans="3:4" x14ac:dyDescent="0.25">
      <c r="C39" s="66" t="s">
        <v>110</v>
      </c>
      <c r="D39" t="s">
        <v>111</v>
      </c>
    </row>
    <row r="40" spans="3:4" x14ac:dyDescent="0.25">
      <c r="C40" s="65"/>
      <c r="D40" s="3"/>
    </row>
    <row r="41" spans="3:4" x14ac:dyDescent="0.25">
      <c r="C41" s="81" t="s">
        <v>282</v>
      </c>
      <c r="D41" t="s">
        <v>313</v>
      </c>
    </row>
  </sheetData>
  <sheetProtection algorithmName="SHA-512" hashValue="xrxZ2TAsvYwv94Whn6Zzk+0sboiwFviq4P2v4PoRcCNC129nnaH9AJ9BfM3wbtqdlmEo8OgIH19eFfAmm0R4wQ==" saltValue="36vICevpd0UXpQ0WCp5ryA==" spinCount="100000" sheet="1" objects="1" scenarios="1"/>
  <pageMargins left="0.7" right="0.7" top="0.75" bottom="0.75" header="0.3" footer="0.3"/>
  <pageSetup paperSize="9" orientation="portrait" r:id="rId1"/>
  <headerFoot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25"/>
  <sheetViews>
    <sheetView showGridLines="0" workbookViewId="0">
      <selection activeCell="C5" sqref="C5"/>
    </sheetView>
  </sheetViews>
  <sheetFormatPr defaultColWidth="9" defaultRowHeight="15" x14ac:dyDescent="0.25"/>
  <cols>
    <col min="1" max="1" width="2.125" style="21" customWidth="1"/>
    <col min="2" max="2" width="21.125" style="21" customWidth="1"/>
    <col min="3" max="3" width="30.125" style="21" customWidth="1"/>
    <col min="4" max="4" width="2" style="21" customWidth="1"/>
    <col min="5" max="5" width="8.5" style="21" customWidth="1"/>
    <col min="6" max="6" width="15.125" style="21" customWidth="1"/>
    <col min="7" max="7" width="9" style="21"/>
    <col min="8" max="8" width="30" style="21" bestFit="1" customWidth="1"/>
    <col min="9" max="9" width="22.125" style="21" customWidth="1"/>
    <col min="10" max="16384" width="9" style="21"/>
  </cols>
  <sheetData>
    <row r="1" spans="2:9" customFormat="1" ht="61.5" customHeight="1" x14ac:dyDescent="0.25">
      <c r="B1" s="21"/>
      <c r="C1" s="125" t="s">
        <v>88</v>
      </c>
      <c r="D1" s="125"/>
      <c r="E1" s="125"/>
      <c r="F1" s="125"/>
      <c r="H1" s="61" t="s">
        <v>106</v>
      </c>
      <c r="I1" s="56" t="str">
        <f>IF(AND(ISERROR(FIND("&lt;",_xlfn.CONCAT(C5:C21))),_xlfn.CONCAT(G4:G21)=""),"VALID for Certification",IF(AND(ISERROR(FIND("&lt;",_xlfn.CONCAT(C5:C10))),_xlfn.CONCAT(G4:G10)=""),"VALID for a VDoC","INVALID"))</f>
        <v>INVALID</v>
      </c>
    </row>
    <row r="2" spans="2:9" customFormat="1" ht="37.5" customHeight="1" x14ac:dyDescent="0.25">
      <c r="B2" s="21"/>
      <c r="C2" s="135" t="s">
        <v>261</v>
      </c>
      <c r="D2" s="135"/>
      <c r="E2" s="135"/>
      <c r="F2" s="135"/>
      <c r="H2" s="61" t="s">
        <v>269</v>
      </c>
      <c r="I2" s="56"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145" t="s">
        <v>47</v>
      </c>
      <c r="C4" s="146"/>
      <c r="D4" s="22"/>
      <c r="E4" s="23" t="s">
        <v>48</v>
      </c>
      <c r="F4" s="49" t="s">
        <v>78</v>
      </c>
      <c r="G4" s="57"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24" t="s">
        <v>21</v>
      </c>
      <c r="C5" s="90" t="s">
        <v>79</v>
      </c>
      <c r="D5" s="25"/>
      <c r="E5" s="37" t="s">
        <v>49</v>
      </c>
      <c r="F5" s="54"/>
      <c r="G5" s="57" t="str">
        <f t="shared" ref="G5:G9" si="0">IF(ISBLANK(C5),"&lt;---- This field cannot be left empty!",IF(NOT(ISERROR(FIND("&lt;",C5))),"&lt;---- Please enter a valid value",""))</f>
        <v>&lt;---- Please enter a valid value</v>
      </c>
    </row>
    <row r="6" spans="2:9" ht="21.75" customHeight="1" x14ac:dyDescent="0.25">
      <c r="B6" s="26" t="s">
        <v>50</v>
      </c>
      <c r="C6" s="82" t="str">
        <f>'General information'!C2</f>
        <v>&lt;vendor company name&gt; </v>
      </c>
      <c r="D6" s="25"/>
      <c r="E6" s="141"/>
      <c r="F6" s="142"/>
      <c r="G6" s="57" t="str">
        <f t="shared" si="0"/>
        <v>&lt;---- Please enter a valid value</v>
      </c>
    </row>
    <row r="7" spans="2:9" ht="21.75" customHeight="1" x14ac:dyDescent="0.25">
      <c r="B7" s="26" t="s">
        <v>51</v>
      </c>
      <c r="C7" s="42" t="s">
        <v>76</v>
      </c>
      <c r="D7" s="25"/>
      <c r="E7" s="141"/>
      <c r="F7" s="142"/>
      <c r="G7" s="57" t="str">
        <f t="shared" si="0"/>
        <v>&lt;---- Please enter a valid value</v>
      </c>
    </row>
    <row r="8" spans="2:9" ht="21.75" customHeight="1" x14ac:dyDescent="0.25">
      <c r="B8" s="26" t="s">
        <v>52</v>
      </c>
      <c r="C8" s="42" t="s">
        <v>80</v>
      </c>
      <c r="D8" s="25"/>
      <c r="E8" s="141"/>
      <c r="F8" s="142"/>
      <c r="G8" s="57" t="str">
        <f t="shared" si="0"/>
        <v>&lt;---- Please enter a valid value</v>
      </c>
    </row>
    <row r="9" spans="2:9" ht="21.75" customHeight="1" thickBot="1" x14ac:dyDescent="0.3">
      <c r="B9" s="27" t="s">
        <v>53</v>
      </c>
      <c r="C9" s="43" t="s">
        <v>77</v>
      </c>
      <c r="D9" s="28"/>
      <c r="E9" s="143"/>
      <c r="F9" s="144"/>
      <c r="G9" s="57" t="str">
        <f t="shared" si="0"/>
        <v>&lt;---- Please enter a valid value</v>
      </c>
    </row>
    <row r="11" spans="2:9" ht="15.75" thickBot="1" x14ac:dyDescent="0.3"/>
    <row r="12" spans="2:9" ht="23.25" customHeight="1" thickBot="1" x14ac:dyDescent="0.3">
      <c r="B12" s="145" t="s">
        <v>54</v>
      </c>
      <c r="C12" s="146"/>
      <c r="D12" s="22"/>
      <c r="E12" s="23" t="s">
        <v>48</v>
      </c>
      <c r="F12" s="49" t="s">
        <v>78</v>
      </c>
      <c r="G12" s="57"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date",IF(F12&lt;C13,"&lt;---- The test lab signature date cannot be earlier than the test performed on date","")))))</f>
        <v>&lt;---- Please enter a valid date</v>
      </c>
    </row>
    <row r="13" spans="2:9" ht="23.25" customHeight="1" x14ac:dyDescent="0.25">
      <c r="B13" s="39" t="s">
        <v>71</v>
      </c>
      <c r="C13" s="44" t="s">
        <v>75</v>
      </c>
      <c r="D13" s="25"/>
      <c r="E13" s="37" t="s">
        <v>49</v>
      </c>
      <c r="F13" s="38"/>
      <c r="G13" s="57" t="str">
        <f>IF(ISBLANK(C13),"&lt;---- This field cannot be left empty!",IF(NOT(ISERROR(FIND("&lt;",C13))),"&lt;---- Please enter a valid date",IF(C13-IFERROR(VLOOKUP("Last test start",'HIDDEN Testrun Results'!$A:$B,2,FALSE),"0")&lt;0,"&lt;---- This date cannot be before the date of the last log file","")))</f>
        <v>&lt;---- Please enter a valid date</v>
      </c>
    </row>
    <row r="14" spans="2:9" ht="23.25" customHeight="1" x14ac:dyDescent="0.25">
      <c r="B14" s="39" t="s">
        <v>60</v>
      </c>
      <c r="C14" s="45" t="s">
        <v>86</v>
      </c>
      <c r="D14" s="55"/>
      <c r="E14" s="141"/>
      <c r="F14" s="142"/>
      <c r="G14" s="57" t="str">
        <f>IF(ISBLANK(C14),"&lt;---- This field cannot be left empty!",IF(NOT(ISERROR(FIND("&lt;",C14))),"&lt;---- Please enter a valid value",""))</f>
        <v>&lt;---- Please enter a valid value</v>
      </c>
    </row>
    <row r="15" spans="2:9" ht="23.25" customHeight="1" x14ac:dyDescent="0.25">
      <c r="B15" s="24" t="s">
        <v>21</v>
      </c>
      <c r="C15" s="46" t="s">
        <v>81</v>
      </c>
      <c r="E15" s="141"/>
      <c r="F15" s="142"/>
      <c r="G15" s="57" t="str">
        <f t="shared" ref="G15:G20" si="1">IF(ISBLANK(C15),"&lt;---- This field cannot be left empty!",IF(NOT(ISERROR(FIND("&lt;",C15))),"&lt;---- Please enter a valid value",""))</f>
        <v>&lt;---- Please enter a valid value</v>
      </c>
    </row>
    <row r="16" spans="2:9" ht="23.25" customHeight="1" x14ac:dyDescent="0.25">
      <c r="B16" s="64" t="s">
        <v>259</v>
      </c>
      <c r="C16" s="72" t="s">
        <v>260</v>
      </c>
      <c r="E16" s="141"/>
      <c r="F16" s="142"/>
      <c r="G16" s="57"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26" t="s">
        <v>50</v>
      </c>
      <c r="C17" s="47" t="s">
        <v>82</v>
      </c>
      <c r="D17" s="25"/>
      <c r="E17" s="141"/>
      <c r="F17" s="142"/>
      <c r="G17" s="57" t="str">
        <f t="shared" si="1"/>
        <v>&lt;---- Please enter a valid value</v>
      </c>
    </row>
    <row r="18" spans="2:7" ht="23.25" customHeight="1" x14ac:dyDescent="0.25">
      <c r="B18" s="26" t="s">
        <v>51</v>
      </c>
      <c r="C18" s="47" t="s">
        <v>83</v>
      </c>
      <c r="D18" s="25"/>
      <c r="E18" s="141"/>
      <c r="F18" s="142"/>
      <c r="G18" s="57" t="str">
        <f t="shared" si="1"/>
        <v>&lt;---- Please enter a valid value</v>
      </c>
    </row>
    <row r="19" spans="2:7" ht="23.25" customHeight="1" x14ac:dyDescent="0.25">
      <c r="B19" s="26" t="s">
        <v>52</v>
      </c>
      <c r="C19" s="47" t="s">
        <v>84</v>
      </c>
      <c r="D19" s="25"/>
      <c r="E19" s="141"/>
      <c r="F19" s="142"/>
      <c r="G19" s="57" t="str">
        <f t="shared" si="1"/>
        <v>&lt;---- Please enter a valid value</v>
      </c>
    </row>
    <row r="20" spans="2:7" ht="23.25" customHeight="1" thickBot="1" x14ac:dyDescent="0.3">
      <c r="B20" s="27" t="s">
        <v>53</v>
      </c>
      <c r="C20" s="48" t="s">
        <v>85</v>
      </c>
      <c r="D20" s="28"/>
      <c r="E20" s="143"/>
      <c r="F20" s="144"/>
      <c r="G20" s="57" t="str">
        <f t="shared" si="1"/>
        <v>&lt;---- Please enter a valid value</v>
      </c>
    </row>
    <row r="21" spans="2:7" ht="16.5" thickBot="1" x14ac:dyDescent="0.3">
      <c r="G21" s="57"/>
    </row>
    <row r="22" spans="2:7" ht="19.5" thickBot="1" x14ac:dyDescent="0.3">
      <c r="B22" s="139" t="s">
        <v>272</v>
      </c>
      <c r="C22" s="140"/>
    </row>
    <row r="23" spans="2:7" x14ac:dyDescent="0.25">
      <c r="B23" s="74" t="s">
        <v>273</v>
      </c>
      <c r="C23" s="7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77" t="s">
        <v>281</v>
      </c>
      <c r="C24" s="78" t="str">
        <f>IFERROR(VLOOKUP(SUBSTITUTE(B24," ",""),'HIDDEN Testrun Results'!$A:$B,2,FALSE),"&lt;will be filled in by testlab&gt;")</f>
        <v>&lt;will be filled in by testlab&gt;</v>
      </c>
    </row>
    <row r="25" spans="2:7" ht="15.75" thickBot="1" x14ac:dyDescent="0.3">
      <c r="B25" s="79" t="s">
        <v>274</v>
      </c>
      <c r="C25" s="80" t="str">
        <f>VLOOKUP("ConfigID",'HIDDEN calc sheet'!A:B,2,FALSE)</f>
        <v>72EC6232</v>
      </c>
    </row>
  </sheetData>
  <sheetProtection algorithmName="SHA-512" hashValue="eLYamtieUg5o14CGswQ8VnAFabUFEg2JsmSCppvv791wMYwVQXVKc1qDdjPJo/VuQnt+RbcvB/cghw07Hszvvg==" saltValue="Q0MKtfyyGs/L4wuTLyEzCw==" spinCount="100000" sheet="1" formatCells="0" formatColumns="0" formatRows="0"/>
  <mergeCells count="7">
    <mergeCell ref="B22:C22"/>
    <mergeCell ref="E14:F20"/>
    <mergeCell ref="C2:F2"/>
    <mergeCell ref="C1:F1"/>
    <mergeCell ref="B4:C4"/>
    <mergeCell ref="E6:F9"/>
    <mergeCell ref="B12:C1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Footer>&amp;C_x000D_&amp;1#&amp;"Arial"&amp;9&amp;K000000 Internal</oddFooter>
  </headerFooter>
  <ignoredErrors>
    <ignoredError sqref="C25" evalError="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71"/>
  <sheetViews>
    <sheetView zoomScale="85" zoomScaleNormal="85" workbookViewId="0"/>
  </sheetViews>
  <sheetFormatPr defaultColWidth="8.625" defaultRowHeight="15.75" x14ac:dyDescent="0.25"/>
  <cols>
    <col min="1" max="1" width="28.5" customWidth="1"/>
    <col min="2" max="2" width="20.125" bestFit="1" customWidth="1"/>
    <col min="3" max="3" width="26.625" bestFit="1" customWidth="1"/>
    <col min="4" max="4" width="79.125" customWidth="1"/>
    <col min="5" max="5" width="44.5" customWidth="1"/>
    <col min="6" max="6" width="51.625" bestFit="1" customWidth="1"/>
    <col min="7" max="7" width="41.625" customWidth="1"/>
  </cols>
  <sheetData>
    <row r="1" spans="1:7" x14ac:dyDescent="0.25">
      <c r="A1" s="1" t="s">
        <v>39</v>
      </c>
      <c r="B1" s="1" t="s">
        <v>20</v>
      </c>
      <c r="C1" s="1" t="s">
        <v>9</v>
      </c>
      <c r="D1" s="1" t="s">
        <v>21</v>
      </c>
      <c r="E1" s="1" t="s">
        <v>22</v>
      </c>
      <c r="F1" s="1" t="s">
        <v>23</v>
      </c>
      <c r="G1" s="1" t="s">
        <v>24</v>
      </c>
    </row>
    <row r="2" spans="1:7" x14ac:dyDescent="0.25">
      <c r="A2" t="str">
        <f>B2&amp;" "&amp;C2</f>
        <v>TC_001_CSMS Core</v>
      </c>
      <c r="B2" t="s">
        <v>233</v>
      </c>
      <c r="C2" t="s">
        <v>12</v>
      </c>
      <c r="D2" t="s">
        <v>254</v>
      </c>
      <c r="E2" t="s">
        <v>40</v>
      </c>
    </row>
    <row r="3" spans="1:7" x14ac:dyDescent="0.25">
      <c r="A3" t="str">
        <f t="shared" ref="A3:A66" si="0">B3&amp;" "&amp;C3</f>
        <v>TC_003_CSMS Core</v>
      </c>
      <c r="B3" t="s">
        <v>112</v>
      </c>
      <c r="C3" t="s">
        <v>12</v>
      </c>
      <c r="D3" t="s">
        <v>171</v>
      </c>
      <c r="E3" t="s">
        <v>40</v>
      </c>
    </row>
    <row r="4" spans="1:7" x14ac:dyDescent="0.25">
      <c r="A4" t="str">
        <f t="shared" si="0"/>
        <v>TC_004_1_CSMS Core</v>
      </c>
      <c r="B4" t="s">
        <v>113</v>
      </c>
      <c r="C4" t="s">
        <v>12</v>
      </c>
      <c r="D4" t="s">
        <v>172</v>
      </c>
      <c r="E4" t="s">
        <v>40</v>
      </c>
    </row>
    <row r="5" spans="1:7" x14ac:dyDescent="0.25">
      <c r="A5" t="str">
        <f t="shared" si="0"/>
        <v>TC_004_2_CSMS Core</v>
      </c>
      <c r="B5" t="s">
        <v>114</v>
      </c>
      <c r="C5" t="s">
        <v>12</v>
      </c>
      <c r="D5" t="s">
        <v>173</v>
      </c>
      <c r="E5" t="s">
        <v>40</v>
      </c>
    </row>
    <row r="6" spans="1:7" x14ac:dyDescent="0.25">
      <c r="A6" t="str">
        <f t="shared" si="0"/>
        <v>TC_005_1_CSMS Core</v>
      </c>
      <c r="B6" t="s">
        <v>115</v>
      </c>
      <c r="C6" t="s">
        <v>12</v>
      </c>
      <c r="D6" t="s">
        <v>240</v>
      </c>
      <c r="E6" t="s">
        <v>40</v>
      </c>
    </row>
    <row r="7" spans="1:7" x14ac:dyDescent="0.25">
      <c r="A7" t="str">
        <f t="shared" si="0"/>
        <v>TC_007_CSMS Core</v>
      </c>
      <c r="B7" t="s">
        <v>116</v>
      </c>
      <c r="C7" t="s">
        <v>12</v>
      </c>
      <c r="D7" t="s">
        <v>174</v>
      </c>
      <c r="E7" t="s">
        <v>40</v>
      </c>
    </row>
    <row r="8" spans="1:7" x14ac:dyDescent="0.25">
      <c r="A8" t="str">
        <f t="shared" si="0"/>
        <v>TC_061_CSMS Core</v>
      </c>
      <c r="B8" t="s">
        <v>117</v>
      </c>
      <c r="C8" t="s">
        <v>12</v>
      </c>
      <c r="D8" t="s">
        <v>175</v>
      </c>
      <c r="E8" t="s">
        <v>40</v>
      </c>
    </row>
    <row r="9" spans="1:7" x14ac:dyDescent="0.25">
      <c r="A9" t="str">
        <f t="shared" si="0"/>
        <v>TC_010_CSMS Core</v>
      </c>
      <c r="B9" t="s">
        <v>118</v>
      </c>
      <c r="C9" t="s">
        <v>12</v>
      </c>
      <c r="D9" t="s">
        <v>176</v>
      </c>
      <c r="E9" t="s">
        <v>40</v>
      </c>
    </row>
    <row r="10" spans="1:7" x14ac:dyDescent="0.25">
      <c r="A10" t="str">
        <f t="shared" si="0"/>
        <v>TC_011_1_CSMS Core</v>
      </c>
      <c r="B10" t="s">
        <v>119</v>
      </c>
      <c r="C10" t="s">
        <v>12</v>
      </c>
      <c r="D10" t="s">
        <v>177</v>
      </c>
      <c r="E10" t="s">
        <v>40</v>
      </c>
    </row>
    <row r="11" spans="1:7" x14ac:dyDescent="0.25">
      <c r="A11" t="str">
        <f t="shared" si="0"/>
        <v>TC_011_2_CSMS Core</v>
      </c>
      <c r="B11" t="s">
        <v>120</v>
      </c>
      <c r="C11" t="s">
        <v>12</v>
      </c>
      <c r="D11" t="s">
        <v>255</v>
      </c>
      <c r="E11" t="s">
        <v>40</v>
      </c>
    </row>
    <row r="12" spans="1:7" x14ac:dyDescent="0.25">
      <c r="A12" t="str">
        <f t="shared" si="0"/>
        <v>TC_012_CSMS Core</v>
      </c>
      <c r="B12" t="s">
        <v>121</v>
      </c>
      <c r="C12" t="s">
        <v>12</v>
      </c>
      <c r="D12" t="s">
        <v>178</v>
      </c>
      <c r="E12" t="s">
        <v>40</v>
      </c>
    </row>
    <row r="13" spans="1:7" x14ac:dyDescent="0.25">
      <c r="A13" t="str">
        <f t="shared" si="0"/>
        <v>TC_013_CSMS Core</v>
      </c>
      <c r="B13" t="s">
        <v>122</v>
      </c>
      <c r="C13" t="s">
        <v>12</v>
      </c>
      <c r="D13" t="s">
        <v>179</v>
      </c>
      <c r="E13" t="s">
        <v>40</v>
      </c>
    </row>
    <row r="14" spans="1:7" x14ac:dyDescent="0.25">
      <c r="A14" t="str">
        <f t="shared" si="0"/>
        <v>TC_014_CSMS Core</v>
      </c>
      <c r="B14" t="s">
        <v>123</v>
      </c>
      <c r="C14" t="s">
        <v>12</v>
      </c>
      <c r="D14" t="s">
        <v>180</v>
      </c>
      <c r="E14" t="s">
        <v>40</v>
      </c>
    </row>
    <row r="15" spans="1:7" x14ac:dyDescent="0.25">
      <c r="A15" t="str">
        <f t="shared" si="0"/>
        <v>TC_017_1_CSMS Core</v>
      </c>
      <c r="B15" t="s">
        <v>124</v>
      </c>
      <c r="C15" t="s">
        <v>12</v>
      </c>
      <c r="D15" t="s">
        <v>181</v>
      </c>
      <c r="E15" t="s">
        <v>40</v>
      </c>
    </row>
    <row r="16" spans="1:7" x14ac:dyDescent="0.25">
      <c r="A16" t="str">
        <f t="shared" si="0"/>
        <v>TC_017_2_CSMS Core</v>
      </c>
      <c r="B16" t="s">
        <v>125</v>
      </c>
      <c r="C16" t="s">
        <v>12</v>
      </c>
      <c r="D16" t="s">
        <v>182</v>
      </c>
      <c r="E16" t="s">
        <v>40</v>
      </c>
    </row>
    <row r="17" spans="1:5" x14ac:dyDescent="0.25">
      <c r="A17" t="str">
        <f t="shared" si="0"/>
        <v>TC_019_1_CSMS Core</v>
      </c>
      <c r="B17" t="s">
        <v>126</v>
      </c>
      <c r="C17" t="s">
        <v>12</v>
      </c>
      <c r="D17" t="s">
        <v>183</v>
      </c>
      <c r="E17" t="s">
        <v>40</v>
      </c>
    </row>
    <row r="18" spans="1:5" x14ac:dyDescent="0.25">
      <c r="A18" t="str">
        <f t="shared" si="0"/>
        <v>TC_019_2_CSMS Core</v>
      </c>
      <c r="B18" t="s">
        <v>127</v>
      </c>
      <c r="C18" t="s">
        <v>12</v>
      </c>
      <c r="D18" t="s">
        <v>184</v>
      </c>
      <c r="E18" t="s">
        <v>40</v>
      </c>
    </row>
    <row r="19" spans="1:5" x14ac:dyDescent="0.25">
      <c r="A19" t="str">
        <f t="shared" si="0"/>
        <v>TC_021_CSMS Core</v>
      </c>
      <c r="B19" t="s">
        <v>128</v>
      </c>
      <c r="C19" t="s">
        <v>12</v>
      </c>
      <c r="D19" t="s">
        <v>185</v>
      </c>
      <c r="E19" t="s">
        <v>40</v>
      </c>
    </row>
    <row r="20" spans="1:5" x14ac:dyDescent="0.25">
      <c r="A20" t="str">
        <f t="shared" si="0"/>
        <v>TC_023_1_CSMS Core</v>
      </c>
      <c r="B20" t="s">
        <v>129</v>
      </c>
      <c r="C20" t="s">
        <v>12</v>
      </c>
      <c r="D20" t="s">
        <v>186</v>
      </c>
      <c r="E20" t="s">
        <v>40</v>
      </c>
    </row>
    <row r="21" spans="1:5" x14ac:dyDescent="0.25">
      <c r="A21" t="str">
        <f t="shared" si="0"/>
        <v>TC_023_2_CSMS Core</v>
      </c>
      <c r="B21" t="s">
        <v>130</v>
      </c>
      <c r="C21" t="s">
        <v>12</v>
      </c>
      <c r="D21" t="s">
        <v>187</v>
      </c>
      <c r="E21" t="s">
        <v>40</v>
      </c>
    </row>
    <row r="22" spans="1:5" x14ac:dyDescent="0.25">
      <c r="A22" t="str">
        <f t="shared" si="0"/>
        <v>TC_023_3_CSMS Core</v>
      </c>
      <c r="B22" t="s">
        <v>131</v>
      </c>
      <c r="C22" t="s">
        <v>12</v>
      </c>
      <c r="D22" t="s">
        <v>188</v>
      </c>
      <c r="E22" t="s">
        <v>40</v>
      </c>
    </row>
    <row r="23" spans="1:5" x14ac:dyDescent="0.25">
      <c r="A23" t="str">
        <f t="shared" si="0"/>
        <v>TC_024_CSMS Core</v>
      </c>
      <c r="B23" t="s">
        <v>132</v>
      </c>
      <c r="C23" t="s">
        <v>12</v>
      </c>
      <c r="D23" t="s">
        <v>189</v>
      </c>
      <c r="E23" t="s">
        <v>40</v>
      </c>
    </row>
    <row r="24" spans="1:5" x14ac:dyDescent="0.25">
      <c r="A24" t="str">
        <f t="shared" si="0"/>
        <v>TC_026_CSMS Core</v>
      </c>
      <c r="B24" t="s">
        <v>133</v>
      </c>
      <c r="C24" t="s">
        <v>12</v>
      </c>
      <c r="D24" t="s">
        <v>190</v>
      </c>
      <c r="E24" t="s">
        <v>40</v>
      </c>
    </row>
    <row r="25" spans="1:5" x14ac:dyDescent="0.25">
      <c r="A25" t="str">
        <f t="shared" si="0"/>
        <v>TC_028_CSMS Core</v>
      </c>
      <c r="B25" t="s">
        <v>134</v>
      </c>
      <c r="C25" t="s">
        <v>12</v>
      </c>
      <c r="D25" t="s">
        <v>191</v>
      </c>
      <c r="E25" t="s">
        <v>192</v>
      </c>
    </row>
    <row r="26" spans="1:5" x14ac:dyDescent="0.25">
      <c r="A26" t="str">
        <f t="shared" si="0"/>
        <v>TC_030_CSMS Core</v>
      </c>
      <c r="B26" t="s">
        <v>135</v>
      </c>
      <c r="C26" t="s">
        <v>12</v>
      </c>
      <c r="D26" t="s">
        <v>193</v>
      </c>
      <c r="E26" t="s">
        <v>40</v>
      </c>
    </row>
    <row r="27" spans="1:5" x14ac:dyDescent="0.25">
      <c r="A27" t="str">
        <f t="shared" si="0"/>
        <v>TC_031_CSMS Core</v>
      </c>
      <c r="B27" t="s">
        <v>136</v>
      </c>
      <c r="C27" t="s">
        <v>12</v>
      </c>
      <c r="D27" t="s">
        <v>194</v>
      </c>
      <c r="E27" t="s">
        <v>192</v>
      </c>
    </row>
    <row r="28" spans="1:5" x14ac:dyDescent="0.25">
      <c r="A28" t="str">
        <f t="shared" si="0"/>
        <v>TC_032_1_CSMS Core</v>
      </c>
      <c r="B28" t="s">
        <v>137</v>
      </c>
      <c r="C28" t="s">
        <v>12</v>
      </c>
      <c r="D28" t="s">
        <v>195</v>
      </c>
      <c r="E28" t="s">
        <v>40</v>
      </c>
    </row>
    <row r="29" spans="1:5" x14ac:dyDescent="0.25">
      <c r="A29" t="str">
        <f t="shared" si="0"/>
        <v>TC_037_1_CSMS Core</v>
      </c>
      <c r="B29" t="s">
        <v>138</v>
      </c>
      <c r="C29" t="s">
        <v>12</v>
      </c>
      <c r="D29" t="s">
        <v>238</v>
      </c>
      <c r="E29" t="s">
        <v>40</v>
      </c>
    </row>
    <row r="30" spans="1:5" x14ac:dyDescent="0.25">
      <c r="A30" t="str">
        <f t="shared" si="0"/>
        <v>TC_037_3_CSMS Core</v>
      </c>
      <c r="B30" t="s">
        <v>139</v>
      </c>
      <c r="C30" t="s">
        <v>12</v>
      </c>
      <c r="D30" t="s">
        <v>239</v>
      </c>
      <c r="E30" t="s">
        <v>40</v>
      </c>
    </row>
    <row r="31" spans="1:5" x14ac:dyDescent="0.25">
      <c r="A31" t="str">
        <f t="shared" si="0"/>
        <v>TC_039_CSMS Core</v>
      </c>
      <c r="B31" t="s">
        <v>140</v>
      </c>
      <c r="C31" t="s">
        <v>12</v>
      </c>
      <c r="D31" t="s">
        <v>196</v>
      </c>
      <c r="E31" t="s">
        <v>40</v>
      </c>
    </row>
    <row r="32" spans="1:5" x14ac:dyDescent="0.25">
      <c r="A32" t="str">
        <f t="shared" si="0"/>
        <v>TC_040_1_CSMS Core</v>
      </c>
      <c r="B32" t="s">
        <v>141</v>
      </c>
      <c r="C32" t="s">
        <v>12</v>
      </c>
      <c r="D32" t="s">
        <v>197</v>
      </c>
      <c r="E32" t="s">
        <v>192</v>
      </c>
    </row>
    <row r="33" spans="1:5" x14ac:dyDescent="0.25">
      <c r="A33" t="str">
        <f t="shared" si="0"/>
        <v>TC_040_2_CSMS Core</v>
      </c>
      <c r="B33" t="s">
        <v>142</v>
      </c>
      <c r="C33" t="s">
        <v>12</v>
      </c>
      <c r="D33" t="s">
        <v>198</v>
      </c>
      <c r="E33" t="s">
        <v>192</v>
      </c>
    </row>
    <row r="34" spans="1:5" x14ac:dyDescent="0.25">
      <c r="A34" t="str">
        <f t="shared" si="0"/>
        <v>TC_042_2_CSMS Core</v>
      </c>
      <c r="B34" t="s">
        <v>143</v>
      </c>
      <c r="C34" t="s">
        <v>12</v>
      </c>
      <c r="D34" t="s">
        <v>200</v>
      </c>
      <c r="E34" t="s">
        <v>40</v>
      </c>
    </row>
    <row r="35" spans="1:5" x14ac:dyDescent="0.25">
      <c r="A35" t="str">
        <f t="shared" si="0"/>
        <v>TC_043_3_CSMS Core</v>
      </c>
      <c r="B35" t="s">
        <v>144</v>
      </c>
      <c r="C35" t="s">
        <v>12</v>
      </c>
      <c r="D35" t="s">
        <v>201</v>
      </c>
      <c r="E35" t="s">
        <v>40</v>
      </c>
    </row>
    <row r="36" spans="1:5" x14ac:dyDescent="0.25">
      <c r="A36" t="str">
        <f t="shared" si="0"/>
        <v>TC_043_4_CSMS Core</v>
      </c>
      <c r="B36" t="s">
        <v>145</v>
      </c>
      <c r="C36" t="s">
        <v>12</v>
      </c>
      <c r="D36" t="s">
        <v>42</v>
      </c>
      <c r="E36" t="s">
        <v>40</v>
      </c>
    </row>
    <row r="37" spans="1:5" x14ac:dyDescent="0.25">
      <c r="A37" t="str">
        <f t="shared" si="0"/>
        <v>TC_043_5_CSMS Core</v>
      </c>
      <c r="B37" t="s">
        <v>146</v>
      </c>
      <c r="C37" t="s">
        <v>12</v>
      </c>
      <c r="D37" t="s">
        <v>202</v>
      </c>
      <c r="E37" t="s">
        <v>40</v>
      </c>
    </row>
    <row r="38" spans="1:5" x14ac:dyDescent="0.25">
      <c r="A38" t="str">
        <f t="shared" si="0"/>
        <v>TC_045_1_CSMS Core</v>
      </c>
      <c r="B38" t="s">
        <v>147</v>
      </c>
      <c r="C38" t="s">
        <v>12</v>
      </c>
      <c r="D38" t="s">
        <v>203</v>
      </c>
      <c r="E38" t="s">
        <v>40</v>
      </c>
    </row>
    <row r="39" spans="1:5" x14ac:dyDescent="0.25">
      <c r="A39" t="str">
        <f t="shared" si="0"/>
        <v>TC_045_2_CSMS Core</v>
      </c>
      <c r="B39" t="s">
        <v>148</v>
      </c>
      <c r="C39" t="s">
        <v>12</v>
      </c>
      <c r="D39" t="s">
        <v>204</v>
      </c>
      <c r="E39" t="s">
        <v>192</v>
      </c>
    </row>
    <row r="40" spans="1:5" x14ac:dyDescent="0.25">
      <c r="A40" t="str">
        <f t="shared" si="0"/>
        <v>TC_046_CSMS Core</v>
      </c>
      <c r="B40" t="s">
        <v>149</v>
      </c>
      <c r="C40" t="s">
        <v>12</v>
      </c>
      <c r="D40" t="s">
        <v>256</v>
      </c>
      <c r="E40" t="s">
        <v>40</v>
      </c>
    </row>
    <row r="41" spans="1:5" x14ac:dyDescent="0.25">
      <c r="A41" t="str">
        <f t="shared" si="0"/>
        <v>TC_047_CSMS Core</v>
      </c>
      <c r="B41" t="s">
        <v>150</v>
      </c>
      <c r="C41" t="s">
        <v>12</v>
      </c>
      <c r="D41" t="s">
        <v>205</v>
      </c>
      <c r="E41" t="s">
        <v>40</v>
      </c>
    </row>
    <row r="42" spans="1:5" x14ac:dyDescent="0.25">
      <c r="A42" t="str">
        <f t="shared" si="0"/>
        <v>TC_048_2_CSMS Core</v>
      </c>
      <c r="B42" t="s">
        <v>151</v>
      </c>
      <c r="C42" t="s">
        <v>12</v>
      </c>
      <c r="D42" t="s">
        <v>206</v>
      </c>
      <c r="E42" t="s">
        <v>192</v>
      </c>
    </row>
    <row r="43" spans="1:5" x14ac:dyDescent="0.25">
      <c r="A43" t="str">
        <f t="shared" si="0"/>
        <v>TC_048_3_CSMS Core</v>
      </c>
      <c r="B43" t="s">
        <v>152</v>
      </c>
      <c r="C43" t="s">
        <v>12</v>
      </c>
      <c r="D43" t="s">
        <v>207</v>
      </c>
      <c r="E43" t="s">
        <v>192</v>
      </c>
    </row>
    <row r="44" spans="1:5" x14ac:dyDescent="0.25">
      <c r="A44" t="str">
        <f t="shared" si="0"/>
        <v>TC_048_4_CSMS Core</v>
      </c>
      <c r="B44" t="s">
        <v>153</v>
      </c>
      <c r="C44" t="s">
        <v>12</v>
      </c>
      <c r="D44" t="s">
        <v>257</v>
      </c>
      <c r="E44" t="s">
        <v>40</v>
      </c>
    </row>
    <row r="45" spans="1:5" x14ac:dyDescent="0.25">
      <c r="A45" t="str">
        <f t="shared" si="0"/>
        <v>TC_049_CSMS Core</v>
      </c>
      <c r="B45" t="s">
        <v>154</v>
      </c>
      <c r="C45" t="s">
        <v>12</v>
      </c>
      <c r="D45" t="s">
        <v>208</v>
      </c>
      <c r="E45" t="s">
        <v>40</v>
      </c>
    </row>
    <row r="46" spans="1:5" x14ac:dyDescent="0.25">
      <c r="A46" t="str">
        <f t="shared" si="0"/>
        <v>TC_051_CSMS Core</v>
      </c>
      <c r="B46" t="s">
        <v>155</v>
      </c>
      <c r="C46" t="s">
        <v>12</v>
      </c>
      <c r="D46" t="s">
        <v>209</v>
      </c>
      <c r="E46" t="s">
        <v>40</v>
      </c>
    </row>
    <row r="47" spans="1:5" x14ac:dyDescent="0.25">
      <c r="A47" t="str">
        <f t="shared" si="0"/>
        <v>TC_052_CSMS Core</v>
      </c>
      <c r="B47" t="s">
        <v>228</v>
      </c>
      <c r="C47" t="s">
        <v>12</v>
      </c>
      <c r="D47" t="s">
        <v>230</v>
      </c>
      <c r="E47" t="s">
        <v>192</v>
      </c>
    </row>
    <row r="48" spans="1:5" x14ac:dyDescent="0.25">
      <c r="A48" t="str">
        <f t="shared" si="0"/>
        <v>TC_053_CSMS Core</v>
      </c>
      <c r="B48" t="s">
        <v>229</v>
      </c>
      <c r="C48" t="s">
        <v>12</v>
      </c>
      <c r="D48" t="s">
        <v>231</v>
      </c>
      <c r="E48" t="s">
        <v>192</v>
      </c>
    </row>
    <row r="49" spans="1:5" x14ac:dyDescent="0.25">
      <c r="A49" t="str">
        <f t="shared" si="0"/>
        <v>TC_054_CSMS Core</v>
      </c>
      <c r="B49" t="s">
        <v>156</v>
      </c>
      <c r="C49" t="s">
        <v>12</v>
      </c>
      <c r="D49" t="s">
        <v>210</v>
      </c>
      <c r="E49" t="s">
        <v>40</v>
      </c>
    </row>
    <row r="50" spans="1:5" x14ac:dyDescent="0.25">
      <c r="A50" t="str">
        <f t="shared" si="0"/>
        <v>TC_055_CSMS Core</v>
      </c>
      <c r="B50" t="s">
        <v>157</v>
      </c>
      <c r="C50" t="s">
        <v>12</v>
      </c>
      <c r="D50" t="s">
        <v>211</v>
      </c>
      <c r="E50" t="s">
        <v>192</v>
      </c>
    </row>
    <row r="51" spans="1:5" x14ac:dyDescent="0.25">
      <c r="A51" t="str">
        <f t="shared" si="0"/>
        <v>TC_056_CSMS Smart Charging</v>
      </c>
      <c r="B51" t="s">
        <v>158</v>
      </c>
      <c r="C51" t="s">
        <v>16</v>
      </c>
      <c r="D51" t="s">
        <v>212</v>
      </c>
      <c r="E51" t="s">
        <v>40</v>
      </c>
    </row>
    <row r="52" spans="1:5" x14ac:dyDescent="0.25">
      <c r="A52" t="str">
        <f t="shared" si="0"/>
        <v>TC_057_CSMS Smart Charging</v>
      </c>
      <c r="B52" t="s">
        <v>159</v>
      </c>
      <c r="C52" t="s">
        <v>16</v>
      </c>
      <c r="D52" t="s">
        <v>213</v>
      </c>
      <c r="E52" t="s">
        <v>40</v>
      </c>
    </row>
    <row r="53" spans="1:5" x14ac:dyDescent="0.25">
      <c r="A53" t="str">
        <f t="shared" si="0"/>
        <v>TC_066_CSMS Smart Charging</v>
      </c>
      <c r="B53" t="s">
        <v>160</v>
      </c>
      <c r="C53" t="s">
        <v>16</v>
      </c>
      <c r="D53" t="s">
        <v>214</v>
      </c>
      <c r="E53" t="s">
        <v>40</v>
      </c>
    </row>
    <row r="54" spans="1:5" x14ac:dyDescent="0.25">
      <c r="A54" t="str">
        <f t="shared" si="0"/>
        <v>TC_067_CSMS Smart Charging</v>
      </c>
      <c r="B54" t="s">
        <v>161</v>
      </c>
      <c r="C54" t="s">
        <v>16</v>
      </c>
      <c r="D54" t="s">
        <v>215</v>
      </c>
      <c r="E54" t="s">
        <v>40</v>
      </c>
    </row>
    <row r="55" spans="1:5" x14ac:dyDescent="0.25">
      <c r="A55" t="str">
        <f t="shared" si="0"/>
        <v>TC_059_CSMS Smart Charging</v>
      </c>
      <c r="B55" t="s">
        <v>162</v>
      </c>
      <c r="C55" t="s">
        <v>16</v>
      </c>
      <c r="D55" t="s">
        <v>216</v>
      </c>
      <c r="E55" t="s">
        <v>40</v>
      </c>
    </row>
    <row r="56" spans="1:5" x14ac:dyDescent="0.25">
      <c r="A56" t="str">
        <f t="shared" si="0"/>
        <v>TC_064_CSMS Core</v>
      </c>
      <c r="B56" t="s">
        <v>163</v>
      </c>
      <c r="C56" t="s">
        <v>12</v>
      </c>
      <c r="D56" t="s">
        <v>199</v>
      </c>
      <c r="E56" t="s">
        <v>40</v>
      </c>
    </row>
    <row r="57" spans="1:5" x14ac:dyDescent="0.25">
      <c r="A57" t="str">
        <f t="shared" si="0"/>
        <v>TC_073_CSMS Core</v>
      </c>
      <c r="B57" t="s">
        <v>227</v>
      </c>
      <c r="C57" t="s">
        <v>12</v>
      </c>
      <c r="D57" t="s">
        <v>217</v>
      </c>
      <c r="E57" t="s">
        <v>40</v>
      </c>
    </row>
    <row r="58" spans="1:5" x14ac:dyDescent="0.25">
      <c r="A58" t="str">
        <f t="shared" si="0"/>
        <v>TC_075_1_CSMS Core</v>
      </c>
      <c r="B58" t="s">
        <v>235</v>
      </c>
      <c r="C58" t="s">
        <v>12</v>
      </c>
      <c r="D58" t="s">
        <v>258</v>
      </c>
      <c r="E58" t="s">
        <v>40</v>
      </c>
    </row>
    <row r="59" spans="1:5" x14ac:dyDescent="0.25">
      <c r="A59" t="str">
        <f t="shared" si="0"/>
        <v>TC_075_2_CSMS Core</v>
      </c>
      <c r="B59" t="s">
        <v>236</v>
      </c>
      <c r="C59" t="s">
        <v>12</v>
      </c>
      <c r="D59" t="s">
        <v>237</v>
      </c>
      <c r="E59" t="s">
        <v>40</v>
      </c>
    </row>
    <row r="60" spans="1:5" x14ac:dyDescent="0.25">
      <c r="A60" t="str">
        <f t="shared" si="0"/>
        <v>TC_076_CSMS Core</v>
      </c>
      <c r="B60" t="s">
        <v>165</v>
      </c>
      <c r="C60" t="s">
        <v>12</v>
      </c>
      <c r="D60" t="s">
        <v>218</v>
      </c>
      <c r="E60" t="s">
        <v>40</v>
      </c>
    </row>
    <row r="61" spans="1:5" x14ac:dyDescent="0.25">
      <c r="A61" t="str">
        <f t="shared" si="0"/>
        <v>TC_078_CSMS Core</v>
      </c>
      <c r="B61" t="s">
        <v>167</v>
      </c>
      <c r="C61" t="s">
        <v>12</v>
      </c>
      <c r="D61" t="s">
        <v>220</v>
      </c>
      <c r="E61" t="s">
        <v>40</v>
      </c>
    </row>
    <row r="62" spans="1:5" x14ac:dyDescent="0.25">
      <c r="A62" t="str">
        <f t="shared" si="0"/>
        <v>TC_079_CSMS Core</v>
      </c>
      <c r="B62" t="s">
        <v>168</v>
      </c>
      <c r="C62" t="s">
        <v>12</v>
      </c>
      <c r="D62" t="s">
        <v>221</v>
      </c>
      <c r="E62" t="s">
        <v>40</v>
      </c>
    </row>
    <row r="63" spans="1:5" x14ac:dyDescent="0.25">
      <c r="A63" t="str">
        <f t="shared" si="0"/>
        <v>TC_080_CSMS Core</v>
      </c>
      <c r="B63" t="s">
        <v>169</v>
      </c>
      <c r="C63" t="s">
        <v>12</v>
      </c>
      <c r="D63" t="s">
        <v>222</v>
      </c>
      <c r="E63" t="s">
        <v>40</v>
      </c>
    </row>
    <row r="64" spans="1:5" x14ac:dyDescent="0.25">
      <c r="A64" t="str">
        <f t="shared" si="0"/>
        <v>TC_081_CSMS Core</v>
      </c>
      <c r="B64" t="s">
        <v>170</v>
      </c>
      <c r="C64" t="s">
        <v>12</v>
      </c>
      <c r="D64" t="s">
        <v>223</v>
      </c>
      <c r="E64" t="s">
        <v>40</v>
      </c>
    </row>
    <row r="65" spans="1:6" x14ac:dyDescent="0.25">
      <c r="A65" t="str">
        <f t="shared" si="0"/>
        <v>TC_083_CSMS Core</v>
      </c>
      <c r="B65" t="s">
        <v>284</v>
      </c>
      <c r="C65" t="s">
        <v>12</v>
      </c>
      <c r="D65" t="s">
        <v>285</v>
      </c>
      <c r="E65" t="s">
        <v>41</v>
      </c>
      <c r="F65" t="s">
        <v>307</v>
      </c>
    </row>
    <row r="66" spans="1:6" x14ac:dyDescent="0.25">
      <c r="A66" t="str">
        <f t="shared" si="0"/>
        <v>TC_085_CSMS Core</v>
      </c>
      <c r="B66" t="s">
        <v>247</v>
      </c>
      <c r="C66" t="s">
        <v>12</v>
      </c>
      <c r="D66" t="s">
        <v>250</v>
      </c>
      <c r="E66" t="s">
        <v>40</v>
      </c>
    </row>
    <row r="67" spans="1:6" x14ac:dyDescent="0.25">
      <c r="A67" t="str">
        <f t="shared" ref="A67:A71" si="1">B67&amp;" "&amp;C67</f>
        <v>TC_086_CSMS Core</v>
      </c>
      <c r="B67" t="s">
        <v>248</v>
      </c>
      <c r="C67" t="s">
        <v>12</v>
      </c>
      <c r="D67" t="s">
        <v>251</v>
      </c>
      <c r="E67" t="s">
        <v>40</v>
      </c>
    </row>
    <row r="68" spans="1:6" x14ac:dyDescent="0.25">
      <c r="A68" t="str">
        <f t="shared" si="1"/>
        <v>TC_088_CSMS Core</v>
      </c>
      <c r="B68" t="s">
        <v>308</v>
      </c>
      <c r="C68" t="s">
        <v>12</v>
      </c>
      <c r="D68" t="s">
        <v>309</v>
      </c>
      <c r="E68" t="s">
        <v>40</v>
      </c>
    </row>
    <row r="69" spans="1:6" x14ac:dyDescent="0.25">
      <c r="A69" t="str">
        <f>B69&amp;" "&amp;C69</f>
        <v>TC_074_CSMS Advanced Security</v>
      </c>
      <c r="B69" t="s">
        <v>164</v>
      </c>
      <c r="C69" t="s">
        <v>300</v>
      </c>
      <c r="D69" t="s">
        <v>234</v>
      </c>
      <c r="E69" t="s">
        <v>40</v>
      </c>
    </row>
    <row r="70" spans="1:6" x14ac:dyDescent="0.25">
      <c r="A70" t="str">
        <f>B70&amp;" "&amp;C70</f>
        <v>TC_077_CSMS Advanced Security</v>
      </c>
      <c r="B70" t="s">
        <v>166</v>
      </c>
      <c r="C70" t="s">
        <v>300</v>
      </c>
      <c r="D70" t="s">
        <v>219</v>
      </c>
      <c r="E70" t="s">
        <v>40</v>
      </c>
    </row>
    <row r="71" spans="1:6" x14ac:dyDescent="0.25">
      <c r="A71" t="str">
        <f t="shared" si="1"/>
        <v>TC_087_CSMS Advanced Security</v>
      </c>
      <c r="B71" t="s">
        <v>249</v>
      </c>
      <c r="C71" t="s">
        <v>300</v>
      </c>
      <c r="D71" t="s">
        <v>252</v>
      </c>
      <c r="E71" t="s">
        <v>40</v>
      </c>
    </row>
  </sheetData>
  <autoFilter ref="A1:G71" xr:uid="{55EB0C1A-347A-4CF2-8EA4-BCDC897ADA20}"/>
  <sortState xmlns:xlrd2="http://schemas.microsoft.com/office/spreadsheetml/2017/richdata2" ref="A2:G255">
    <sortCondition ref="A1"/>
  </sortState>
  <pageMargins left="0.7" right="0.7" top="0.75" bottom="0.75" header="0.3" footer="0.3"/>
  <headerFoot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12"/>
  <sheetViews>
    <sheetView workbookViewId="0">
      <selection activeCell="B6" sqref="B6"/>
    </sheetView>
  </sheetViews>
  <sheetFormatPr defaultColWidth="8.625" defaultRowHeight="15.75" x14ac:dyDescent="0.25"/>
  <cols>
    <col min="1" max="1" width="51.625" bestFit="1" customWidth="1"/>
    <col min="2" max="2" width="22.625" style="17" bestFit="1" customWidth="1"/>
    <col min="3" max="3" width="22.125" bestFit="1" customWidth="1"/>
  </cols>
  <sheetData>
    <row r="1" spans="1:4" x14ac:dyDescent="0.25">
      <c r="A1" s="1" t="s">
        <v>43</v>
      </c>
      <c r="B1" s="16" t="s">
        <v>44</v>
      </c>
      <c r="C1" s="1" t="s">
        <v>45</v>
      </c>
      <c r="D1" s="1" t="s">
        <v>46</v>
      </c>
    </row>
    <row r="2" spans="1:4" x14ac:dyDescent="0.25">
      <c r="A2" t="s">
        <v>304</v>
      </c>
      <c r="B2" s="17" t="b">
        <f>VLOOKUP("Advanced security",'Profile selection'!B:D,2,FALSE)="Yes"</f>
        <v>1</v>
      </c>
      <c r="C2" t="b">
        <v>0</v>
      </c>
      <c r="D2" t="b">
        <f>NOT(ISERROR(VLOOKUP(A2,'CSMS Testcases'!E:E,1,FALSE)=A2))</f>
        <v>0</v>
      </c>
    </row>
    <row r="3" spans="1:4" x14ac:dyDescent="0.25">
      <c r="A3" t="s">
        <v>253</v>
      </c>
      <c r="B3" s="17" t="b">
        <f>VLOOKUP("C-11",'Optional features'!B4:D5,2,FALSE)="Yes"</f>
        <v>0</v>
      </c>
      <c r="C3" t="b">
        <v>0</v>
      </c>
      <c r="D3" t="b">
        <f>NOT(ISERROR(VLOOKUP(A3,'CSMS Testcases'!E:E,1,FALSE)=A3))</f>
        <v>0</v>
      </c>
    </row>
    <row r="4" spans="1:4" x14ac:dyDescent="0.25">
      <c r="A4" t="s">
        <v>275</v>
      </c>
      <c r="B4" s="18" cm="1">
        <f t="array" ref="B4">CalculateConfigID(C4)</f>
        <v>1928094258</v>
      </c>
      <c r="C4" t="str">
        <f>_xlfn.CONCAT(B8:B12)</f>
        <v>YesYesYesNoNo</v>
      </c>
    </row>
    <row r="5" spans="1:4" x14ac:dyDescent="0.25">
      <c r="A5" t="s">
        <v>276</v>
      </c>
      <c r="B5" s="18" t="str">
        <f>DEC2HEX(B4)</f>
        <v>72EC6232</v>
      </c>
    </row>
    <row r="6" spans="1:4" x14ac:dyDescent="0.25">
      <c r="A6" t="s">
        <v>307</v>
      </c>
      <c r="B6" s="17" t="b">
        <f>OR(VLOOKUP("Advanced security",'Profile selection'!B:D,2,FALSE)="Yes",VLOOKUP("C-11",'Optional features'!B4:D5,2,FALSE)="Yes")</f>
        <v>1</v>
      </c>
      <c r="C6" t="b">
        <v>0</v>
      </c>
      <c r="D6" t="b">
        <f>NOT(ISERROR(VLOOKUP(A6,'CSMS Testcases'!E:E,1,FALSE)=A6))</f>
        <v>1</v>
      </c>
    </row>
    <row r="8" spans="1:4" x14ac:dyDescent="0.25">
      <c r="A8" t="s">
        <v>12</v>
      </c>
      <c r="B8" s="17" t="str">
        <f>VLOOKUP('HIDDEN calc sheet'!A8,'Profile selection'!B:C,2,FALSE)</f>
        <v>Yes</v>
      </c>
    </row>
    <row r="9" spans="1:4" x14ac:dyDescent="0.25">
      <c r="A9" t="s">
        <v>300</v>
      </c>
      <c r="B9" s="17" t="str">
        <f>VLOOKUP('HIDDEN calc sheet'!A9,'Profile selection'!B:C,2,FALSE)</f>
        <v>Yes</v>
      </c>
    </row>
    <row r="10" spans="1:4" x14ac:dyDescent="0.25">
      <c r="A10" t="s">
        <v>16</v>
      </c>
      <c r="B10" s="17" t="str">
        <f>VLOOKUP('HIDDEN calc sheet'!A10,'Profile selection'!B:C,2,FALSE)</f>
        <v>Yes</v>
      </c>
    </row>
    <row r="11" spans="1:4" x14ac:dyDescent="0.25">
      <c r="A11" t="s">
        <v>303</v>
      </c>
      <c r="B11" s="17" t="str">
        <f>VLOOKUP('HIDDEN calc sheet'!A11,'Optional features'!B:D,3,FALSE)</f>
        <v>No</v>
      </c>
    </row>
    <row r="12" spans="1:4" x14ac:dyDescent="0.25">
      <c r="A12" t="s">
        <v>271</v>
      </c>
      <c r="B12" s="17" t="str">
        <f>VLOOKUP(A12,'Additional questions'!B:D,3,FALSE)</f>
        <v>No</v>
      </c>
    </row>
  </sheetData>
  <pageMargins left="0.7" right="0.7" top="0.75" bottom="0.75" header="0.3" footer="0.3"/>
  <headerFoot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48A55-A45E-470D-9960-D7AB25D57330}">
  <dimension ref="A1:D2"/>
  <sheetViews>
    <sheetView workbookViewId="0">
      <selection activeCell="B4" sqref="B4"/>
    </sheetView>
  </sheetViews>
  <sheetFormatPr defaultColWidth="8.625" defaultRowHeight="15.75" x14ac:dyDescent="0.25"/>
  <cols>
    <col min="2" max="2" width="23.625" customWidth="1"/>
    <col min="3" max="3" width="80.125" customWidth="1"/>
  </cols>
  <sheetData>
    <row r="1" spans="1:4" x14ac:dyDescent="0.25">
      <c r="A1" t="s">
        <v>262</v>
      </c>
      <c r="B1" t="s">
        <v>9</v>
      </c>
      <c r="C1" t="s">
        <v>263</v>
      </c>
      <c r="D1" t="s">
        <v>22</v>
      </c>
    </row>
    <row r="2" spans="1:4" x14ac:dyDescent="0.25">
      <c r="A2" t="s">
        <v>303</v>
      </c>
      <c r="B2" t="s">
        <v>12</v>
      </c>
      <c r="C2" t="s">
        <v>244</v>
      </c>
      <c r="D2" t="s">
        <v>243</v>
      </c>
    </row>
  </sheetData>
  <phoneticPr fontId="28"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4"/>
  <sheetViews>
    <sheetView workbookViewId="0">
      <selection activeCell="A5" sqref="A5"/>
    </sheetView>
  </sheetViews>
  <sheetFormatPr defaultColWidth="8.625" defaultRowHeight="15.75" x14ac:dyDescent="0.25"/>
  <cols>
    <col min="1" max="1" width="39.625" bestFit="1" customWidth="1"/>
  </cols>
  <sheetData>
    <row r="1" spans="1:1" x14ac:dyDescent="0.25">
      <c r="A1" t="s">
        <v>28</v>
      </c>
    </row>
    <row r="2" spans="1:1" x14ac:dyDescent="0.25">
      <c r="A2" t="s">
        <v>30</v>
      </c>
    </row>
    <row r="3" spans="1:1" x14ac:dyDescent="0.25">
      <c r="A3" t="s">
        <v>29</v>
      </c>
    </row>
    <row r="4" spans="1:1" x14ac:dyDescent="0.25">
      <c r="A4" t="s">
        <v>224</v>
      </c>
    </row>
  </sheetData>
  <pageMargins left="0.7" right="0.7" top="0.75" bottom="0.75" header="0.3" footer="0.3"/>
  <headerFoot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625" defaultRowHeight="15.75" x14ac:dyDescent="0.25"/>
  <cols>
    <col min="1" max="1" width="15.125" customWidth="1"/>
    <col min="2" max="2" width="26.125" customWidth="1"/>
    <col min="3" max="3" width="57.125" customWidth="1"/>
    <col min="5" max="5" width="30" customWidth="1"/>
  </cols>
  <sheetData>
    <row r="1" spans="2:6" ht="68.25" customHeight="1" x14ac:dyDescent="0.25">
      <c r="B1" s="121" t="s">
        <v>7</v>
      </c>
      <c r="C1" s="121"/>
      <c r="E1" s="56" t="s">
        <v>296</v>
      </c>
      <c r="F1" s="56" t="str">
        <f>IF(AND(ISERROR(FIND("&lt;",_xlfn.CONCAT(C2:C5))),_xlfn.CONCAT(D2:D5)=""),"VALID","INVALID")</f>
        <v>INVALID</v>
      </c>
    </row>
    <row r="2" spans="2:6" ht="16.5" thickBot="1" x14ac:dyDescent="0.3">
      <c r="B2" s="91" t="s">
        <v>93</v>
      </c>
      <c r="C2" s="41" t="s">
        <v>297</v>
      </c>
      <c r="D2" s="57" t="str">
        <f>IF(ISBLANK(C2),"&lt;---- This field cannot be left empty!","")</f>
        <v/>
      </c>
      <c r="E2" s="56" t="s">
        <v>295</v>
      </c>
      <c r="F2" s="56" t="str">
        <f>'Statement of Approval'!$I$2</f>
        <v>INVALID</v>
      </c>
    </row>
    <row r="3" spans="2:6" ht="16.5" thickBot="1" x14ac:dyDescent="0.3">
      <c r="B3" s="92" t="s">
        <v>56</v>
      </c>
      <c r="C3" s="93" t="s">
        <v>58</v>
      </c>
      <c r="D3" s="57" t="str">
        <f>IF(ISBLANK(C3),"&lt;---- This field cannot be left empty!","")</f>
        <v/>
      </c>
    </row>
    <row r="4" spans="2:6" ht="16.5" thickBot="1" x14ac:dyDescent="0.3">
      <c r="B4" s="94" t="s">
        <v>72</v>
      </c>
      <c r="C4" s="34" t="s">
        <v>57</v>
      </c>
      <c r="D4" s="57" t="str">
        <f>IF(ISBLANK(C4),"&lt;---- This field cannot be left empty!","")</f>
        <v/>
      </c>
    </row>
    <row r="5" spans="2:6" x14ac:dyDescent="0.25">
      <c r="B5" s="95" t="s">
        <v>74</v>
      </c>
      <c r="C5" s="32" t="s">
        <v>73</v>
      </c>
      <c r="D5" s="57" t="str">
        <f>IF(ISBLANK(C5),"&lt;---- This field cannot be left empty!","")</f>
        <v/>
      </c>
    </row>
  </sheetData>
  <sheetProtection algorithmName="SHA-512" hashValue="iNvLnoBkS5UdbgJS8RuwaCVqHBv0Nj5kJeZ9h0+qgm8g71rTzu1eKCjlLmW3qECxs5AK9tAkjZatTH2N+GD0MQ==" saltValue="I8KjtXEhZvJ6WSZaXgRuxg=="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6"/>
  <sheetViews>
    <sheetView showGridLines="0" zoomScale="85" zoomScaleNormal="85" workbookViewId="0">
      <selection activeCell="C5" sqref="C5"/>
    </sheetView>
  </sheetViews>
  <sheetFormatPr defaultColWidth="8.625" defaultRowHeight="15.75" x14ac:dyDescent="0.25"/>
  <cols>
    <col min="2" max="2" width="33.125" customWidth="1"/>
    <col min="3" max="3" width="17.625" customWidth="1"/>
    <col min="4" max="4" width="69.125" customWidth="1"/>
  </cols>
  <sheetData>
    <row r="1" spans="2:5" ht="30.75" customHeight="1" x14ac:dyDescent="0.35">
      <c r="B1" s="122" t="s">
        <v>8</v>
      </c>
      <c r="C1" s="122"/>
      <c r="D1" s="122"/>
    </row>
    <row r="2" spans="2:5" ht="38.25" customHeight="1" thickBot="1" x14ac:dyDescent="0.3"/>
    <row r="3" spans="2:5" ht="16.5" thickBot="1" x14ac:dyDescent="0.3">
      <c r="B3" s="96" t="s">
        <v>9</v>
      </c>
      <c r="C3" s="97" t="s">
        <v>10</v>
      </c>
      <c r="D3" s="98" t="s">
        <v>11</v>
      </c>
    </row>
    <row r="4" spans="2:5" ht="41.25" customHeight="1" thickBot="1" x14ac:dyDescent="0.3">
      <c r="B4" s="99" t="s">
        <v>12</v>
      </c>
      <c r="C4" s="100" t="s">
        <v>13</v>
      </c>
      <c r="D4" s="99" t="s">
        <v>14</v>
      </c>
      <c r="E4" s="57" t="str">
        <f>IF(ISBLANK(C4),"&lt;---- This field cannot be left empty!",IF(AND( C4 &lt;&gt; "Yes", C4 &lt;&gt; "No"),"&lt;---- This field must be filled from the drop-down menu",""))</f>
        <v/>
      </c>
    </row>
    <row r="5" spans="2:5" ht="41.25" customHeight="1" thickBot="1" x14ac:dyDescent="0.3">
      <c r="B5" s="101" t="s">
        <v>300</v>
      </c>
      <c r="C5" s="85" t="s">
        <v>13</v>
      </c>
      <c r="D5" s="101" t="s">
        <v>301</v>
      </c>
      <c r="E5" s="57" t="str">
        <f>IF(ISBLANK(C5),"&lt;---- This field cannot be left empty!",IF(AND( C5 &lt;&gt; "Yes", C5 &lt;&gt; "No"),"&lt;---- This field must be filled from the drop-down menu",""))</f>
        <v/>
      </c>
    </row>
    <row r="6" spans="2:5" ht="41.25" customHeight="1" thickBot="1" x14ac:dyDescent="0.3">
      <c r="B6" s="102" t="s">
        <v>16</v>
      </c>
      <c r="C6" s="120" t="s">
        <v>13</v>
      </c>
      <c r="D6" s="102" t="s">
        <v>17</v>
      </c>
      <c r="E6" s="57" t="str">
        <f>IF(ISBLANK(C6),"&lt;---- This field cannot be left empty!",IF(AND( C6 &lt;&gt; "Yes", C6 &lt;&gt; "No"),"&lt;---- This field must be filled from the drop-down menu",""))</f>
        <v/>
      </c>
    </row>
  </sheetData>
  <sheetProtection algorithmName="SHA-512" hashValue="eZTJkcfIppVGIIvyQFlbRvg1uUqtABA207TO2tKTl2AKJVi4k0dsqDtTjCpfeTQJq+sWw4zBP37626pTGF9xnA==" saltValue="gnGG2gEw2JFhNns4FITxDg==" spinCount="100000" sheet="1" objects="1" scenarios="1"/>
  <mergeCells count="1">
    <mergeCell ref="B1:D1"/>
  </mergeCells>
  <dataValidations count="1">
    <dataValidation type="list" allowBlank="1" showInputMessage="1" showErrorMessage="1" sqref="C5" xr:uid="{0CC9D3EE-7990-4F84-9799-A57E2E7591DB}">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53FFF-7391-4AA7-A010-7072A9B6CEB1}">
  <dimension ref="B1:F6"/>
  <sheetViews>
    <sheetView showGridLines="0" zoomScaleNormal="100" workbookViewId="0">
      <selection activeCell="D5" sqref="D5"/>
    </sheetView>
  </sheetViews>
  <sheetFormatPr defaultColWidth="8.625" defaultRowHeight="15.75" x14ac:dyDescent="0.25"/>
  <cols>
    <col min="2" max="2" width="10.625" customWidth="1"/>
    <col min="3" max="3" width="72.625" customWidth="1"/>
    <col min="4" max="4" width="35" customWidth="1"/>
    <col min="5" max="5" width="33.625" bestFit="1" customWidth="1"/>
  </cols>
  <sheetData>
    <row r="1" spans="2:6" ht="32.85" customHeight="1" x14ac:dyDescent="0.35">
      <c r="B1" s="123" t="s">
        <v>245</v>
      </c>
      <c r="C1" s="123"/>
      <c r="D1" s="123"/>
      <c r="E1" s="56" t="s">
        <v>246</v>
      </c>
      <c r="F1" s="56" t="str">
        <f>IF(_xlfn.CONCAT(E4:E5)="","VALID","INVALID")</f>
        <v>VALID</v>
      </c>
    </row>
    <row r="2" spans="2:6" ht="59.25" customHeight="1" x14ac:dyDescent="0.25">
      <c r="B2" s="71"/>
      <c r="C2" s="124" t="s">
        <v>277</v>
      </c>
      <c r="D2" s="124"/>
      <c r="E2" s="56" t="s">
        <v>295</v>
      </c>
      <c r="F2" s="56" t="str">
        <f>'Statement of Approval'!$I$2</f>
        <v>INVALID</v>
      </c>
    </row>
    <row r="4" spans="2:6" x14ac:dyDescent="0.25">
      <c r="B4" s="67" t="s">
        <v>241</v>
      </c>
      <c r="C4" s="68" t="s">
        <v>302</v>
      </c>
      <c r="D4" s="69" t="s">
        <v>242</v>
      </c>
      <c r="E4" s="57"/>
    </row>
    <row r="5" spans="2:6" x14ac:dyDescent="0.25">
      <c r="B5" s="86" t="s">
        <v>303</v>
      </c>
      <c r="C5" s="83" t="str">
        <f>VLOOKUP(B5,'HIDDEN features'!A:D,3,FALSE)</f>
        <v>Security Profile 1: Unsecured Transport with Basic Authentication</v>
      </c>
      <c r="D5" s="84" t="s">
        <v>15</v>
      </c>
      <c r="E5" s="57" t="str">
        <f>IF(AND(NOT(ISBLANK(B5)),ISBLANK(D5)),"&lt;---- This field cannot be left empty!",IF(AND( D5 &lt;&gt; "Yes", D5 &lt;&gt; "No"),"&lt;---- This field must be filled from the drop-down menu",""))</f>
        <v/>
      </c>
    </row>
    <row r="6" spans="2:6" x14ac:dyDescent="0.25">
      <c r="C6" s="70"/>
    </row>
  </sheetData>
  <sheetProtection algorithmName="SHA-512" hashValue="Sh3lsrEyxjLb5Sha5bHaWxITdGc30Jrl0AK0xSd/BrgHJ+Jw80DFDDU7CmeyDPeJ63NQCNAFPHKI5Y42JYmSYQ==" saltValue="YTNOtGp/vBFA7YO32j/o8g==" spinCount="100000" sheet="1" objects="1" scenarios="1"/>
  <mergeCells count="2">
    <mergeCell ref="B1:D1"/>
    <mergeCell ref="C2:D2"/>
  </mergeCells>
  <conditionalFormatting sqref="F1">
    <cfRule type="cellIs" dxfId="14" priority="5" operator="equal">
      <formula>"VALID"</formula>
    </cfRule>
  </conditionalFormatting>
  <conditionalFormatting sqref="F1:F2">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1">
    <dataValidation type="list" allowBlank="1" showInputMessage="1" showErrorMessage="1" sqref="D5" xr:uid="{68500206-48C7-4A08-8292-3FA1F419BBAE}">
      <formula1>"Yes,No"</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6"/>
  <sheetViews>
    <sheetView showGridLines="0" zoomScaleNormal="100" workbookViewId="0">
      <selection activeCell="D5" sqref="D5"/>
    </sheetView>
  </sheetViews>
  <sheetFormatPr defaultColWidth="28.125" defaultRowHeight="15.75" x14ac:dyDescent="0.25"/>
  <cols>
    <col min="1" max="1" width="14.125" customWidth="1"/>
    <col min="2" max="2" width="7.125" customWidth="1"/>
    <col min="3" max="3" width="69.625" customWidth="1"/>
    <col min="4" max="4" width="25.125" customWidth="1"/>
    <col min="5" max="5" width="35" bestFit="1" customWidth="1"/>
  </cols>
  <sheetData>
    <row r="1" spans="2:6" ht="54.75" customHeight="1" x14ac:dyDescent="0.25">
      <c r="C1" s="13" t="s">
        <v>18</v>
      </c>
      <c r="E1" s="56" t="s">
        <v>95</v>
      </c>
      <c r="F1" s="56" t="str">
        <f>IF(_xlfn.CONCAT(E4:E5)="","VALID","INVALID")</f>
        <v>VALID</v>
      </c>
    </row>
    <row r="2" spans="2:6" ht="32.25" customHeight="1" x14ac:dyDescent="0.25">
      <c r="C2" s="75" t="s">
        <v>278</v>
      </c>
      <c r="E2" s="56" t="s">
        <v>295</v>
      </c>
      <c r="F2" s="56" t="str">
        <f>'Statement of Approval'!$I$2</f>
        <v>INVALID</v>
      </c>
    </row>
    <row r="3" spans="2:6" ht="27.75" customHeight="1" x14ac:dyDescent="0.25">
      <c r="C3" s="13"/>
    </row>
    <row r="4" spans="2:6" x14ac:dyDescent="0.25">
      <c r="B4" s="29" t="s">
        <v>55</v>
      </c>
      <c r="C4" s="14" t="s">
        <v>288</v>
      </c>
      <c r="D4" s="35" t="s">
        <v>270</v>
      </c>
    </row>
    <row r="5" spans="2:6" ht="30" x14ac:dyDescent="0.25">
      <c r="B5" s="87" t="s">
        <v>271</v>
      </c>
      <c r="C5" s="88" t="s">
        <v>19</v>
      </c>
      <c r="D5" s="89" t="s">
        <v>15</v>
      </c>
      <c r="E5" s="57" t="str">
        <f>IF(AND(NOT(ISBLANK(B5)),ISBLANK(D5)),"&lt;---- This field cannot be left empty!",IF(AND( D5 &lt;&gt; "Yes", D5 &lt;&gt; "No"),"&lt;---- This field must be filled from the drop-down menu",""))</f>
        <v/>
      </c>
    </row>
    <row r="6" spans="2:6" x14ac:dyDescent="0.25">
      <c r="C6" s="2"/>
    </row>
  </sheetData>
  <sheetProtection algorithmName="SHA-512" hashValue="zK9yd8RP+G13+7hgmSElQzVRq3mBbmsmsujSFMIZWnnEyp8X3rBGgsqdO/B5kvjAylPpVYavBZq5iRpZVJEyEw==" saltValue="Va4tOvRKnFnFFr8CAhBZBA=="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5" xr:uid="{4349DFB3-71A1-4666-9A39-82EE747DEB36}">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125" t="s">
        <v>91</v>
      </c>
      <c r="C2" s="125"/>
    </row>
    <row r="3" spans="2:4" ht="37.5" customHeight="1" x14ac:dyDescent="0.25">
      <c r="B3" s="126" t="s">
        <v>92</v>
      </c>
      <c r="C3" s="126"/>
      <c r="D3" s="126"/>
    </row>
    <row r="4" spans="2:4" x14ac:dyDescent="0.25">
      <c r="B4" s="2"/>
    </row>
    <row r="5" spans="2:4" ht="16.5" thickBot="1" x14ac:dyDescent="0.3">
      <c r="B5" s="30" t="s">
        <v>69</v>
      </c>
      <c r="C5" s="31" t="s">
        <v>70</v>
      </c>
      <c r="D5" s="36" t="s">
        <v>11</v>
      </c>
    </row>
    <row r="6" spans="2:4" ht="16.5" thickBot="1" x14ac:dyDescent="0.3">
      <c r="B6" s="58" t="s">
        <v>59</v>
      </c>
      <c r="C6" s="59" t="s">
        <v>59</v>
      </c>
      <c r="D6" s="60" t="s">
        <v>59</v>
      </c>
    </row>
    <row r="7" spans="2:4" ht="16.5" thickBot="1" x14ac:dyDescent="0.3">
      <c r="B7" s="51" t="s">
        <v>89</v>
      </c>
      <c r="C7" s="52" t="s">
        <v>90</v>
      </c>
      <c r="D7" s="53" t="s">
        <v>89</v>
      </c>
    </row>
    <row r="8" spans="2:4" ht="16.5" thickBot="1" x14ac:dyDescent="0.3">
      <c r="B8" s="58" t="s">
        <v>59</v>
      </c>
      <c r="C8" s="59" t="s">
        <v>59</v>
      </c>
      <c r="D8" s="60" t="s">
        <v>59</v>
      </c>
    </row>
    <row r="9" spans="2:4" ht="16.5" thickBot="1" x14ac:dyDescent="0.3">
      <c r="B9" s="51" t="s">
        <v>89</v>
      </c>
      <c r="C9" s="52" t="s">
        <v>90</v>
      </c>
      <c r="D9" s="53" t="s">
        <v>89</v>
      </c>
    </row>
    <row r="10" spans="2:4" ht="16.5" thickBot="1" x14ac:dyDescent="0.3">
      <c r="B10" s="58" t="s">
        <v>59</v>
      </c>
      <c r="C10" s="59" t="s">
        <v>59</v>
      </c>
      <c r="D10" s="60" t="s">
        <v>59</v>
      </c>
    </row>
    <row r="11" spans="2:4" ht="16.5" thickBot="1" x14ac:dyDescent="0.3">
      <c r="B11" s="51" t="s">
        <v>89</v>
      </c>
      <c r="C11" s="52" t="s">
        <v>90</v>
      </c>
      <c r="D11" s="53" t="s">
        <v>89</v>
      </c>
    </row>
    <row r="12" spans="2:4" ht="16.5" thickBot="1" x14ac:dyDescent="0.3">
      <c r="B12" s="58" t="s">
        <v>59</v>
      </c>
      <c r="C12" s="59" t="s">
        <v>59</v>
      </c>
      <c r="D12" s="60" t="s">
        <v>59</v>
      </c>
    </row>
    <row r="13" spans="2:4" ht="16.5" thickBot="1" x14ac:dyDescent="0.3">
      <c r="B13" s="51" t="s">
        <v>89</v>
      </c>
      <c r="C13" s="52" t="s">
        <v>90</v>
      </c>
      <c r="D13" s="53" t="s">
        <v>89</v>
      </c>
    </row>
    <row r="14" spans="2:4" ht="16.5" thickBot="1" x14ac:dyDescent="0.3">
      <c r="B14" s="58" t="s">
        <v>59</v>
      </c>
      <c r="C14" s="59" t="s">
        <v>59</v>
      </c>
      <c r="D14" s="60" t="s">
        <v>59</v>
      </c>
    </row>
    <row r="15" spans="2:4" ht="16.5" thickBot="1" x14ac:dyDescent="0.3">
      <c r="B15" s="51" t="s">
        <v>89</v>
      </c>
      <c r="C15" s="52" t="s">
        <v>90</v>
      </c>
      <c r="D15" s="53" t="s">
        <v>89</v>
      </c>
    </row>
    <row r="16" spans="2:4" ht="16.5" thickBot="1" x14ac:dyDescent="0.3">
      <c r="B16" s="58" t="s">
        <v>59</v>
      </c>
      <c r="C16" s="59" t="s">
        <v>59</v>
      </c>
      <c r="D16" s="60" t="s">
        <v>59</v>
      </c>
    </row>
    <row r="17" spans="2:4" ht="16.5" thickBot="1" x14ac:dyDescent="0.3">
      <c r="B17" s="51" t="s">
        <v>89</v>
      </c>
      <c r="C17" s="52" t="s">
        <v>90</v>
      </c>
      <c r="D17" s="53" t="s">
        <v>89</v>
      </c>
    </row>
    <row r="18" spans="2:4" ht="16.5" thickBot="1" x14ac:dyDescent="0.3">
      <c r="B18" s="58" t="s">
        <v>59</v>
      </c>
      <c r="C18" s="59" t="s">
        <v>59</v>
      </c>
      <c r="D18" s="60" t="s">
        <v>59</v>
      </c>
    </row>
    <row r="19" spans="2:4" ht="16.5" thickBot="1" x14ac:dyDescent="0.3">
      <c r="B19" s="51" t="s">
        <v>89</v>
      </c>
      <c r="C19" s="52" t="s">
        <v>90</v>
      </c>
      <c r="D19" s="53" t="s">
        <v>89</v>
      </c>
    </row>
    <row r="20" spans="2:4" ht="16.5" thickBot="1" x14ac:dyDescent="0.3">
      <c r="B20" s="58" t="s">
        <v>59</v>
      </c>
      <c r="C20" s="59" t="s">
        <v>59</v>
      </c>
      <c r="D20" s="60" t="s">
        <v>59</v>
      </c>
    </row>
    <row r="21" spans="2:4" ht="16.5" thickBot="1" x14ac:dyDescent="0.3">
      <c r="B21" s="51" t="s">
        <v>89</v>
      </c>
      <c r="C21" s="52" t="s">
        <v>90</v>
      </c>
      <c r="D21" s="53" t="s">
        <v>89</v>
      </c>
    </row>
    <row r="22" spans="2:4" ht="16.5" thickBot="1" x14ac:dyDescent="0.3">
      <c r="B22" s="58" t="s">
        <v>59</v>
      </c>
      <c r="C22" s="59" t="s">
        <v>59</v>
      </c>
      <c r="D22" s="60" t="s">
        <v>59</v>
      </c>
    </row>
    <row r="23" spans="2:4" ht="16.5" thickBot="1" x14ac:dyDescent="0.3">
      <c r="B23" s="51" t="s">
        <v>89</v>
      </c>
      <c r="C23" s="52" t="s">
        <v>90</v>
      </c>
      <c r="D23" s="53" t="s">
        <v>89</v>
      </c>
    </row>
    <row r="24" spans="2:4" ht="16.5" thickBot="1" x14ac:dyDescent="0.3">
      <c r="B24" s="58" t="s">
        <v>59</v>
      </c>
      <c r="C24" s="59" t="s">
        <v>59</v>
      </c>
      <c r="D24" s="60" t="s">
        <v>59</v>
      </c>
    </row>
    <row r="25" spans="2:4" ht="16.5" thickBot="1" x14ac:dyDescent="0.3">
      <c r="B25" s="51" t="s">
        <v>89</v>
      </c>
      <c r="C25" s="52" t="s">
        <v>90</v>
      </c>
      <c r="D25" s="53" t="s">
        <v>89</v>
      </c>
    </row>
    <row r="26" spans="2:4" ht="16.5" thickBot="1" x14ac:dyDescent="0.3">
      <c r="B26" s="58" t="s">
        <v>59</v>
      </c>
      <c r="C26" s="59" t="s">
        <v>59</v>
      </c>
      <c r="D26" s="60" t="s">
        <v>59</v>
      </c>
    </row>
    <row r="27" spans="2:4" ht="16.5" thickBot="1" x14ac:dyDescent="0.3">
      <c r="B27" s="51" t="s">
        <v>89</v>
      </c>
      <c r="C27" s="52" t="s">
        <v>90</v>
      </c>
      <c r="D27" s="53" t="s">
        <v>89</v>
      </c>
    </row>
    <row r="28" spans="2:4" ht="16.5" thickBot="1" x14ac:dyDescent="0.3">
      <c r="B28" s="58" t="s">
        <v>59</v>
      </c>
      <c r="C28" s="59" t="s">
        <v>59</v>
      </c>
      <c r="D28" s="60" t="s">
        <v>59</v>
      </c>
    </row>
  </sheetData>
  <sheetProtection algorithmName="SHA-512" hashValue="7DzhsDJUxMcNuoX+qhJo3vjytUSYRKJQ9R3pPXvnDvp/mH7pW6IuX4S58i0iwFCglpozITK9vf0pK7KoYV7rxg==" saltValue="VJYv0YrhuG81YDUiHZUW+A==" spinCount="100000" sheet="1" formatCells="0" formatColumns="0" formatRows="0"/>
  <mergeCells count="2">
    <mergeCell ref="B2:C2"/>
    <mergeCell ref="B3:D3"/>
  </mergeCells>
  <pageMargins left="0.7" right="0.7" top="0.75" bottom="0.75" header="0.3" footer="0.3"/>
  <pageSetup paperSize="9" orientation="portrait" r:id="rId1"/>
  <headerFoot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625" bestFit="1" customWidth="1"/>
    <col min="2" max="2" width="5.625" bestFit="1" customWidth="1"/>
  </cols>
  <sheetData>
    <row r="1" spans="1:2" x14ac:dyDescent="0.25">
      <c r="A1" t="s">
        <v>55</v>
      </c>
      <c r="B1" t="s">
        <v>104</v>
      </c>
    </row>
  </sheetData>
  <pageMargins left="0.7" right="0.7" top="0.75" bottom="0.75" header="0.3" footer="0.3"/>
  <headerFoot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125" defaultRowHeight="15.75" x14ac:dyDescent="0.25"/>
  <cols>
    <col min="1" max="1" width="15.125" customWidth="1"/>
    <col min="2" max="2" width="38.125" customWidth="1"/>
    <col min="3" max="4" width="19.125" customWidth="1"/>
    <col min="5" max="5" width="18.625" customWidth="1"/>
    <col min="6" max="6" width="22.5" customWidth="1"/>
    <col min="8" max="8" width="35" bestFit="1" customWidth="1"/>
  </cols>
  <sheetData>
    <row r="1" spans="2:9" ht="66" customHeight="1" x14ac:dyDescent="0.25">
      <c r="B1" s="127" t="s">
        <v>31</v>
      </c>
      <c r="C1" s="127"/>
      <c r="D1" s="127"/>
      <c r="H1" s="56" t="s">
        <v>102</v>
      </c>
      <c r="I1" s="56" t="str">
        <f>IF(AND(ISERROR(FIND("&lt;",_xlfn.CONCAT(C6:C7))),_xlfn.CONCAT(H5:H9)="",ISERROR(FIND("&lt;",C14))),"VALID","INVALID")</f>
        <v>INVALID</v>
      </c>
    </row>
    <row r="2" spans="2:9" ht="48.75" customHeight="1" x14ac:dyDescent="0.25">
      <c r="B2" s="137" t="s">
        <v>279</v>
      </c>
      <c r="C2" s="137"/>
      <c r="D2" s="137"/>
      <c r="H2" s="56" t="s">
        <v>295</v>
      </c>
      <c r="I2" s="56" t="str">
        <f>'Statement of Approval'!$I$2</f>
        <v>INVALID</v>
      </c>
    </row>
    <row r="3" spans="2:9" ht="14.25" customHeight="1" x14ac:dyDescent="0.25">
      <c r="B3" s="113"/>
      <c r="C3" s="113"/>
      <c r="D3" s="113"/>
      <c r="H3" s="56"/>
      <c r="I3" s="56"/>
    </row>
    <row r="4" spans="2:9" x14ac:dyDescent="0.25">
      <c r="B4" s="114" t="s">
        <v>61</v>
      </c>
      <c r="C4" s="115"/>
    </row>
    <row r="5" spans="2:9" ht="16.5" thickBot="1" x14ac:dyDescent="0.3">
      <c r="B5" s="116" t="s">
        <v>32</v>
      </c>
      <c r="C5" s="117" t="s">
        <v>62</v>
      </c>
      <c r="D5" s="110" t="s">
        <v>33</v>
      </c>
      <c r="E5" s="128" t="s">
        <v>34</v>
      </c>
      <c r="F5" s="128"/>
      <c r="G5" s="128"/>
    </row>
    <row r="6" spans="2:9" ht="61.35" customHeight="1" thickBot="1" x14ac:dyDescent="0.3">
      <c r="B6" s="106" t="s">
        <v>35</v>
      </c>
      <c r="C6" s="62" t="s">
        <v>87</v>
      </c>
      <c r="D6" s="112" t="s">
        <v>36</v>
      </c>
      <c r="E6" s="129" t="s">
        <v>226</v>
      </c>
      <c r="F6" s="130"/>
      <c r="G6" s="131"/>
      <c r="H6" s="57" t="str">
        <f>IF(ISBLANK(C6),"&lt;---- This field cannot be left empty!","")</f>
        <v/>
      </c>
    </row>
    <row r="7" spans="2:9" ht="30.75" customHeight="1" thickBot="1" x14ac:dyDescent="0.3">
      <c r="B7" s="107" t="s">
        <v>37</v>
      </c>
      <c r="C7" s="63" t="s">
        <v>87</v>
      </c>
      <c r="D7" s="111" t="s">
        <v>36</v>
      </c>
      <c r="E7" s="132" t="s">
        <v>38</v>
      </c>
      <c r="F7" s="133"/>
      <c r="G7" s="134"/>
      <c r="H7" s="57" t="str">
        <f>IF(ISBLANK(C7),"&lt;---- This field cannot be left empty!","")</f>
        <v/>
      </c>
    </row>
    <row r="8" spans="2:9" x14ac:dyDescent="0.25">
      <c r="B8" s="2"/>
    </row>
    <row r="9" spans="2:9" ht="21.75" customHeight="1" x14ac:dyDescent="0.25">
      <c r="B9" s="136" t="s">
        <v>94</v>
      </c>
      <c r="C9" s="136"/>
      <c r="D9" s="136"/>
      <c r="E9" s="136"/>
      <c r="F9" s="136"/>
    </row>
    <row r="10" spans="2:9" ht="16.5" thickBot="1" x14ac:dyDescent="0.3">
      <c r="B10" s="108" t="s">
        <v>32</v>
      </c>
      <c r="C10" s="109" t="s">
        <v>63</v>
      </c>
      <c r="D10" s="109" t="s">
        <v>62</v>
      </c>
      <c r="E10" s="109" t="s">
        <v>103</v>
      </c>
      <c r="F10" s="110" t="s">
        <v>33</v>
      </c>
    </row>
    <row r="11" spans="2:9" ht="34.5" customHeight="1" thickBot="1" x14ac:dyDescent="0.3">
      <c r="B11" s="106" t="s">
        <v>35</v>
      </c>
      <c r="C11" s="118" t="str">
        <f>IFERROR(VLOOKUP("perf_Overall_min",'HIDDEN Testrun Results'!$A:$B,2,FALSE),"&lt;min.  measurement&gt;")</f>
        <v>&lt;min.  measurement&gt;</v>
      </c>
      <c r="D11" s="118" t="str">
        <f>IFERROR(VLOOKUP("perf_Overall_max",'HIDDEN Testrun Results'!$A:$B,2,FALSE),"&lt;max.  measurement&gt;")</f>
        <v>&lt;max.  measurement&gt;</v>
      </c>
      <c r="E11" s="118" t="str">
        <f>IFERROR(VLOOKUP("perf_Overall_avg",'HIDDEN Testrun Results'!$A:$B,2,FALSE),"&lt;avg.  measurement&gt;")</f>
        <v>&lt;avg.  measurement&gt;</v>
      </c>
      <c r="F11" s="104" t="s">
        <v>36</v>
      </c>
    </row>
    <row r="12" spans="2:9" ht="33" customHeight="1" thickBot="1" x14ac:dyDescent="0.3">
      <c r="B12" s="107" t="s">
        <v>37</v>
      </c>
      <c r="C12" s="119" t="str">
        <f>IFERROR(VLOOKUP("perf_Authorize_min",'HIDDEN Testrun Results'!$A:$B,2,FALSE),"&lt;min.  measurement&gt;")</f>
        <v>&lt;min.  measurement&gt;</v>
      </c>
      <c r="D12" s="119" t="str">
        <f>IFERROR(VLOOKUP("perf_Authorize_max",'HIDDEN Testrun Results'!$A:$B,2,FALSE),"&lt;max.  measurement&gt;")</f>
        <v>&lt;max.  measurement&gt;</v>
      </c>
      <c r="E12" s="119" t="str">
        <f>IFERROR(VLOOKUP("perf_Authorize_avg",'HIDDEN Testrun Results'!$A:$B,2,FALSE),"&lt;avg.  measurement&gt;")</f>
        <v>&lt;avg.  measurement&gt;</v>
      </c>
      <c r="F12" s="105" t="s">
        <v>36</v>
      </c>
    </row>
    <row r="13" spans="2:9" x14ac:dyDescent="0.25">
      <c r="B13" s="2"/>
    </row>
    <row r="14" spans="2:9" ht="30" x14ac:dyDescent="0.25">
      <c r="B14" s="103" t="s">
        <v>64</v>
      </c>
      <c r="C14" s="50" t="s">
        <v>289</v>
      </c>
      <c r="D14" s="57" t="str">
        <f>IF(AND( C14 &lt;&gt; "Ethernet/Cloud",C14 &lt;&gt; "WiFi", C14 &lt;&gt; "Ethernet", C14 &lt;&gt; "Mobile Network"),"&lt;---- This field must be filled from the drop-down menu","")</f>
        <v/>
      </c>
    </row>
    <row r="15" spans="2:9" x14ac:dyDescent="0.25">
      <c r="B15" s="2"/>
    </row>
    <row r="16" spans="2:9" ht="90" customHeight="1" x14ac:dyDescent="0.25">
      <c r="B16" s="135" t="s">
        <v>65</v>
      </c>
      <c r="C16" s="135"/>
    </row>
  </sheetData>
  <sheetProtection algorithmName="SHA-512" hashValue="2Yf5onnhByjHh4NP+EuOvUg/GefCfKiAcVoYGzKLyIW9B7m4jqpIZnNKZPkZos9EACGp4kBDOQ58QU2emFa0HQ==" saltValue="QJ4lPxFY3s3rJnK9sH7q4w=="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showInputMessage="1" showErrorMessage="1" sqref="C14" xr:uid="{7CE196C6-BC2A-2941-B416-0644DA08E005}">
      <formula1>"Ethernet/Cloud,WiFi,Ethernet,Mobile Network"</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M248"/>
  <sheetViews>
    <sheetView zoomScale="85" zoomScaleNormal="85" workbookViewId="0">
      <selection sqref="A1:C1"/>
    </sheetView>
  </sheetViews>
  <sheetFormatPr defaultColWidth="11.125" defaultRowHeight="15.75" outlineLevelCol="1" x14ac:dyDescent="0.25"/>
  <cols>
    <col min="1" max="1" width="19" customWidth="1"/>
    <col min="2" max="2" width="26.625" bestFit="1" customWidth="1"/>
    <col min="3" max="3" width="84.625" customWidth="1"/>
    <col min="4" max="4" width="44.5" customWidth="1"/>
    <col min="5" max="5" width="50.625" bestFit="1" customWidth="1"/>
    <col min="6" max="6" width="15.625" bestFit="1" customWidth="1"/>
    <col min="7" max="7" width="10.125" style="18" customWidth="1"/>
    <col min="8" max="8" width="45.125" style="18" customWidth="1" collapsed="1"/>
    <col min="9" max="11" width="45.125" style="18" hidden="1" customWidth="1" outlineLevel="1"/>
    <col min="12" max="12" width="17.125" customWidth="1"/>
    <col min="13" max="13" width="51.125" customWidth="1"/>
  </cols>
  <sheetData>
    <row r="1" spans="1:13" ht="60" customHeight="1" x14ac:dyDescent="0.25">
      <c r="A1" s="138" t="s">
        <v>280</v>
      </c>
      <c r="B1" s="138"/>
      <c r="C1" s="138"/>
    </row>
    <row r="2" spans="1:13" x14ac:dyDescent="0.25">
      <c r="A2" s="19" t="s">
        <v>20</v>
      </c>
      <c r="B2" s="19" t="s">
        <v>9</v>
      </c>
      <c r="C2" s="19" t="s">
        <v>21</v>
      </c>
      <c r="D2" s="19" t="s">
        <v>22</v>
      </c>
      <c r="E2" s="19" t="s">
        <v>23</v>
      </c>
      <c r="F2" s="19" t="s">
        <v>24</v>
      </c>
      <c r="G2" s="15" t="s">
        <v>25</v>
      </c>
      <c r="H2" s="15" t="s">
        <v>26</v>
      </c>
      <c r="I2" s="15" t="s">
        <v>287</v>
      </c>
      <c r="J2" s="15" t="s">
        <v>225</v>
      </c>
      <c r="K2" s="15" t="s">
        <v>27</v>
      </c>
      <c r="L2" s="15" t="s">
        <v>265</v>
      </c>
      <c r="M2" s="73" t="s">
        <v>266</v>
      </c>
    </row>
    <row r="3" spans="1:13" x14ac:dyDescent="0.25">
      <c r="A3" t="str">
        <f>'HIDDEN import'!B2</f>
        <v>TC_001_CSMS</v>
      </c>
      <c r="B3" t="str">
        <f>'HIDDEN import'!C2</f>
        <v>Core</v>
      </c>
      <c r="C3" t="str">
        <f>'HIDDEN import'!D2</f>
        <v>Cold Boot Charge Point</v>
      </c>
      <c r="D3" t="str">
        <f>IF(VLOOKUP(A3&amp;" "&amp;B3,'HIDDEN import'!A:G,5,FALSE)="M",MD!$A$1,IF(VLOOKUP(A3&amp;" "&amp;B3,'HIDDEN import'!A:G,5,FALSE)="O",MD!$A$4,(IF(AND(VLOOKUP(A3,'HIDDEN import'!B:E,4,FALSE)="C",OR(NOT(ISERROR(VLOOKUP(E3,'HIDDEN calc sheet'!A:C,1,FALSE)=E3)))),MD!$A$3,MD!$A$2))))</f>
        <v>Mandatory test for a mandatory feature</v>
      </c>
      <c r="E3" t="str">
        <f>IF('HIDDEN import'!F2=0,"",'HIDDEN import'!F2)</f>
        <v/>
      </c>
      <c r="F3" t="str">
        <f>IF('HIDDEN import'!G2=0,"",'HIDDEN import'!G2)</f>
        <v/>
      </c>
      <c r="G3" s="18" t="str">
        <f>IFERROR(VLOOKUP($A3,'HIDDEN Testrun Results'!$A:$B,2,FALSE),"")</f>
        <v/>
      </c>
      <c r="H3" s="18" t="b">
        <f>IF(J3,"Up to vendor",IF(NOT(ISLOGICAL(I3)),I3,AND(I3,K3)))</f>
        <v>1</v>
      </c>
      <c r="I3" s="18" t="b">
        <f>IF(VLOOKUP(A3&amp;" "&amp;B3,'HIDDEN import'!A:G,5,FALSE)="M",TRUE,IFERROR(VLOOKUP(E3,#REF!,3,FALSE)="Yes",IFERROR(VLOOKUP(E3,'HIDDEN calc sheet'!A:B,2,FALSE),VLOOKUP(E3,'Additional questions'!B:D,3,FALSE)="Yes")))</f>
        <v>1</v>
      </c>
      <c r="J3" s="18" t="b">
        <f>IF(D3="Optional test case",TRUE,FALSE)</f>
        <v>0</v>
      </c>
      <c r="K3" t="b">
        <f>OR(IFERROR(VLOOKUP(B3,'Profile selection'!B:C,2,FALSE)="Yes",FALSE),AND(B3="Security",OR(VLOOKUP("Security Profile 2",'Profile selection'!B:C,2)="Yes",VLOOKUP("Security Profile 3",'Profile selection'!B:C,2)="Yes")))</f>
        <v>1</v>
      </c>
      <c r="L3" s="20"/>
      <c r="M3" s="20"/>
    </row>
    <row r="4" spans="1:13" x14ac:dyDescent="0.25">
      <c r="A4" t="str">
        <f>'HIDDEN import'!B3</f>
        <v>TC_003_CSMS</v>
      </c>
      <c r="B4" t="str">
        <f>'HIDDEN import'!C3</f>
        <v>Core</v>
      </c>
      <c r="C4" t="str">
        <f>'HIDDEN import'!D3</f>
        <v>Regular Charging Session - Plugin First</v>
      </c>
      <c r="D4" t="str">
        <f>IF(VLOOKUP(A4&amp;" "&amp;B4,'HIDDEN import'!A:G,5,FALSE)="M",MD!$A$1,IF(VLOOKUP(A4&amp;" "&amp;B4,'HIDDEN import'!A:G,5,FALSE)="O",MD!$A$4,(IF(AND(VLOOKUP(A4,'HIDDEN import'!B:E,4,FALSE)="C",OR(NOT(ISERROR(VLOOKUP(E4,'HIDDEN calc sheet'!A:C,1,FALSE)=E4)))),MD!$A$3,MD!$A$2))))</f>
        <v>Mandatory test for a mandatory feature</v>
      </c>
      <c r="E4" t="str">
        <f>IF('HIDDEN import'!F3=0,"",'HIDDEN import'!F3)</f>
        <v/>
      </c>
      <c r="F4" t="str">
        <f>IF('HIDDEN import'!G3=0,"",'HIDDEN import'!G3)</f>
        <v/>
      </c>
      <c r="G4" s="18" t="str">
        <f>IFERROR(VLOOKUP($A4,'HIDDEN Testrun Results'!$A:$B,2,FALSE),"")</f>
        <v/>
      </c>
      <c r="H4" s="18" t="b">
        <f t="shared" ref="H4:H59" si="0">IF(J4,"Up to vendor",IF(NOT(ISLOGICAL(I4)),I4,AND(I4,K4)))</f>
        <v>1</v>
      </c>
      <c r="I4" s="18" t="b">
        <f>IF(VLOOKUP(A4&amp;" "&amp;B4,'HIDDEN import'!A:G,5,FALSE)="M",TRUE,IFERROR(VLOOKUP(E4,#REF!,3,FALSE)="Yes",IFERROR(VLOOKUP(E4,'HIDDEN calc sheet'!A:B,2,FALSE),VLOOKUP(E4,'Additional questions'!B:D,3,FALSE)="Yes")))</f>
        <v>1</v>
      </c>
      <c r="J4" s="18" t="b">
        <f t="shared" ref="J4:J59" si="1">IF(D4="Optional test case",TRUE,FALSE)</f>
        <v>0</v>
      </c>
      <c r="K4" t="b">
        <f>OR(IFERROR(VLOOKUP(B4,'Profile selection'!B:C,2,FALSE)="Yes",FALSE),AND(B4="Security",OR(VLOOKUP("Security Profile 2",'Profile selection'!B:C,2)="Yes",VLOOKUP("Security Profile 3",'Profile selection'!B:C,2)="Yes")))</f>
        <v>1</v>
      </c>
      <c r="L4" s="20"/>
      <c r="M4" s="20"/>
    </row>
    <row r="5" spans="1:13" x14ac:dyDescent="0.25">
      <c r="A5" t="str">
        <f>'HIDDEN import'!B4</f>
        <v>TC_004_1_CSMS</v>
      </c>
      <c r="B5" t="str">
        <f>'HIDDEN import'!C4</f>
        <v>Core</v>
      </c>
      <c r="C5" t="str">
        <f>'HIDDEN import'!D4</f>
        <v>Regular Charging Session – Identification First</v>
      </c>
      <c r="D5" t="str">
        <f>IF(VLOOKUP(A5&amp;" "&amp;B5,'HIDDEN import'!A:G,5,FALSE)="M",MD!$A$1,IF(VLOOKUP(A5&amp;" "&amp;B5,'HIDDEN import'!A:G,5,FALSE)="O",MD!$A$4,(IF(AND(VLOOKUP(A5,'HIDDEN import'!B:E,4,FALSE)="C",OR(NOT(ISERROR(VLOOKUP(E5,'HIDDEN calc sheet'!A:C,1,FALSE)=E5)))),MD!$A$3,MD!$A$2))))</f>
        <v>Mandatory test for a mandatory feature</v>
      </c>
      <c r="E5" t="str">
        <f>IF('HIDDEN import'!F4=0,"",'HIDDEN import'!F4)</f>
        <v/>
      </c>
      <c r="F5" t="str">
        <f>IF('HIDDEN import'!G4=0,"",'HIDDEN import'!G4)</f>
        <v/>
      </c>
      <c r="G5" s="18" t="str">
        <f>IFERROR(VLOOKUP($A5,'HIDDEN Testrun Results'!$A:$B,2,FALSE),"")</f>
        <v/>
      </c>
      <c r="H5" s="18" t="b">
        <f t="shared" si="0"/>
        <v>1</v>
      </c>
      <c r="I5" s="18" t="b">
        <f>IF(VLOOKUP(A5&amp;" "&amp;B5,'HIDDEN import'!A:G,5,FALSE)="M",TRUE,IFERROR(VLOOKUP(E5,#REF!,3,FALSE)="Yes",IFERROR(VLOOKUP(E5,'HIDDEN calc sheet'!A:B,2,FALSE),VLOOKUP(E5,'Additional questions'!B:D,3,FALSE)="Yes")))</f>
        <v>1</v>
      </c>
      <c r="J5" s="18" t="b">
        <f t="shared" si="1"/>
        <v>0</v>
      </c>
      <c r="K5" t="b">
        <f>OR(IFERROR(VLOOKUP(B5,'Profile selection'!B:C,2,FALSE)="Yes",FALSE),AND(B5="Security",OR(VLOOKUP("Security Profile 2",'Profile selection'!B:C,2)="Yes",VLOOKUP("Security Profile 3",'Profile selection'!B:C,2)="Yes")))</f>
        <v>1</v>
      </c>
      <c r="L5" s="20"/>
      <c r="M5" s="20"/>
    </row>
    <row r="6" spans="1:13" x14ac:dyDescent="0.25">
      <c r="A6" t="str">
        <f>'HIDDEN import'!B5</f>
        <v>TC_004_2_CSMS</v>
      </c>
      <c r="B6" t="str">
        <f>'HIDDEN import'!C5</f>
        <v>Core</v>
      </c>
      <c r="C6" t="str">
        <f>'HIDDEN import'!D5</f>
        <v>Regular Charging Session – Identification First - ConnectionTimeOut</v>
      </c>
      <c r="D6" t="str">
        <f>IF(VLOOKUP(A6&amp;" "&amp;B6,'HIDDEN import'!A:G,5,FALSE)="M",MD!$A$1,IF(VLOOKUP(A6&amp;" "&amp;B6,'HIDDEN import'!A:G,5,FALSE)="O",MD!$A$4,(IF(AND(VLOOKUP(A6,'HIDDEN import'!B:E,4,FALSE)="C",OR(NOT(ISERROR(VLOOKUP(E6,'HIDDEN calc sheet'!A:C,1,FALSE)=E6)))),MD!$A$3,MD!$A$2))))</f>
        <v>Mandatory test for a mandatory feature</v>
      </c>
      <c r="E6" t="str">
        <f>IF('HIDDEN import'!F5=0,"",'HIDDEN import'!F5)</f>
        <v/>
      </c>
      <c r="F6" t="str">
        <f>IF('HIDDEN import'!G5=0,"",'HIDDEN import'!G5)</f>
        <v/>
      </c>
      <c r="G6" s="18" t="str">
        <f>IFERROR(VLOOKUP($A6,'HIDDEN Testrun Results'!$A:$B,2,FALSE),"")</f>
        <v/>
      </c>
      <c r="H6" s="18" t="b">
        <f t="shared" si="0"/>
        <v>1</v>
      </c>
      <c r="I6" s="18" t="b">
        <f>IF(VLOOKUP(A6&amp;" "&amp;B6,'HIDDEN import'!A:G,5,FALSE)="M",TRUE,IFERROR(VLOOKUP(E6,#REF!,3,FALSE)="Yes",IFERROR(VLOOKUP(E6,'HIDDEN calc sheet'!A:B,2,FALSE),VLOOKUP(E6,'Additional questions'!B:D,3,FALSE)="Yes")))</f>
        <v>1</v>
      </c>
      <c r="J6" s="18" t="b">
        <f t="shared" si="1"/>
        <v>0</v>
      </c>
      <c r="K6" t="b">
        <f>OR(IFERROR(VLOOKUP(B6,'Profile selection'!B:C,2,FALSE)="Yes",FALSE),AND(B6="Security",OR(VLOOKUP("Security Profile 2",'Profile selection'!B:C,2)="Yes",VLOOKUP("Security Profile 3",'Profile selection'!B:C,2)="Yes")))</f>
        <v>1</v>
      </c>
      <c r="L6" s="20"/>
      <c r="M6" s="20"/>
    </row>
    <row r="7" spans="1:13" x14ac:dyDescent="0.25">
      <c r="A7" t="str">
        <f>'HIDDEN import'!B6</f>
        <v>TC_005_1_CSMS</v>
      </c>
      <c r="B7" t="str">
        <f>'HIDDEN import'!C6</f>
        <v>Core</v>
      </c>
      <c r="C7" t="str">
        <f>'HIDDEN import'!D6</f>
        <v>EV Side Disconnected - StopTransactionOnEVSideDisconnect = true - UnlockConnectorOnEVSideDisconnect = true</v>
      </c>
      <c r="D7" t="str">
        <f>IF(VLOOKUP(A7&amp;" "&amp;B7,'HIDDEN import'!A:G,5,FALSE)="M",MD!$A$1,IF(VLOOKUP(A7&amp;" "&amp;B7,'HIDDEN import'!A:G,5,FALSE)="O",MD!$A$4,(IF(AND(VLOOKUP(A7,'HIDDEN import'!B:E,4,FALSE)="C",OR(NOT(ISERROR(VLOOKUP(E7,'HIDDEN calc sheet'!A:C,1,FALSE)=E7)))),MD!$A$3,MD!$A$2))))</f>
        <v>Mandatory test for a mandatory feature</v>
      </c>
      <c r="E7" t="str">
        <f>IF('HIDDEN import'!F6=0,"",'HIDDEN import'!F6)</f>
        <v/>
      </c>
      <c r="F7" t="str">
        <f>IF('HIDDEN import'!G6=0,"",'HIDDEN import'!G6)</f>
        <v/>
      </c>
      <c r="G7" s="18" t="str">
        <f>IFERROR(VLOOKUP($A7,'HIDDEN Testrun Results'!$A:$B,2,FALSE),"")</f>
        <v/>
      </c>
      <c r="H7" s="18" t="b">
        <f t="shared" si="0"/>
        <v>1</v>
      </c>
      <c r="I7" s="18" t="b">
        <f>IF(VLOOKUP(A7&amp;" "&amp;B7,'HIDDEN import'!A:G,5,FALSE)="M",TRUE,IFERROR(VLOOKUP(E7,#REF!,3,FALSE)="Yes",IFERROR(VLOOKUP(E7,'HIDDEN calc sheet'!A:B,2,FALSE),VLOOKUP(E7,'Additional questions'!B:D,3,FALSE)="Yes")))</f>
        <v>1</v>
      </c>
      <c r="J7" s="18" t="b">
        <f t="shared" si="1"/>
        <v>0</v>
      </c>
      <c r="K7" t="b">
        <f>OR(IFERROR(VLOOKUP(B7,'Profile selection'!B:C,2,FALSE)="Yes",FALSE),AND(B7="Security",OR(VLOOKUP("Security Profile 2",'Profile selection'!B:C,2)="Yes",VLOOKUP("Security Profile 3",'Profile selection'!B:C,2)="Yes")))</f>
        <v>1</v>
      </c>
      <c r="L7" s="20"/>
      <c r="M7" s="20"/>
    </row>
    <row r="8" spans="1:13" x14ac:dyDescent="0.25">
      <c r="A8" t="str">
        <f>'HIDDEN import'!B7</f>
        <v>TC_007_CSMS</v>
      </c>
      <c r="B8" t="str">
        <f>'HIDDEN import'!C7</f>
        <v>Core</v>
      </c>
      <c r="C8" t="str">
        <f>'HIDDEN import'!D7</f>
        <v>Regular Start Charging Session – Cached Id</v>
      </c>
      <c r="D8" t="str">
        <f>IF(VLOOKUP(A8&amp;" "&amp;B8,'HIDDEN import'!A:G,5,FALSE)="M",MD!$A$1,IF(VLOOKUP(A8&amp;" "&amp;B8,'HIDDEN import'!A:G,5,FALSE)="O",MD!$A$4,(IF(AND(VLOOKUP(A8,'HIDDEN import'!B:E,4,FALSE)="C",OR(NOT(ISERROR(VLOOKUP(E8,'HIDDEN calc sheet'!A:C,1,FALSE)=E8)))),MD!$A$3,MD!$A$2))))</f>
        <v>Mandatory test for a mandatory feature</v>
      </c>
      <c r="E8" t="str">
        <f>IF('HIDDEN import'!F7=0,"",'HIDDEN import'!F7)</f>
        <v/>
      </c>
      <c r="F8" t="str">
        <f>IF('HIDDEN import'!G7=0,"",'HIDDEN import'!G7)</f>
        <v/>
      </c>
      <c r="G8" s="18" t="str">
        <f>IFERROR(VLOOKUP($A8,'HIDDEN Testrun Results'!$A:$B,2,FALSE),"")</f>
        <v/>
      </c>
      <c r="H8" s="18" t="b">
        <f t="shared" si="0"/>
        <v>1</v>
      </c>
      <c r="I8" s="18" t="b">
        <f>IF(VLOOKUP(A8&amp;" "&amp;B8,'HIDDEN import'!A:G,5,FALSE)="M",TRUE,IFERROR(VLOOKUP(E8,#REF!,3,FALSE)="Yes",IFERROR(VLOOKUP(E8,'HIDDEN calc sheet'!A:B,2,FALSE),VLOOKUP(E8,'Additional questions'!B:D,3,FALSE)="Yes")))</f>
        <v>1</v>
      </c>
      <c r="J8" s="18" t="b">
        <f t="shared" si="1"/>
        <v>0</v>
      </c>
      <c r="K8" t="b">
        <f>OR(IFERROR(VLOOKUP(B8,'Profile selection'!B:C,2,FALSE)="Yes",FALSE),AND(B8="Security",OR(VLOOKUP("Security Profile 2",'Profile selection'!B:C,2)="Yes",VLOOKUP("Security Profile 3",'Profile selection'!B:C,2)="Yes")))</f>
        <v>1</v>
      </c>
      <c r="L8" s="20"/>
      <c r="M8" s="20"/>
    </row>
    <row r="9" spans="1:13" x14ac:dyDescent="0.25">
      <c r="A9" t="str">
        <f>'HIDDEN import'!B8</f>
        <v>TC_061_CSMS</v>
      </c>
      <c r="B9" t="str">
        <f>'HIDDEN import'!C8</f>
        <v>Core</v>
      </c>
      <c r="C9" t="str">
        <f>'HIDDEN import'!D8</f>
        <v>Clear Authorization Data in Authorization Cache</v>
      </c>
      <c r="D9" t="str">
        <f>IF(VLOOKUP(A9&amp;" "&amp;B9,'HIDDEN import'!A:G,5,FALSE)="M",MD!$A$1,IF(VLOOKUP(A9&amp;" "&amp;B9,'HIDDEN import'!A:G,5,FALSE)="O",MD!$A$4,(IF(AND(VLOOKUP(A9,'HIDDEN import'!B:E,4,FALSE)="C",OR(NOT(ISERROR(VLOOKUP(E9,'HIDDEN calc sheet'!A:C,1,FALSE)=E9)))),MD!$A$3,MD!$A$2))))</f>
        <v>Mandatory test for a mandatory feature</v>
      </c>
      <c r="E9" t="str">
        <f>IF('HIDDEN import'!F8=0,"",'HIDDEN import'!F8)</f>
        <v/>
      </c>
      <c r="F9" t="str">
        <f>IF('HIDDEN import'!G8=0,"",'HIDDEN import'!G8)</f>
        <v/>
      </c>
      <c r="G9" s="18" t="str">
        <f>IFERROR(VLOOKUP($A9,'HIDDEN Testrun Results'!$A:$B,2,FALSE),"")</f>
        <v/>
      </c>
      <c r="H9" s="18" t="b">
        <f t="shared" si="0"/>
        <v>1</v>
      </c>
      <c r="I9" s="18" t="b">
        <f>IF(VLOOKUP(A9&amp;" "&amp;B9,'HIDDEN import'!A:G,5,FALSE)="M",TRUE,IFERROR(VLOOKUP(E9,#REF!,3,FALSE)="Yes",IFERROR(VLOOKUP(E9,'HIDDEN calc sheet'!A:B,2,FALSE),VLOOKUP(E9,'Additional questions'!B:D,3,FALSE)="Yes")))</f>
        <v>1</v>
      </c>
      <c r="J9" s="18" t="b">
        <f t="shared" si="1"/>
        <v>0</v>
      </c>
      <c r="K9" t="b">
        <f>OR(IFERROR(VLOOKUP(B9,'Profile selection'!B:C,2,FALSE)="Yes",FALSE),AND(B9="Security",OR(VLOOKUP("Security Profile 2",'Profile selection'!B:C,2)="Yes",VLOOKUP("Security Profile 3",'Profile selection'!B:C,2)="Yes")))</f>
        <v>1</v>
      </c>
      <c r="L9" s="20"/>
      <c r="M9" s="20"/>
    </row>
    <row r="10" spans="1:13" x14ac:dyDescent="0.25">
      <c r="A10" t="str">
        <f>'HIDDEN import'!B9</f>
        <v>TC_010_CSMS</v>
      </c>
      <c r="B10" t="str">
        <f>'HIDDEN import'!C9</f>
        <v>Core</v>
      </c>
      <c r="C10" t="str">
        <f>'HIDDEN import'!D9</f>
        <v>Remote Start Charging Session – Cable Plugged in First</v>
      </c>
      <c r="D10" t="str">
        <f>IF(VLOOKUP(A10&amp;" "&amp;B10,'HIDDEN import'!A:G,5,FALSE)="M",MD!$A$1,IF(VLOOKUP(A10&amp;" "&amp;B10,'HIDDEN import'!A:G,5,FALSE)="O",MD!$A$4,(IF(AND(VLOOKUP(A10,'HIDDEN import'!B:E,4,FALSE)="C",OR(NOT(ISERROR(VLOOKUP(E10,'HIDDEN calc sheet'!A:C,1,FALSE)=E10)))),MD!$A$3,MD!$A$2))))</f>
        <v>Mandatory test for a mandatory feature</v>
      </c>
      <c r="E10" t="str">
        <f>IF('HIDDEN import'!F9=0,"",'HIDDEN import'!F9)</f>
        <v/>
      </c>
      <c r="F10" t="str">
        <f>IF('HIDDEN import'!G9=0,"",'HIDDEN import'!G9)</f>
        <v/>
      </c>
      <c r="G10" s="18" t="str">
        <f>IFERROR(VLOOKUP($A10,'HIDDEN Testrun Results'!$A:$B,2,FALSE),"")</f>
        <v/>
      </c>
      <c r="H10" s="18" t="b">
        <f t="shared" si="0"/>
        <v>1</v>
      </c>
      <c r="I10" s="18" t="b">
        <f>IF(VLOOKUP(A10&amp;" "&amp;B10,'HIDDEN import'!A:G,5,FALSE)="M",TRUE,IFERROR(VLOOKUP(E10,#REF!,3,FALSE)="Yes",IFERROR(VLOOKUP(E10,'HIDDEN calc sheet'!A:B,2,FALSE),VLOOKUP(E10,'Additional questions'!B:D,3,FALSE)="Yes")))</f>
        <v>1</v>
      </c>
      <c r="J10" s="18" t="b">
        <f t="shared" si="1"/>
        <v>0</v>
      </c>
      <c r="K10" t="b">
        <f>OR(IFERROR(VLOOKUP(B10,'Profile selection'!B:C,2,FALSE)="Yes",FALSE),AND(B10="Security",OR(VLOOKUP("Security Profile 2",'Profile selection'!B:C,2)="Yes",VLOOKUP("Security Profile 3",'Profile selection'!B:C,2)="Yes")))</f>
        <v>1</v>
      </c>
      <c r="L10" s="20"/>
      <c r="M10" s="20"/>
    </row>
    <row r="11" spans="1:13" x14ac:dyDescent="0.25">
      <c r="A11" t="str">
        <f>'HIDDEN import'!B10</f>
        <v>TC_011_1_CSMS</v>
      </c>
      <c r="B11" t="str">
        <f>'HIDDEN import'!C10</f>
        <v>Core</v>
      </c>
      <c r="C11" t="str">
        <f>'HIDDEN import'!D10</f>
        <v>Remote Start Charging Session – Remote Start First</v>
      </c>
      <c r="D11" t="str">
        <f>IF(VLOOKUP(A11&amp;" "&amp;B11,'HIDDEN import'!A:G,5,FALSE)="M",MD!$A$1,IF(VLOOKUP(A11&amp;" "&amp;B11,'HIDDEN import'!A:G,5,FALSE)="O",MD!$A$4,(IF(AND(VLOOKUP(A11,'HIDDEN import'!B:E,4,FALSE)="C",OR(NOT(ISERROR(VLOOKUP(E11,'HIDDEN calc sheet'!A:C,1,FALSE)=E11)))),MD!$A$3,MD!$A$2))))</f>
        <v>Mandatory test for a mandatory feature</v>
      </c>
      <c r="E11" t="str">
        <f>IF('HIDDEN import'!F10=0,"",'HIDDEN import'!F10)</f>
        <v/>
      </c>
      <c r="F11" t="str">
        <f>IF('HIDDEN import'!G10=0,"",'HIDDEN import'!G10)</f>
        <v/>
      </c>
      <c r="G11" s="18" t="str">
        <f>IFERROR(VLOOKUP($A11,'HIDDEN Testrun Results'!$A:$B,2,FALSE),"")</f>
        <v/>
      </c>
      <c r="H11" s="18" t="b">
        <f t="shared" si="0"/>
        <v>1</v>
      </c>
      <c r="I11" s="18" t="b">
        <f>IF(VLOOKUP(A11&amp;" "&amp;B11,'HIDDEN import'!A:G,5,FALSE)="M",TRUE,IFERROR(VLOOKUP(E11,#REF!,3,FALSE)="Yes",IFERROR(VLOOKUP(E11,'HIDDEN calc sheet'!A:B,2,FALSE),VLOOKUP(E11,'Additional questions'!B:D,3,FALSE)="Yes")))</f>
        <v>1</v>
      </c>
      <c r="J11" s="18" t="b">
        <f t="shared" si="1"/>
        <v>0</v>
      </c>
      <c r="K11" t="b">
        <f>OR(IFERROR(VLOOKUP(B11,'Profile selection'!B:C,2,FALSE)="Yes",FALSE),AND(B11="Security",OR(VLOOKUP("Security Profile 2",'Profile selection'!B:C,2)="Yes",VLOOKUP("Security Profile 3",'Profile selection'!B:C,2)="Yes")))</f>
        <v>1</v>
      </c>
      <c r="L11" s="20"/>
      <c r="M11" s="20"/>
    </row>
    <row r="12" spans="1:13" x14ac:dyDescent="0.25">
      <c r="A12" t="str">
        <f>'HIDDEN import'!B11</f>
        <v>TC_011_2_CSMS</v>
      </c>
      <c r="B12" t="str">
        <f>'HIDDEN import'!C11</f>
        <v>Core</v>
      </c>
      <c r="C12" t="str">
        <f>'HIDDEN import'!D11</f>
        <v>Remote Start Charging Session – Time Out</v>
      </c>
      <c r="D12" t="str">
        <f>IF(VLOOKUP(A12&amp;" "&amp;B12,'HIDDEN import'!A:G,5,FALSE)="M",MD!$A$1,IF(VLOOKUP(A12&amp;" "&amp;B12,'HIDDEN import'!A:G,5,FALSE)="O",MD!$A$4,(IF(AND(VLOOKUP(A12,'HIDDEN import'!B:E,4,FALSE)="C",OR(NOT(ISERROR(VLOOKUP(E12,'HIDDEN calc sheet'!A:C,1,FALSE)=E12)))),MD!$A$3,MD!$A$2))))</f>
        <v>Mandatory test for a mandatory feature</v>
      </c>
      <c r="E12" t="str">
        <f>IF('HIDDEN import'!F11=0,"",'HIDDEN import'!F11)</f>
        <v/>
      </c>
      <c r="F12" t="str">
        <f>IF('HIDDEN import'!G11=0,"",'HIDDEN import'!G11)</f>
        <v/>
      </c>
      <c r="G12" s="18" t="str">
        <f>IFERROR(VLOOKUP($A12,'HIDDEN Testrun Results'!$A:$B,2,FALSE),"")</f>
        <v/>
      </c>
      <c r="H12" s="18" t="b">
        <f t="shared" si="0"/>
        <v>1</v>
      </c>
      <c r="I12" s="18" t="b">
        <f>IF(VLOOKUP(A12&amp;" "&amp;B12,'HIDDEN import'!A:G,5,FALSE)="M",TRUE,IFERROR(VLOOKUP(E12,#REF!,3,FALSE)="Yes",IFERROR(VLOOKUP(E12,'HIDDEN calc sheet'!A:B,2,FALSE),VLOOKUP(E12,'Additional questions'!B:D,3,FALSE)="Yes")))</f>
        <v>1</v>
      </c>
      <c r="J12" s="18" t="b">
        <f t="shared" si="1"/>
        <v>0</v>
      </c>
      <c r="K12" t="b">
        <f>OR(IFERROR(VLOOKUP(B12,'Profile selection'!B:C,2,FALSE)="Yes",FALSE),AND(B12="Security",OR(VLOOKUP("Security Profile 2",'Profile selection'!B:C,2)="Yes",VLOOKUP("Security Profile 3",'Profile selection'!B:C,2)="Yes")))</f>
        <v>1</v>
      </c>
      <c r="L12" s="20"/>
      <c r="M12" s="20"/>
    </row>
    <row r="13" spans="1:13" x14ac:dyDescent="0.25">
      <c r="A13" t="str">
        <f>'HIDDEN import'!B12</f>
        <v>TC_012_CSMS</v>
      </c>
      <c r="B13" t="str">
        <f>'HIDDEN import'!C12</f>
        <v>Core</v>
      </c>
      <c r="C13" t="str">
        <f>'HIDDEN import'!D12</f>
        <v>Remote Stop Charging Session</v>
      </c>
      <c r="D13" t="str">
        <f>IF(VLOOKUP(A13&amp;" "&amp;B13,'HIDDEN import'!A:G,5,FALSE)="M",MD!$A$1,IF(VLOOKUP(A13&amp;" "&amp;B13,'HIDDEN import'!A:G,5,FALSE)="O",MD!$A$4,(IF(AND(VLOOKUP(A13,'HIDDEN import'!B:E,4,FALSE)="C",OR(NOT(ISERROR(VLOOKUP(E13,'HIDDEN calc sheet'!A:C,1,FALSE)=E13)))),MD!$A$3,MD!$A$2))))</f>
        <v>Mandatory test for a mandatory feature</v>
      </c>
      <c r="E13" t="str">
        <f>IF('HIDDEN import'!F12=0,"",'HIDDEN import'!F12)</f>
        <v/>
      </c>
      <c r="F13" t="str">
        <f>IF('HIDDEN import'!G12=0,"",'HIDDEN import'!G12)</f>
        <v/>
      </c>
      <c r="G13" s="18" t="str">
        <f>IFERROR(VLOOKUP($A13,'HIDDEN Testrun Results'!$A:$B,2,FALSE),"")</f>
        <v/>
      </c>
      <c r="H13" s="18" t="b">
        <f t="shared" si="0"/>
        <v>1</v>
      </c>
      <c r="I13" s="18" t="b">
        <f>IF(VLOOKUP(A13&amp;" "&amp;B13,'HIDDEN import'!A:G,5,FALSE)="M",TRUE,IFERROR(VLOOKUP(E13,#REF!,3,FALSE)="Yes",IFERROR(VLOOKUP(E13,'HIDDEN calc sheet'!A:B,2,FALSE),VLOOKUP(E13,'Additional questions'!B:D,3,FALSE)="Yes")))</f>
        <v>1</v>
      </c>
      <c r="J13" s="18" t="b">
        <f t="shared" si="1"/>
        <v>0</v>
      </c>
      <c r="K13" t="b">
        <f>OR(IFERROR(VLOOKUP(B13,'Profile selection'!B:C,2,FALSE)="Yes",FALSE),AND(B13="Security",OR(VLOOKUP("Security Profile 2",'Profile selection'!B:C,2)="Yes",VLOOKUP("Security Profile 3",'Profile selection'!B:C,2)="Yes")))</f>
        <v>1</v>
      </c>
      <c r="L13" s="20"/>
      <c r="M13" s="20"/>
    </row>
    <row r="14" spans="1:13" x14ac:dyDescent="0.25">
      <c r="A14" t="str">
        <f>'HIDDEN import'!B13</f>
        <v>TC_013_CSMS</v>
      </c>
      <c r="B14" t="str">
        <f>'HIDDEN import'!C13</f>
        <v>Core</v>
      </c>
      <c r="C14" t="str">
        <f>'HIDDEN import'!D13</f>
        <v>Hard Reset Without transaction</v>
      </c>
      <c r="D14" t="str">
        <f>IF(VLOOKUP(A14&amp;" "&amp;B14,'HIDDEN import'!A:G,5,FALSE)="M",MD!$A$1,IF(VLOOKUP(A14&amp;" "&amp;B14,'HIDDEN import'!A:G,5,FALSE)="O",MD!$A$4,(IF(AND(VLOOKUP(A14,'HIDDEN import'!B:E,4,FALSE)="C",OR(NOT(ISERROR(VLOOKUP(E14,'HIDDEN calc sheet'!A:C,1,FALSE)=E14)))),MD!$A$3,MD!$A$2))))</f>
        <v>Mandatory test for a mandatory feature</v>
      </c>
      <c r="E14" t="str">
        <f>IF('HIDDEN import'!F13=0,"",'HIDDEN import'!F13)</f>
        <v/>
      </c>
      <c r="F14" t="str">
        <f>IF('HIDDEN import'!G13=0,"",'HIDDEN import'!G13)</f>
        <v/>
      </c>
      <c r="G14" s="18" t="str">
        <f>IFERROR(VLOOKUP($A14,'HIDDEN Testrun Results'!$A:$B,2,FALSE),"")</f>
        <v/>
      </c>
      <c r="H14" s="18" t="b">
        <f t="shared" si="0"/>
        <v>1</v>
      </c>
      <c r="I14" s="18" t="b">
        <f>IF(VLOOKUP(A14&amp;" "&amp;B14,'HIDDEN import'!A:G,5,FALSE)="M",TRUE,IFERROR(VLOOKUP(E14,#REF!,3,FALSE)="Yes",IFERROR(VLOOKUP(E14,'HIDDEN calc sheet'!A:B,2,FALSE),VLOOKUP(E14,'Additional questions'!B:D,3,FALSE)="Yes")))</f>
        <v>1</v>
      </c>
      <c r="J14" s="18" t="b">
        <f t="shared" si="1"/>
        <v>0</v>
      </c>
      <c r="K14" t="b">
        <f>OR(IFERROR(VLOOKUP(B14,'Profile selection'!B:C,2,FALSE)="Yes",FALSE),AND(B14="Security",OR(VLOOKUP("Security Profile 2",'Profile selection'!B:C,2)="Yes",VLOOKUP("Security Profile 3",'Profile selection'!B:C,2)="Yes")))</f>
        <v>1</v>
      </c>
      <c r="L14" s="20"/>
      <c r="M14" s="20"/>
    </row>
    <row r="15" spans="1:13" x14ac:dyDescent="0.25">
      <c r="A15" t="str">
        <f>'HIDDEN import'!B14</f>
        <v>TC_014_CSMS</v>
      </c>
      <c r="B15" t="str">
        <f>'HIDDEN import'!C14</f>
        <v>Core</v>
      </c>
      <c r="C15" t="str">
        <f>'HIDDEN import'!D14</f>
        <v>Soft Reset Without Transaction</v>
      </c>
      <c r="D15" t="str">
        <f>IF(VLOOKUP(A15&amp;" "&amp;B15,'HIDDEN import'!A:G,5,FALSE)="M",MD!$A$1,IF(VLOOKUP(A15&amp;" "&amp;B15,'HIDDEN import'!A:G,5,FALSE)="O",MD!$A$4,(IF(AND(VLOOKUP(A15,'HIDDEN import'!B:E,4,FALSE)="C",OR(NOT(ISERROR(VLOOKUP(E15,'HIDDEN calc sheet'!A:C,1,FALSE)=E15)))),MD!$A$3,MD!$A$2))))</f>
        <v>Mandatory test for a mandatory feature</v>
      </c>
      <c r="E15" t="str">
        <f>IF('HIDDEN import'!F14=0,"",'HIDDEN import'!F14)</f>
        <v/>
      </c>
      <c r="F15" t="str">
        <f>IF('HIDDEN import'!G14=0,"",'HIDDEN import'!G14)</f>
        <v/>
      </c>
      <c r="G15" s="18" t="str">
        <f>IFERROR(VLOOKUP($A15,'HIDDEN Testrun Results'!$A:$B,2,FALSE),"")</f>
        <v/>
      </c>
      <c r="H15" s="18" t="b">
        <f t="shared" si="0"/>
        <v>1</v>
      </c>
      <c r="I15" s="18" t="b">
        <f>IF(VLOOKUP(A15&amp;" "&amp;B15,'HIDDEN import'!A:G,5,FALSE)="M",TRUE,IFERROR(VLOOKUP(E15,#REF!,3,FALSE)="Yes",IFERROR(VLOOKUP(E15,'HIDDEN calc sheet'!A:B,2,FALSE),VLOOKUP(E15,'Additional questions'!B:D,3,FALSE)="Yes")))</f>
        <v>1</v>
      </c>
      <c r="J15" s="18" t="b">
        <f t="shared" si="1"/>
        <v>0</v>
      </c>
      <c r="K15" t="b">
        <f>OR(IFERROR(VLOOKUP(B15,'Profile selection'!B:C,2,FALSE)="Yes",FALSE),AND(B15="Security",OR(VLOOKUP("Security Profile 2",'Profile selection'!B:C,2)="Yes",VLOOKUP("Security Profile 3",'Profile selection'!B:C,2)="Yes")))</f>
        <v>1</v>
      </c>
      <c r="L15" s="20"/>
      <c r="M15" s="20"/>
    </row>
    <row r="16" spans="1:13" x14ac:dyDescent="0.25">
      <c r="A16" t="str">
        <f>'HIDDEN import'!B15</f>
        <v>TC_017_1_CSMS</v>
      </c>
      <c r="B16" t="str">
        <f>'HIDDEN import'!C15</f>
        <v>Core</v>
      </c>
      <c r="C16" t="str">
        <f>'HIDDEN import'!D15</f>
        <v>Unlock connector - no charging session running (Not fixed cable)</v>
      </c>
      <c r="D16" t="str">
        <f>IF(VLOOKUP(A16&amp;" "&amp;B16,'HIDDEN import'!A:G,5,FALSE)="M",MD!$A$1,IF(VLOOKUP(A16&amp;" "&amp;B16,'HIDDEN import'!A:G,5,FALSE)="O",MD!$A$4,(IF(AND(VLOOKUP(A16,'HIDDEN import'!B:E,4,FALSE)="C",OR(NOT(ISERROR(VLOOKUP(E16,'HIDDEN calc sheet'!A:C,1,FALSE)=E16)))),MD!$A$3,MD!$A$2))))</f>
        <v>Mandatory test for a mandatory feature</v>
      </c>
      <c r="E16" t="str">
        <f>IF('HIDDEN import'!F15=0,"",'HIDDEN import'!F15)</f>
        <v/>
      </c>
      <c r="F16" t="str">
        <f>IF('HIDDEN import'!G15=0,"",'HIDDEN import'!G15)</f>
        <v/>
      </c>
      <c r="G16" s="18" t="str">
        <f>IFERROR(VLOOKUP($A16,'HIDDEN Testrun Results'!$A:$B,2,FALSE),"")</f>
        <v/>
      </c>
      <c r="H16" s="18" t="b">
        <f t="shared" si="0"/>
        <v>1</v>
      </c>
      <c r="I16" s="18" t="b">
        <f>IF(VLOOKUP(A16&amp;" "&amp;B16,'HIDDEN import'!A:G,5,FALSE)="M",TRUE,IFERROR(VLOOKUP(E16,#REF!,3,FALSE)="Yes",IFERROR(VLOOKUP(E16,'HIDDEN calc sheet'!A:B,2,FALSE),VLOOKUP(E16,'Additional questions'!B:D,3,FALSE)="Yes")))</f>
        <v>1</v>
      </c>
      <c r="J16" s="18" t="b">
        <f t="shared" si="1"/>
        <v>0</v>
      </c>
      <c r="K16" t="b">
        <f>OR(IFERROR(VLOOKUP(B16,'Profile selection'!B:C,2,FALSE)="Yes",FALSE),AND(B16="Security",OR(VLOOKUP("Security Profile 2",'Profile selection'!B:C,2)="Yes",VLOOKUP("Security Profile 3",'Profile selection'!B:C,2)="Yes")))</f>
        <v>1</v>
      </c>
      <c r="L16" s="20"/>
      <c r="M16" s="20"/>
    </row>
    <row r="17" spans="1:13" x14ac:dyDescent="0.25">
      <c r="A17" t="str">
        <f>'HIDDEN import'!B16</f>
        <v>TC_017_2_CSMS</v>
      </c>
      <c r="B17" t="str">
        <f>'HIDDEN import'!C16</f>
        <v>Core</v>
      </c>
      <c r="C17" t="str">
        <f>'HIDDEN import'!D16</f>
        <v>Unlock connector - no charging session running (Fixed cable)</v>
      </c>
      <c r="D17" t="str">
        <f>IF(VLOOKUP(A17&amp;" "&amp;B17,'HIDDEN import'!A:G,5,FALSE)="M",MD!$A$1,IF(VLOOKUP(A17&amp;" "&amp;B17,'HIDDEN import'!A:G,5,FALSE)="O",MD!$A$4,(IF(AND(VLOOKUP(A17,'HIDDEN import'!B:E,4,FALSE)="C",OR(NOT(ISERROR(VLOOKUP(E17,'HIDDEN calc sheet'!A:C,1,FALSE)=E17)))),MD!$A$3,MD!$A$2))))</f>
        <v>Mandatory test for a mandatory feature</v>
      </c>
      <c r="E17" t="str">
        <f>IF('HIDDEN import'!F16=0,"",'HIDDEN import'!F16)</f>
        <v/>
      </c>
      <c r="F17" t="str">
        <f>IF('HIDDEN import'!G16=0,"",'HIDDEN import'!G16)</f>
        <v/>
      </c>
      <c r="G17" s="18" t="str">
        <f>IFERROR(VLOOKUP($A17,'HIDDEN Testrun Results'!$A:$B,2,FALSE),"")</f>
        <v/>
      </c>
      <c r="H17" s="18" t="b">
        <f t="shared" si="0"/>
        <v>1</v>
      </c>
      <c r="I17" s="18" t="b">
        <f>IF(VLOOKUP(A17&amp;" "&amp;B17,'HIDDEN import'!A:G,5,FALSE)="M",TRUE,IFERROR(VLOOKUP(E17,#REF!,3,FALSE)="Yes",IFERROR(VLOOKUP(E17,'HIDDEN calc sheet'!A:B,2,FALSE),VLOOKUP(E17,'Additional questions'!B:D,3,FALSE)="Yes")))</f>
        <v>1</v>
      </c>
      <c r="J17" s="18" t="b">
        <f t="shared" si="1"/>
        <v>0</v>
      </c>
      <c r="K17" t="b">
        <f>OR(IFERROR(VLOOKUP(B17,'Profile selection'!B:C,2,FALSE)="Yes",FALSE),AND(B17="Security",OR(VLOOKUP("Security Profile 2",'Profile selection'!B:C,2)="Yes",VLOOKUP("Security Profile 3",'Profile selection'!B:C,2)="Yes")))</f>
        <v>1</v>
      </c>
      <c r="L17" s="20"/>
      <c r="M17" s="20"/>
    </row>
    <row r="18" spans="1:13" x14ac:dyDescent="0.25">
      <c r="A18" t="str">
        <f>'HIDDEN import'!B17</f>
        <v>TC_019_1_CSMS</v>
      </c>
      <c r="B18" t="str">
        <f>'HIDDEN import'!C17</f>
        <v>Core</v>
      </c>
      <c r="C18" t="str">
        <f>'HIDDEN import'!D17</f>
        <v>Retrieve all configuration keys</v>
      </c>
      <c r="D18" t="str">
        <f>IF(VLOOKUP(A18&amp;" "&amp;B18,'HIDDEN import'!A:G,5,FALSE)="M",MD!$A$1,IF(VLOOKUP(A18&amp;" "&amp;B18,'HIDDEN import'!A:G,5,FALSE)="O",MD!$A$4,(IF(AND(VLOOKUP(A18,'HIDDEN import'!B:E,4,FALSE)="C",OR(NOT(ISERROR(VLOOKUP(E18,'HIDDEN calc sheet'!A:C,1,FALSE)=E18)))),MD!$A$3,MD!$A$2))))</f>
        <v>Mandatory test for a mandatory feature</v>
      </c>
      <c r="E18" t="str">
        <f>IF('HIDDEN import'!F17=0,"",'HIDDEN import'!F17)</f>
        <v/>
      </c>
      <c r="F18" t="str">
        <f>IF('HIDDEN import'!G17=0,"",'HIDDEN import'!G17)</f>
        <v/>
      </c>
      <c r="G18" s="18" t="str">
        <f>IFERROR(VLOOKUP($A18,'HIDDEN Testrun Results'!$A:$B,2,FALSE),"")</f>
        <v/>
      </c>
      <c r="H18" s="18" t="b">
        <f t="shared" si="0"/>
        <v>1</v>
      </c>
      <c r="I18" s="18" t="b">
        <f>IF(VLOOKUP(A18&amp;" "&amp;B18,'HIDDEN import'!A:G,5,FALSE)="M",TRUE,IFERROR(VLOOKUP(E18,#REF!,3,FALSE)="Yes",IFERROR(VLOOKUP(E18,'HIDDEN calc sheet'!A:B,2,FALSE),VLOOKUP(E18,'Additional questions'!B:D,3,FALSE)="Yes")))</f>
        <v>1</v>
      </c>
      <c r="J18" s="18" t="b">
        <f t="shared" si="1"/>
        <v>0</v>
      </c>
      <c r="K18" t="b">
        <f>OR(IFERROR(VLOOKUP(B18,'Profile selection'!B:C,2,FALSE)="Yes",FALSE),AND(B18="Security",OR(VLOOKUP("Security Profile 2",'Profile selection'!B:C,2)="Yes",VLOOKUP("Security Profile 3",'Profile selection'!B:C,2)="Yes")))</f>
        <v>1</v>
      </c>
      <c r="L18" s="20"/>
      <c r="M18" s="20"/>
    </row>
    <row r="19" spans="1:13" x14ac:dyDescent="0.25">
      <c r="A19" t="str">
        <f>'HIDDEN import'!B18</f>
        <v>TC_019_2_CSMS</v>
      </c>
      <c r="B19" t="str">
        <f>'HIDDEN import'!C18</f>
        <v>Core</v>
      </c>
      <c r="C19" t="str">
        <f>'HIDDEN import'!D18</f>
        <v>Retrieve specific configuration key</v>
      </c>
      <c r="D19" t="str">
        <f>IF(VLOOKUP(A19&amp;" "&amp;B19,'HIDDEN import'!A:G,5,FALSE)="M",MD!$A$1,IF(VLOOKUP(A19&amp;" "&amp;B19,'HIDDEN import'!A:G,5,FALSE)="O",MD!$A$4,(IF(AND(VLOOKUP(A19,'HIDDEN import'!B:E,4,FALSE)="C",OR(NOT(ISERROR(VLOOKUP(E19,'HIDDEN calc sheet'!A:C,1,FALSE)=E19)))),MD!$A$3,MD!$A$2))))</f>
        <v>Mandatory test for a mandatory feature</v>
      </c>
      <c r="E19" t="str">
        <f>IF('HIDDEN import'!F18=0,"",'HIDDEN import'!F18)</f>
        <v/>
      </c>
      <c r="F19" t="str">
        <f>IF('HIDDEN import'!G18=0,"",'HIDDEN import'!G18)</f>
        <v/>
      </c>
      <c r="G19" s="18" t="str">
        <f>IFERROR(VLOOKUP($A19,'HIDDEN Testrun Results'!$A:$B,2,FALSE),"")</f>
        <v/>
      </c>
      <c r="H19" s="18" t="b">
        <f t="shared" si="0"/>
        <v>1</v>
      </c>
      <c r="I19" s="18" t="b">
        <f>IF(VLOOKUP(A19&amp;" "&amp;B19,'HIDDEN import'!A:G,5,FALSE)="M",TRUE,IFERROR(VLOOKUP(E19,#REF!,3,FALSE)="Yes",IFERROR(VLOOKUP(E19,'HIDDEN calc sheet'!A:B,2,FALSE),VLOOKUP(E19,'Additional questions'!B:D,3,FALSE)="Yes")))</f>
        <v>1</v>
      </c>
      <c r="J19" s="18" t="b">
        <f t="shared" si="1"/>
        <v>0</v>
      </c>
      <c r="K19" t="b">
        <f>OR(IFERROR(VLOOKUP(B19,'Profile selection'!B:C,2,FALSE)="Yes",FALSE),AND(B19="Security",OR(VLOOKUP("Security Profile 2",'Profile selection'!B:C,2)="Yes",VLOOKUP("Security Profile 3",'Profile selection'!B:C,2)="Yes")))</f>
        <v>1</v>
      </c>
      <c r="L19" s="20"/>
      <c r="M19" s="20"/>
    </row>
    <row r="20" spans="1:13" x14ac:dyDescent="0.25">
      <c r="A20" t="str">
        <f>'HIDDEN import'!B19</f>
        <v>TC_021_CSMS</v>
      </c>
      <c r="B20" t="str">
        <f>'HIDDEN import'!C19</f>
        <v>Core</v>
      </c>
      <c r="C20" t="str">
        <f>'HIDDEN import'!D19</f>
        <v>Change/set Configuration</v>
      </c>
      <c r="D20" t="str">
        <f>IF(VLOOKUP(A20&amp;" "&amp;B20,'HIDDEN import'!A:G,5,FALSE)="M",MD!$A$1,IF(VLOOKUP(A20&amp;" "&amp;B20,'HIDDEN import'!A:G,5,FALSE)="O",MD!$A$4,(IF(AND(VLOOKUP(A20,'HIDDEN import'!B:E,4,FALSE)="C",OR(NOT(ISERROR(VLOOKUP(E20,'HIDDEN calc sheet'!A:C,1,FALSE)=E20)))),MD!$A$3,MD!$A$2))))</f>
        <v>Mandatory test for a mandatory feature</v>
      </c>
      <c r="E20" t="str">
        <f>IF('HIDDEN import'!F19=0,"",'HIDDEN import'!F19)</f>
        <v/>
      </c>
      <c r="F20" t="str">
        <f>IF('HIDDEN import'!G19=0,"",'HIDDEN import'!G19)</f>
        <v/>
      </c>
      <c r="G20" s="18" t="str">
        <f>IFERROR(VLOOKUP($A20,'HIDDEN Testrun Results'!$A:$B,2,FALSE),"")</f>
        <v/>
      </c>
      <c r="H20" s="18" t="b">
        <f t="shared" si="0"/>
        <v>1</v>
      </c>
      <c r="I20" s="18" t="b">
        <f>IF(VLOOKUP(A20&amp;" "&amp;B20,'HIDDEN import'!A:G,5,FALSE)="M",TRUE,IFERROR(VLOOKUP(E20,#REF!,3,FALSE)="Yes",IFERROR(VLOOKUP(E20,'HIDDEN calc sheet'!A:B,2,FALSE),VLOOKUP(E20,'Additional questions'!B:D,3,FALSE)="Yes")))</f>
        <v>1</v>
      </c>
      <c r="J20" s="18" t="b">
        <f t="shared" si="1"/>
        <v>0</v>
      </c>
      <c r="K20" t="b">
        <f>OR(IFERROR(VLOOKUP(B20,'Profile selection'!B:C,2,FALSE)="Yes",FALSE),AND(B20="Security",OR(VLOOKUP("Security Profile 2",'Profile selection'!B:C,2)="Yes",VLOOKUP("Security Profile 3",'Profile selection'!B:C,2)="Yes")))</f>
        <v>1</v>
      </c>
      <c r="L20" s="20"/>
      <c r="M20" s="20"/>
    </row>
    <row r="21" spans="1:13" x14ac:dyDescent="0.25">
      <c r="A21" t="str">
        <f>'HIDDEN import'!B20</f>
        <v>TC_023_1_CSMS</v>
      </c>
      <c r="B21" t="str">
        <f>'HIDDEN import'!C20</f>
        <v>Core</v>
      </c>
      <c r="C21" t="str">
        <f>'HIDDEN import'!D20</f>
        <v>Start Charging Session – Authorize invalid</v>
      </c>
      <c r="D21" t="str">
        <f>IF(VLOOKUP(A21&amp;" "&amp;B21,'HIDDEN import'!A:G,5,FALSE)="M",MD!$A$1,IF(VLOOKUP(A21&amp;" "&amp;B21,'HIDDEN import'!A:G,5,FALSE)="O",MD!$A$4,(IF(AND(VLOOKUP(A21,'HIDDEN import'!B:E,4,FALSE)="C",OR(NOT(ISERROR(VLOOKUP(E21,'HIDDEN calc sheet'!A:C,1,FALSE)=E21)))),MD!$A$3,MD!$A$2))))</f>
        <v>Mandatory test for a mandatory feature</v>
      </c>
      <c r="E21" t="str">
        <f>IF('HIDDEN import'!F20=0,"",'HIDDEN import'!F20)</f>
        <v/>
      </c>
      <c r="F21" t="str">
        <f>IF('HIDDEN import'!G20=0,"",'HIDDEN import'!G20)</f>
        <v/>
      </c>
      <c r="G21" s="18" t="str">
        <f>IFERROR(VLOOKUP($A21,'HIDDEN Testrun Results'!$A:$B,2,FALSE),"")</f>
        <v/>
      </c>
      <c r="H21" s="18" t="b">
        <f t="shared" si="0"/>
        <v>1</v>
      </c>
      <c r="I21" s="18" t="b">
        <f>IF(VLOOKUP(A21&amp;" "&amp;B21,'HIDDEN import'!A:G,5,FALSE)="M",TRUE,IFERROR(VLOOKUP(E21,#REF!,3,FALSE)="Yes",IFERROR(VLOOKUP(E21,'HIDDEN calc sheet'!A:B,2,FALSE),VLOOKUP(E21,'Additional questions'!B:D,3,FALSE)="Yes")))</f>
        <v>1</v>
      </c>
      <c r="J21" s="18" t="b">
        <f t="shared" si="1"/>
        <v>0</v>
      </c>
      <c r="K21" t="b">
        <f>OR(IFERROR(VLOOKUP(B21,'Profile selection'!B:C,2,FALSE)="Yes",FALSE),AND(B21="Security",OR(VLOOKUP("Security Profile 2",'Profile selection'!B:C,2)="Yes",VLOOKUP("Security Profile 3",'Profile selection'!B:C,2)="Yes")))</f>
        <v>1</v>
      </c>
      <c r="L21" s="20"/>
      <c r="M21" s="20"/>
    </row>
    <row r="22" spans="1:13" x14ac:dyDescent="0.25">
      <c r="A22" t="str">
        <f>'HIDDEN import'!B21</f>
        <v>TC_023_2_CSMS</v>
      </c>
      <c r="B22" t="str">
        <f>'HIDDEN import'!C21</f>
        <v>Core</v>
      </c>
      <c r="C22" t="str">
        <f>'HIDDEN import'!D21</f>
        <v>Start Charging Session – Authorize expired</v>
      </c>
      <c r="D22" t="str">
        <f>IF(VLOOKUP(A22&amp;" "&amp;B22,'HIDDEN import'!A:G,5,FALSE)="M",MD!$A$1,IF(VLOOKUP(A22&amp;" "&amp;B22,'HIDDEN import'!A:G,5,FALSE)="O",MD!$A$4,(IF(AND(VLOOKUP(A22,'HIDDEN import'!B:E,4,FALSE)="C",OR(NOT(ISERROR(VLOOKUP(E22,'HIDDEN calc sheet'!A:C,1,FALSE)=E22)))),MD!$A$3,MD!$A$2))))</f>
        <v>Mandatory test for a mandatory feature</v>
      </c>
      <c r="E22" t="str">
        <f>IF('HIDDEN import'!F21=0,"",'HIDDEN import'!F21)</f>
        <v/>
      </c>
      <c r="F22" t="str">
        <f>IF('HIDDEN import'!G21=0,"",'HIDDEN import'!G21)</f>
        <v/>
      </c>
      <c r="G22" s="18" t="str">
        <f>IFERROR(VLOOKUP($A22,'HIDDEN Testrun Results'!$A:$B,2,FALSE),"")</f>
        <v/>
      </c>
      <c r="H22" s="18" t="b">
        <f t="shared" si="0"/>
        <v>1</v>
      </c>
      <c r="I22" s="18" t="b">
        <f>IF(VLOOKUP(A22&amp;" "&amp;B22,'HIDDEN import'!A:G,5,FALSE)="M",TRUE,IFERROR(VLOOKUP(E22,#REF!,3,FALSE)="Yes",IFERROR(VLOOKUP(E22,'HIDDEN calc sheet'!A:B,2,FALSE),VLOOKUP(E22,'Additional questions'!B:D,3,FALSE)="Yes")))</f>
        <v>1</v>
      </c>
      <c r="J22" s="18" t="b">
        <f t="shared" si="1"/>
        <v>0</v>
      </c>
      <c r="K22" t="b">
        <f>OR(IFERROR(VLOOKUP(B22,'Profile selection'!B:C,2,FALSE)="Yes",FALSE),AND(B22="Security",OR(VLOOKUP("Security Profile 2",'Profile selection'!B:C,2)="Yes",VLOOKUP("Security Profile 3",'Profile selection'!B:C,2)="Yes")))</f>
        <v>1</v>
      </c>
      <c r="L22" s="20"/>
      <c r="M22" s="20"/>
    </row>
    <row r="23" spans="1:13" x14ac:dyDescent="0.25">
      <c r="A23" t="str">
        <f>'HIDDEN import'!B22</f>
        <v>TC_023_3_CSMS</v>
      </c>
      <c r="B23" t="str">
        <f>'HIDDEN import'!C22</f>
        <v>Core</v>
      </c>
      <c r="C23" t="str">
        <f>'HIDDEN import'!D22</f>
        <v>Start Charging Session – Authorize blocked</v>
      </c>
      <c r="D23" t="str">
        <f>IF(VLOOKUP(A23&amp;" "&amp;B23,'HIDDEN import'!A:G,5,FALSE)="M",MD!$A$1,IF(VLOOKUP(A23&amp;" "&amp;B23,'HIDDEN import'!A:G,5,FALSE)="O",MD!$A$4,(IF(AND(VLOOKUP(A23,'HIDDEN import'!B:E,4,FALSE)="C",OR(NOT(ISERROR(VLOOKUP(E23,'HIDDEN calc sheet'!A:C,1,FALSE)=E23)))),MD!$A$3,MD!$A$2))))</f>
        <v>Mandatory test for a mandatory feature</v>
      </c>
      <c r="E23" t="str">
        <f>IF('HIDDEN import'!F22=0,"",'HIDDEN import'!F22)</f>
        <v/>
      </c>
      <c r="F23" t="str">
        <f>IF('HIDDEN import'!G22=0,"",'HIDDEN import'!G22)</f>
        <v/>
      </c>
      <c r="G23" s="18" t="str">
        <f>IFERROR(VLOOKUP($A23,'HIDDEN Testrun Results'!$A:$B,2,FALSE),"")</f>
        <v/>
      </c>
      <c r="H23" s="18" t="b">
        <f t="shared" si="0"/>
        <v>1</v>
      </c>
      <c r="I23" s="18" t="b">
        <f>IF(VLOOKUP(A23&amp;" "&amp;B23,'HIDDEN import'!A:G,5,FALSE)="M",TRUE,IFERROR(VLOOKUP(E23,#REF!,3,FALSE)="Yes",IFERROR(VLOOKUP(E23,'HIDDEN calc sheet'!A:B,2,FALSE),VLOOKUP(E23,'Additional questions'!B:D,3,FALSE)="Yes")))</f>
        <v>1</v>
      </c>
      <c r="J23" s="18" t="b">
        <f t="shared" si="1"/>
        <v>0</v>
      </c>
      <c r="K23" t="b">
        <f>OR(IFERROR(VLOOKUP(B23,'Profile selection'!B:C,2,FALSE)="Yes",FALSE),AND(B23="Security",OR(VLOOKUP("Security Profile 2",'Profile selection'!B:C,2)="Yes",VLOOKUP("Security Profile 3",'Profile selection'!B:C,2)="Yes")))</f>
        <v>1</v>
      </c>
      <c r="L23" s="20"/>
      <c r="M23" s="20"/>
    </row>
    <row r="24" spans="1:13" x14ac:dyDescent="0.25">
      <c r="A24" t="str">
        <f>'HIDDEN import'!B23</f>
        <v>TC_024_CSMS</v>
      </c>
      <c r="B24" t="str">
        <f>'HIDDEN import'!C23</f>
        <v>Core</v>
      </c>
      <c r="C24" t="str">
        <f>'HIDDEN import'!D23</f>
        <v>Start Charging Session Lock Failure</v>
      </c>
      <c r="D24" t="str">
        <f>IF(VLOOKUP(A24&amp;" "&amp;B24,'HIDDEN import'!A:G,5,FALSE)="M",MD!$A$1,IF(VLOOKUP(A24&amp;" "&amp;B24,'HIDDEN import'!A:G,5,FALSE)="O",MD!$A$4,(IF(AND(VLOOKUP(A24,'HIDDEN import'!B:E,4,FALSE)="C",OR(NOT(ISERROR(VLOOKUP(E24,'HIDDEN calc sheet'!A:C,1,FALSE)=E24)))),MD!$A$3,MD!$A$2))))</f>
        <v>Mandatory test for a mandatory feature</v>
      </c>
      <c r="E24" t="str">
        <f>IF('HIDDEN import'!F23=0,"",'HIDDEN import'!F23)</f>
        <v/>
      </c>
      <c r="F24" t="str">
        <f>IF('HIDDEN import'!G23=0,"",'HIDDEN import'!G23)</f>
        <v/>
      </c>
      <c r="G24" s="18" t="str">
        <f>IFERROR(VLOOKUP($A24,'HIDDEN Testrun Results'!$A:$B,2,FALSE),"")</f>
        <v/>
      </c>
      <c r="H24" s="18" t="b">
        <f t="shared" si="0"/>
        <v>1</v>
      </c>
      <c r="I24" s="18" t="b">
        <f>IF(VLOOKUP(A24&amp;" "&amp;B24,'HIDDEN import'!A:G,5,FALSE)="M",TRUE,IFERROR(VLOOKUP(E24,#REF!,3,FALSE)="Yes",IFERROR(VLOOKUP(E24,'HIDDEN calc sheet'!A:B,2,FALSE),VLOOKUP(E24,'Additional questions'!B:D,3,FALSE)="Yes")))</f>
        <v>1</v>
      </c>
      <c r="J24" s="18" t="b">
        <f t="shared" si="1"/>
        <v>0</v>
      </c>
      <c r="K24" t="b">
        <f>OR(IFERROR(VLOOKUP(B24,'Profile selection'!B:C,2,FALSE)="Yes",FALSE),AND(B24="Security",OR(VLOOKUP("Security Profile 2",'Profile selection'!B:C,2)="Yes",VLOOKUP("Security Profile 3",'Profile selection'!B:C,2)="Yes")))</f>
        <v>1</v>
      </c>
      <c r="L24" s="20"/>
      <c r="M24" s="20"/>
    </row>
    <row r="25" spans="1:13" x14ac:dyDescent="0.25">
      <c r="A25" t="str">
        <f>'HIDDEN import'!B24</f>
        <v>TC_026_CSMS</v>
      </c>
      <c r="B25" t="str">
        <f>'HIDDEN import'!C24</f>
        <v>Core</v>
      </c>
      <c r="C25" t="str">
        <f>'HIDDEN import'!D24</f>
        <v>Remote Start Charging Session – Rejected</v>
      </c>
      <c r="D25" t="str">
        <f>IF(VLOOKUP(A25&amp;" "&amp;B25,'HIDDEN import'!A:G,5,FALSE)="M",MD!$A$1,IF(VLOOKUP(A25&amp;" "&amp;B25,'HIDDEN import'!A:G,5,FALSE)="O",MD!$A$4,(IF(AND(VLOOKUP(A25,'HIDDEN import'!B:E,4,FALSE)="C",OR(NOT(ISERROR(VLOOKUP(E25,'HIDDEN calc sheet'!A:C,1,FALSE)=E25)))),MD!$A$3,MD!$A$2))))</f>
        <v>Mandatory test for a mandatory feature</v>
      </c>
      <c r="E25" t="str">
        <f>IF('HIDDEN import'!F24=0,"",'HIDDEN import'!F24)</f>
        <v/>
      </c>
      <c r="F25" t="str">
        <f>IF('HIDDEN import'!G24=0,"",'HIDDEN import'!G24)</f>
        <v/>
      </c>
      <c r="G25" s="18" t="str">
        <f>IFERROR(VLOOKUP($A25,'HIDDEN Testrun Results'!$A:$B,2,FALSE),"")</f>
        <v/>
      </c>
      <c r="H25" s="18" t="b">
        <f t="shared" si="0"/>
        <v>1</v>
      </c>
      <c r="I25" s="18" t="b">
        <f>IF(VLOOKUP(A25&amp;" "&amp;B25,'HIDDEN import'!A:G,5,FALSE)="M",TRUE,IFERROR(VLOOKUP(E25,#REF!,3,FALSE)="Yes",IFERROR(VLOOKUP(E25,'HIDDEN calc sheet'!A:B,2,FALSE),VLOOKUP(E25,'Additional questions'!B:D,3,FALSE)="Yes")))</f>
        <v>1</v>
      </c>
      <c r="J25" s="18" t="b">
        <f t="shared" si="1"/>
        <v>0</v>
      </c>
      <c r="K25" t="b">
        <f>OR(IFERROR(VLOOKUP(B25,'Profile selection'!B:C,2,FALSE)="Yes",FALSE),AND(B25="Security",OR(VLOOKUP("Security Profile 2",'Profile selection'!B:C,2)="Yes",VLOOKUP("Security Profile 3",'Profile selection'!B:C,2)="Yes")))</f>
        <v>1</v>
      </c>
      <c r="L25" s="20"/>
      <c r="M25" s="20"/>
    </row>
    <row r="26" spans="1:13" x14ac:dyDescent="0.25">
      <c r="A26" t="str">
        <f>'HIDDEN import'!B25</f>
        <v>TC_028_CSMS</v>
      </c>
      <c r="B26" t="str">
        <f>'HIDDEN import'!C25</f>
        <v>Core</v>
      </c>
      <c r="C26" t="str">
        <f>'HIDDEN import'!D25</f>
        <v>Remote Stop Transaction – Rejected</v>
      </c>
      <c r="D26" t="str">
        <f>IF(VLOOKUP(A26&amp;" "&amp;B26,'HIDDEN import'!A:G,5,FALSE)="M",MD!$A$1,IF(VLOOKUP(A26&amp;" "&amp;B26,'HIDDEN import'!A:G,5,FALSE)="O",MD!$A$4,(IF(AND(VLOOKUP(A26,'HIDDEN import'!B:E,4,FALSE)="C",OR(NOT(ISERROR(VLOOKUP(E26,'HIDDEN calc sheet'!A:C,1,FALSE)=E26)))),MD!$A$3,MD!$A$2))))</f>
        <v>Optional test case</v>
      </c>
      <c r="E26" t="str">
        <f>IF('HIDDEN import'!F25=0,"",'HIDDEN import'!F25)</f>
        <v/>
      </c>
      <c r="F26" t="str">
        <f>IF('HIDDEN import'!G25=0,"",'HIDDEN import'!G25)</f>
        <v/>
      </c>
      <c r="G26" s="18" t="str">
        <f>IFERROR(VLOOKUP($A26,'HIDDEN Testrun Results'!$A:$B,2,FALSE),"")</f>
        <v/>
      </c>
      <c r="H26" s="18" t="str">
        <f t="shared" si="0"/>
        <v>Up to vendor</v>
      </c>
      <c r="I26" s="18" t="e">
        <f>IF(VLOOKUP(A26&amp;" "&amp;B26,'HIDDEN import'!A:G,5,FALSE)="M",TRUE,IFERROR(VLOOKUP(E26,#REF!,3,FALSE)="Yes",IFERROR(VLOOKUP(E26,'HIDDEN calc sheet'!A:B,2,FALSE),VLOOKUP(E26,'Additional questions'!B:D,3,FALSE)="Yes")))</f>
        <v>#N/A</v>
      </c>
      <c r="J26" s="18" t="b">
        <f t="shared" si="1"/>
        <v>1</v>
      </c>
      <c r="K26" t="b">
        <f>OR(IFERROR(VLOOKUP(B26,'Profile selection'!B:C,2,FALSE)="Yes",FALSE),AND(B26="Security",OR(VLOOKUP("Security Profile 2",'Profile selection'!B:C,2)="Yes",VLOOKUP("Security Profile 3",'Profile selection'!B:C,2)="Yes")))</f>
        <v>1</v>
      </c>
      <c r="L26" s="20"/>
      <c r="M26" s="20"/>
    </row>
    <row r="27" spans="1:13" x14ac:dyDescent="0.25">
      <c r="A27" t="str">
        <f>'HIDDEN import'!B26</f>
        <v>TC_030_CSMS</v>
      </c>
      <c r="B27" t="str">
        <f>'HIDDEN import'!C26</f>
        <v>Core</v>
      </c>
      <c r="C27" t="str">
        <f>'HIDDEN import'!D26</f>
        <v>Unlock Connector – Unlock Failure</v>
      </c>
      <c r="D27" t="str">
        <f>IF(VLOOKUP(A27&amp;" "&amp;B27,'HIDDEN import'!A:G,5,FALSE)="M",MD!$A$1,IF(VLOOKUP(A27&amp;" "&amp;B27,'HIDDEN import'!A:G,5,FALSE)="O",MD!$A$4,(IF(AND(VLOOKUP(A27,'HIDDEN import'!B:E,4,FALSE)="C",OR(NOT(ISERROR(VLOOKUP(E27,'HIDDEN calc sheet'!A:C,1,FALSE)=E27)))),MD!$A$3,MD!$A$2))))</f>
        <v>Mandatory test for a mandatory feature</v>
      </c>
      <c r="E27" t="str">
        <f>IF('HIDDEN import'!F26=0,"",'HIDDEN import'!F26)</f>
        <v/>
      </c>
      <c r="F27" t="str">
        <f>IF('HIDDEN import'!G26=0,"",'HIDDEN import'!G26)</f>
        <v/>
      </c>
      <c r="G27" s="18" t="str">
        <f>IFERROR(VLOOKUP($A27,'HIDDEN Testrun Results'!$A:$B,2,FALSE),"")</f>
        <v/>
      </c>
      <c r="H27" s="18" t="b">
        <f t="shared" si="0"/>
        <v>1</v>
      </c>
      <c r="I27" s="18" t="b">
        <f>IF(VLOOKUP(A27&amp;" "&amp;B27,'HIDDEN import'!A:G,5,FALSE)="M",TRUE,IFERROR(VLOOKUP(E27,#REF!,3,FALSE)="Yes",IFERROR(VLOOKUP(E27,'HIDDEN calc sheet'!A:B,2,FALSE),VLOOKUP(E27,'Additional questions'!B:D,3,FALSE)="Yes")))</f>
        <v>1</v>
      </c>
      <c r="J27" s="18" t="b">
        <f t="shared" si="1"/>
        <v>0</v>
      </c>
      <c r="K27" t="b">
        <f>OR(IFERROR(VLOOKUP(B27,'Profile selection'!B:C,2,FALSE)="Yes",FALSE),AND(B27="Security",OR(VLOOKUP("Security Profile 2",'Profile selection'!B:C,2)="Yes",VLOOKUP("Security Profile 3",'Profile selection'!B:C,2)="Yes")))</f>
        <v>1</v>
      </c>
      <c r="L27" s="20"/>
      <c r="M27" s="20"/>
    </row>
    <row r="28" spans="1:13" x14ac:dyDescent="0.25">
      <c r="A28" t="str">
        <f>'HIDDEN import'!B27</f>
        <v>TC_031_CSMS</v>
      </c>
      <c r="B28" t="str">
        <f>'HIDDEN import'!C27</f>
        <v>Core</v>
      </c>
      <c r="C28" t="str">
        <f>'HIDDEN import'!D27</f>
        <v>Unlock Connector – Unknown Connector</v>
      </c>
      <c r="D28" t="str">
        <f>IF(VLOOKUP(A28&amp;" "&amp;B28,'HIDDEN import'!A:G,5,FALSE)="M",MD!$A$1,IF(VLOOKUP(A28&amp;" "&amp;B28,'HIDDEN import'!A:G,5,FALSE)="O",MD!$A$4,(IF(AND(VLOOKUP(A28,'HIDDEN import'!B:E,4,FALSE)="C",OR(NOT(ISERROR(VLOOKUP(E28,'HIDDEN calc sheet'!A:C,1,FALSE)=E28)))),MD!$A$3,MD!$A$2))))</f>
        <v>Optional test case</v>
      </c>
      <c r="E28" t="str">
        <f>IF('HIDDEN import'!F27=0,"",'HIDDEN import'!F27)</f>
        <v/>
      </c>
      <c r="F28" t="str">
        <f>IF('HIDDEN import'!G27=0,"",'HIDDEN import'!G27)</f>
        <v/>
      </c>
      <c r="G28" s="18" t="str">
        <f>IFERROR(VLOOKUP($A28,'HIDDEN Testrun Results'!$A:$B,2,FALSE),"")</f>
        <v/>
      </c>
      <c r="H28" s="18" t="str">
        <f t="shared" si="0"/>
        <v>Up to vendor</v>
      </c>
      <c r="I28" s="18" t="e">
        <f>IF(VLOOKUP(A28&amp;" "&amp;B28,'HIDDEN import'!A:G,5,FALSE)="M",TRUE,IFERROR(VLOOKUP(E28,#REF!,3,FALSE)="Yes",IFERROR(VLOOKUP(E28,'HIDDEN calc sheet'!A:B,2,FALSE),VLOOKUP(E28,'Additional questions'!B:D,3,FALSE)="Yes")))</f>
        <v>#N/A</v>
      </c>
      <c r="J28" s="18" t="b">
        <f t="shared" si="1"/>
        <v>1</v>
      </c>
      <c r="K28" t="b">
        <f>OR(IFERROR(VLOOKUP(B28,'Profile selection'!B:C,2,FALSE)="Yes",FALSE),AND(B28="Security",OR(VLOOKUP("Security Profile 2",'Profile selection'!B:C,2)="Yes",VLOOKUP("Security Profile 3",'Profile selection'!B:C,2)="Yes")))</f>
        <v>1</v>
      </c>
      <c r="L28" s="20"/>
      <c r="M28" s="20"/>
    </row>
    <row r="29" spans="1:13" x14ac:dyDescent="0.25">
      <c r="A29" t="str">
        <f>'HIDDEN import'!B28</f>
        <v>TC_032_1_CSMS</v>
      </c>
      <c r="B29" t="str">
        <f>'HIDDEN import'!C28</f>
        <v>Core</v>
      </c>
      <c r="C29" t="str">
        <f>'HIDDEN import'!D28</f>
        <v>Power failure boot charging point - configured to stop transaction(s) before going down</v>
      </c>
      <c r="D29" t="str">
        <f>IF(VLOOKUP(A29&amp;" "&amp;B29,'HIDDEN import'!A:G,5,FALSE)="M",MD!$A$1,IF(VLOOKUP(A29&amp;" "&amp;B29,'HIDDEN import'!A:G,5,FALSE)="O",MD!$A$4,(IF(AND(VLOOKUP(A29,'HIDDEN import'!B:E,4,FALSE)="C",OR(NOT(ISERROR(VLOOKUP(E29,'HIDDEN calc sheet'!A:C,1,FALSE)=E29)))),MD!$A$3,MD!$A$2))))</f>
        <v>Mandatory test for a mandatory feature</v>
      </c>
      <c r="E29" t="str">
        <f>IF('HIDDEN import'!F28=0,"",'HIDDEN import'!F28)</f>
        <v/>
      </c>
      <c r="F29" t="str">
        <f>IF('HIDDEN import'!G28=0,"",'HIDDEN import'!G28)</f>
        <v/>
      </c>
      <c r="G29" s="18" t="str">
        <f>IFERROR(VLOOKUP($A29,'HIDDEN Testrun Results'!$A:$B,2,FALSE),"")</f>
        <v/>
      </c>
      <c r="H29" s="18" t="b">
        <f t="shared" si="0"/>
        <v>1</v>
      </c>
      <c r="I29" s="18" t="b">
        <f>IF(VLOOKUP(A29&amp;" "&amp;B29,'HIDDEN import'!A:G,5,FALSE)="M",TRUE,IFERROR(VLOOKUP(E29,#REF!,3,FALSE)="Yes",IFERROR(VLOOKUP(E29,'HIDDEN calc sheet'!A:B,2,FALSE),VLOOKUP(E29,'Additional questions'!B:D,3,FALSE)="Yes")))</f>
        <v>1</v>
      </c>
      <c r="J29" s="18" t="b">
        <f t="shared" si="1"/>
        <v>0</v>
      </c>
      <c r="K29" t="b">
        <f>OR(IFERROR(VLOOKUP(B29,'Profile selection'!B:C,2,FALSE)="Yes",FALSE),AND(B29="Security",OR(VLOOKUP("Security Profile 2",'Profile selection'!B:C,2)="Yes",VLOOKUP("Security Profile 3",'Profile selection'!B:C,2)="Yes")))</f>
        <v>1</v>
      </c>
      <c r="L29" s="20"/>
      <c r="M29" s="20"/>
    </row>
    <row r="30" spans="1:13" x14ac:dyDescent="0.25">
      <c r="A30" t="str">
        <f>'HIDDEN import'!B29</f>
        <v>TC_037_1_CSMS</v>
      </c>
      <c r="B30" t="str">
        <f>'HIDDEN import'!C29</f>
        <v>Core</v>
      </c>
      <c r="C30" t="str">
        <f>'HIDDEN import'!D29</f>
        <v>Offline Start Transaction - Valid IdTag</v>
      </c>
      <c r="D30" t="str">
        <f>IF(VLOOKUP(A30&amp;" "&amp;B30,'HIDDEN import'!A:G,5,FALSE)="M",MD!$A$1,IF(VLOOKUP(A30&amp;" "&amp;B30,'HIDDEN import'!A:G,5,FALSE)="O",MD!$A$4,(IF(AND(VLOOKUP(A30,'HIDDEN import'!B:E,4,FALSE)="C",OR(NOT(ISERROR(VLOOKUP(E30,'HIDDEN calc sheet'!A:C,1,FALSE)=E30)))),MD!$A$3,MD!$A$2))))</f>
        <v>Mandatory test for a mandatory feature</v>
      </c>
      <c r="E30" t="str">
        <f>IF('HIDDEN import'!F29=0,"",'HIDDEN import'!F29)</f>
        <v/>
      </c>
      <c r="F30" t="str">
        <f>IF('HIDDEN import'!G29=0,"",'HIDDEN import'!G29)</f>
        <v/>
      </c>
      <c r="G30" s="18" t="str">
        <f>IFERROR(VLOOKUP($A30,'HIDDEN Testrun Results'!$A:$B,2,FALSE),"")</f>
        <v/>
      </c>
      <c r="H30" s="18" t="b">
        <f t="shared" si="0"/>
        <v>1</v>
      </c>
      <c r="I30" s="18" t="b">
        <f>IF(VLOOKUP(A30&amp;" "&amp;B30,'HIDDEN import'!A:G,5,FALSE)="M",TRUE,IFERROR(VLOOKUP(E30,#REF!,3,FALSE)="Yes",IFERROR(VLOOKUP(E30,'HIDDEN calc sheet'!A:B,2,FALSE),VLOOKUP(E30,'Additional questions'!B:D,3,FALSE)="Yes")))</f>
        <v>1</v>
      </c>
      <c r="J30" s="18" t="b">
        <f t="shared" si="1"/>
        <v>0</v>
      </c>
      <c r="K30" t="b">
        <f>OR(IFERROR(VLOOKUP(B30,'Profile selection'!B:C,2,FALSE)="Yes",FALSE),AND(B30="Security",OR(VLOOKUP("Security Profile 2",'Profile selection'!B:C,2)="Yes",VLOOKUP("Security Profile 3",'Profile selection'!B:C,2)="Yes")))</f>
        <v>1</v>
      </c>
      <c r="L30" s="20"/>
      <c r="M30" s="20"/>
    </row>
    <row r="31" spans="1:13" x14ac:dyDescent="0.25">
      <c r="A31" t="str">
        <f>'HIDDEN import'!B30</f>
        <v>TC_037_3_CSMS</v>
      </c>
      <c r="B31" t="str">
        <f>'HIDDEN import'!C30</f>
        <v>Core</v>
      </c>
      <c r="C31" t="str">
        <f>'HIDDEN import'!D30</f>
        <v>Offline Start Transaction - Invalid IdTag - StopTransactionOnInvalidId = true</v>
      </c>
      <c r="D31" t="str">
        <f>IF(VLOOKUP(A31&amp;" "&amp;B31,'HIDDEN import'!A:G,5,FALSE)="M",MD!$A$1,IF(VLOOKUP(A31&amp;" "&amp;B31,'HIDDEN import'!A:G,5,FALSE)="O",MD!$A$4,(IF(AND(VLOOKUP(A31,'HIDDEN import'!B:E,4,FALSE)="C",OR(NOT(ISERROR(VLOOKUP(E31,'HIDDEN calc sheet'!A:C,1,FALSE)=E31)))),MD!$A$3,MD!$A$2))))</f>
        <v>Mandatory test for a mandatory feature</v>
      </c>
      <c r="E31" t="str">
        <f>IF('HIDDEN import'!F30=0,"",'HIDDEN import'!F30)</f>
        <v/>
      </c>
      <c r="F31" t="str">
        <f>IF('HIDDEN import'!G30=0,"",'HIDDEN import'!G30)</f>
        <v/>
      </c>
      <c r="G31" s="18" t="str">
        <f>IFERROR(VLOOKUP($A31,'HIDDEN Testrun Results'!$A:$B,2,FALSE),"")</f>
        <v/>
      </c>
      <c r="H31" s="18" t="b">
        <f t="shared" si="0"/>
        <v>1</v>
      </c>
      <c r="I31" s="18" t="b">
        <f>IF(VLOOKUP(A31&amp;" "&amp;B31,'HIDDEN import'!A:G,5,FALSE)="M",TRUE,IFERROR(VLOOKUP(E31,#REF!,3,FALSE)="Yes",IFERROR(VLOOKUP(E31,'HIDDEN calc sheet'!A:B,2,FALSE),VLOOKUP(E31,'Additional questions'!B:D,3,FALSE)="Yes")))</f>
        <v>1</v>
      </c>
      <c r="J31" s="18" t="b">
        <f t="shared" si="1"/>
        <v>0</v>
      </c>
      <c r="K31" t="b">
        <f>OR(IFERROR(VLOOKUP(B31,'Profile selection'!B:C,2,FALSE)="Yes",FALSE),AND(B31="Security",OR(VLOOKUP("Security Profile 2",'Profile selection'!B:C,2)="Yes",VLOOKUP("Security Profile 3",'Profile selection'!B:C,2)="Yes")))</f>
        <v>1</v>
      </c>
      <c r="L31" s="20"/>
      <c r="M31" s="20"/>
    </row>
    <row r="32" spans="1:13" x14ac:dyDescent="0.25">
      <c r="A32" t="str">
        <f>'HIDDEN import'!B31</f>
        <v>TC_039_CSMS</v>
      </c>
      <c r="B32" t="str">
        <f>'HIDDEN import'!C31</f>
        <v>Core</v>
      </c>
      <c r="C32" t="str">
        <f>'HIDDEN import'!D31</f>
        <v>Offline Transaction</v>
      </c>
      <c r="D32" t="str">
        <f>IF(VLOOKUP(A32&amp;" "&amp;B32,'HIDDEN import'!A:G,5,FALSE)="M",MD!$A$1,IF(VLOOKUP(A32&amp;" "&amp;B32,'HIDDEN import'!A:G,5,FALSE)="O",MD!$A$4,(IF(AND(VLOOKUP(A32,'HIDDEN import'!B:E,4,FALSE)="C",OR(NOT(ISERROR(VLOOKUP(E32,'HIDDEN calc sheet'!A:C,1,FALSE)=E32)))),MD!$A$3,MD!$A$2))))</f>
        <v>Mandatory test for a mandatory feature</v>
      </c>
      <c r="E32" t="str">
        <f>IF('HIDDEN import'!F31=0,"",'HIDDEN import'!F31)</f>
        <v/>
      </c>
      <c r="F32" t="str">
        <f>IF('HIDDEN import'!G31=0,"",'HIDDEN import'!G31)</f>
        <v/>
      </c>
      <c r="G32" s="18" t="str">
        <f>IFERROR(VLOOKUP($A32,'HIDDEN Testrun Results'!$A:$B,2,FALSE),"")</f>
        <v/>
      </c>
      <c r="H32" s="18" t="b">
        <f t="shared" si="0"/>
        <v>1</v>
      </c>
      <c r="I32" s="18" t="b">
        <f>IF(VLOOKUP(A32&amp;" "&amp;B32,'HIDDEN import'!A:G,5,FALSE)="M",TRUE,IFERROR(VLOOKUP(E32,#REF!,3,FALSE)="Yes",IFERROR(VLOOKUP(E32,'HIDDEN calc sheet'!A:B,2,FALSE),VLOOKUP(E32,'Additional questions'!B:D,3,FALSE)="Yes")))</f>
        <v>1</v>
      </c>
      <c r="J32" s="18" t="b">
        <f t="shared" si="1"/>
        <v>0</v>
      </c>
      <c r="K32" t="b">
        <f>OR(IFERROR(VLOOKUP(B32,'Profile selection'!B:C,2,FALSE)="Yes",FALSE),AND(B32="Security",OR(VLOOKUP("Security Profile 2",'Profile selection'!B:C,2)="Yes",VLOOKUP("Security Profile 3",'Profile selection'!B:C,2)="Yes")))</f>
        <v>1</v>
      </c>
      <c r="L32" s="20"/>
      <c r="M32" s="20"/>
    </row>
    <row r="33" spans="1:13" x14ac:dyDescent="0.25">
      <c r="A33" t="str">
        <f>'HIDDEN import'!B32</f>
        <v>TC_040_1_CSMS</v>
      </c>
      <c r="B33" t="str">
        <f>'HIDDEN import'!C32</f>
        <v>Core</v>
      </c>
      <c r="C33" t="str">
        <f>'HIDDEN import'!D32</f>
        <v>Configuration keys</v>
      </c>
      <c r="D33" t="str">
        <f>IF(VLOOKUP(A33&amp;" "&amp;B33,'HIDDEN import'!A:G,5,FALSE)="M",MD!$A$1,IF(VLOOKUP(A33&amp;" "&amp;B33,'HIDDEN import'!A:G,5,FALSE)="O",MD!$A$4,(IF(AND(VLOOKUP(A33,'HIDDEN import'!B:E,4,FALSE)="C",OR(NOT(ISERROR(VLOOKUP(E33,'HIDDEN calc sheet'!A:C,1,FALSE)=E33)))),MD!$A$3,MD!$A$2))))</f>
        <v>Optional test case</v>
      </c>
      <c r="E33" t="str">
        <f>IF('HIDDEN import'!F32=0,"",'HIDDEN import'!F32)</f>
        <v/>
      </c>
      <c r="F33" t="str">
        <f>IF('HIDDEN import'!G32=0,"",'HIDDEN import'!G32)</f>
        <v/>
      </c>
      <c r="G33" s="18" t="str">
        <f>IFERROR(VLOOKUP($A33,'HIDDEN Testrun Results'!$A:$B,2,FALSE),"")</f>
        <v/>
      </c>
      <c r="H33" s="18" t="str">
        <f t="shared" si="0"/>
        <v>Up to vendor</v>
      </c>
      <c r="I33" s="18" t="e">
        <f>IF(VLOOKUP(A33&amp;" "&amp;B33,'HIDDEN import'!A:G,5,FALSE)="M",TRUE,IFERROR(VLOOKUP(E33,#REF!,3,FALSE)="Yes",IFERROR(VLOOKUP(E33,'HIDDEN calc sheet'!A:B,2,FALSE),VLOOKUP(E33,'Additional questions'!B:D,3,FALSE)="Yes")))</f>
        <v>#N/A</v>
      </c>
      <c r="J33" s="18" t="b">
        <f t="shared" si="1"/>
        <v>1</v>
      </c>
      <c r="K33" t="b">
        <f>OR(IFERROR(VLOOKUP(B33,'Profile selection'!B:C,2,FALSE)="Yes",FALSE),AND(B33="Security",OR(VLOOKUP("Security Profile 2",'Profile selection'!B:C,2)="Yes",VLOOKUP("Security Profile 3",'Profile selection'!B:C,2)="Yes")))</f>
        <v>1</v>
      </c>
      <c r="L33" s="20"/>
      <c r="M33" s="20"/>
    </row>
    <row r="34" spans="1:13" x14ac:dyDescent="0.25">
      <c r="A34" t="str">
        <f>'HIDDEN import'!B33</f>
        <v>TC_040_2_CSMS</v>
      </c>
      <c r="B34" t="str">
        <f>'HIDDEN import'!C33</f>
        <v>Core</v>
      </c>
      <c r="C34" t="str">
        <f>'HIDDEN import'!D33</f>
        <v>Configuration Keys</v>
      </c>
      <c r="D34" t="str">
        <f>IF(VLOOKUP(A34&amp;" "&amp;B34,'HIDDEN import'!A:G,5,FALSE)="M",MD!$A$1,IF(VLOOKUP(A34&amp;" "&amp;B34,'HIDDEN import'!A:G,5,FALSE)="O",MD!$A$4,(IF(AND(VLOOKUP(A34,'HIDDEN import'!B:E,4,FALSE)="C",OR(NOT(ISERROR(VLOOKUP(E34,'HIDDEN calc sheet'!A:C,1,FALSE)=E34)))),MD!$A$3,MD!$A$2))))</f>
        <v>Optional test case</v>
      </c>
      <c r="E34" t="str">
        <f>IF('HIDDEN import'!F33=0,"",'HIDDEN import'!F33)</f>
        <v/>
      </c>
      <c r="F34" t="str">
        <f>IF('HIDDEN import'!G33=0,"",'HIDDEN import'!G33)</f>
        <v/>
      </c>
      <c r="G34" s="18" t="str">
        <f>IFERROR(VLOOKUP($A34,'HIDDEN Testrun Results'!$A:$B,2,FALSE),"")</f>
        <v/>
      </c>
      <c r="H34" s="18" t="str">
        <f t="shared" si="0"/>
        <v>Up to vendor</v>
      </c>
      <c r="I34" s="18" t="e">
        <f>IF(VLOOKUP(A34&amp;" "&amp;B34,'HIDDEN import'!A:G,5,FALSE)="M",TRUE,IFERROR(VLOOKUP(E34,#REF!,3,FALSE)="Yes",IFERROR(VLOOKUP(E34,'HIDDEN calc sheet'!A:B,2,FALSE),VLOOKUP(E34,'Additional questions'!B:D,3,FALSE)="Yes")))</f>
        <v>#N/A</v>
      </c>
      <c r="J34" s="18" t="b">
        <f t="shared" si="1"/>
        <v>1</v>
      </c>
      <c r="K34" t="b">
        <f>OR(IFERROR(VLOOKUP(B34,'Profile selection'!B:C,2,FALSE)="Yes",FALSE),AND(B34="Security",OR(VLOOKUP("Security Profile 2",'Profile selection'!B:C,2)="Yes",VLOOKUP("Security Profile 3",'Profile selection'!B:C,2)="Yes")))</f>
        <v>1</v>
      </c>
      <c r="L34" s="20"/>
      <c r="M34" s="20"/>
    </row>
    <row r="35" spans="1:13" x14ac:dyDescent="0.25">
      <c r="A35" t="str">
        <f>'HIDDEN import'!B34</f>
        <v>TC_042_2_CSMS</v>
      </c>
      <c r="B35" t="str">
        <f>'HIDDEN import'!C34</f>
        <v>Core</v>
      </c>
      <c r="C35" t="str">
        <f>'HIDDEN import'!D34</f>
        <v>Get Local List Version (empty)</v>
      </c>
      <c r="D35" t="str">
        <f>IF(VLOOKUP(A35&amp;" "&amp;B35,'HIDDEN import'!A:G,5,FALSE)="M",MD!$A$1,IF(VLOOKUP(A35&amp;" "&amp;B35,'HIDDEN import'!A:G,5,FALSE)="O",MD!$A$4,(IF(AND(VLOOKUP(A35,'HIDDEN import'!B:E,4,FALSE)="C",OR(NOT(ISERROR(VLOOKUP(E35,'HIDDEN calc sheet'!A:C,1,FALSE)=E35)))),MD!$A$3,MD!$A$2))))</f>
        <v>Mandatory test for a mandatory feature</v>
      </c>
      <c r="E35" t="str">
        <f>IF('HIDDEN import'!F34=0,"",'HIDDEN import'!F34)</f>
        <v/>
      </c>
      <c r="F35" t="str">
        <f>IF('HIDDEN import'!G34=0,"",'HIDDEN import'!G34)</f>
        <v/>
      </c>
      <c r="G35" s="18" t="str">
        <f>IFERROR(VLOOKUP($A35,'HIDDEN Testrun Results'!$A:$B,2,FALSE),"")</f>
        <v/>
      </c>
      <c r="H35" s="18" t="b">
        <f t="shared" si="0"/>
        <v>1</v>
      </c>
      <c r="I35" s="18" t="b">
        <f>IF(VLOOKUP(A35&amp;" "&amp;B35,'HIDDEN import'!A:G,5,FALSE)="M",TRUE,IFERROR(VLOOKUP(E35,#REF!,3,FALSE)="Yes",IFERROR(VLOOKUP(E35,'HIDDEN calc sheet'!A:B,2,FALSE),VLOOKUP(E35,'Additional questions'!B:D,3,FALSE)="Yes")))</f>
        <v>1</v>
      </c>
      <c r="J35" s="18" t="b">
        <f t="shared" si="1"/>
        <v>0</v>
      </c>
      <c r="K35" t="b">
        <f>OR(IFERROR(VLOOKUP(B35,'Profile selection'!B:C,2,FALSE)="Yes",FALSE),AND(B35="Security",OR(VLOOKUP("Security Profile 2",'Profile selection'!B:C,2)="Yes",VLOOKUP("Security Profile 3",'Profile selection'!B:C,2)="Yes")))</f>
        <v>1</v>
      </c>
      <c r="L35" s="20"/>
      <c r="M35" s="20"/>
    </row>
    <row r="36" spans="1:13" x14ac:dyDescent="0.25">
      <c r="A36" t="str">
        <f>'HIDDEN import'!B35</f>
        <v>TC_043_3_CSMS</v>
      </c>
      <c r="B36" t="str">
        <f>'HIDDEN import'!C35</f>
        <v>Core</v>
      </c>
      <c r="C36" t="str">
        <f>'HIDDEN import'!D35</f>
        <v>Send Local Authorization List - Failed</v>
      </c>
      <c r="D36" t="str">
        <f>IF(VLOOKUP(A36&amp;" "&amp;B36,'HIDDEN import'!A:G,5,FALSE)="M",MD!$A$1,IF(VLOOKUP(A36&amp;" "&amp;B36,'HIDDEN import'!A:G,5,FALSE)="O",MD!$A$4,(IF(AND(VLOOKUP(A36,'HIDDEN import'!B:E,4,FALSE)="C",OR(NOT(ISERROR(VLOOKUP(E36,'HIDDEN calc sheet'!A:C,1,FALSE)=E36)))),MD!$A$3,MD!$A$2))))</f>
        <v>Mandatory test for a mandatory feature</v>
      </c>
      <c r="E36" t="str">
        <f>IF('HIDDEN import'!F35=0,"",'HIDDEN import'!F35)</f>
        <v/>
      </c>
      <c r="F36" t="str">
        <f>IF('HIDDEN import'!G35=0,"",'HIDDEN import'!G35)</f>
        <v/>
      </c>
      <c r="G36" s="18" t="str">
        <f>IFERROR(VLOOKUP($A36,'HIDDEN Testrun Results'!$A:$B,2,FALSE),"")</f>
        <v/>
      </c>
      <c r="H36" s="18" t="b">
        <f t="shared" si="0"/>
        <v>1</v>
      </c>
      <c r="I36" s="18" t="b">
        <f>IF(VLOOKUP(A36&amp;" "&amp;B36,'HIDDEN import'!A:G,5,FALSE)="M",TRUE,IFERROR(VLOOKUP(E36,#REF!,3,FALSE)="Yes",IFERROR(VLOOKUP(E36,'HIDDEN calc sheet'!A:B,2,FALSE),VLOOKUP(E36,'Additional questions'!B:D,3,FALSE)="Yes")))</f>
        <v>1</v>
      </c>
      <c r="J36" s="18" t="b">
        <f t="shared" si="1"/>
        <v>0</v>
      </c>
      <c r="K36" t="b">
        <f>OR(IFERROR(VLOOKUP(B36,'Profile selection'!B:C,2,FALSE)="Yes",FALSE),AND(B36="Security",OR(VLOOKUP("Security Profile 2",'Profile selection'!B:C,2)="Yes",VLOOKUP("Security Profile 3",'Profile selection'!B:C,2)="Yes")))</f>
        <v>1</v>
      </c>
      <c r="L36" s="20"/>
      <c r="M36" s="20"/>
    </row>
    <row r="37" spans="1:13" x14ac:dyDescent="0.25">
      <c r="A37" t="str">
        <f>'HIDDEN import'!B36</f>
        <v>TC_043_4_CSMS</v>
      </c>
      <c r="B37" t="str">
        <f>'HIDDEN import'!C36</f>
        <v>Core</v>
      </c>
      <c r="C37" t="str">
        <f>'HIDDEN import'!D36</f>
        <v>Send Local Authorization List - Full</v>
      </c>
      <c r="D37" t="str">
        <f>IF(VLOOKUP(A37&amp;" "&amp;B37,'HIDDEN import'!A:G,5,FALSE)="M",MD!$A$1,IF(VLOOKUP(A37&amp;" "&amp;B37,'HIDDEN import'!A:G,5,FALSE)="O",MD!$A$4,(IF(AND(VLOOKUP(A37,'HIDDEN import'!B:E,4,FALSE)="C",OR(NOT(ISERROR(VLOOKUP(E37,'HIDDEN calc sheet'!A:C,1,FALSE)=E37)))),MD!$A$3,MD!$A$2))))</f>
        <v>Mandatory test for a mandatory feature</v>
      </c>
      <c r="E37" t="str">
        <f>IF('HIDDEN import'!F36=0,"",'HIDDEN import'!F36)</f>
        <v/>
      </c>
      <c r="F37" t="str">
        <f>IF('HIDDEN import'!G36=0,"",'HIDDEN import'!G36)</f>
        <v/>
      </c>
      <c r="G37" s="18" t="str">
        <f>IFERROR(VLOOKUP($A37,'HIDDEN Testrun Results'!$A:$B,2,FALSE),"")</f>
        <v/>
      </c>
      <c r="H37" s="18" t="b">
        <f t="shared" si="0"/>
        <v>1</v>
      </c>
      <c r="I37" s="18" t="b">
        <f>IF(VLOOKUP(A37&amp;" "&amp;B37,'HIDDEN import'!A:G,5,FALSE)="M",TRUE,IFERROR(VLOOKUP(E37,#REF!,3,FALSE)="Yes",IFERROR(VLOOKUP(E37,'HIDDEN calc sheet'!A:B,2,FALSE),VLOOKUP(E37,'Additional questions'!B:D,3,FALSE)="Yes")))</f>
        <v>1</v>
      </c>
      <c r="J37" s="18" t="b">
        <f t="shared" si="1"/>
        <v>0</v>
      </c>
      <c r="K37" t="b">
        <f>OR(IFERROR(VLOOKUP(B37,'Profile selection'!B:C,2,FALSE)="Yes",FALSE),AND(B37="Security",OR(VLOOKUP("Security Profile 2",'Profile selection'!B:C,2)="Yes",VLOOKUP("Security Profile 3",'Profile selection'!B:C,2)="Yes")))</f>
        <v>1</v>
      </c>
      <c r="L37" s="20"/>
      <c r="M37" s="20"/>
    </row>
    <row r="38" spans="1:13" x14ac:dyDescent="0.25">
      <c r="A38" t="str">
        <f>'HIDDEN import'!B37</f>
        <v>TC_043_5_CSMS</v>
      </c>
      <c r="B38" t="str">
        <f>'HIDDEN import'!C37</f>
        <v>Core</v>
      </c>
      <c r="C38" t="str">
        <f>'HIDDEN import'!D37</f>
        <v>Send Local Authorization List - Differential</v>
      </c>
      <c r="D38" t="str">
        <f>IF(VLOOKUP(A38&amp;" "&amp;B38,'HIDDEN import'!A:G,5,FALSE)="M",MD!$A$1,IF(VLOOKUP(A38&amp;" "&amp;B38,'HIDDEN import'!A:G,5,FALSE)="O",MD!$A$4,(IF(AND(VLOOKUP(A38,'HIDDEN import'!B:E,4,FALSE)="C",OR(NOT(ISERROR(VLOOKUP(E38,'HIDDEN calc sheet'!A:C,1,FALSE)=E38)))),MD!$A$3,MD!$A$2))))</f>
        <v>Mandatory test for a mandatory feature</v>
      </c>
      <c r="E38" t="str">
        <f>IF('HIDDEN import'!F37=0,"",'HIDDEN import'!F37)</f>
        <v/>
      </c>
      <c r="F38" t="str">
        <f>IF('HIDDEN import'!G37=0,"",'HIDDEN import'!G37)</f>
        <v/>
      </c>
      <c r="G38" s="18" t="str">
        <f>IFERROR(VLOOKUP($A38,'HIDDEN Testrun Results'!$A:$B,2,FALSE),"")</f>
        <v/>
      </c>
      <c r="H38" s="18" t="b">
        <f t="shared" si="0"/>
        <v>1</v>
      </c>
      <c r="I38" s="18" t="b">
        <f>IF(VLOOKUP(A38&amp;" "&amp;B38,'HIDDEN import'!A:G,5,FALSE)="M",TRUE,IFERROR(VLOOKUP(E38,#REF!,3,FALSE)="Yes",IFERROR(VLOOKUP(E38,'HIDDEN calc sheet'!A:B,2,FALSE),VLOOKUP(E38,'Additional questions'!B:D,3,FALSE)="Yes")))</f>
        <v>1</v>
      </c>
      <c r="J38" s="18" t="b">
        <f t="shared" si="1"/>
        <v>0</v>
      </c>
      <c r="K38" t="b">
        <f>OR(IFERROR(VLOOKUP(B38,'Profile selection'!B:C,2,FALSE)="Yes",FALSE),AND(B38="Security",OR(VLOOKUP("Security Profile 2",'Profile selection'!B:C,2)="Yes",VLOOKUP("Security Profile 3",'Profile selection'!B:C,2)="Yes")))</f>
        <v>1</v>
      </c>
      <c r="L38" s="20"/>
      <c r="M38" s="20"/>
    </row>
    <row r="39" spans="1:13" x14ac:dyDescent="0.25">
      <c r="A39" t="str">
        <f>'HIDDEN import'!B38</f>
        <v>TC_045_1_CSMS</v>
      </c>
      <c r="B39" t="str">
        <f>'HIDDEN import'!C38</f>
        <v>Core</v>
      </c>
      <c r="C39" t="str">
        <f>'HIDDEN import'!D38</f>
        <v>Get Diagnostics</v>
      </c>
      <c r="D39" t="str">
        <f>IF(VLOOKUP(A39&amp;" "&amp;B39,'HIDDEN import'!A:G,5,FALSE)="M",MD!$A$1,IF(VLOOKUP(A39&amp;" "&amp;B39,'HIDDEN import'!A:G,5,FALSE)="O",MD!$A$4,(IF(AND(VLOOKUP(A39,'HIDDEN import'!B:E,4,FALSE)="C",OR(NOT(ISERROR(VLOOKUP(E39,'HIDDEN calc sheet'!A:C,1,FALSE)=E39)))),MD!$A$3,MD!$A$2))))</f>
        <v>Mandatory test for a mandatory feature</v>
      </c>
      <c r="E39" t="str">
        <f>IF('HIDDEN import'!F38=0,"",'HIDDEN import'!F38)</f>
        <v/>
      </c>
      <c r="F39" t="str">
        <f>IF('HIDDEN import'!G38=0,"",'HIDDEN import'!G38)</f>
        <v/>
      </c>
      <c r="G39" s="18" t="str">
        <f>IFERROR(VLOOKUP($A39,'HIDDEN Testrun Results'!$A:$B,2,FALSE),"")</f>
        <v/>
      </c>
      <c r="H39" s="18" t="b">
        <f t="shared" si="0"/>
        <v>1</v>
      </c>
      <c r="I39" s="18" t="b">
        <f>IF(VLOOKUP(A39&amp;" "&amp;B39,'HIDDEN import'!A:G,5,FALSE)="M",TRUE,IFERROR(VLOOKUP(E39,#REF!,3,FALSE)="Yes",IFERROR(VLOOKUP(E39,'HIDDEN calc sheet'!A:B,2,FALSE),VLOOKUP(E39,'Additional questions'!B:D,3,FALSE)="Yes")))</f>
        <v>1</v>
      </c>
      <c r="J39" s="18" t="b">
        <f t="shared" si="1"/>
        <v>0</v>
      </c>
      <c r="K39" t="b">
        <f>OR(IFERROR(VLOOKUP(B39,'Profile selection'!B:C,2,FALSE)="Yes",FALSE),AND(B39="Security",OR(VLOOKUP("Security Profile 2",'Profile selection'!B:C,2)="Yes",VLOOKUP("Security Profile 3",'Profile selection'!B:C,2)="Yes")))</f>
        <v>1</v>
      </c>
      <c r="L39" s="20"/>
      <c r="M39" s="20"/>
    </row>
    <row r="40" spans="1:13" x14ac:dyDescent="0.25">
      <c r="A40" t="str">
        <f>'HIDDEN import'!B39</f>
        <v>TC_045_2_CSMS</v>
      </c>
      <c r="B40" t="str">
        <f>'HIDDEN import'!C39</f>
        <v>Core</v>
      </c>
      <c r="C40" t="str">
        <f>'HIDDEN import'!D39</f>
        <v>Get Diagnostics - Upload Failed</v>
      </c>
      <c r="D40" t="str">
        <f>IF(VLOOKUP(A40&amp;" "&amp;B40,'HIDDEN import'!A:G,5,FALSE)="M",MD!$A$1,IF(VLOOKUP(A40&amp;" "&amp;B40,'HIDDEN import'!A:G,5,FALSE)="O",MD!$A$4,(IF(AND(VLOOKUP(A40,'HIDDEN import'!B:E,4,FALSE)="C",OR(NOT(ISERROR(VLOOKUP(E40,'HIDDEN calc sheet'!A:C,1,FALSE)=E40)))),MD!$A$3,MD!$A$2))))</f>
        <v>Optional test case</v>
      </c>
      <c r="E40" t="str">
        <f>IF('HIDDEN import'!F39=0,"",'HIDDEN import'!F39)</f>
        <v/>
      </c>
      <c r="F40" t="str">
        <f>IF('HIDDEN import'!G39=0,"",'HIDDEN import'!G39)</f>
        <v/>
      </c>
      <c r="G40" s="18" t="str">
        <f>IFERROR(VLOOKUP($A40,'HIDDEN Testrun Results'!$A:$B,2,FALSE),"")</f>
        <v/>
      </c>
      <c r="H40" s="18" t="str">
        <f t="shared" si="0"/>
        <v>Up to vendor</v>
      </c>
      <c r="I40" s="18" t="e">
        <f>IF(VLOOKUP(A40&amp;" "&amp;B40,'HIDDEN import'!A:G,5,FALSE)="M",TRUE,IFERROR(VLOOKUP(E40,#REF!,3,FALSE)="Yes",IFERROR(VLOOKUP(E40,'HIDDEN calc sheet'!A:B,2,FALSE),VLOOKUP(E40,'Additional questions'!B:D,3,FALSE)="Yes")))</f>
        <v>#N/A</v>
      </c>
      <c r="J40" s="18" t="b">
        <f t="shared" si="1"/>
        <v>1</v>
      </c>
      <c r="K40" t="b">
        <f>OR(IFERROR(VLOOKUP(B40,'Profile selection'!B:C,2,FALSE)="Yes",FALSE),AND(B40="Security",OR(VLOOKUP("Security Profile 2",'Profile selection'!B:C,2)="Yes",VLOOKUP("Security Profile 3",'Profile selection'!B:C,2)="Yes")))</f>
        <v>1</v>
      </c>
      <c r="L40" s="20"/>
      <c r="M40" s="20"/>
    </row>
    <row r="41" spans="1:13" x14ac:dyDescent="0.25">
      <c r="A41" t="str">
        <f>'HIDDEN import'!B40</f>
        <v>TC_046_CSMS</v>
      </c>
      <c r="B41" t="str">
        <f>'HIDDEN import'!C40</f>
        <v>Core</v>
      </c>
      <c r="C41" t="str">
        <f>'HIDDEN import'!D40</f>
        <v>Reservation of a Connector - Transaction</v>
      </c>
      <c r="D41" t="str">
        <f>IF(VLOOKUP(A41&amp;" "&amp;B41,'HIDDEN import'!A:G,5,FALSE)="M",MD!$A$1,IF(VLOOKUP(A41&amp;" "&amp;B41,'HIDDEN import'!A:G,5,FALSE)="O",MD!$A$4,(IF(AND(VLOOKUP(A41,'HIDDEN import'!B:E,4,FALSE)="C",OR(NOT(ISERROR(VLOOKUP(E41,'HIDDEN calc sheet'!A:C,1,FALSE)=E41)))),MD!$A$3,MD!$A$2))))</f>
        <v>Mandatory test for a mandatory feature</v>
      </c>
      <c r="E41" t="str">
        <f>IF('HIDDEN import'!F40=0,"",'HIDDEN import'!F40)</f>
        <v/>
      </c>
      <c r="F41" t="str">
        <f>IF('HIDDEN import'!G40=0,"",'HIDDEN import'!G40)</f>
        <v/>
      </c>
      <c r="G41" s="18" t="str">
        <f>IFERROR(VLOOKUP($A41,'HIDDEN Testrun Results'!$A:$B,2,FALSE),"")</f>
        <v/>
      </c>
      <c r="H41" s="18" t="b">
        <f t="shared" si="0"/>
        <v>1</v>
      </c>
      <c r="I41" s="18" t="b">
        <f>IF(VLOOKUP(A41&amp;" "&amp;B41,'HIDDEN import'!A:G,5,FALSE)="M",TRUE,IFERROR(VLOOKUP(E41,#REF!,3,FALSE)="Yes",IFERROR(VLOOKUP(E41,'HIDDEN calc sheet'!A:B,2,FALSE),VLOOKUP(E41,'Additional questions'!B:D,3,FALSE)="Yes")))</f>
        <v>1</v>
      </c>
      <c r="J41" s="18" t="b">
        <f t="shared" si="1"/>
        <v>0</v>
      </c>
      <c r="K41" t="b">
        <f>OR(IFERROR(VLOOKUP(B41,'Profile selection'!B:C,2,FALSE)="Yes",FALSE),AND(B41="Security",OR(VLOOKUP("Security Profile 2",'Profile selection'!B:C,2)="Yes",VLOOKUP("Security Profile 3",'Profile selection'!B:C,2)="Yes")))</f>
        <v>1</v>
      </c>
      <c r="L41" s="20"/>
      <c r="M41" s="20"/>
    </row>
    <row r="42" spans="1:13" x14ac:dyDescent="0.25">
      <c r="A42" t="str">
        <f>'HIDDEN import'!B41</f>
        <v>TC_047_CSMS</v>
      </c>
      <c r="B42" t="str">
        <f>'HIDDEN import'!C41</f>
        <v>Core</v>
      </c>
      <c r="C42" t="str">
        <f>'HIDDEN import'!D41</f>
        <v>Reservation of a Connector - Expire</v>
      </c>
      <c r="D42" t="str">
        <f>IF(VLOOKUP(A42&amp;" "&amp;B42,'HIDDEN import'!A:G,5,FALSE)="M",MD!$A$1,IF(VLOOKUP(A42&amp;" "&amp;B42,'HIDDEN import'!A:G,5,FALSE)="O",MD!$A$4,(IF(AND(VLOOKUP(A42,'HIDDEN import'!B:E,4,FALSE)="C",OR(NOT(ISERROR(VLOOKUP(E42,'HIDDEN calc sheet'!A:C,1,FALSE)=E42)))),MD!$A$3,MD!$A$2))))</f>
        <v>Mandatory test for a mandatory feature</v>
      </c>
      <c r="E42" t="str">
        <f>IF('HIDDEN import'!F41=0,"",'HIDDEN import'!F41)</f>
        <v/>
      </c>
      <c r="F42" t="str">
        <f>IF('HIDDEN import'!G41=0,"",'HIDDEN import'!G41)</f>
        <v/>
      </c>
      <c r="G42" s="18" t="str">
        <f>IFERROR(VLOOKUP($A42,'HIDDEN Testrun Results'!$A:$B,2,FALSE),"")</f>
        <v/>
      </c>
      <c r="H42" s="18" t="b">
        <f t="shared" si="0"/>
        <v>1</v>
      </c>
      <c r="I42" s="18" t="b">
        <f>IF(VLOOKUP(A42&amp;" "&amp;B42,'HIDDEN import'!A:G,5,FALSE)="M",TRUE,IFERROR(VLOOKUP(E42,#REF!,3,FALSE)="Yes",IFERROR(VLOOKUP(E42,'HIDDEN calc sheet'!A:B,2,FALSE),VLOOKUP(E42,'Additional questions'!B:D,3,FALSE)="Yes")))</f>
        <v>1</v>
      </c>
      <c r="J42" s="18" t="b">
        <f t="shared" si="1"/>
        <v>0</v>
      </c>
      <c r="K42" t="b">
        <f>OR(IFERROR(VLOOKUP(B42,'Profile selection'!B:C,2,FALSE)="Yes",FALSE),AND(B42="Security",OR(VLOOKUP("Security Profile 2",'Profile selection'!B:C,2)="Yes",VLOOKUP("Security Profile 3",'Profile selection'!B:C,2)="Yes")))</f>
        <v>1</v>
      </c>
      <c r="L42" s="20"/>
      <c r="M42" s="20"/>
    </row>
    <row r="43" spans="1:13" x14ac:dyDescent="0.25">
      <c r="A43" t="str">
        <f>'HIDDEN import'!B42</f>
        <v>TC_048_2_CSMS</v>
      </c>
      <c r="B43" t="str">
        <f>'HIDDEN import'!C42</f>
        <v>Core</v>
      </c>
      <c r="C43" t="str">
        <f>'HIDDEN import'!D42</f>
        <v>Reservation of a Connector - Occupied</v>
      </c>
      <c r="D43" t="str">
        <f>IF(VLOOKUP(A43&amp;" "&amp;B43,'HIDDEN import'!A:G,5,FALSE)="M",MD!$A$1,IF(VLOOKUP(A43&amp;" "&amp;B43,'HIDDEN import'!A:G,5,FALSE)="O",MD!$A$4,(IF(AND(VLOOKUP(A43,'HIDDEN import'!B:E,4,FALSE)="C",OR(NOT(ISERROR(VLOOKUP(E43,'HIDDEN calc sheet'!A:C,1,FALSE)=E43)))),MD!$A$3,MD!$A$2))))</f>
        <v>Optional test case</v>
      </c>
      <c r="E43" t="str">
        <f>IF('HIDDEN import'!F42=0,"",'HIDDEN import'!F42)</f>
        <v/>
      </c>
      <c r="F43" t="str">
        <f>IF('HIDDEN import'!G42=0,"",'HIDDEN import'!G42)</f>
        <v/>
      </c>
      <c r="G43" s="18" t="str">
        <f>IFERROR(VLOOKUP($A43,'HIDDEN Testrun Results'!$A:$B,2,FALSE),"")</f>
        <v/>
      </c>
      <c r="H43" s="18" t="str">
        <f t="shared" si="0"/>
        <v>Up to vendor</v>
      </c>
      <c r="I43" s="18" t="e">
        <f>IF(VLOOKUP(A43&amp;" "&amp;B43,'HIDDEN import'!A:G,5,FALSE)="M",TRUE,IFERROR(VLOOKUP(E43,#REF!,3,FALSE)="Yes",IFERROR(VLOOKUP(E43,'HIDDEN calc sheet'!A:B,2,FALSE),VLOOKUP(E43,'Additional questions'!B:D,3,FALSE)="Yes")))</f>
        <v>#N/A</v>
      </c>
      <c r="J43" s="18" t="b">
        <f t="shared" si="1"/>
        <v>1</v>
      </c>
      <c r="K43" t="b">
        <f>OR(IFERROR(VLOOKUP(B43,'Profile selection'!B:C,2,FALSE)="Yes",FALSE),AND(B43="Security",OR(VLOOKUP("Security Profile 2",'Profile selection'!B:C,2)="Yes",VLOOKUP("Security Profile 3",'Profile selection'!B:C,2)="Yes")))</f>
        <v>1</v>
      </c>
      <c r="L43" s="20"/>
      <c r="M43" s="20"/>
    </row>
    <row r="44" spans="1:13" x14ac:dyDescent="0.25">
      <c r="A44" t="str">
        <f>'HIDDEN import'!B43</f>
        <v>TC_048_3_CSMS</v>
      </c>
      <c r="B44" t="str">
        <f>'HIDDEN import'!C43</f>
        <v>Core</v>
      </c>
      <c r="C44" t="str">
        <f>'HIDDEN import'!D43</f>
        <v>Reservation of a Connector - Unavailable</v>
      </c>
      <c r="D44" t="str">
        <f>IF(VLOOKUP(A44&amp;" "&amp;B44,'HIDDEN import'!A:G,5,FALSE)="M",MD!$A$1,IF(VLOOKUP(A44&amp;" "&amp;B44,'HIDDEN import'!A:G,5,FALSE)="O",MD!$A$4,(IF(AND(VLOOKUP(A44,'HIDDEN import'!B:E,4,FALSE)="C",OR(NOT(ISERROR(VLOOKUP(E44,'HIDDEN calc sheet'!A:C,1,FALSE)=E44)))),MD!$A$3,MD!$A$2))))</f>
        <v>Optional test case</v>
      </c>
      <c r="E44" t="str">
        <f>IF('HIDDEN import'!F43=0,"",'HIDDEN import'!F43)</f>
        <v/>
      </c>
      <c r="F44" t="str">
        <f>IF('HIDDEN import'!G43=0,"",'HIDDEN import'!G43)</f>
        <v/>
      </c>
      <c r="G44" s="18" t="str">
        <f>IFERROR(VLOOKUP($A44,'HIDDEN Testrun Results'!$A:$B,2,FALSE),"")</f>
        <v/>
      </c>
      <c r="H44" s="18" t="str">
        <f t="shared" si="0"/>
        <v>Up to vendor</v>
      </c>
      <c r="I44" s="18" t="e">
        <f>IF(VLOOKUP(A44&amp;" "&amp;B44,'HIDDEN import'!A:G,5,FALSE)="M",TRUE,IFERROR(VLOOKUP(E44,#REF!,3,FALSE)="Yes",IFERROR(VLOOKUP(E44,'HIDDEN calc sheet'!A:B,2,FALSE),VLOOKUP(E44,'Additional questions'!B:D,3,FALSE)="Yes")))</f>
        <v>#N/A</v>
      </c>
      <c r="J44" s="18" t="b">
        <f t="shared" si="1"/>
        <v>1</v>
      </c>
      <c r="K44" t="b">
        <f>OR(IFERROR(VLOOKUP(B44,'Profile selection'!B:C,2,FALSE)="Yes",FALSE),AND(B44="Security",OR(VLOOKUP("Security Profile 2",'Profile selection'!B:C,2)="Yes",VLOOKUP("Security Profile 3",'Profile selection'!B:C,2)="Yes")))</f>
        <v>1</v>
      </c>
      <c r="L44" s="20"/>
      <c r="M44" s="20"/>
    </row>
    <row r="45" spans="1:13" x14ac:dyDescent="0.25">
      <c r="A45" t="str">
        <f>'HIDDEN import'!B44</f>
        <v>TC_048_4_CSMS</v>
      </c>
      <c r="B45" t="str">
        <f>'HIDDEN import'!C44</f>
        <v>Core</v>
      </c>
      <c r="C45" t="str">
        <f>'HIDDEN import'!D44</f>
        <v>Reservation of a Connector - Rejected</v>
      </c>
      <c r="D45" t="str">
        <f>IF(VLOOKUP(A45&amp;" "&amp;B45,'HIDDEN import'!A:G,5,FALSE)="M",MD!$A$1,IF(VLOOKUP(A45&amp;" "&amp;B45,'HIDDEN import'!A:G,5,FALSE)="O",MD!$A$4,(IF(AND(VLOOKUP(A45,'HIDDEN import'!B:E,4,FALSE)="C",OR(NOT(ISERROR(VLOOKUP(E45,'HIDDEN calc sheet'!A:C,1,FALSE)=E45)))),MD!$A$3,MD!$A$2))))</f>
        <v>Mandatory test for a mandatory feature</v>
      </c>
      <c r="E45" t="str">
        <f>IF('HIDDEN import'!F44=0,"",'HIDDEN import'!F44)</f>
        <v/>
      </c>
      <c r="F45" t="str">
        <f>IF('HIDDEN import'!G44=0,"",'HIDDEN import'!G44)</f>
        <v/>
      </c>
      <c r="G45" s="18" t="str">
        <f>IFERROR(VLOOKUP($A45,'HIDDEN Testrun Results'!$A:$B,2,FALSE),"")</f>
        <v/>
      </c>
      <c r="H45" s="18" t="b">
        <f t="shared" si="0"/>
        <v>1</v>
      </c>
      <c r="I45" s="18" t="b">
        <f>IF(VLOOKUP(A45&amp;" "&amp;B45,'HIDDEN import'!A:G,5,FALSE)="M",TRUE,IFERROR(VLOOKUP(E45,#REF!,3,FALSE)="Yes",IFERROR(VLOOKUP(E45,'HIDDEN calc sheet'!A:B,2,FALSE),VLOOKUP(E45,'Additional questions'!B:D,3,FALSE)="Yes")))</f>
        <v>1</v>
      </c>
      <c r="J45" s="18" t="b">
        <f t="shared" si="1"/>
        <v>0</v>
      </c>
      <c r="K45" t="b">
        <f>OR(IFERROR(VLOOKUP(B45,'Profile selection'!B:C,2,FALSE)="Yes",FALSE),AND(B45="Security",OR(VLOOKUP("Security Profile 2",'Profile selection'!B:C,2)="Yes",VLOOKUP("Security Profile 3",'Profile selection'!B:C,2)="Yes")))</f>
        <v>1</v>
      </c>
      <c r="L45" s="20"/>
      <c r="M45" s="20"/>
    </row>
    <row r="46" spans="1:13" x14ac:dyDescent="0.25">
      <c r="A46" t="str">
        <f>'HIDDEN import'!B45</f>
        <v>TC_049_CSMS</v>
      </c>
      <c r="B46" t="str">
        <f>'HIDDEN import'!C45</f>
        <v>Core</v>
      </c>
      <c r="C46" t="str">
        <f>'HIDDEN import'!D45</f>
        <v>Reservation of a Charge Point - Transaction</v>
      </c>
      <c r="D46" t="str">
        <f>IF(VLOOKUP(A46&amp;" "&amp;B46,'HIDDEN import'!A:G,5,FALSE)="M",MD!$A$1,IF(VLOOKUP(A46&amp;" "&amp;B46,'HIDDEN import'!A:G,5,FALSE)="O",MD!$A$4,(IF(AND(VLOOKUP(A46,'HIDDEN import'!B:E,4,FALSE)="C",OR(NOT(ISERROR(VLOOKUP(E46,'HIDDEN calc sheet'!A:C,1,FALSE)=E46)))),MD!$A$3,MD!$A$2))))</f>
        <v>Mandatory test for a mandatory feature</v>
      </c>
      <c r="E46" t="str">
        <f>IF('HIDDEN import'!F45=0,"",'HIDDEN import'!F45)</f>
        <v/>
      </c>
      <c r="F46" t="str">
        <f>IF('HIDDEN import'!G45=0,"",'HIDDEN import'!G45)</f>
        <v/>
      </c>
      <c r="G46" s="18" t="str">
        <f>IFERROR(VLOOKUP($A46,'HIDDEN Testrun Results'!$A:$B,2,FALSE),"")</f>
        <v/>
      </c>
      <c r="H46" s="18" t="b">
        <f t="shared" si="0"/>
        <v>1</v>
      </c>
      <c r="I46" s="18" t="b">
        <f>IF(VLOOKUP(A46&amp;" "&amp;B46,'HIDDEN import'!A:G,5,FALSE)="M",TRUE,IFERROR(VLOOKUP(E46,#REF!,3,FALSE)="Yes",IFERROR(VLOOKUP(E46,'HIDDEN calc sheet'!A:B,2,FALSE),VLOOKUP(E46,'Additional questions'!B:D,3,FALSE)="Yes")))</f>
        <v>1</v>
      </c>
      <c r="J46" s="18" t="b">
        <f t="shared" si="1"/>
        <v>0</v>
      </c>
      <c r="K46" t="b">
        <f>OR(IFERROR(VLOOKUP(B46,'Profile selection'!B:C,2,FALSE)="Yes",FALSE),AND(B46="Security",OR(VLOOKUP("Security Profile 2",'Profile selection'!B:C,2)="Yes",VLOOKUP("Security Profile 3",'Profile selection'!B:C,2)="Yes")))</f>
        <v>1</v>
      </c>
      <c r="L46" s="20"/>
      <c r="M46" s="20"/>
    </row>
    <row r="47" spans="1:13" x14ac:dyDescent="0.25">
      <c r="A47" t="str">
        <f>'HIDDEN import'!B46</f>
        <v>TC_051_CSMS</v>
      </c>
      <c r="B47" t="str">
        <f>'HIDDEN import'!C46</f>
        <v>Core</v>
      </c>
      <c r="C47" t="str">
        <f>'HIDDEN import'!D46</f>
        <v>Cancel Reservation</v>
      </c>
      <c r="D47" t="str">
        <f>IF(VLOOKUP(A47&amp;" "&amp;B47,'HIDDEN import'!A:G,5,FALSE)="M",MD!$A$1,IF(VLOOKUP(A47&amp;" "&amp;B47,'HIDDEN import'!A:G,5,FALSE)="O",MD!$A$4,(IF(AND(VLOOKUP(A47,'HIDDEN import'!B:E,4,FALSE)="C",OR(NOT(ISERROR(VLOOKUP(E47,'HIDDEN calc sheet'!A:C,1,FALSE)=E47)))),MD!$A$3,MD!$A$2))))</f>
        <v>Mandatory test for a mandatory feature</v>
      </c>
      <c r="E47" t="str">
        <f>IF('HIDDEN import'!F46=0,"",'HIDDEN import'!F46)</f>
        <v/>
      </c>
      <c r="F47" t="str">
        <f>IF('HIDDEN import'!G46=0,"",'HIDDEN import'!G46)</f>
        <v/>
      </c>
      <c r="G47" s="18" t="str">
        <f>IFERROR(VLOOKUP($A47,'HIDDEN Testrun Results'!$A:$B,2,FALSE),"")</f>
        <v/>
      </c>
      <c r="H47" s="18" t="b">
        <f t="shared" si="0"/>
        <v>1</v>
      </c>
      <c r="I47" s="18" t="b">
        <f>IF(VLOOKUP(A47&amp;" "&amp;B47,'HIDDEN import'!A:G,5,FALSE)="M",TRUE,IFERROR(VLOOKUP(E47,#REF!,3,FALSE)="Yes",IFERROR(VLOOKUP(E47,'HIDDEN calc sheet'!A:B,2,FALSE),VLOOKUP(E47,'Additional questions'!B:D,3,FALSE)="Yes")))</f>
        <v>1</v>
      </c>
      <c r="J47" s="18" t="b">
        <f t="shared" si="1"/>
        <v>0</v>
      </c>
      <c r="K47" t="b">
        <f>OR(IFERROR(VLOOKUP(B47,'Profile selection'!B:C,2,FALSE)="Yes",FALSE),AND(B47="Security",OR(VLOOKUP("Security Profile 2",'Profile selection'!B:C,2)="Yes",VLOOKUP("Security Profile 3",'Profile selection'!B:C,2)="Yes")))</f>
        <v>1</v>
      </c>
      <c r="L47" s="20"/>
      <c r="M47" s="20"/>
    </row>
    <row r="48" spans="1:13" x14ac:dyDescent="0.25">
      <c r="A48" t="str">
        <f>'HIDDEN import'!B47</f>
        <v>TC_052_CSMS</v>
      </c>
      <c r="B48" t="str">
        <f>'HIDDEN import'!C47</f>
        <v>Core</v>
      </c>
      <c r="C48" t="str">
        <f>'HIDDEN import'!D47</f>
        <v>Cancel Reservation - Rejected</v>
      </c>
      <c r="D48" t="str">
        <f>IF(VLOOKUP(A48&amp;" "&amp;B48,'HIDDEN import'!A:G,5,FALSE)="M",MD!$A$1,IF(VLOOKUP(A48&amp;" "&amp;B48,'HIDDEN import'!A:G,5,FALSE)="O",MD!$A$4,(IF(AND(VLOOKUP(A48,'HIDDEN import'!B:E,4,FALSE)="C",OR(NOT(ISERROR(VLOOKUP(E48,'HIDDEN calc sheet'!A:C,1,FALSE)=E48)))),MD!$A$3,MD!$A$2))))</f>
        <v>Optional test case</v>
      </c>
      <c r="E48" t="str">
        <f>IF('HIDDEN import'!F47=0,"",'HIDDEN import'!F47)</f>
        <v/>
      </c>
      <c r="F48" t="str">
        <f>IF('HIDDEN import'!G47=0,"",'HIDDEN import'!G47)</f>
        <v/>
      </c>
      <c r="G48" s="18" t="str">
        <f>IFERROR(VLOOKUP($A48,'HIDDEN Testrun Results'!$A:$B,2,FALSE),"")</f>
        <v/>
      </c>
      <c r="H48" s="18" t="str">
        <f t="shared" si="0"/>
        <v>Up to vendor</v>
      </c>
      <c r="I48" s="18" t="e">
        <f>IF(VLOOKUP(A48&amp;" "&amp;B48,'HIDDEN import'!A:G,5,FALSE)="M",TRUE,IFERROR(VLOOKUP(E48,#REF!,3,FALSE)="Yes",IFERROR(VLOOKUP(E48,'HIDDEN calc sheet'!A:B,2,FALSE),VLOOKUP(E48,'Additional questions'!B:D,3,FALSE)="Yes")))</f>
        <v>#N/A</v>
      </c>
      <c r="J48" s="18" t="b">
        <f t="shared" si="1"/>
        <v>1</v>
      </c>
      <c r="K48" t="b">
        <f>OR(IFERROR(VLOOKUP(B48,'Profile selection'!B:C,2,FALSE)="Yes",FALSE),AND(B48="Security",OR(VLOOKUP("Security Profile 2",'Profile selection'!B:C,2)="Yes",VLOOKUP("Security Profile 3",'Profile selection'!B:C,2)="Yes")))</f>
        <v>1</v>
      </c>
      <c r="L48" s="20"/>
      <c r="M48" s="20"/>
    </row>
    <row r="49" spans="1:13" x14ac:dyDescent="0.25">
      <c r="A49" t="str">
        <f>'HIDDEN import'!B48</f>
        <v>TC_053_CSMS</v>
      </c>
      <c r="B49" t="str">
        <f>'HIDDEN import'!C48</f>
        <v>Core</v>
      </c>
      <c r="C49" t="str">
        <f>'HIDDEN import'!D48</f>
        <v>Use a reserved Connector with parentIdTag</v>
      </c>
      <c r="D49" t="str">
        <f>IF(VLOOKUP(A49&amp;" "&amp;B49,'HIDDEN import'!A:G,5,FALSE)="M",MD!$A$1,IF(VLOOKUP(A49&amp;" "&amp;B49,'HIDDEN import'!A:G,5,FALSE)="O",MD!$A$4,(IF(AND(VLOOKUP(A49,'HIDDEN import'!B:E,4,FALSE)="C",OR(NOT(ISERROR(VLOOKUP(E49,'HIDDEN calc sheet'!A:C,1,FALSE)=E49)))),MD!$A$3,MD!$A$2))))</f>
        <v>Optional test case</v>
      </c>
      <c r="E49" t="str">
        <f>IF('HIDDEN import'!F48=0,"",'HIDDEN import'!F48)</f>
        <v/>
      </c>
      <c r="F49" t="str">
        <f>IF('HIDDEN import'!G48=0,"",'HIDDEN import'!G48)</f>
        <v/>
      </c>
      <c r="G49" s="18" t="str">
        <f>IFERROR(VLOOKUP($A49,'HIDDEN Testrun Results'!$A:$B,2,FALSE),"")</f>
        <v/>
      </c>
      <c r="H49" s="18" t="str">
        <f t="shared" si="0"/>
        <v>Up to vendor</v>
      </c>
      <c r="I49" s="18" t="e">
        <f>IF(VLOOKUP(A49&amp;" "&amp;B49,'HIDDEN import'!A:G,5,FALSE)="M",TRUE,IFERROR(VLOOKUP(E49,#REF!,3,FALSE)="Yes",IFERROR(VLOOKUP(E49,'HIDDEN calc sheet'!A:B,2,FALSE),VLOOKUP(E49,'Additional questions'!B:D,3,FALSE)="Yes")))</f>
        <v>#N/A</v>
      </c>
      <c r="J49" s="18" t="b">
        <f t="shared" si="1"/>
        <v>1</v>
      </c>
      <c r="K49" t="b">
        <f>OR(IFERROR(VLOOKUP(B49,'Profile selection'!B:C,2,FALSE)="Yes",FALSE),AND(B49="Security",OR(VLOOKUP("Security Profile 2",'Profile selection'!B:C,2)="Yes",VLOOKUP("Security Profile 3",'Profile selection'!B:C,2)="Yes")))</f>
        <v>1</v>
      </c>
      <c r="L49" s="20"/>
      <c r="M49" s="20"/>
    </row>
    <row r="50" spans="1:13" x14ac:dyDescent="0.25">
      <c r="A50" t="str">
        <f>'HIDDEN import'!B49</f>
        <v>TC_054_CSMS</v>
      </c>
      <c r="B50" t="str">
        <f>'HIDDEN import'!C49</f>
        <v>Core</v>
      </c>
      <c r="C50" t="str">
        <f>'HIDDEN import'!D49</f>
        <v>Trigger Message</v>
      </c>
      <c r="D50" t="str">
        <f>IF(VLOOKUP(A50&amp;" "&amp;B50,'HIDDEN import'!A:G,5,FALSE)="M",MD!$A$1,IF(VLOOKUP(A50&amp;" "&amp;B50,'HIDDEN import'!A:G,5,FALSE)="O",MD!$A$4,(IF(AND(VLOOKUP(A50,'HIDDEN import'!B:E,4,FALSE)="C",OR(NOT(ISERROR(VLOOKUP(E50,'HIDDEN calc sheet'!A:C,1,FALSE)=E50)))),MD!$A$3,MD!$A$2))))</f>
        <v>Mandatory test for a mandatory feature</v>
      </c>
      <c r="E50" t="str">
        <f>IF('HIDDEN import'!F49=0,"",'HIDDEN import'!F49)</f>
        <v/>
      </c>
      <c r="F50" t="str">
        <f>IF('HIDDEN import'!G49=0,"",'HIDDEN import'!G49)</f>
        <v/>
      </c>
      <c r="G50" s="18" t="str">
        <f>IFERROR(VLOOKUP($A50,'HIDDEN Testrun Results'!$A:$B,2,FALSE),"")</f>
        <v/>
      </c>
      <c r="H50" s="18" t="b">
        <f t="shared" si="0"/>
        <v>1</v>
      </c>
      <c r="I50" s="18" t="b">
        <f>IF(VLOOKUP(A50&amp;" "&amp;B50,'HIDDEN import'!A:G,5,FALSE)="M",TRUE,IFERROR(VLOOKUP(E50,#REF!,3,FALSE)="Yes",IFERROR(VLOOKUP(E50,'HIDDEN calc sheet'!A:B,2,FALSE),VLOOKUP(E50,'Additional questions'!B:D,3,FALSE)="Yes")))</f>
        <v>1</v>
      </c>
      <c r="J50" s="18" t="b">
        <f t="shared" si="1"/>
        <v>0</v>
      </c>
      <c r="K50" t="b">
        <f>OR(IFERROR(VLOOKUP(B50,'Profile selection'!B:C,2,FALSE)="Yes",FALSE),AND(B50="Security",OR(VLOOKUP("Security Profile 2",'Profile selection'!B:C,2)="Yes",VLOOKUP("Security Profile 3",'Profile selection'!B:C,2)="Yes")))</f>
        <v>1</v>
      </c>
      <c r="L50" s="20"/>
      <c r="M50" s="20"/>
    </row>
    <row r="51" spans="1:13" x14ac:dyDescent="0.25">
      <c r="A51" t="str">
        <f>'HIDDEN import'!B50</f>
        <v>TC_055_CSMS</v>
      </c>
      <c r="B51" t="str">
        <f>'HIDDEN import'!C50</f>
        <v>Core</v>
      </c>
      <c r="C51" t="str">
        <f>'HIDDEN import'!D50</f>
        <v>Trigger Message - Rejected</v>
      </c>
      <c r="D51" t="str">
        <f>IF(VLOOKUP(A51&amp;" "&amp;B51,'HIDDEN import'!A:G,5,FALSE)="M",MD!$A$1,IF(VLOOKUP(A51&amp;" "&amp;B51,'HIDDEN import'!A:G,5,FALSE)="O",MD!$A$4,(IF(AND(VLOOKUP(A51,'HIDDEN import'!B:E,4,FALSE)="C",OR(NOT(ISERROR(VLOOKUP(E51,'HIDDEN calc sheet'!A:C,1,FALSE)=E51)))),MD!$A$3,MD!$A$2))))</f>
        <v>Optional test case</v>
      </c>
      <c r="E51" t="str">
        <f>IF('HIDDEN import'!F50=0,"",'HIDDEN import'!F50)</f>
        <v/>
      </c>
      <c r="F51" t="str">
        <f>IF('HIDDEN import'!G50=0,"",'HIDDEN import'!G50)</f>
        <v/>
      </c>
      <c r="G51" s="18" t="str">
        <f>IFERROR(VLOOKUP($A51,'HIDDEN Testrun Results'!$A:$B,2,FALSE),"")</f>
        <v/>
      </c>
      <c r="H51" s="18" t="str">
        <f t="shared" si="0"/>
        <v>Up to vendor</v>
      </c>
      <c r="I51" s="18" t="e">
        <f>IF(VLOOKUP(A51&amp;" "&amp;B51,'HIDDEN import'!A:G,5,FALSE)="M",TRUE,IFERROR(VLOOKUP(E51,#REF!,3,FALSE)="Yes",IFERROR(VLOOKUP(E51,'HIDDEN calc sheet'!A:B,2,FALSE),VLOOKUP(E51,'Additional questions'!B:D,3,FALSE)="Yes")))</f>
        <v>#N/A</v>
      </c>
      <c r="J51" s="18" t="b">
        <f t="shared" si="1"/>
        <v>1</v>
      </c>
      <c r="K51" t="b">
        <f>OR(IFERROR(VLOOKUP(B51,'Profile selection'!B:C,2,FALSE)="Yes",FALSE),AND(B51="Security",OR(VLOOKUP("Security Profile 2",'Profile selection'!B:C,2)="Yes",VLOOKUP("Security Profile 3",'Profile selection'!B:C,2)="Yes")))</f>
        <v>1</v>
      </c>
      <c r="L51" s="20"/>
      <c r="M51" s="20"/>
    </row>
    <row r="52" spans="1:13" x14ac:dyDescent="0.25">
      <c r="A52" t="str">
        <f>'HIDDEN import'!B51</f>
        <v>TC_056_CSMS</v>
      </c>
      <c r="B52" t="str">
        <f>'HIDDEN import'!C51</f>
        <v>Smart Charging</v>
      </c>
      <c r="C52" t="str">
        <f>'HIDDEN import'!D51</f>
        <v>Central Smart Charging - TxDefaultProfile</v>
      </c>
      <c r="D52" t="str">
        <f>IF(VLOOKUP(A52&amp;" "&amp;B52,'HIDDEN import'!A:G,5,FALSE)="M",MD!$A$1,IF(VLOOKUP(A52&amp;" "&amp;B52,'HIDDEN import'!A:G,5,FALSE)="O",MD!$A$4,(IF(AND(VLOOKUP(A52,'HIDDEN import'!B:E,4,FALSE)="C",OR(NOT(ISERROR(VLOOKUP(E52,'HIDDEN calc sheet'!A:C,1,FALSE)=E52)))),MD!$A$3,MD!$A$2))))</f>
        <v>Mandatory test for a mandatory feature</v>
      </c>
      <c r="E52" t="str">
        <f>IF('HIDDEN import'!F51=0,"",'HIDDEN import'!F51)</f>
        <v/>
      </c>
      <c r="F52" t="str">
        <f>IF('HIDDEN import'!G51=0,"",'HIDDEN import'!G51)</f>
        <v/>
      </c>
      <c r="G52" s="18" t="str">
        <f>IFERROR(VLOOKUP($A52,'HIDDEN Testrun Results'!$A:$B,2,FALSE),"")</f>
        <v/>
      </c>
      <c r="H52" s="18" t="b">
        <f t="shared" si="0"/>
        <v>1</v>
      </c>
      <c r="I52" s="18" t="b">
        <f>IF(VLOOKUP(A52&amp;" "&amp;B52,'HIDDEN import'!A:G,5,FALSE)="M",TRUE,IFERROR(VLOOKUP(E52,#REF!,3,FALSE)="Yes",IFERROR(VLOOKUP(E52,'HIDDEN calc sheet'!A:B,2,FALSE),VLOOKUP(E52,'Additional questions'!B:D,3,FALSE)="Yes")))</f>
        <v>1</v>
      </c>
      <c r="J52" s="18" t="b">
        <f t="shared" si="1"/>
        <v>0</v>
      </c>
      <c r="K52" t="b">
        <f>OR(IFERROR(VLOOKUP(B52,'Profile selection'!B:C,2,FALSE)="Yes",FALSE),AND(B52="Security",OR(VLOOKUP("Security Profile 2",'Profile selection'!B:C,2)="Yes",VLOOKUP("Security Profile 3",'Profile selection'!B:C,2)="Yes")))</f>
        <v>1</v>
      </c>
      <c r="L52" s="20"/>
      <c r="M52" s="20"/>
    </row>
    <row r="53" spans="1:13" x14ac:dyDescent="0.25">
      <c r="A53" t="str">
        <f>'HIDDEN import'!B52</f>
        <v>TC_057_CSMS</v>
      </c>
      <c r="B53" t="str">
        <f>'HIDDEN import'!C52</f>
        <v>Smart Charging</v>
      </c>
      <c r="C53" t="str">
        <f>'HIDDEN import'!D52</f>
        <v>Central Smart Charging - TxProfile</v>
      </c>
      <c r="D53" t="str">
        <f>IF(VLOOKUP(A53&amp;" "&amp;B53,'HIDDEN import'!A:G,5,FALSE)="M",MD!$A$1,IF(VLOOKUP(A53&amp;" "&amp;B53,'HIDDEN import'!A:G,5,FALSE)="O",MD!$A$4,(IF(AND(VLOOKUP(A53,'HIDDEN import'!B:E,4,FALSE)="C",OR(NOT(ISERROR(VLOOKUP(E53,'HIDDEN calc sheet'!A:C,1,FALSE)=E53)))),MD!$A$3,MD!$A$2))))</f>
        <v>Mandatory test for a mandatory feature</v>
      </c>
      <c r="E53" t="str">
        <f>IF('HIDDEN import'!F52=0,"",'HIDDEN import'!F52)</f>
        <v/>
      </c>
      <c r="F53" t="str">
        <f>IF('HIDDEN import'!G52=0,"",'HIDDEN import'!G52)</f>
        <v/>
      </c>
      <c r="G53" s="18" t="str">
        <f>IFERROR(VLOOKUP($A53,'HIDDEN Testrun Results'!$A:$B,2,FALSE),"")</f>
        <v/>
      </c>
      <c r="H53" s="18" t="b">
        <f t="shared" si="0"/>
        <v>1</v>
      </c>
      <c r="I53" s="18" t="b">
        <f>IF(VLOOKUP(A53&amp;" "&amp;B53,'HIDDEN import'!A:G,5,FALSE)="M",TRUE,IFERROR(VLOOKUP(E53,#REF!,3,FALSE)="Yes",IFERROR(VLOOKUP(E53,'HIDDEN calc sheet'!A:B,2,FALSE),VLOOKUP(E53,'Additional questions'!B:D,3,FALSE)="Yes")))</f>
        <v>1</v>
      </c>
      <c r="J53" s="18" t="b">
        <f t="shared" si="1"/>
        <v>0</v>
      </c>
      <c r="K53" t="b">
        <f>OR(IFERROR(VLOOKUP(B53,'Profile selection'!B:C,2,FALSE)="Yes",FALSE),AND(B53="Security",OR(VLOOKUP("Security Profile 2",'Profile selection'!B:C,2)="Yes",VLOOKUP("Security Profile 3",'Profile selection'!B:C,2)="Yes")))</f>
        <v>1</v>
      </c>
      <c r="L53" s="20"/>
      <c r="M53" s="20"/>
    </row>
    <row r="54" spans="1:13" x14ac:dyDescent="0.25">
      <c r="A54" t="str">
        <f>'HIDDEN import'!B53</f>
        <v>TC_066_CSMS</v>
      </c>
      <c r="B54" t="str">
        <f>'HIDDEN import'!C53</f>
        <v>Smart Charging</v>
      </c>
      <c r="C54" t="str">
        <f>'HIDDEN import'!D53</f>
        <v>Get Composite Schedule</v>
      </c>
      <c r="D54" t="str">
        <f>IF(VLOOKUP(A54&amp;" "&amp;B54,'HIDDEN import'!A:G,5,FALSE)="M",MD!$A$1,IF(VLOOKUP(A54&amp;" "&amp;B54,'HIDDEN import'!A:G,5,FALSE)="O",MD!$A$4,(IF(AND(VLOOKUP(A54,'HIDDEN import'!B:E,4,FALSE)="C",OR(NOT(ISERROR(VLOOKUP(E54,'HIDDEN calc sheet'!A:C,1,FALSE)=E54)))),MD!$A$3,MD!$A$2))))</f>
        <v>Mandatory test for a mandatory feature</v>
      </c>
      <c r="E54" t="str">
        <f>IF('HIDDEN import'!F53=0,"",'HIDDEN import'!F53)</f>
        <v/>
      </c>
      <c r="F54" t="str">
        <f>IF('HIDDEN import'!G53=0,"",'HIDDEN import'!G53)</f>
        <v/>
      </c>
      <c r="G54" s="18" t="str">
        <f>IFERROR(VLOOKUP($A54,'HIDDEN Testrun Results'!$A:$B,2,FALSE),"")</f>
        <v/>
      </c>
      <c r="H54" s="18" t="b">
        <f t="shared" si="0"/>
        <v>1</v>
      </c>
      <c r="I54" s="18" t="b">
        <f>IF(VLOOKUP(A54&amp;" "&amp;B54,'HIDDEN import'!A:G,5,FALSE)="M",TRUE,IFERROR(VLOOKUP(E54,#REF!,3,FALSE)="Yes",IFERROR(VLOOKUP(E54,'HIDDEN calc sheet'!A:B,2,FALSE),VLOOKUP(E54,'Additional questions'!B:D,3,FALSE)="Yes")))</f>
        <v>1</v>
      </c>
      <c r="J54" s="18" t="b">
        <f t="shared" si="1"/>
        <v>0</v>
      </c>
      <c r="K54" t="b">
        <f>OR(IFERROR(VLOOKUP(B54,'Profile selection'!B:C,2,FALSE)="Yes",FALSE),AND(B54="Security",OR(VLOOKUP("Security Profile 2",'Profile selection'!B:C,2)="Yes",VLOOKUP("Security Profile 3",'Profile selection'!B:C,2)="Yes")))</f>
        <v>1</v>
      </c>
      <c r="L54" s="20"/>
      <c r="M54" s="20"/>
    </row>
    <row r="55" spans="1:13" x14ac:dyDescent="0.25">
      <c r="A55" t="str">
        <f>'HIDDEN import'!B54</f>
        <v>TC_067_CSMS</v>
      </c>
      <c r="B55" t="str">
        <f>'HIDDEN import'!C54</f>
        <v>Smart Charging</v>
      </c>
      <c r="C55" t="str">
        <f>'HIDDEN import'!D54</f>
        <v>Clear Charging Profile</v>
      </c>
      <c r="D55" t="str">
        <f>IF(VLOOKUP(A55&amp;" "&amp;B55,'HIDDEN import'!A:G,5,FALSE)="M",MD!$A$1,IF(VLOOKUP(A55&amp;" "&amp;B55,'HIDDEN import'!A:G,5,FALSE)="O",MD!$A$4,(IF(AND(VLOOKUP(A55,'HIDDEN import'!B:E,4,FALSE)="C",OR(NOT(ISERROR(VLOOKUP(E55,'HIDDEN calc sheet'!A:C,1,FALSE)=E55)))),MD!$A$3,MD!$A$2))))</f>
        <v>Mandatory test for a mandatory feature</v>
      </c>
      <c r="E55" t="str">
        <f>IF('HIDDEN import'!F54=0,"",'HIDDEN import'!F54)</f>
        <v/>
      </c>
      <c r="F55" t="str">
        <f>IF('HIDDEN import'!G54=0,"",'HIDDEN import'!G54)</f>
        <v/>
      </c>
      <c r="G55" s="18" t="str">
        <f>IFERROR(VLOOKUP($A55,'HIDDEN Testrun Results'!$A:$B,2,FALSE),"")</f>
        <v/>
      </c>
      <c r="H55" s="18" t="b">
        <f t="shared" si="0"/>
        <v>1</v>
      </c>
      <c r="I55" s="18" t="b">
        <f>IF(VLOOKUP(A55&amp;" "&amp;B55,'HIDDEN import'!A:G,5,FALSE)="M",TRUE,IFERROR(VLOOKUP(E55,#REF!,3,FALSE)="Yes",IFERROR(VLOOKUP(E55,'HIDDEN calc sheet'!A:B,2,FALSE),VLOOKUP(E55,'Additional questions'!B:D,3,FALSE)="Yes")))</f>
        <v>1</v>
      </c>
      <c r="J55" s="18" t="b">
        <f t="shared" si="1"/>
        <v>0</v>
      </c>
      <c r="K55" t="b">
        <f>OR(IFERROR(VLOOKUP(B55,'Profile selection'!B:C,2,FALSE)="Yes",FALSE),AND(B55="Security",OR(VLOOKUP("Security Profile 2",'Profile selection'!B:C,2)="Yes",VLOOKUP("Security Profile 3",'Profile selection'!B:C,2)="Yes")))</f>
        <v>1</v>
      </c>
      <c r="L55" s="20"/>
      <c r="M55" s="20"/>
    </row>
    <row r="56" spans="1:13" x14ac:dyDescent="0.25">
      <c r="A56" t="str">
        <f>'HIDDEN import'!B55</f>
        <v>TC_059_CSMS</v>
      </c>
      <c r="B56" t="str">
        <f>'HIDDEN import'!C55</f>
        <v>Smart Charging</v>
      </c>
      <c r="C56" t="str">
        <f>'HIDDEN import'!D55</f>
        <v>Remote Start Transaction with Charging Profile</v>
      </c>
      <c r="D56" t="str">
        <f>IF(VLOOKUP(A56&amp;" "&amp;B56,'HIDDEN import'!A:G,5,FALSE)="M",MD!$A$1,IF(VLOOKUP(A56&amp;" "&amp;B56,'HIDDEN import'!A:G,5,FALSE)="O",MD!$A$4,(IF(AND(VLOOKUP(A56,'HIDDEN import'!B:E,4,FALSE)="C",OR(NOT(ISERROR(VLOOKUP(E56,'HIDDEN calc sheet'!A:C,1,FALSE)=E56)))),MD!$A$3,MD!$A$2))))</f>
        <v>Mandatory test for a mandatory feature</v>
      </c>
      <c r="E56" t="str">
        <f>IF('HIDDEN import'!F55=0,"",'HIDDEN import'!F55)</f>
        <v/>
      </c>
      <c r="F56" t="str">
        <f>IF('HIDDEN import'!G55=0,"",'HIDDEN import'!G55)</f>
        <v/>
      </c>
      <c r="G56" s="18" t="str">
        <f>IFERROR(VLOOKUP($A56,'HIDDEN Testrun Results'!$A:$B,2,FALSE),"")</f>
        <v/>
      </c>
      <c r="H56" s="18" t="b">
        <f t="shared" si="0"/>
        <v>1</v>
      </c>
      <c r="I56" s="18" t="b">
        <f>IF(VLOOKUP(A56&amp;" "&amp;B56,'HIDDEN import'!A:G,5,FALSE)="M",TRUE,IFERROR(VLOOKUP(E56,#REF!,3,FALSE)="Yes",IFERROR(VLOOKUP(E56,'HIDDEN calc sheet'!A:B,2,FALSE),VLOOKUP(E56,'Additional questions'!B:D,3,FALSE)="Yes")))</f>
        <v>1</v>
      </c>
      <c r="J56" s="18" t="b">
        <f t="shared" si="1"/>
        <v>0</v>
      </c>
      <c r="K56" t="b">
        <f>OR(IFERROR(VLOOKUP(B56,'Profile selection'!B:C,2,FALSE)="Yes",FALSE),AND(B56="Security",OR(VLOOKUP("Security Profile 2",'Profile selection'!B:C,2)="Yes",VLOOKUP("Security Profile 3",'Profile selection'!B:C,2)="Yes")))</f>
        <v>1</v>
      </c>
      <c r="L56" s="20"/>
      <c r="M56" s="20"/>
    </row>
    <row r="57" spans="1:13" x14ac:dyDescent="0.25">
      <c r="A57" t="str">
        <f>'HIDDEN import'!B56</f>
        <v>TC_064_CSMS</v>
      </c>
      <c r="B57" t="str">
        <f>'HIDDEN import'!C56</f>
        <v>Core</v>
      </c>
      <c r="C57" t="str">
        <f>'HIDDEN import'!D56</f>
        <v>Data Transfer to a Central System</v>
      </c>
      <c r="D57" t="str">
        <f>IF(VLOOKUP(A57&amp;" "&amp;B57,'HIDDEN import'!A:G,5,FALSE)="M",MD!$A$1,IF(VLOOKUP(A57&amp;" "&amp;B57,'HIDDEN import'!A:G,5,FALSE)="O",MD!$A$4,(IF(AND(VLOOKUP(A57,'HIDDEN import'!B:E,4,FALSE)="C",OR(NOT(ISERROR(VLOOKUP(E57,'HIDDEN calc sheet'!A:C,1,FALSE)=E57)))),MD!$A$3,MD!$A$2))))</f>
        <v>Mandatory test for a mandatory feature</v>
      </c>
      <c r="E57" t="str">
        <f>IF('HIDDEN import'!F56=0,"",'HIDDEN import'!F56)</f>
        <v/>
      </c>
      <c r="F57" t="str">
        <f>IF('HIDDEN import'!G56=0,"",'HIDDEN import'!G56)</f>
        <v/>
      </c>
      <c r="G57" s="18" t="str">
        <f>IFERROR(VLOOKUP($A57,'HIDDEN Testrun Results'!$A:$B,2,FALSE),"")</f>
        <v/>
      </c>
      <c r="H57" s="18" t="b">
        <f t="shared" si="0"/>
        <v>1</v>
      </c>
      <c r="I57" s="18" t="b">
        <f>IF(VLOOKUP(A57&amp;" "&amp;B57,'HIDDEN import'!A:G,5,FALSE)="M",TRUE,IFERROR(VLOOKUP(E57,#REF!,3,FALSE)="Yes",IFERROR(VLOOKUP(E57,'HIDDEN calc sheet'!A:B,2,FALSE),VLOOKUP(E57,'Additional questions'!B:D,3,FALSE)="Yes")))</f>
        <v>1</v>
      </c>
      <c r="J57" s="18" t="b">
        <f t="shared" si="1"/>
        <v>0</v>
      </c>
      <c r="K57" t="b">
        <f>OR(IFERROR(VLOOKUP(B57,'Profile selection'!B:C,2,FALSE)="Yes",FALSE),AND(B57="Security",OR(VLOOKUP("Security Profile 2",'Profile selection'!B:C,2)="Yes",VLOOKUP("Security Profile 3",'Profile selection'!B:C,2)="Yes")))</f>
        <v>1</v>
      </c>
      <c r="L57" s="20"/>
      <c r="M57" s="20"/>
    </row>
    <row r="58" spans="1:13" x14ac:dyDescent="0.25">
      <c r="A58" t="str">
        <f>'HIDDEN import'!B57</f>
        <v>TC_073_CSMS</v>
      </c>
      <c r="B58" t="str">
        <f>'HIDDEN import'!C57</f>
        <v>Core</v>
      </c>
      <c r="C58" t="str">
        <f>'HIDDEN import'!D57</f>
        <v>Update Charge Point Password for HTTP Basic Authentication</v>
      </c>
      <c r="D58" t="str">
        <f>IF(VLOOKUP(A58&amp;" "&amp;B58,'HIDDEN import'!A:G,5,FALSE)="M",MD!$A$1,IF(VLOOKUP(A58&amp;" "&amp;B58,'HIDDEN import'!A:G,5,FALSE)="O",MD!$A$4,(IF(AND(VLOOKUP(A58,'HIDDEN import'!B:E,4,FALSE)="C",OR(NOT(ISERROR(VLOOKUP(E58,'HIDDEN calc sheet'!A:C,1,FALSE)=E58)))),MD!$A$3,MD!$A$2))))</f>
        <v>Mandatory test for a mandatory feature</v>
      </c>
      <c r="E58" t="str">
        <f>IF('HIDDEN import'!F57=0,"",'HIDDEN import'!F57)</f>
        <v/>
      </c>
      <c r="F58" t="str">
        <f>IF('HIDDEN import'!G57=0,"",'HIDDEN import'!G57)</f>
        <v/>
      </c>
      <c r="G58" s="18" t="str">
        <f>IFERROR(VLOOKUP($A58,'HIDDEN Testrun Results'!$A:$B,2,FALSE),"")</f>
        <v/>
      </c>
      <c r="H58" s="18" t="b">
        <f t="shared" si="0"/>
        <v>1</v>
      </c>
      <c r="I58" s="18" t="b">
        <f>IF(VLOOKUP(A58&amp;" "&amp;B58,'HIDDEN import'!A:G,5,FALSE)="M",TRUE,IFERROR(VLOOKUP(E58,#REF!,3,FALSE)="Yes",IFERROR(VLOOKUP(E58,'HIDDEN calc sheet'!A:B,2,FALSE),VLOOKUP(E58,'Additional questions'!B:D,3,FALSE)="Yes")))</f>
        <v>1</v>
      </c>
      <c r="J58" s="18" t="b">
        <f t="shared" si="1"/>
        <v>0</v>
      </c>
      <c r="K58" t="b">
        <f>OR(IFERROR(VLOOKUP(B58,'Profile selection'!B:C,2,FALSE)="Yes",FALSE),AND(B58="Security",OR(VLOOKUP("Security Profile 2",'Profile selection'!B:C,2)="Yes",VLOOKUP("Security Profile 3",'Profile selection'!B:C,2)="Yes")))</f>
        <v>1</v>
      </c>
      <c r="L58" s="20"/>
      <c r="M58" s="20"/>
    </row>
    <row r="59" spans="1:13" x14ac:dyDescent="0.25">
      <c r="A59" t="str">
        <f>'HIDDEN import'!B58</f>
        <v>TC_075_1_CSMS</v>
      </c>
      <c r="B59" t="str">
        <f>'HIDDEN import'!C58</f>
        <v>Core</v>
      </c>
      <c r="C59" t="str">
        <f>'HIDDEN import'!D58</f>
        <v>Install a certificate on the Charge Point - ManufacturerRootCertificate</v>
      </c>
      <c r="D59" t="str">
        <f>IF(VLOOKUP(A59&amp;" "&amp;B59,'HIDDEN import'!A:G,5,FALSE)="M",MD!$A$1,IF(VLOOKUP(A59&amp;" "&amp;B59,'HIDDEN import'!A:G,5,FALSE)="O",MD!$A$4,(IF(AND(VLOOKUP(A59,'HIDDEN import'!B:E,4,FALSE)="C",OR(NOT(ISERROR(VLOOKUP(E59,'HIDDEN calc sheet'!A:C,1,FALSE)=E59)))),MD!$A$3,MD!$A$2))))</f>
        <v>Mandatory test for a mandatory feature</v>
      </c>
      <c r="E59" t="str">
        <f>IF('HIDDEN import'!F58=0,"",'HIDDEN import'!F58)</f>
        <v/>
      </c>
      <c r="F59" t="str">
        <f>IF('HIDDEN import'!G58=0,"",'HIDDEN import'!G58)</f>
        <v/>
      </c>
      <c r="G59" s="18" t="str">
        <f>IFERROR(VLOOKUP($A59,'HIDDEN Testrun Results'!$A:$B,2,FALSE),"")</f>
        <v/>
      </c>
      <c r="H59" s="18" t="b">
        <f t="shared" si="0"/>
        <v>1</v>
      </c>
      <c r="I59" s="18" t="b">
        <f>IF(VLOOKUP(A59&amp;" "&amp;B59,'HIDDEN import'!A:G,5,FALSE)="M",TRUE,IFERROR(VLOOKUP(E59,#REF!,3,FALSE)="Yes",IFERROR(VLOOKUP(E59,'HIDDEN calc sheet'!A:B,2,FALSE),VLOOKUP(E59,'Additional questions'!B:D,3,FALSE)="Yes")))</f>
        <v>1</v>
      </c>
      <c r="J59" s="18" t="b">
        <f t="shared" si="1"/>
        <v>0</v>
      </c>
      <c r="K59" t="b">
        <f>OR(IFERROR(VLOOKUP(B59,'Profile selection'!B:C,2,FALSE)="Yes",FALSE),AND(B59="Security",OR(VLOOKUP("Security Profile 2",'Profile selection'!B:C,2)="Yes",VLOOKUP("Security Profile 3",'Profile selection'!B:C,2)="Yes")))</f>
        <v>1</v>
      </c>
      <c r="L59" s="20"/>
      <c r="M59" s="20"/>
    </row>
    <row r="60" spans="1:13" x14ac:dyDescent="0.25">
      <c r="A60" t="str">
        <f>'HIDDEN import'!B59</f>
        <v>TC_075_2_CSMS</v>
      </c>
      <c r="B60" t="str">
        <f>'HIDDEN import'!C59</f>
        <v>Core</v>
      </c>
      <c r="C60" t="str">
        <f>'HIDDEN import'!D59</f>
        <v>Install a certificate on the Charge Point - CentralSystemRootCertificate</v>
      </c>
      <c r="D60" t="str">
        <f>IF(VLOOKUP(A60&amp;" "&amp;B60,'HIDDEN import'!A:G,5,FALSE)="M",MD!$A$1,IF(VLOOKUP(A60&amp;" "&amp;B60,'HIDDEN import'!A:G,5,FALSE)="O",MD!$A$4,(IF(AND(VLOOKUP(A60,'HIDDEN import'!B:E,4,FALSE)="C",OR(NOT(ISERROR(VLOOKUP(E60,'HIDDEN calc sheet'!A:C,1,FALSE)=E60)))),MD!$A$3,MD!$A$2))))</f>
        <v>Mandatory test for a mandatory feature</v>
      </c>
      <c r="E60" t="str">
        <f>IF('HIDDEN import'!F59=0,"",'HIDDEN import'!F59)</f>
        <v/>
      </c>
      <c r="F60" t="str">
        <f>IF('HIDDEN import'!G59=0,"",'HIDDEN import'!G59)</f>
        <v/>
      </c>
      <c r="G60" s="18" t="str">
        <f>IFERROR(VLOOKUP($A60,'HIDDEN Testrun Results'!$A:$B,2,FALSE),"")</f>
        <v/>
      </c>
      <c r="H60" s="18" t="b">
        <f t="shared" ref="H60:H71" si="2">IF(J60,"Up to vendor",IF(NOT(ISLOGICAL(I60)),I60,AND(I60,K60)))</f>
        <v>1</v>
      </c>
      <c r="I60" s="18" t="b">
        <f>IF(VLOOKUP(A60&amp;" "&amp;B60,'HIDDEN import'!A:G,5,FALSE)="M",TRUE,IFERROR(VLOOKUP(E60,#REF!,3,FALSE)="Yes",IFERROR(VLOOKUP(E60,'HIDDEN calc sheet'!A:B,2,FALSE),VLOOKUP(E60,'Additional questions'!B:D,3,FALSE)="Yes")))</f>
        <v>1</v>
      </c>
      <c r="J60" s="18" t="b">
        <f t="shared" ref="J60:J71" si="3">IF(D60="Optional test case",TRUE,FALSE)</f>
        <v>0</v>
      </c>
      <c r="K60" t="b">
        <f>OR(IFERROR(VLOOKUP(B60,'Profile selection'!B:C,2,FALSE)="Yes",FALSE),AND(B60="Security",OR(VLOOKUP("Security Profile 2",'Profile selection'!B:C,2)="Yes",VLOOKUP("Security Profile 3",'Profile selection'!B:C,2)="Yes")))</f>
        <v>1</v>
      </c>
      <c r="L60" s="20"/>
      <c r="M60" s="20"/>
    </row>
    <row r="61" spans="1:13" x14ac:dyDescent="0.25">
      <c r="A61" t="str">
        <f>'HIDDEN import'!B60</f>
        <v>TC_076_CSMS</v>
      </c>
      <c r="B61" t="str">
        <f>'HIDDEN import'!C60</f>
        <v>Core</v>
      </c>
      <c r="C61" t="str">
        <f>'HIDDEN import'!D60</f>
        <v>Delete a specific certificate from the Charge Point</v>
      </c>
      <c r="D61" t="str">
        <f>IF(VLOOKUP(A61&amp;" "&amp;B61,'HIDDEN import'!A:G,5,FALSE)="M",MD!$A$1,IF(VLOOKUP(A61&amp;" "&amp;B61,'HIDDEN import'!A:G,5,FALSE)="O",MD!$A$4,(IF(AND(VLOOKUP(A61,'HIDDEN import'!B:E,4,FALSE)="C",OR(NOT(ISERROR(VLOOKUP(E61,'HIDDEN calc sheet'!A:C,1,FALSE)=E61)))),MD!$A$3,MD!$A$2))))</f>
        <v>Mandatory test for a mandatory feature</v>
      </c>
      <c r="E61" t="str">
        <f>IF('HIDDEN import'!F60=0,"",'HIDDEN import'!F60)</f>
        <v/>
      </c>
      <c r="F61" t="str">
        <f>IF('HIDDEN import'!G60=0,"",'HIDDEN import'!G60)</f>
        <v/>
      </c>
      <c r="G61" s="18" t="str">
        <f>IFERROR(VLOOKUP($A61,'HIDDEN Testrun Results'!$A:$B,2,FALSE),"")</f>
        <v/>
      </c>
      <c r="H61" s="18" t="b">
        <f t="shared" si="2"/>
        <v>1</v>
      </c>
      <c r="I61" s="18" t="b">
        <f>IF(VLOOKUP(A61&amp;" "&amp;B61,'HIDDEN import'!A:G,5,FALSE)="M",TRUE,IFERROR(VLOOKUP(E61,#REF!,3,FALSE)="Yes",IFERROR(VLOOKUP(E61,'HIDDEN calc sheet'!A:B,2,FALSE),VLOOKUP(E61,'Additional questions'!B:D,3,FALSE)="Yes")))</f>
        <v>1</v>
      </c>
      <c r="J61" s="18" t="b">
        <f t="shared" si="3"/>
        <v>0</v>
      </c>
      <c r="K61" t="b">
        <f>OR(IFERROR(VLOOKUP(B61,'Profile selection'!B:C,2,FALSE)="Yes",FALSE),AND(B61="Security",OR(VLOOKUP("Security Profile 2",'Profile selection'!B:C,2)="Yes",VLOOKUP("Security Profile 3",'Profile selection'!B:C,2)="Yes")))</f>
        <v>1</v>
      </c>
      <c r="L61" s="20"/>
      <c r="M61" s="20"/>
    </row>
    <row r="62" spans="1:13" x14ac:dyDescent="0.25">
      <c r="A62" t="str">
        <f>'HIDDEN import'!B61</f>
        <v>TC_078_CSMS</v>
      </c>
      <c r="B62" t="str">
        <f>'HIDDEN import'!C61</f>
        <v>Core</v>
      </c>
      <c r="C62" t="str">
        <f>'HIDDEN import'!D61</f>
        <v>Invalid CentralSystemCertificate Security Event</v>
      </c>
      <c r="D62" t="str">
        <f>IF(VLOOKUP(A62&amp;" "&amp;B62,'HIDDEN import'!A:G,5,FALSE)="M",MD!$A$1,IF(VLOOKUP(A62&amp;" "&amp;B62,'HIDDEN import'!A:G,5,FALSE)="O",MD!$A$4,(IF(AND(VLOOKUP(A62,'HIDDEN import'!B:E,4,FALSE)="C",OR(NOT(ISERROR(VLOOKUP(E62,'HIDDEN calc sheet'!A:C,1,FALSE)=E62)))),MD!$A$3,MD!$A$2))))</f>
        <v>Mandatory test for a mandatory feature</v>
      </c>
      <c r="E62" t="str">
        <f>IF('HIDDEN import'!F61=0,"",'HIDDEN import'!F61)</f>
        <v/>
      </c>
      <c r="F62" t="str">
        <f>IF('HIDDEN import'!G61=0,"",'HIDDEN import'!G61)</f>
        <v/>
      </c>
      <c r="G62" s="18" t="str">
        <f>IFERROR(VLOOKUP($A62,'HIDDEN Testrun Results'!$A:$B,2,FALSE),"")</f>
        <v/>
      </c>
      <c r="H62" s="18" t="b">
        <f t="shared" si="2"/>
        <v>1</v>
      </c>
      <c r="I62" s="18" t="b">
        <f>IF(VLOOKUP(A62&amp;" "&amp;B62,'HIDDEN import'!A:G,5,FALSE)="M",TRUE,IFERROR(VLOOKUP(E62,#REF!,3,FALSE)="Yes",IFERROR(VLOOKUP(E62,'HIDDEN calc sheet'!A:B,2,FALSE),VLOOKUP(E62,'Additional questions'!B:D,3,FALSE)="Yes")))</f>
        <v>1</v>
      </c>
      <c r="J62" s="18" t="b">
        <f t="shared" si="3"/>
        <v>0</v>
      </c>
      <c r="K62" t="b">
        <f>OR(IFERROR(VLOOKUP(B62,'Profile selection'!B:C,2,FALSE)="Yes",FALSE),AND(B62="Security",OR(VLOOKUP("Security Profile 2",'Profile selection'!B:C,2)="Yes",VLOOKUP("Security Profile 3",'Profile selection'!B:C,2)="Yes")))</f>
        <v>1</v>
      </c>
      <c r="L62" s="20"/>
      <c r="M62" s="20"/>
    </row>
    <row r="63" spans="1:13" x14ac:dyDescent="0.25">
      <c r="A63" t="str">
        <f>'HIDDEN import'!B62</f>
        <v>TC_079_CSMS</v>
      </c>
      <c r="B63" t="str">
        <f>'HIDDEN import'!C62</f>
        <v>Core</v>
      </c>
      <c r="C63" t="str">
        <f>'HIDDEN import'!D62</f>
        <v>Get Security Log</v>
      </c>
      <c r="D63" t="str">
        <f>IF(VLOOKUP(A63&amp;" "&amp;B63,'HIDDEN import'!A:G,5,FALSE)="M",MD!$A$1,IF(VLOOKUP(A63&amp;" "&amp;B63,'HIDDEN import'!A:G,5,FALSE)="O",MD!$A$4,(IF(AND(VLOOKUP(A63,'HIDDEN import'!B:E,4,FALSE)="C",OR(NOT(ISERROR(VLOOKUP(E63,'HIDDEN calc sheet'!A:C,1,FALSE)=E63)))),MD!$A$3,MD!$A$2))))</f>
        <v>Mandatory test for a mandatory feature</v>
      </c>
      <c r="E63" t="str">
        <f>IF('HIDDEN import'!F62=0,"",'HIDDEN import'!F62)</f>
        <v/>
      </c>
      <c r="F63" t="str">
        <f>IF('HIDDEN import'!G62=0,"",'HIDDEN import'!G62)</f>
        <v/>
      </c>
      <c r="G63" s="18" t="str">
        <f>IFERROR(VLOOKUP($A63,'HIDDEN Testrun Results'!$A:$B,2,FALSE),"")</f>
        <v/>
      </c>
      <c r="H63" s="18" t="b">
        <f t="shared" si="2"/>
        <v>1</v>
      </c>
      <c r="I63" s="18" t="b">
        <f>IF(VLOOKUP(A63&amp;" "&amp;B63,'HIDDEN import'!A:G,5,FALSE)="M",TRUE,IFERROR(VLOOKUP(E63,#REF!,3,FALSE)="Yes",IFERROR(VLOOKUP(E63,'HIDDEN calc sheet'!A:B,2,FALSE),VLOOKUP(E63,'Additional questions'!B:D,3,FALSE)="Yes")))</f>
        <v>1</v>
      </c>
      <c r="J63" s="18" t="b">
        <f t="shared" si="3"/>
        <v>0</v>
      </c>
      <c r="K63" t="b">
        <f>OR(IFERROR(VLOOKUP(B63,'Profile selection'!B:C,2,FALSE)="Yes",FALSE),AND(B63="Security",OR(VLOOKUP("Security Profile 2",'Profile selection'!B:C,2)="Yes",VLOOKUP("Security Profile 3",'Profile selection'!B:C,2)="Yes")))</f>
        <v>1</v>
      </c>
      <c r="L63" s="20"/>
      <c r="M63" s="20"/>
    </row>
    <row r="64" spans="1:13" x14ac:dyDescent="0.25">
      <c r="A64" t="str">
        <f>'HIDDEN import'!B63</f>
        <v>TC_080_CSMS</v>
      </c>
      <c r="B64" t="str">
        <f>'HIDDEN import'!C63</f>
        <v>Core</v>
      </c>
      <c r="C64" t="str">
        <f>'HIDDEN import'!D63</f>
        <v>Secure Firmware Update</v>
      </c>
      <c r="D64" t="str">
        <f>IF(VLOOKUP(A64&amp;" "&amp;B64,'HIDDEN import'!A:G,5,FALSE)="M",MD!$A$1,IF(VLOOKUP(A64&amp;" "&amp;B64,'HIDDEN import'!A:G,5,FALSE)="O",MD!$A$4,(IF(AND(VLOOKUP(A64,'HIDDEN import'!B:E,4,FALSE)="C",OR(NOT(ISERROR(VLOOKUP(E64,'HIDDEN calc sheet'!A:C,1,FALSE)=E64)))),MD!$A$3,MD!$A$2))))</f>
        <v>Mandatory test for a mandatory feature</v>
      </c>
      <c r="E64" t="str">
        <f>IF('HIDDEN import'!F63=0,"",'HIDDEN import'!F63)</f>
        <v/>
      </c>
      <c r="F64" t="str">
        <f>IF('HIDDEN import'!G63=0,"",'HIDDEN import'!G63)</f>
        <v/>
      </c>
      <c r="G64" s="18" t="str">
        <f>IFERROR(VLOOKUP($A64,'HIDDEN Testrun Results'!$A:$B,2,FALSE),"")</f>
        <v/>
      </c>
      <c r="H64" s="18" t="b">
        <f t="shared" si="2"/>
        <v>1</v>
      </c>
      <c r="I64" s="18" t="b">
        <f>IF(VLOOKUP(A64&amp;" "&amp;B64,'HIDDEN import'!A:G,5,FALSE)="M",TRUE,IFERROR(VLOOKUP(E64,#REF!,3,FALSE)="Yes",IFERROR(VLOOKUP(E64,'HIDDEN calc sheet'!A:B,2,FALSE),VLOOKUP(E64,'Additional questions'!B:D,3,FALSE)="Yes")))</f>
        <v>1</v>
      </c>
      <c r="J64" s="18" t="b">
        <f t="shared" si="3"/>
        <v>0</v>
      </c>
      <c r="K64" t="b">
        <f>OR(IFERROR(VLOOKUP(B64,'Profile selection'!B:C,2,FALSE)="Yes",FALSE),AND(B64="Security",OR(VLOOKUP("Security Profile 2",'Profile selection'!B:C,2)="Yes",VLOOKUP("Security Profile 3",'Profile selection'!B:C,2)="Yes")))</f>
        <v>1</v>
      </c>
      <c r="L64" s="20"/>
      <c r="M64" s="20"/>
    </row>
    <row r="65" spans="1:13" x14ac:dyDescent="0.25">
      <c r="A65" t="str">
        <f>'HIDDEN import'!B64</f>
        <v>TC_081_CSMS</v>
      </c>
      <c r="B65" t="str">
        <f>'HIDDEN import'!C64</f>
        <v>Core</v>
      </c>
      <c r="C65" t="str">
        <f>'HIDDEN import'!D64</f>
        <v>Secure Firmware Update - Invalid Signature</v>
      </c>
      <c r="D65" t="str">
        <f>IF(VLOOKUP(A65&amp;" "&amp;B65,'HIDDEN import'!A:G,5,FALSE)="M",MD!$A$1,IF(VLOOKUP(A65&amp;" "&amp;B65,'HIDDEN import'!A:G,5,FALSE)="O",MD!$A$4,(IF(AND(VLOOKUP(A65,'HIDDEN import'!B:E,4,FALSE)="C",OR(NOT(ISERROR(VLOOKUP(E65,'HIDDEN calc sheet'!A:C,1,FALSE)=E65)))),MD!$A$3,MD!$A$2))))</f>
        <v>Mandatory test for a mandatory feature</v>
      </c>
      <c r="E65" t="str">
        <f>IF('HIDDEN import'!F64=0,"",'HIDDEN import'!F64)</f>
        <v/>
      </c>
      <c r="F65" t="str">
        <f>IF('HIDDEN import'!G64=0,"",'HIDDEN import'!G64)</f>
        <v/>
      </c>
      <c r="G65" s="18" t="str">
        <f>IFERROR(VLOOKUP($A65,'HIDDEN Testrun Results'!$A:$B,2,FALSE),"")</f>
        <v/>
      </c>
      <c r="H65" s="18" t="b">
        <f t="shared" si="2"/>
        <v>1</v>
      </c>
      <c r="I65" s="18" t="b">
        <f>IF(VLOOKUP(A65&amp;" "&amp;B65,'HIDDEN import'!A:G,5,FALSE)="M",TRUE,IFERROR(VLOOKUP(E65,#REF!,3,FALSE)="Yes",IFERROR(VLOOKUP(E65,'HIDDEN calc sheet'!A:B,2,FALSE),VLOOKUP(E65,'Additional questions'!B:D,3,FALSE)="Yes")))</f>
        <v>1</v>
      </c>
      <c r="J65" s="18" t="b">
        <f t="shared" si="3"/>
        <v>0</v>
      </c>
      <c r="K65" t="b">
        <f>OR(IFERROR(VLOOKUP(B65,'Profile selection'!B:C,2,FALSE)="Yes",FALSE),AND(B65="Security",OR(VLOOKUP("Security Profile 2",'Profile selection'!B:C,2)="Yes",VLOOKUP("Security Profile 3",'Profile selection'!B:C,2)="Yes")))</f>
        <v>1</v>
      </c>
      <c r="L65" s="20"/>
      <c r="M65" s="20"/>
    </row>
    <row r="66" spans="1:13" x14ac:dyDescent="0.25">
      <c r="A66" t="str">
        <f>'HIDDEN import'!B65</f>
        <v>TC_083_CSMS</v>
      </c>
      <c r="B66" t="str">
        <f>'HIDDEN import'!C65</f>
        <v>Core</v>
      </c>
      <c r="C66" t="str">
        <f>'HIDDEN import'!D65</f>
        <v>Upgrade security profile</v>
      </c>
      <c r="D66" t="str">
        <f>IF(VLOOKUP(A66&amp;" "&amp;B66,'HIDDEN import'!A:G,5,FALSE)="M",MD!$A$1,IF(VLOOKUP(A66&amp;" "&amp;B66,'HIDDEN import'!A:G,5,FALSE)="O",MD!$A$4,(IF(AND(VLOOKUP(A66,'HIDDEN import'!B:E,4,FALSE)="C",OR(NOT(ISERROR(VLOOKUP(E66,'HIDDEN calc sheet'!A:C,1,FALSE)=E66)))),MD!$A$3,MD!$A$2))))</f>
        <v>Mandatory for optional feature</v>
      </c>
      <c r="E66" t="str">
        <f>IF('HIDDEN import'!F65=0,"",'HIDDEN import'!F65)</f>
        <v>Advanced Security OR C-11</v>
      </c>
      <c r="F66" t="str">
        <f>IF('HIDDEN import'!G65=0,"",'HIDDEN import'!G65)</f>
        <v/>
      </c>
      <c r="G66" s="18" t="str">
        <f>IFERROR(VLOOKUP($A66,'HIDDEN Testrun Results'!$A:$B,2,FALSE),"")</f>
        <v/>
      </c>
      <c r="H66" s="18" t="b">
        <f t="shared" si="2"/>
        <v>1</v>
      </c>
      <c r="I66" s="18" t="b">
        <f>IF(VLOOKUP(A66&amp;" "&amp;B66,'HIDDEN import'!A:G,5,FALSE)="M",TRUE,IFERROR(VLOOKUP(E66,#REF!,3,FALSE)="Yes",IFERROR(VLOOKUP(E66,'HIDDEN calc sheet'!A:B,2,FALSE),VLOOKUP(E66,'Additional questions'!B:D,3,FALSE)="Yes")))</f>
        <v>1</v>
      </c>
      <c r="J66" s="18" t="b">
        <f t="shared" si="3"/>
        <v>0</v>
      </c>
      <c r="K66" t="b">
        <f>OR(IFERROR(VLOOKUP(B66,'Profile selection'!B:C,2,FALSE)="Yes",FALSE),AND(B66="Security",OR(VLOOKUP("Security Profile 2",'Profile selection'!B:C,2)="Yes",VLOOKUP("Security Profile 3",'Profile selection'!B:C,2)="Yes")))</f>
        <v>1</v>
      </c>
      <c r="L66" s="20"/>
      <c r="M66" s="20"/>
    </row>
    <row r="67" spans="1:13" x14ac:dyDescent="0.25">
      <c r="A67" t="str">
        <f>'HIDDEN import'!B66</f>
        <v>TC_085_CSMS</v>
      </c>
      <c r="B67" t="str">
        <f>'HIDDEN import'!C66</f>
        <v>Core</v>
      </c>
      <c r="C67" t="str">
        <f>'HIDDEN import'!D66</f>
        <v>Basic Authentication - Valid username/password combination</v>
      </c>
      <c r="D67" t="str">
        <f>IF(VLOOKUP(A67&amp;" "&amp;B67,'HIDDEN import'!A:G,5,FALSE)="M",MD!$A$1,IF(VLOOKUP(A67&amp;" "&amp;B67,'HIDDEN import'!A:G,5,FALSE)="O",MD!$A$4,(IF(AND(VLOOKUP(A67,'HIDDEN import'!B:E,4,FALSE)="C",OR(NOT(ISERROR(VLOOKUP(E67,'HIDDEN calc sheet'!A:C,1,FALSE)=E67)))),MD!$A$3,MD!$A$2))))</f>
        <v>Mandatory test for a mandatory feature</v>
      </c>
      <c r="E67" t="str">
        <f>IF('HIDDEN import'!F66=0,"",'HIDDEN import'!F66)</f>
        <v/>
      </c>
      <c r="F67" t="str">
        <f>IF('HIDDEN import'!G66=0,"",'HIDDEN import'!G66)</f>
        <v/>
      </c>
      <c r="G67" s="18" t="str">
        <f>IFERROR(VLOOKUP($A67,'HIDDEN Testrun Results'!$A:$B,2,FALSE),"")</f>
        <v/>
      </c>
      <c r="H67" s="18" t="b">
        <f t="shared" si="2"/>
        <v>1</v>
      </c>
      <c r="I67" s="18" t="b">
        <f>IF(VLOOKUP(A67&amp;" "&amp;B67,'HIDDEN import'!A:G,5,FALSE)="M",TRUE,IFERROR(VLOOKUP(E67,#REF!,3,FALSE)="Yes",IFERROR(VLOOKUP(E67,'HIDDEN calc sheet'!A:B,2,FALSE),VLOOKUP(E67,'Additional questions'!B:D,3,FALSE)="Yes")))</f>
        <v>1</v>
      </c>
      <c r="J67" s="18" t="b">
        <f t="shared" si="3"/>
        <v>0</v>
      </c>
      <c r="K67" t="b">
        <f>OR(IFERROR(VLOOKUP(B67,'Profile selection'!B:C,2,FALSE)="Yes",FALSE),AND(B67="Security",OR(VLOOKUP("Security Profile 2",'Profile selection'!B:C,2)="Yes",VLOOKUP("Security Profile 3",'Profile selection'!B:C,2)="Yes")))</f>
        <v>1</v>
      </c>
      <c r="L67" s="20"/>
      <c r="M67" s="20"/>
    </row>
    <row r="68" spans="1:13" x14ac:dyDescent="0.25">
      <c r="A68" t="str">
        <f>'HIDDEN import'!B67</f>
        <v>TC_086_CSMS</v>
      </c>
      <c r="B68" t="str">
        <f>'HIDDEN import'!C67</f>
        <v>Core</v>
      </c>
      <c r="C68" t="str">
        <f>'HIDDEN import'!D67</f>
        <v>TLS - server-side certificate - Valid certificate</v>
      </c>
      <c r="D68" t="str">
        <f>IF(VLOOKUP(A68&amp;" "&amp;B68,'HIDDEN import'!A:G,5,FALSE)="M",MD!$A$1,IF(VLOOKUP(A68&amp;" "&amp;B68,'HIDDEN import'!A:G,5,FALSE)="O",MD!$A$4,(IF(AND(VLOOKUP(A68,'HIDDEN import'!B:E,4,FALSE)="C",OR(NOT(ISERROR(VLOOKUP(E68,'HIDDEN calc sheet'!A:C,1,FALSE)=E68)))),MD!$A$3,MD!$A$2))))</f>
        <v>Mandatory test for a mandatory feature</v>
      </c>
      <c r="E68" t="str">
        <f>IF('HIDDEN import'!F67=0,"",'HIDDEN import'!F67)</f>
        <v/>
      </c>
      <c r="F68" t="str">
        <f>IF('HIDDEN import'!G67=0,"",'HIDDEN import'!G67)</f>
        <v/>
      </c>
      <c r="G68" s="18" t="str">
        <f>IFERROR(VLOOKUP($A68,'HIDDEN Testrun Results'!$A:$B,2,FALSE),"")</f>
        <v/>
      </c>
      <c r="H68" s="18" t="b">
        <f t="shared" si="2"/>
        <v>1</v>
      </c>
      <c r="I68" s="18" t="b">
        <f>IF(VLOOKUP(A68&amp;" "&amp;B68,'HIDDEN import'!A:G,5,FALSE)="M",TRUE,IFERROR(VLOOKUP(E68,#REF!,3,FALSE)="Yes",IFERROR(VLOOKUP(E68,'HIDDEN calc sheet'!A:B,2,FALSE),VLOOKUP(E68,'Additional questions'!B:D,3,FALSE)="Yes")))</f>
        <v>1</v>
      </c>
      <c r="J68" s="18" t="b">
        <f t="shared" si="3"/>
        <v>0</v>
      </c>
      <c r="K68" t="b">
        <f>OR(IFERROR(VLOOKUP(B68,'Profile selection'!B:C,2,FALSE)="Yes",FALSE),AND(B68="Security",OR(VLOOKUP("Security Profile 2",'Profile selection'!B:C,2)="Yes",VLOOKUP("Security Profile 3",'Profile selection'!B:C,2)="Yes")))</f>
        <v>1</v>
      </c>
      <c r="L68" s="20"/>
      <c r="M68" s="20"/>
    </row>
    <row r="69" spans="1:13" x14ac:dyDescent="0.25">
      <c r="A69" t="str">
        <f>'HIDDEN import'!B68</f>
        <v>TC_088_CSMS</v>
      </c>
      <c r="B69" t="str">
        <f>'HIDDEN import'!C68</f>
        <v>Core</v>
      </c>
      <c r="C69" t="str">
        <f>'HIDDEN import'!D68</f>
        <v>WebSocket Subprotocol negotiation</v>
      </c>
      <c r="D69" t="str">
        <f>IF(VLOOKUP(A69&amp;" "&amp;B69,'HIDDEN import'!A:G,5,FALSE)="M",MD!$A$1,IF(VLOOKUP(A69&amp;" "&amp;B69,'HIDDEN import'!A:G,5,FALSE)="O",MD!$A$4,(IF(AND(VLOOKUP(A69,'HIDDEN import'!B:E,4,FALSE)="C",OR(NOT(ISERROR(VLOOKUP(E69,'HIDDEN calc sheet'!A:C,1,FALSE)=E69)))),MD!$A$3,MD!$A$2))))</f>
        <v>Mandatory test for a mandatory feature</v>
      </c>
      <c r="E69" t="str">
        <f>IF('HIDDEN import'!F68=0,"",'HIDDEN import'!F68)</f>
        <v/>
      </c>
      <c r="F69" t="str">
        <f>IF('HIDDEN import'!G68=0,"",'HIDDEN import'!G68)</f>
        <v/>
      </c>
      <c r="G69" s="18" t="str">
        <f>IFERROR(VLOOKUP($A69,'HIDDEN Testrun Results'!$A:$B,2,FALSE),"")</f>
        <v/>
      </c>
      <c r="H69" s="18" t="b">
        <f t="shared" ref="H69" si="4">IF(J69,"Up to vendor",IF(NOT(ISLOGICAL(I69)),I69,AND(I69,K69)))</f>
        <v>1</v>
      </c>
      <c r="I69" s="18" t="b">
        <f>IF(VLOOKUP(A69&amp;" "&amp;B69,'HIDDEN import'!A:G,5,FALSE)="M",TRUE,IFERROR(VLOOKUP(E69,#REF!,3,FALSE)="Yes",IFERROR(VLOOKUP(E69,'HIDDEN calc sheet'!A:B,2,FALSE),VLOOKUP(E69,'Additional questions'!B:D,3,FALSE)="Yes")))</f>
        <v>1</v>
      </c>
      <c r="J69" s="18" t="b">
        <f t="shared" ref="J69" si="5">IF(D69="Optional test case",TRUE,FALSE)</f>
        <v>0</v>
      </c>
      <c r="K69" t="b">
        <f>OR(IFERROR(VLOOKUP(B69,'Profile selection'!B:C,2,FALSE)="Yes",FALSE),AND(B69="Security",OR(VLOOKUP("Security Profile 2",'Profile selection'!B:C,2)="Yes",VLOOKUP("Security Profile 3",'Profile selection'!B:C,2)="Yes")))</f>
        <v>1</v>
      </c>
      <c r="L69" s="20"/>
      <c r="M69" s="20"/>
    </row>
    <row r="70" spans="1:13" x14ac:dyDescent="0.25">
      <c r="A70" t="str">
        <f>'HIDDEN import'!B69</f>
        <v>TC_074_CSMS</v>
      </c>
      <c r="B70" t="str">
        <f>'HIDDEN import'!C69</f>
        <v>Advanced Security</v>
      </c>
      <c r="C70" t="str">
        <f>'HIDDEN import'!D69</f>
        <v>Update Charge Point Certificate by request of Central System</v>
      </c>
      <c r="D70" t="str">
        <f>IF(VLOOKUP(A70&amp;" "&amp;B70,'HIDDEN import'!A:G,5,FALSE)="M",MD!$A$1,IF(VLOOKUP(A70&amp;" "&amp;B70,'HIDDEN import'!A:G,5,FALSE)="O",MD!$A$4,(IF(AND(VLOOKUP(A70,'HIDDEN import'!B:E,4,FALSE)="C",OR(NOT(ISERROR(VLOOKUP(E70,'HIDDEN calc sheet'!A:C,1,FALSE)=E70)))),MD!$A$3,MD!$A$2))))</f>
        <v>Mandatory test for a mandatory feature</v>
      </c>
      <c r="E70" t="str">
        <f>IF('HIDDEN import'!F69=0,"",'HIDDEN import'!F69)</f>
        <v/>
      </c>
      <c r="F70" t="str">
        <f>IF('HIDDEN import'!G69=0,"",'HIDDEN import'!G69)</f>
        <v/>
      </c>
      <c r="G70" s="18" t="str">
        <f>IFERROR(VLOOKUP($A70,'HIDDEN Testrun Results'!$A:$B,2,FALSE),"")</f>
        <v/>
      </c>
      <c r="H70" s="18" t="b">
        <f t="shared" si="2"/>
        <v>1</v>
      </c>
      <c r="I70" s="18" t="b">
        <f>IF(VLOOKUP(A70&amp;" "&amp;B70,'HIDDEN import'!A:G,5,FALSE)="M",TRUE,IFERROR(VLOOKUP(E70,#REF!,3,FALSE)="Yes",IFERROR(VLOOKUP(E70,'HIDDEN calc sheet'!A:B,2,FALSE),VLOOKUP(E70,'Additional questions'!B:D,3,FALSE)="Yes")))</f>
        <v>1</v>
      </c>
      <c r="J70" s="18" t="b">
        <f t="shared" si="3"/>
        <v>0</v>
      </c>
      <c r="K70" t="b">
        <f>OR(IFERROR(VLOOKUP(B70,'Profile selection'!B:C,2,FALSE)="Yes",FALSE),AND(B70="Security",OR(VLOOKUP("Security Profile 2",'Profile selection'!B:C,2)="Yes",VLOOKUP("Security Profile 3",'Profile selection'!B:C,2)="Yes")))</f>
        <v>1</v>
      </c>
      <c r="L70" s="20"/>
      <c r="M70" s="20"/>
    </row>
    <row r="71" spans="1:13" x14ac:dyDescent="0.25">
      <c r="A71" t="str">
        <f>'HIDDEN import'!B70</f>
        <v>TC_077_CSMS</v>
      </c>
      <c r="B71" t="str">
        <f>'HIDDEN import'!C70</f>
        <v>Advanced Security</v>
      </c>
      <c r="C71" t="str">
        <f>'HIDDEN import'!D70</f>
        <v>Invalid ChargePointCertificate Security Event</v>
      </c>
      <c r="D71" t="str">
        <f>IF(VLOOKUP(A71&amp;" "&amp;B71,'HIDDEN import'!A:G,5,FALSE)="M",MD!$A$1,IF(VLOOKUP(A71&amp;" "&amp;B71,'HIDDEN import'!A:G,5,FALSE)="O",MD!$A$4,(IF(AND(VLOOKUP(A71,'HIDDEN import'!B:E,4,FALSE)="C",OR(NOT(ISERROR(VLOOKUP(E71,'HIDDEN calc sheet'!A:C,1,FALSE)=E71)))),MD!$A$3,MD!$A$2))))</f>
        <v>Mandatory test for a mandatory feature</v>
      </c>
      <c r="E71" t="str">
        <f>IF('HIDDEN import'!F70=0,"",'HIDDEN import'!F70)</f>
        <v/>
      </c>
      <c r="F71" t="str">
        <f>IF('HIDDEN import'!G70=0,"",'HIDDEN import'!G70)</f>
        <v/>
      </c>
      <c r="G71" s="18" t="str">
        <f>IFERROR(VLOOKUP($A71,'HIDDEN Testrun Results'!$A:$B,2,FALSE),"")</f>
        <v/>
      </c>
      <c r="H71" s="18" t="b">
        <f t="shared" si="2"/>
        <v>1</v>
      </c>
      <c r="I71" s="18" t="b">
        <f>IF(VLOOKUP(A71&amp;" "&amp;B71,'HIDDEN import'!A:G,5,FALSE)="M",TRUE,IFERROR(VLOOKUP(E71,#REF!,3,FALSE)="Yes",IFERROR(VLOOKUP(E71,'HIDDEN calc sheet'!A:B,2,FALSE),VLOOKUP(E71,'Additional questions'!B:D,3,FALSE)="Yes")))</f>
        <v>1</v>
      </c>
      <c r="J71" s="18" t="b">
        <f t="shared" si="3"/>
        <v>0</v>
      </c>
      <c r="K71" t="b">
        <f>OR(IFERROR(VLOOKUP(B71,'Profile selection'!B:C,2,FALSE)="Yes",FALSE),AND(B71="Security",OR(VLOOKUP("Security Profile 2",'Profile selection'!B:C,2)="Yes",VLOOKUP("Security Profile 3",'Profile selection'!B:C,2)="Yes")))</f>
        <v>1</v>
      </c>
      <c r="L71" s="20"/>
      <c r="M71" s="20"/>
    </row>
    <row r="72" spans="1:13" x14ac:dyDescent="0.25">
      <c r="A72" t="str">
        <f>'HIDDEN import'!B71</f>
        <v>TC_087_CSMS</v>
      </c>
      <c r="B72" t="str">
        <f>'HIDDEN import'!C71</f>
        <v>Advanced Security</v>
      </c>
      <c r="C72" t="str">
        <f>'HIDDEN import'!D71</f>
        <v>TLS - Client-side certificate - valid certificate</v>
      </c>
      <c r="D72" t="str">
        <f>IF(VLOOKUP(A72&amp;" "&amp;B72,'HIDDEN import'!A:G,5,FALSE)="M",MD!$A$1,IF(VLOOKUP(A72&amp;" "&amp;B72,'HIDDEN import'!A:G,5,FALSE)="O",MD!$A$4,(IF(AND(VLOOKUP(A72,'HIDDEN import'!B:E,4,FALSE)="C",OR(NOT(ISERROR(VLOOKUP(E72,'HIDDEN calc sheet'!A:C,1,FALSE)=E72)))),MD!$A$3,MD!$A$2))))</f>
        <v>Mandatory test for a mandatory feature</v>
      </c>
      <c r="E72" t="str">
        <f>IF('HIDDEN import'!F71=0,"",'HIDDEN import'!F71)</f>
        <v/>
      </c>
      <c r="F72" t="str">
        <f>IF('HIDDEN import'!G71=0,"",'HIDDEN import'!G71)</f>
        <v/>
      </c>
      <c r="G72" s="18" t="str">
        <f>IFERROR(VLOOKUP($A72,'HIDDEN Testrun Results'!$A:$B,2,FALSE),"")</f>
        <v/>
      </c>
      <c r="H72" s="18" t="b">
        <f t="shared" ref="H72" si="6">IF(J72,"Up to vendor",IF(NOT(ISLOGICAL(I72)),I72,AND(I72,K72)))</f>
        <v>1</v>
      </c>
      <c r="I72" s="18" t="b">
        <f>IF(VLOOKUP(A72&amp;" "&amp;B72,'HIDDEN import'!A:G,5,FALSE)="M",TRUE,IFERROR(VLOOKUP(E72,#REF!,3,FALSE)="Yes",IFERROR(VLOOKUP(E72,'HIDDEN calc sheet'!A:B,2,FALSE),VLOOKUP(E72,'Additional questions'!B:D,3,FALSE)="Yes")))</f>
        <v>1</v>
      </c>
      <c r="J72" s="18" t="b">
        <f t="shared" ref="J72" si="7">IF(D72="Optional test case",TRUE,FALSE)</f>
        <v>0</v>
      </c>
      <c r="K72" t="b">
        <f>OR(IFERROR(VLOOKUP(B72,'Profile selection'!B:C,2,FALSE)="Yes",FALSE),AND(B72="Security",OR(VLOOKUP("Security Profile 2",'Profile selection'!B:C,2)="Yes",VLOOKUP("Security Profile 3",'Profile selection'!B:C,2)="Yes")))</f>
        <v>1</v>
      </c>
      <c r="L72" s="20"/>
      <c r="M72" s="20"/>
    </row>
    <row r="73" spans="1:13" x14ac:dyDescent="0.25">
      <c r="K73"/>
    </row>
    <row r="74" spans="1:13" x14ac:dyDescent="0.25">
      <c r="K74"/>
    </row>
    <row r="75" spans="1:13" x14ac:dyDescent="0.25">
      <c r="K75"/>
    </row>
    <row r="76" spans="1:13" x14ac:dyDescent="0.25">
      <c r="K76"/>
    </row>
    <row r="77" spans="1:13" x14ac:dyDescent="0.25">
      <c r="K77"/>
    </row>
    <row r="78" spans="1:13" x14ac:dyDescent="0.25">
      <c r="K78"/>
    </row>
    <row r="79" spans="1:13" x14ac:dyDescent="0.25">
      <c r="K79"/>
    </row>
    <row r="80" spans="1:13" x14ac:dyDescent="0.25">
      <c r="K80"/>
    </row>
    <row r="81" spans="11:11" x14ac:dyDescent="0.25">
      <c r="K81"/>
    </row>
    <row r="82" spans="11:11" x14ac:dyDescent="0.25">
      <c r="K82"/>
    </row>
    <row r="83" spans="11:11" x14ac:dyDescent="0.25">
      <c r="K83"/>
    </row>
    <row r="84" spans="11:11" x14ac:dyDescent="0.25">
      <c r="K84"/>
    </row>
    <row r="85" spans="11:11" x14ac:dyDescent="0.25">
      <c r="K85"/>
    </row>
    <row r="86" spans="11:11" x14ac:dyDescent="0.25">
      <c r="K86"/>
    </row>
    <row r="87" spans="11:11" x14ac:dyDescent="0.25">
      <c r="K87"/>
    </row>
    <row r="88" spans="11:11" x14ac:dyDescent="0.25">
      <c r="K88"/>
    </row>
    <row r="89" spans="11:11" x14ac:dyDescent="0.25">
      <c r="K89"/>
    </row>
    <row r="90" spans="11:11" x14ac:dyDescent="0.25">
      <c r="K90"/>
    </row>
    <row r="91" spans="11:11" x14ac:dyDescent="0.25">
      <c r="K91"/>
    </row>
    <row r="92" spans="11:11" x14ac:dyDescent="0.25">
      <c r="K92"/>
    </row>
    <row r="93" spans="11:11" x14ac:dyDescent="0.25">
      <c r="K93"/>
    </row>
    <row r="94" spans="11:11" x14ac:dyDescent="0.25">
      <c r="K94"/>
    </row>
    <row r="95" spans="11:11" x14ac:dyDescent="0.25">
      <c r="K95"/>
    </row>
    <row r="96" spans="11:11" x14ac:dyDescent="0.25">
      <c r="K96"/>
    </row>
    <row r="97" spans="11:11" x14ac:dyDescent="0.25">
      <c r="K97"/>
    </row>
    <row r="98" spans="11:11" x14ac:dyDescent="0.25">
      <c r="K98"/>
    </row>
    <row r="99" spans="11:11" x14ac:dyDescent="0.25">
      <c r="K99"/>
    </row>
    <row r="100" spans="11:11" x14ac:dyDescent="0.25">
      <c r="K100"/>
    </row>
    <row r="101" spans="11:11" x14ac:dyDescent="0.25">
      <c r="K101"/>
    </row>
    <row r="102" spans="11:11" x14ac:dyDescent="0.25">
      <c r="K102"/>
    </row>
    <row r="103" spans="11:11" x14ac:dyDescent="0.25">
      <c r="K103"/>
    </row>
    <row r="104" spans="11:11" x14ac:dyDescent="0.25">
      <c r="K104"/>
    </row>
    <row r="105" spans="11:11" x14ac:dyDescent="0.25">
      <c r="K105"/>
    </row>
    <row r="106" spans="11:11" x14ac:dyDescent="0.25">
      <c r="K106"/>
    </row>
    <row r="107" spans="11:11" x14ac:dyDescent="0.25">
      <c r="K107"/>
    </row>
    <row r="108" spans="11:11" x14ac:dyDescent="0.25">
      <c r="K108"/>
    </row>
    <row r="109" spans="11:11" x14ac:dyDescent="0.25">
      <c r="K109"/>
    </row>
    <row r="110" spans="11:11" x14ac:dyDescent="0.25">
      <c r="K110"/>
    </row>
    <row r="111" spans="11:11" x14ac:dyDescent="0.25">
      <c r="K111"/>
    </row>
    <row r="112" spans="11:11" x14ac:dyDescent="0.25">
      <c r="K112"/>
    </row>
    <row r="113" spans="11:11" x14ac:dyDescent="0.25">
      <c r="K113"/>
    </row>
    <row r="114" spans="11:11" x14ac:dyDescent="0.25">
      <c r="K114"/>
    </row>
    <row r="115" spans="11:11" x14ac:dyDescent="0.25">
      <c r="K115"/>
    </row>
    <row r="116" spans="11:11" x14ac:dyDescent="0.25">
      <c r="K116"/>
    </row>
    <row r="117" spans="11:11" x14ac:dyDescent="0.25">
      <c r="K117"/>
    </row>
    <row r="118" spans="11:11" x14ac:dyDescent="0.25">
      <c r="K118"/>
    </row>
    <row r="119" spans="11:11" x14ac:dyDescent="0.25">
      <c r="K119"/>
    </row>
    <row r="120" spans="11:11" x14ac:dyDescent="0.25">
      <c r="K120"/>
    </row>
    <row r="121" spans="11:11" x14ac:dyDescent="0.25">
      <c r="K121"/>
    </row>
    <row r="122" spans="11:11" x14ac:dyDescent="0.25">
      <c r="K122"/>
    </row>
    <row r="123" spans="11:11" x14ac:dyDescent="0.25">
      <c r="K123"/>
    </row>
    <row r="124" spans="11:11" x14ac:dyDescent="0.25">
      <c r="K124"/>
    </row>
    <row r="125" spans="11:11" x14ac:dyDescent="0.25">
      <c r="K125"/>
    </row>
    <row r="126" spans="11:11" x14ac:dyDescent="0.25">
      <c r="K126"/>
    </row>
    <row r="127" spans="11:11" x14ac:dyDescent="0.25">
      <c r="K127"/>
    </row>
    <row r="128" spans="11:11" x14ac:dyDescent="0.25">
      <c r="K128"/>
    </row>
    <row r="129" spans="11:11" x14ac:dyDescent="0.25">
      <c r="K129"/>
    </row>
    <row r="130" spans="11:11" x14ac:dyDescent="0.25">
      <c r="K130"/>
    </row>
    <row r="131" spans="11:11" x14ac:dyDescent="0.25">
      <c r="K131"/>
    </row>
    <row r="132" spans="11:11" x14ac:dyDescent="0.25">
      <c r="K132"/>
    </row>
    <row r="133" spans="11:11" x14ac:dyDescent="0.25">
      <c r="K133"/>
    </row>
    <row r="134" spans="11:11" x14ac:dyDescent="0.25">
      <c r="K134"/>
    </row>
    <row r="135" spans="11:11" x14ac:dyDescent="0.25">
      <c r="K135"/>
    </row>
    <row r="136" spans="11:11" x14ac:dyDescent="0.25">
      <c r="K136"/>
    </row>
    <row r="137" spans="11:11" x14ac:dyDescent="0.25">
      <c r="K137"/>
    </row>
    <row r="138" spans="11:11" x14ac:dyDescent="0.25">
      <c r="K138"/>
    </row>
    <row r="139" spans="11:11" x14ac:dyDescent="0.25">
      <c r="K139"/>
    </row>
    <row r="140" spans="11:11" x14ac:dyDescent="0.25">
      <c r="K140"/>
    </row>
    <row r="141" spans="11:11" x14ac:dyDescent="0.25">
      <c r="K141"/>
    </row>
    <row r="142" spans="11:11" x14ac:dyDescent="0.25">
      <c r="K142"/>
    </row>
    <row r="143" spans="11:11" x14ac:dyDescent="0.25">
      <c r="K143"/>
    </row>
    <row r="144" spans="11:11" x14ac:dyDescent="0.25">
      <c r="K144"/>
    </row>
    <row r="145" spans="11:11" x14ac:dyDescent="0.25">
      <c r="K145"/>
    </row>
    <row r="146" spans="11:11" x14ac:dyDescent="0.25">
      <c r="K146"/>
    </row>
    <row r="147" spans="11:11" x14ac:dyDescent="0.25">
      <c r="K147"/>
    </row>
    <row r="148" spans="11:11" x14ac:dyDescent="0.25">
      <c r="K148"/>
    </row>
    <row r="149" spans="11:11" x14ac:dyDescent="0.25">
      <c r="K149"/>
    </row>
    <row r="150" spans="11:11" x14ac:dyDescent="0.25">
      <c r="K150"/>
    </row>
    <row r="151" spans="11:11" x14ac:dyDescent="0.25">
      <c r="K151"/>
    </row>
    <row r="152" spans="11:11" x14ac:dyDescent="0.25">
      <c r="K152"/>
    </row>
    <row r="153" spans="11:11" x14ac:dyDescent="0.25">
      <c r="K153"/>
    </row>
    <row r="154" spans="11:11" x14ac:dyDescent="0.25">
      <c r="K154"/>
    </row>
    <row r="155" spans="11:11" x14ac:dyDescent="0.25">
      <c r="K155"/>
    </row>
    <row r="156" spans="11:11" x14ac:dyDescent="0.25">
      <c r="K156"/>
    </row>
    <row r="157" spans="11:11" x14ac:dyDescent="0.25">
      <c r="K157"/>
    </row>
    <row r="158" spans="11:11" x14ac:dyDescent="0.25">
      <c r="K158"/>
    </row>
    <row r="159" spans="11:11" x14ac:dyDescent="0.25">
      <c r="K159"/>
    </row>
    <row r="160" spans="11:11" x14ac:dyDescent="0.25">
      <c r="K160"/>
    </row>
    <row r="161" spans="11:11" x14ac:dyDescent="0.25">
      <c r="K161"/>
    </row>
    <row r="162" spans="11:11" x14ac:dyDescent="0.25">
      <c r="K162"/>
    </row>
    <row r="163" spans="11:11" x14ac:dyDescent="0.25">
      <c r="K163"/>
    </row>
    <row r="164" spans="11:11" x14ac:dyDescent="0.25">
      <c r="K164"/>
    </row>
    <row r="165" spans="11:11" x14ac:dyDescent="0.25">
      <c r="K165"/>
    </row>
    <row r="166" spans="11:11" x14ac:dyDescent="0.25">
      <c r="K166"/>
    </row>
    <row r="167" spans="11:11" x14ac:dyDescent="0.25">
      <c r="K167"/>
    </row>
    <row r="168" spans="11:11" x14ac:dyDescent="0.25">
      <c r="K168"/>
    </row>
    <row r="169" spans="11:11" x14ac:dyDescent="0.25">
      <c r="K169"/>
    </row>
    <row r="170" spans="11:11" x14ac:dyDescent="0.25">
      <c r="K170"/>
    </row>
    <row r="171" spans="11:11" x14ac:dyDescent="0.25">
      <c r="K171"/>
    </row>
    <row r="172" spans="11:11" x14ac:dyDescent="0.25">
      <c r="K172"/>
    </row>
    <row r="173" spans="11:11" x14ac:dyDescent="0.25">
      <c r="K173"/>
    </row>
    <row r="174" spans="11:11" x14ac:dyDescent="0.25">
      <c r="K174"/>
    </row>
    <row r="175" spans="11:11" x14ac:dyDescent="0.25">
      <c r="K175"/>
    </row>
    <row r="176" spans="11:11" x14ac:dyDescent="0.25">
      <c r="K176"/>
    </row>
    <row r="177" spans="11:11" x14ac:dyDescent="0.25">
      <c r="K177"/>
    </row>
    <row r="178" spans="11:11" x14ac:dyDescent="0.25">
      <c r="K178"/>
    </row>
    <row r="179" spans="11:11" x14ac:dyDescent="0.25">
      <c r="K179"/>
    </row>
    <row r="180" spans="11:11" x14ac:dyDescent="0.25">
      <c r="K180"/>
    </row>
    <row r="181" spans="11:11" x14ac:dyDescent="0.25">
      <c r="K181"/>
    </row>
    <row r="182" spans="11:11" x14ac:dyDescent="0.25">
      <c r="K182"/>
    </row>
    <row r="183" spans="11:11" x14ac:dyDescent="0.25">
      <c r="K183"/>
    </row>
    <row r="184" spans="11:11" x14ac:dyDescent="0.25">
      <c r="K184"/>
    </row>
    <row r="185" spans="11:11" x14ac:dyDescent="0.25">
      <c r="K185"/>
    </row>
    <row r="186" spans="11:11" x14ac:dyDescent="0.25">
      <c r="K186"/>
    </row>
    <row r="187" spans="11:11" x14ac:dyDescent="0.25">
      <c r="K187"/>
    </row>
    <row r="188" spans="11:11" x14ac:dyDescent="0.25">
      <c r="K188"/>
    </row>
    <row r="189" spans="11:11" x14ac:dyDescent="0.25">
      <c r="K189"/>
    </row>
    <row r="190" spans="11:11" x14ac:dyDescent="0.25">
      <c r="K190"/>
    </row>
    <row r="191" spans="11:11" x14ac:dyDescent="0.25">
      <c r="K191"/>
    </row>
    <row r="192" spans="11:11" x14ac:dyDescent="0.25">
      <c r="K192"/>
    </row>
    <row r="193" spans="11:11" x14ac:dyDescent="0.25">
      <c r="K193"/>
    </row>
    <row r="194" spans="11:11" x14ac:dyDescent="0.25">
      <c r="K194"/>
    </row>
    <row r="195" spans="11:11" x14ac:dyDescent="0.25">
      <c r="K195"/>
    </row>
    <row r="196" spans="11:11" x14ac:dyDescent="0.25">
      <c r="K196"/>
    </row>
    <row r="197" spans="11:11" x14ac:dyDescent="0.25">
      <c r="K197"/>
    </row>
    <row r="198" spans="11:11" x14ac:dyDescent="0.25">
      <c r="K198"/>
    </row>
    <row r="199" spans="11:11" x14ac:dyDescent="0.25">
      <c r="K199"/>
    </row>
    <row r="200" spans="11:11" x14ac:dyDescent="0.25">
      <c r="K200"/>
    </row>
    <row r="201" spans="11:11" x14ac:dyDescent="0.25">
      <c r="K201"/>
    </row>
    <row r="202" spans="11:11" x14ac:dyDescent="0.25">
      <c r="K202"/>
    </row>
    <row r="203" spans="11:11" x14ac:dyDescent="0.25">
      <c r="K203"/>
    </row>
    <row r="204" spans="11:11" x14ac:dyDescent="0.25">
      <c r="K204"/>
    </row>
    <row r="205" spans="11:11" x14ac:dyDescent="0.25">
      <c r="K205"/>
    </row>
    <row r="206" spans="11:11" x14ac:dyDescent="0.25">
      <c r="K206"/>
    </row>
    <row r="207" spans="11:11" x14ac:dyDescent="0.25">
      <c r="K207"/>
    </row>
    <row r="208" spans="11:11" x14ac:dyDescent="0.25">
      <c r="K208"/>
    </row>
    <row r="209" spans="11:11" x14ac:dyDescent="0.25">
      <c r="K209"/>
    </row>
    <row r="210" spans="11:11" x14ac:dyDescent="0.25">
      <c r="K210"/>
    </row>
    <row r="211" spans="11:11" x14ac:dyDescent="0.25">
      <c r="K211"/>
    </row>
    <row r="212" spans="11:11" x14ac:dyDescent="0.25">
      <c r="K212"/>
    </row>
    <row r="213" spans="11:11" x14ac:dyDescent="0.25">
      <c r="K213"/>
    </row>
    <row r="214" spans="11:11" x14ac:dyDescent="0.25">
      <c r="K214"/>
    </row>
    <row r="215" spans="11:11" x14ac:dyDescent="0.25">
      <c r="K215"/>
    </row>
    <row r="216" spans="11:11" x14ac:dyDescent="0.25">
      <c r="K216"/>
    </row>
    <row r="217" spans="11:11" x14ac:dyDescent="0.25">
      <c r="K217"/>
    </row>
    <row r="218" spans="11:11" x14ac:dyDescent="0.25">
      <c r="K218"/>
    </row>
    <row r="219" spans="11:11" x14ac:dyDescent="0.25">
      <c r="K219"/>
    </row>
    <row r="220" spans="11:11" x14ac:dyDescent="0.25">
      <c r="K220"/>
    </row>
    <row r="221" spans="11:11" x14ac:dyDescent="0.25">
      <c r="K221"/>
    </row>
    <row r="222" spans="11:11" x14ac:dyDescent="0.25">
      <c r="K222"/>
    </row>
    <row r="223" spans="11:11" x14ac:dyDescent="0.25">
      <c r="K223"/>
    </row>
    <row r="224" spans="11:11" x14ac:dyDescent="0.25">
      <c r="K224"/>
    </row>
    <row r="225" spans="11:11" x14ac:dyDescent="0.25">
      <c r="K225"/>
    </row>
    <row r="226" spans="11:11" x14ac:dyDescent="0.25">
      <c r="K226"/>
    </row>
    <row r="227" spans="11:11" x14ac:dyDescent="0.25">
      <c r="K227"/>
    </row>
    <row r="228" spans="11:11" x14ac:dyDescent="0.25">
      <c r="K228"/>
    </row>
    <row r="229" spans="11:11" x14ac:dyDescent="0.25">
      <c r="K229"/>
    </row>
    <row r="230" spans="11:11" x14ac:dyDescent="0.25">
      <c r="K230"/>
    </row>
    <row r="231" spans="11:11" x14ac:dyDescent="0.25">
      <c r="K231"/>
    </row>
    <row r="232" spans="11:11" x14ac:dyDescent="0.25">
      <c r="K232"/>
    </row>
    <row r="233" spans="11:11" x14ac:dyDescent="0.25">
      <c r="K233"/>
    </row>
    <row r="234" spans="11:11" x14ac:dyDescent="0.25">
      <c r="K234"/>
    </row>
    <row r="235" spans="11:11" x14ac:dyDescent="0.25">
      <c r="K235"/>
    </row>
    <row r="236" spans="11:11" x14ac:dyDescent="0.25">
      <c r="K236"/>
    </row>
    <row r="237" spans="11:11" x14ac:dyDescent="0.25">
      <c r="K237"/>
    </row>
    <row r="238" spans="11:11" x14ac:dyDescent="0.25">
      <c r="K238"/>
    </row>
    <row r="239" spans="11:11" x14ac:dyDescent="0.25">
      <c r="K239"/>
    </row>
    <row r="240" spans="11:11" x14ac:dyDescent="0.25">
      <c r="K240"/>
    </row>
    <row r="241" spans="11:11" x14ac:dyDescent="0.25">
      <c r="K241"/>
    </row>
    <row r="242" spans="11:11" x14ac:dyDescent="0.25">
      <c r="K242"/>
    </row>
    <row r="243" spans="11:11" x14ac:dyDescent="0.25">
      <c r="K243"/>
    </row>
    <row r="244" spans="11:11" x14ac:dyDescent="0.25">
      <c r="K244"/>
    </row>
    <row r="245" spans="11:11" x14ac:dyDescent="0.25">
      <c r="K245"/>
    </row>
    <row r="246" spans="11:11" x14ac:dyDescent="0.25">
      <c r="K246"/>
    </row>
    <row r="247" spans="11:11" x14ac:dyDescent="0.25">
      <c r="K247"/>
    </row>
    <row r="248" spans="11:11" x14ac:dyDescent="0.25">
      <c r="K248"/>
    </row>
  </sheetData>
  <sheetProtection algorithmName="SHA-512" hashValue="FzMQjD2hFSNz82PX4YEcXs+Ezy9MaCQpaD4bm5UlzSlvxx8vkymQMwLDnC4X12UoienNXd32mme8XW6Y2aHUqA==" saltValue="iLiz8MAXQz6ZXWdEGxp0Vg==" spinCount="100000" sheet="1" formatColumns="0" autoFilter="0"/>
  <autoFilter ref="A2:K249" xr:uid="{A2FAF7F4-22BB-4C7A-8725-B2823D94C6A6}"/>
  <mergeCells count="1">
    <mergeCell ref="A1:C1"/>
  </mergeCells>
  <pageMargins left="0.7" right="0.7" top="0.75" bottom="0.75" header="0.3" footer="0.3"/>
  <headerFoot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486B9E-AE68-4201-847E-B912AB74C59F}">
  <ds:schemaRefs>
    <ds:schemaRef ds:uri="http://schemas.microsoft.com/sharepoint/v3/contenttype/forms"/>
  </ds:schemaRefs>
</ds:datastoreItem>
</file>

<file path=customXml/itemProps2.xml><?xml version="1.0" encoding="utf-8"?>
<ds:datastoreItem xmlns:ds="http://schemas.openxmlformats.org/officeDocument/2006/customXml" ds:itemID="{581F9986-49DF-4969-B781-07933AD63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8613b4-e81d-4525-b3bf-245aa758d498"/>
    <ds:schemaRef ds:uri="4c0df782-0713-43be-b8d1-e2ff84982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03D641-1115-4A27-B4E3-8AA5499130A4}">
  <ds:schemaRefs>
    <ds:schemaRef ds:uri="http://purl.org/dc/elements/1.1/"/>
    <ds:schemaRef ds:uri="http://purl.org/dc/terms/"/>
    <ds:schemaRef ds:uri="http://schemas.microsoft.com/office/2006/metadata/properties"/>
    <ds:schemaRef ds:uri="4d8613b4-e81d-4525-b3bf-245aa758d498"/>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4c0df782-0713-43be-b8d1-e2ff849827a7"/>
    <ds:schemaRef ds:uri="http://www.w3.org/XML/1998/namespace"/>
  </ds:schemaRefs>
</ds:datastoreItem>
</file>

<file path=docMetadata/LabelInfo.xml><?xml version="1.0" encoding="utf-8"?>
<clbl:labelList xmlns:clbl="http://schemas.microsoft.com/office/2020/mipLabelMetadata">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25</vt:i4>
      </vt:variant>
    </vt:vector>
  </HeadingPairs>
  <TitlesOfParts>
    <vt:vector size="39"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import</vt:lpstr>
      <vt:lpstr>HIDDEN calc sheet</vt:lpstr>
      <vt:lpstr>HIDDEN features</vt:lpstr>
      <vt:lpstr>MD</vt:lpstr>
      <vt:lpstr>Additional_questions</vt:lpstr>
      <vt:lpstr>Additional_Test_information</vt:lpstr>
      <vt:lpstr>Communication_technology</vt:lpstr>
      <vt:lpstr>CP_CORE</vt:lpstr>
      <vt:lpstr>Device_info</vt:lpstr>
      <vt:lpstr>Measured_performance</vt:lpstr>
      <vt:lpstr>OCPP_16_Certification</vt:lpstr>
      <vt:lpstr>Optional_Features_description</vt:lpstr>
      <vt:lpstr>Performance_measurement</vt:lpstr>
      <vt:lpstr>Performance_measurement_description</vt:lpstr>
      <vt:lpstr>Performed_On</vt:lpstr>
      <vt:lpstr>PICS_Id</vt:lpstr>
      <vt:lpstr>Profile_Selection</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Klapwijk, Paul</cp:lastModifiedBy>
  <cp:revision/>
  <dcterms:created xsi:type="dcterms:W3CDTF">2023-01-12T22:55:44Z</dcterms:created>
  <dcterms:modified xsi:type="dcterms:W3CDTF">2025-12-03T16:58:34Z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