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wsl.localhost\Ubuntu-24.04\home\paul\local_git\OCTT-certification\kevin\release\"/>
    </mc:Choice>
  </mc:AlternateContent>
  <xr:revisionPtr revIDLastSave="0" documentId="13_ncr:1_{35D41EDC-E990-415B-92AE-D2F23F256F69}" xr6:coauthVersionLast="47" xr6:coauthVersionMax="47" xr10:uidLastSave="{00000000-0000-0000-0000-000000000000}"/>
  <workbookProtection workbookAlgorithmName="SHA-512" workbookHashValue="9e8lIeABVMJAapZ8FTOPdjnDsCWdcUbrkz6Eufz++Uxfkw+9gRzn/6G3TbIK7wOOjXK1oiVYWlo6DI52UfQX8A==" workbookSaltValue="uJY+4tzB7ySR9SD1x2wa7w==" workbookSpinCount="100000" lockStructure="1"/>
  <bookViews>
    <workbookView xWindow="28680" yWindow="-120" windowWidth="30960" windowHeight="1680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calc sheet" sheetId="11" state="hidden" r:id="rId13"/>
    <sheet name="HIDDEN features" sheetId="13" state="hidden" r:id="rId14"/>
    <sheet name="HIDDEN import" sheetId="12" state="hidden" r:id="rId15"/>
    <sheet name="MD" sheetId="10" state="hidden" r:id="rId16"/>
  </sheets>
  <definedNames>
    <definedName name="_xlnm._FilterDatabase" localSheetId="8" hidden="1">'Charging Station Testcases'!$A$2:$J$445</definedName>
    <definedName name="_xlnm._FilterDatabase" localSheetId="12" hidden="1">'HIDDEN calc sheet'!$A$1:$F$131</definedName>
    <definedName name="_xlnm._FilterDatabase" localSheetId="14" hidden="1">'HIDDEN import'!$A$1:$G$444</definedName>
    <definedName name="Additional_DUT_information">'Statement of Approval'!$B$6:$C$7</definedName>
    <definedName name="Additional_Network_Communication_Ports">'Statement of Approval'!$B$10:$G$14</definedName>
    <definedName name="Additional_questions">'Additional questions'!$B$4:$D$22</definedName>
    <definedName name="Additional_questions_description">'Additional questions'!$C$2</definedName>
    <definedName name="Additional_Test_information">'Statement of Approval'!$B$36:$C$38</definedName>
    <definedName name="Advanced_Device_Management">'Optional features'!$B$117:$D$119</definedName>
    <definedName name="Advanced_User_Interface">'Optional features'!$B$130:$D$140</definedName>
    <definedName name="Authorization_options_for_local_start">'Optional features'!$B$49:$D$55</definedName>
    <definedName name="Authorization_options_for_local_stop">'Optional features'!$B$57:$D$61</definedName>
    <definedName name="Authorization_options_for_remote_start">'Optional features'!$B$63:$D$67</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Approval'!$I$7:$M$21</definedName>
    <definedName name="Cipher_Suites">'Optional features'!$B$80:$D$81</definedName>
    <definedName name="Communication_technology">'Performance Measurement'!$B$17:$C$17</definedName>
    <definedName nam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P_Advanced_Security">'Optional features'!$B$107:$D$109</definedName>
    <definedName name="CP_CORE">'Optional features'!$B$4:$D$47</definedName>
    <definedName name="CP_CORE_2">'Optional features'!$B$83:$D$100</definedName>
    <definedName name="CP_ISO15118_Support">'Optional features'!$B$121:$D$123</definedName>
    <definedName name="CP_Smart_Charging">'Optional features'!$B$102:$D$105</definedName>
    <definedName name="CS_features_2025_06_16" localSheetId="13">'HIDDEN features'!$A$1:$D$96</definedName>
    <definedName name="CS_features_2025_06_18" localSheetId="13">'HIDDEN features'!$A$1:$E$96</definedName>
    <definedName name="CS_features_2025_06_18_1" localSheetId="13">'HIDDEN features'!$A$1:$E$96</definedName>
    <definedName name="CS_features_2025_06_18_2" localSheetId="13">'HIDDEN features'!$A$1:$E$96</definedName>
    <definedName name="CS_testcases_2025_06_18_1" localSheetId="14">'HIDDEN import'!$B$1:$G$443</definedName>
    <definedName name="Device_info">'Hardware Feature set'!$C$4:$D$8</definedName>
    <definedName name="DUT_photo">'Statement of Approval'!$B$41:$F$84</definedName>
    <definedName name="EVSE_list">'Hardware Feature set'!$F$5:$K$43</definedName>
    <definedName name="Hardware_feature_set">'Hardware Feature set'!$B$11:$D$35</definedName>
    <definedName name="Hardware_feature_set_description">'Hardware Feature set'!$C$2</definedName>
    <definedName name="Local_Authorization_List_Management">'Optional features'!$B$125:$D$128</definedName>
    <definedName name="Measured_performance">'Performance Measurement'!$B$11:$F$15</definedName>
    <definedName name="Metervalues">'Optional features'!$B$69:$E$75</definedName>
    <definedName name="OCPP_201_Certification">Explanation!$C$6:$D$10</definedName>
    <definedName name="Optional_Features_description">'Optional features'!$C$2</definedName>
    <definedName name="Other_relevant_settings">'Other relevant settings'!$B$4:$D$59</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Explanation!$D$51</definedName>
    <definedName name="Product_Family_Distinct_Features">'OCPP family members'!$B$7:$C$31</definedName>
    <definedName name="Product_Family_Member_1">'OCPP family members'!$F$7:$F$35</definedName>
    <definedName name="Product_Family_Member_2">'OCPP family members'!$G$7:$G$35</definedName>
    <definedName name="Product_Family_Member_3">'OCPP family members'!$H$7:$H$35</definedName>
    <definedName name="Product_Family_Member_4">'OCPP family members'!$I$7:$I$35</definedName>
    <definedName name="Product_Family_Member_5">'OCPP family members'!$J$7:$J$35</definedName>
    <definedName name="Product_Family_Member_6">'OCPP family members'!$K$7:$K$35</definedName>
    <definedName name="Product_Family_Member_7">'OCPP family members'!$L$7:$L$35</definedName>
    <definedName name="Profile_Selection" localSheetId="10">#REF!</definedName>
    <definedName name="Profile_Selection">'Profile selection'!$B$3:$D$7</definedName>
    <definedName name="Reservations">'Optional features'!$B$111:$D$115</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Testcases'!$A$2:$L$10001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members'!$B$41:$C$45</definedName>
    <definedName name="Vendor_signature">'Statement of Approval'!$E$16:$F$17</definedName>
    <definedName name="Vendor_signature_Family_Members">'OCPP family members'!$D$40:$F$41</definedName>
    <definedName name="Vendor_signature_image">'Statement of Approval'!$A$3:$H$22</definedName>
    <definedName name="vendor_signature_image_Family_Members">'OCPP family members'!$A$40:$H$46</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97" i="3" l="1"/>
  <c r="E28" i="3"/>
  <c r="C42" i="18"/>
  <c r="D17" i="7" l="1"/>
  <c r="E29" i="6" l="1"/>
  <c r="E28" i="6"/>
  <c r="E27" i="6"/>
  <c r="E34" i="6"/>
  <c r="E33" i="6"/>
  <c r="E32" i="6"/>
  <c r="E138" i="3"/>
  <c r="E139" i="3"/>
  <c r="E140" i="3"/>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7" i="2"/>
  <c r="L6" i="2"/>
  <c r="D5" i="3" l="1"/>
  <c r="D81" i="3" l="1"/>
  <c r="E81" i="3" s="1"/>
  <c r="A4" i="1"/>
  <c r="B4" i="1"/>
  <c r="C4" i="1"/>
  <c r="D4" i="1"/>
  <c r="E4" i="1"/>
  <c r="F4" i="1"/>
  <c r="G4" i="1"/>
  <c r="I4" i="1"/>
  <c r="J4" i="1"/>
  <c r="A5" i="1"/>
  <c r="D5" i="1" s="1"/>
  <c r="B5" i="1"/>
  <c r="C5" i="1"/>
  <c r="E5" i="1"/>
  <c r="F5" i="1"/>
  <c r="G5" i="1"/>
  <c r="I5" i="1"/>
  <c r="J5" i="1"/>
  <c r="A6" i="1"/>
  <c r="B6" i="1"/>
  <c r="C6" i="1"/>
  <c r="E6" i="1"/>
  <c r="F6" i="1"/>
  <c r="J6" i="1"/>
  <c r="A7" i="1"/>
  <c r="G7" i="1" s="1"/>
  <c r="B7" i="1"/>
  <c r="C7" i="1"/>
  <c r="E7" i="1"/>
  <c r="F7" i="1"/>
  <c r="J7" i="1"/>
  <c r="A8" i="1"/>
  <c r="I8" i="1" s="1"/>
  <c r="B8" i="1"/>
  <c r="J8" i="1" s="1"/>
  <c r="C8" i="1"/>
  <c r="D8" i="1"/>
  <c r="E8" i="1"/>
  <c r="F8" i="1"/>
  <c r="A9" i="1"/>
  <c r="B9" i="1"/>
  <c r="D9" i="1" s="1"/>
  <c r="C9" i="1"/>
  <c r="E9" i="1"/>
  <c r="F9" i="1"/>
  <c r="G9" i="1"/>
  <c r="J9" i="1"/>
  <c r="A10" i="1"/>
  <c r="B10" i="1"/>
  <c r="C10" i="1"/>
  <c r="D10" i="1"/>
  <c r="E10" i="1"/>
  <c r="F10" i="1"/>
  <c r="G10" i="1"/>
  <c r="J10" i="1"/>
  <c r="A11" i="1"/>
  <c r="B11" i="1"/>
  <c r="J11" i="1" s="1"/>
  <c r="C11" i="1"/>
  <c r="E11" i="1"/>
  <c r="F11" i="1"/>
  <c r="A12" i="1"/>
  <c r="D12" i="1" s="1"/>
  <c r="B12" i="1"/>
  <c r="J12" i="1" s="1"/>
  <c r="C12" i="1"/>
  <c r="E12" i="1"/>
  <c r="F12" i="1"/>
  <c r="A13" i="1"/>
  <c r="B13" i="1"/>
  <c r="J13" i="1" s="1"/>
  <c r="C13" i="1"/>
  <c r="E13" i="1"/>
  <c r="F13" i="1"/>
  <c r="A14" i="1"/>
  <c r="I14" i="1" s="1"/>
  <c r="B14" i="1"/>
  <c r="J14" i="1" s="1"/>
  <c r="C14" i="1"/>
  <c r="D14" i="1"/>
  <c r="E14" i="1"/>
  <c r="F14" i="1"/>
  <c r="G14" i="1"/>
  <c r="A15" i="1"/>
  <c r="B15" i="1"/>
  <c r="D15" i="1" s="1"/>
  <c r="C15" i="1"/>
  <c r="E15" i="1"/>
  <c r="F15" i="1"/>
  <c r="G15" i="1"/>
  <c r="I15" i="1"/>
  <c r="J15" i="1"/>
  <c r="A16" i="1"/>
  <c r="B16" i="1"/>
  <c r="C16" i="1"/>
  <c r="D16" i="1"/>
  <c r="E16" i="1"/>
  <c r="F16" i="1"/>
  <c r="G16" i="1"/>
  <c r="I16" i="1"/>
  <c r="J16" i="1"/>
  <c r="A17" i="1"/>
  <c r="B17" i="1"/>
  <c r="J17" i="1" s="1"/>
  <c r="C17" i="1"/>
  <c r="E17" i="1"/>
  <c r="F17" i="1"/>
  <c r="A18" i="1"/>
  <c r="B18" i="1"/>
  <c r="J18" i="1" s="1"/>
  <c r="C18" i="1"/>
  <c r="D18" i="1"/>
  <c r="E18" i="1"/>
  <c r="F18" i="1"/>
  <c r="A19" i="1"/>
  <c r="B19" i="1"/>
  <c r="J19" i="1" s="1"/>
  <c r="C19" i="1"/>
  <c r="E19" i="1"/>
  <c r="F19" i="1"/>
  <c r="A20" i="1"/>
  <c r="I20" i="1" s="1"/>
  <c r="B20" i="1"/>
  <c r="J20" i="1" s="1"/>
  <c r="C20" i="1"/>
  <c r="D20" i="1"/>
  <c r="E20" i="1"/>
  <c r="F20" i="1"/>
  <c r="G20" i="1"/>
  <c r="A21" i="1"/>
  <c r="B21" i="1"/>
  <c r="D21" i="1" s="1"/>
  <c r="C21" i="1"/>
  <c r="E21" i="1"/>
  <c r="F21" i="1"/>
  <c r="G21" i="1"/>
  <c r="I21" i="1"/>
  <c r="J21" i="1"/>
  <c r="A22" i="1"/>
  <c r="B22" i="1"/>
  <c r="C22" i="1"/>
  <c r="D22" i="1"/>
  <c r="E22" i="1"/>
  <c r="F22" i="1"/>
  <c r="G22" i="1"/>
  <c r="I22" i="1"/>
  <c r="J22" i="1"/>
  <c r="A23" i="1"/>
  <c r="B23" i="1"/>
  <c r="J23" i="1" s="1"/>
  <c r="C23" i="1"/>
  <c r="E23" i="1"/>
  <c r="F23" i="1"/>
  <c r="A24" i="1"/>
  <c r="B24" i="1"/>
  <c r="J24" i="1" s="1"/>
  <c r="C24" i="1"/>
  <c r="D24" i="1"/>
  <c r="E24" i="1"/>
  <c r="F24" i="1"/>
  <c r="A25" i="1"/>
  <c r="B25" i="1"/>
  <c r="J25" i="1" s="1"/>
  <c r="C25" i="1"/>
  <c r="E25" i="1"/>
  <c r="F25" i="1"/>
  <c r="A26" i="1"/>
  <c r="I26" i="1" s="1"/>
  <c r="B26" i="1"/>
  <c r="J26" i="1" s="1"/>
  <c r="C26" i="1"/>
  <c r="D26" i="1"/>
  <c r="E26" i="1"/>
  <c r="F26" i="1"/>
  <c r="G26" i="1"/>
  <c r="A27" i="1"/>
  <c r="B27" i="1"/>
  <c r="D27" i="1" s="1"/>
  <c r="C27" i="1"/>
  <c r="E27" i="1"/>
  <c r="F27" i="1"/>
  <c r="G27" i="1"/>
  <c r="I27" i="1"/>
  <c r="J27" i="1"/>
  <c r="A28" i="1"/>
  <c r="B28" i="1"/>
  <c r="C28" i="1"/>
  <c r="D28" i="1"/>
  <c r="E28" i="1"/>
  <c r="F28" i="1"/>
  <c r="G28" i="1"/>
  <c r="I28" i="1"/>
  <c r="J28" i="1"/>
  <c r="A29" i="1"/>
  <c r="B29" i="1"/>
  <c r="J29" i="1" s="1"/>
  <c r="C29" i="1"/>
  <c r="E29" i="1"/>
  <c r="F29" i="1"/>
  <c r="A30" i="1"/>
  <c r="B30" i="1"/>
  <c r="J30" i="1" s="1"/>
  <c r="C30" i="1"/>
  <c r="D30" i="1"/>
  <c r="E30" i="1"/>
  <c r="F30" i="1"/>
  <c r="A31" i="1"/>
  <c r="B31" i="1"/>
  <c r="J31" i="1" s="1"/>
  <c r="C31" i="1"/>
  <c r="E31" i="1"/>
  <c r="F31" i="1"/>
  <c r="A32" i="1"/>
  <c r="B32" i="1"/>
  <c r="J32" i="1" s="1"/>
  <c r="C32" i="1"/>
  <c r="E32" i="1"/>
  <c r="D32" i="1" s="1"/>
  <c r="F32" i="1"/>
  <c r="G32" i="1"/>
  <c r="A33" i="1"/>
  <c r="B33" i="1"/>
  <c r="D33" i="1" s="1"/>
  <c r="C33" i="1"/>
  <c r="E33" i="1"/>
  <c r="F33" i="1"/>
  <c r="G33" i="1"/>
  <c r="J33" i="1"/>
  <c r="A34" i="1"/>
  <c r="B34" i="1"/>
  <c r="C34" i="1"/>
  <c r="D34" i="1"/>
  <c r="E34" i="1"/>
  <c r="F34" i="1"/>
  <c r="G34" i="1"/>
  <c r="I34" i="1"/>
  <c r="J34" i="1"/>
  <c r="A35" i="1"/>
  <c r="B35" i="1"/>
  <c r="J35" i="1" s="1"/>
  <c r="C35" i="1"/>
  <c r="E35" i="1"/>
  <c r="F35" i="1"/>
  <c r="A36" i="1"/>
  <c r="B36" i="1"/>
  <c r="J36" i="1" s="1"/>
  <c r="C36" i="1"/>
  <c r="D36" i="1"/>
  <c r="E36" i="1"/>
  <c r="F36" i="1"/>
  <c r="A37" i="1"/>
  <c r="B37" i="1"/>
  <c r="J37" i="1" s="1"/>
  <c r="C37" i="1"/>
  <c r="E37" i="1"/>
  <c r="F37" i="1"/>
  <c r="A38" i="1"/>
  <c r="I38" i="1" s="1"/>
  <c r="B38" i="1"/>
  <c r="J38" i="1" s="1"/>
  <c r="C38" i="1"/>
  <c r="D38" i="1"/>
  <c r="E38" i="1"/>
  <c r="F38" i="1"/>
  <c r="G38" i="1"/>
  <c r="A39" i="1"/>
  <c r="B39" i="1"/>
  <c r="D39" i="1" s="1"/>
  <c r="C39" i="1"/>
  <c r="E39" i="1"/>
  <c r="F39" i="1"/>
  <c r="G39" i="1"/>
  <c r="J39" i="1"/>
  <c r="A40" i="1"/>
  <c r="B40" i="1"/>
  <c r="C40" i="1"/>
  <c r="D40" i="1"/>
  <c r="E40" i="1"/>
  <c r="F40" i="1"/>
  <c r="G40" i="1"/>
  <c r="I40" i="1"/>
  <c r="J40" i="1"/>
  <c r="A41" i="1"/>
  <c r="B41" i="1"/>
  <c r="J41" i="1" s="1"/>
  <c r="C41" i="1"/>
  <c r="E41" i="1"/>
  <c r="F41" i="1"/>
  <c r="A42" i="1"/>
  <c r="B42" i="1"/>
  <c r="J42" i="1" s="1"/>
  <c r="C42" i="1"/>
  <c r="D42" i="1"/>
  <c r="E42" i="1"/>
  <c r="F42" i="1"/>
  <c r="A43" i="1"/>
  <c r="B43" i="1"/>
  <c r="J43" i="1" s="1"/>
  <c r="C43" i="1"/>
  <c r="E43" i="1"/>
  <c r="F43" i="1"/>
  <c r="A44" i="1"/>
  <c r="B44" i="1"/>
  <c r="J44" i="1" s="1"/>
  <c r="C44" i="1"/>
  <c r="E44" i="1"/>
  <c r="D44" i="1" s="1"/>
  <c r="F44" i="1"/>
  <c r="G44" i="1"/>
  <c r="A45" i="1"/>
  <c r="B45" i="1"/>
  <c r="D45" i="1" s="1"/>
  <c r="C45" i="1"/>
  <c r="E45" i="1"/>
  <c r="F45" i="1"/>
  <c r="G45" i="1"/>
  <c r="I45" i="1"/>
  <c r="J45" i="1"/>
  <c r="A46" i="1"/>
  <c r="B46" i="1"/>
  <c r="C46" i="1"/>
  <c r="D46" i="1"/>
  <c r="E46" i="1"/>
  <c r="F46" i="1"/>
  <c r="G46" i="1"/>
  <c r="I46" i="1"/>
  <c r="J46" i="1"/>
  <c r="A47" i="1"/>
  <c r="B47" i="1"/>
  <c r="J47" i="1" s="1"/>
  <c r="C47" i="1"/>
  <c r="E47" i="1"/>
  <c r="F47" i="1"/>
  <c r="A48" i="1"/>
  <c r="B48" i="1"/>
  <c r="J48" i="1" s="1"/>
  <c r="C48" i="1"/>
  <c r="D48" i="1"/>
  <c r="E48" i="1"/>
  <c r="F48" i="1"/>
  <c r="A49" i="1"/>
  <c r="B49" i="1"/>
  <c r="J49" i="1" s="1"/>
  <c r="C49" i="1"/>
  <c r="E49" i="1"/>
  <c r="F49" i="1"/>
  <c r="A50" i="1"/>
  <c r="I50" i="1" s="1"/>
  <c r="B50" i="1"/>
  <c r="J50" i="1" s="1"/>
  <c r="C50" i="1"/>
  <c r="D50" i="1"/>
  <c r="E50" i="1"/>
  <c r="F50" i="1"/>
  <c r="G50" i="1"/>
  <c r="A51" i="1"/>
  <c r="B51" i="1"/>
  <c r="D51" i="1" s="1"/>
  <c r="C51" i="1"/>
  <c r="E51" i="1"/>
  <c r="F51" i="1"/>
  <c r="G51" i="1"/>
  <c r="I51" i="1"/>
  <c r="J51" i="1"/>
  <c r="A52" i="1"/>
  <c r="B52" i="1"/>
  <c r="C52" i="1"/>
  <c r="D52" i="1"/>
  <c r="E52" i="1"/>
  <c r="F52" i="1"/>
  <c r="G52" i="1"/>
  <c r="J52" i="1"/>
  <c r="A53" i="1"/>
  <c r="B53" i="1"/>
  <c r="J53" i="1" s="1"/>
  <c r="C53" i="1"/>
  <c r="E53" i="1"/>
  <c r="F53" i="1"/>
  <c r="A54" i="1"/>
  <c r="G54" i="1" s="1"/>
  <c r="B54" i="1"/>
  <c r="J54" i="1" s="1"/>
  <c r="C54" i="1"/>
  <c r="E54" i="1"/>
  <c r="F54" i="1"/>
  <c r="A55" i="1"/>
  <c r="B55" i="1"/>
  <c r="C55" i="1"/>
  <c r="E55" i="1"/>
  <c r="F55" i="1"/>
  <c r="J55" i="1"/>
  <c r="A56" i="1"/>
  <c r="B56" i="1"/>
  <c r="J56" i="1" s="1"/>
  <c r="C56" i="1"/>
  <c r="E56" i="1"/>
  <c r="D56" i="1" s="1"/>
  <c r="F56" i="1"/>
  <c r="A57" i="1"/>
  <c r="B57" i="1"/>
  <c r="C57" i="1"/>
  <c r="E57" i="1"/>
  <c r="F57" i="1"/>
  <c r="G57" i="1"/>
  <c r="J57" i="1"/>
  <c r="A58" i="1"/>
  <c r="B58" i="1"/>
  <c r="C58" i="1"/>
  <c r="D58" i="1"/>
  <c r="E58" i="1"/>
  <c r="F58" i="1"/>
  <c r="G58" i="1"/>
  <c r="J58" i="1"/>
  <c r="A59" i="1"/>
  <c r="B59" i="1"/>
  <c r="J59" i="1" s="1"/>
  <c r="C59" i="1"/>
  <c r="E59" i="1"/>
  <c r="F59" i="1"/>
  <c r="A60" i="1"/>
  <c r="B60" i="1"/>
  <c r="J60" i="1" s="1"/>
  <c r="C60" i="1"/>
  <c r="E60" i="1"/>
  <c r="F60" i="1"/>
  <c r="A61" i="1"/>
  <c r="B61" i="1"/>
  <c r="C61" i="1"/>
  <c r="E61" i="1"/>
  <c r="D61" i="1" s="1"/>
  <c r="F61" i="1"/>
  <c r="J61" i="1"/>
  <c r="A62" i="1"/>
  <c r="B62" i="1"/>
  <c r="J62" i="1" s="1"/>
  <c r="C62" i="1"/>
  <c r="E62" i="1"/>
  <c r="F62" i="1"/>
  <c r="A63" i="1"/>
  <c r="B63" i="1"/>
  <c r="C63" i="1"/>
  <c r="E63" i="1"/>
  <c r="F63" i="1"/>
  <c r="G63" i="1"/>
  <c r="A64" i="1"/>
  <c r="B64" i="1"/>
  <c r="C64" i="1"/>
  <c r="E64" i="1"/>
  <c r="F64" i="1"/>
  <c r="G64" i="1"/>
  <c r="J64" i="1"/>
  <c r="A65" i="1"/>
  <c r="D65" i="1" s="1"/>
  <c r="B65" i="1"/>
  <c r="C65" i="1"/>
  <c r="E65" i="1"/>
  <c r="F65" i="1"/>
  <c r="J65" i="1"/>
  <c r="A66" i="1"/>
  <c r="B66" i="1"/>
  <c r="J66" i="1" s="1"/>
  <c r="C66" i="1"/>
  <c r="D66" i="1"/>
  <c r="E66" i="1"/>
  <c r="F66" i="1"/>
  <c r="A67" i="1"/>
  <c r="B67" i="1"/>
  <c r="D67" i="1" s="1"/>
  <c r="C67" i="1"/>
  <c r="E67" i="1"/>
  <c r="F67" i="1"/>
  <c r="J67" i="1"/>
  <c r="A68" i="1"/>
  <c r="B68" i="1"/>
  <c r="J68" i="1" s="1"/>
  <c r="C68" i="1"/>
  <c r="E68" i="1"/>
  <c r="F68" i="1"/>
  <c r="A69" i="1"/>
  <c r="B69" i="1"/>
  <c r="C69" i="1"/>
  <c r="E69" i="1"/>
  <c r="F69" i="1"/>
  <c r="G69" i="1"/>
  <c r="A70" i="1"/>
  <c r="B70" i="1"/>
  <c r="C70" i="1"/>
  <c r="E70" i="1"/>
  <c r="D70" i="1" s="1"/>
  <c r="F70" i="1"/>
  <c r="G70" i="1"/>
  <c r="J70" i="1"/>
  <c r="A71" i="1"/>
  <c r="D71" i="1" s="1"/>
  <c r="B71" i="1"/>
  <c r="C71" i="1"/>
  <c r="E71" i="1"/>
  <c r="F71" i="1"/>
  <c r="G71" i="1"/>
  <c r="J71" i="1"/>
  <c r="A72" i="1"/>
  <c r="B72" i="1"/>
  <c r="J72" i="1" s="1"/>
  <c r="C72" i="1"/>
  <c r="E72" i="1"/>
  <c r="F72" i="1"/>
  <c r="A73" i="1"/>
  <c r="B73" i="1"/>
  <c r="C73" i="1"/>
  <c r="E73" i="1"/>
  <c r="F73" i="1"/>
  <c r="J73" i="1"/>
  <c r="A74" i="1"/>
  <c r="D74" i="1" s="1"/>
  <c r="B74" i="1"/>
  <c r="J74" i="1" s="1"/>
  <c r="C74" i="1"/>
  <c r="E74" i="1"/>
  <c r="F74" i="1"/>
  <c r="G74" i="1"/>
  <c r="A75" i="1"/>
  <c r="B75" i="1"/>
  <c r="C75" i="1"/>
  <c r="E75" i="1"/>
  <c r="F75" i="1"/>
  <c r="G75" i="1"/>
  <c r="A76" i="1"/>
  <c r="B76" i="1"/>
  <c r="C76" i="1"/>
  <c r="E76" i="1"/>
  <c r="F76" i="1"/>
  <c r="G76" i="1"/>
  <c r="J76" i="1"/>
  <c r="A77" i="1"/>
  <c r="B77" i="1"/>
  <c r="C77" i="1"/>
  <c r="E77" i="1"/>
  <c r="F77" i="1"/>
  <c r="G77" i="1"/>
  <c r="J77" i="1"/>
  <c r="A78" i="1"/>
  <c r="B78" i="1"/>
  <c r="J78" i="1" s="1"/>
  <c r="C78" i="1"/>
  <c r="E78" i="1"/>
  <c r="F78" i="1"/>
  <c r="A79" i="1"/>
  <c r="B79" i="1"/>
  <c r="J79" i="1" s="1"/>
  <c r="C79" i="1"/>
  <c r="D79" i="1"/>
  <c r="E79" i="1"/>
  <c r="F79" i="1"/>
  <c r="A80" i="1"/>
  <c r="B80" i="1"/>
  <c r="J80" i="1" s="1"/>
  <c r="C80" i="1"/>
  <c r="E80" i="1"/>
  <c r="D80" i="1" s="1"/>
  <c r="F80" i="1"/>
  <c r="G80" i="1"/>
  <c r="A81" i="1"/>
  <c r="B81" i="1"/>
  <c r="C81" i="1"/>
  <c r="E81" i="1"/>
  <c r="F81" i="1"/>
  <c r="G81" i="1"/>
  <c r="J81" i="1"/>
  <c r="A82" i="1"/>
  <c r="B82" i="1"/>
  <c r="C82" i="1"/>
  <c r="E82" i="1"/>
  <c r="D82" i="1" s="1"/>
  <c r="F82" i="1"/>
  <c r="G82" i="1"/>
  <c r="J82" i="1"/>
  <c r="A83" i="1"/>
  <c r="B83" i="1"/>
  <c r="J83" i="1" s="1"/>
  <c r="C83" i="1"/>
  <c r="E83" i="1"/>
  <c r="F83" i="1"/>
  <c r="A84" i="1"/>
  <c r="B84" i="1"/>
  <c r="J84" i="1" s="1"/>
  <c r="C84" i="1"/>
  <c r="E84" i="1"/>
  <c r="F84" i="1"/>
  <c r="G84" i="1"/>
  <c r="A85" i="1"/>
  <c r="G85" i="1" s="1"/>
  <c r="B85" i="1"/>
  <c r="C85" i="1"/>
  <c r="E85" i="1"/>
  <c r="F85" i="1"/>
  <c r="J85" i="1"/>
  <c r="A86" i="1"/>
  <c r="B86" i="1"/>
  <c r="J86" i="1" s="1"/>
  <c r="C86" i="1"/>
  <c r="D86" i="1"/>
  <c r="E86" i="1"/>
  <c r="F86" i="1"/>
  <c r="A87" i="1"/>
  <c r="B87" i="1"/>
  <c r="J87" i="1" s="1"/>
  <c r="C87" i="1"/>
  <c r="E87" i="1"/>
  <c r="F87" i="1"/>
  <c r="G87" i="1"/>
  <c r="A88" i="1"/>
  <c r="B88" i="1"/>
  <c r="C88" i="1"/>
  <c r="E88" i="1"/>
  <c r="D88" i="1" s="1"/>
  <c r="F88" i="1"/>
  <c r="G88" i="1"/>
  <c r="J88" i="1"/>
  <c r="A89" i="1"/>
  <c r="B89" i="1"/>
  <c r="C89" i="1"/>
  <c r="E89" i="1"/>
  <c r="F89" i="1"/>
  <c r="J89" i="1"/>
  <c r="A90" i="1"/>
  <c r="B90" i="1"/>
  <c r="J90" i="1" s="1"/>
  <c r="C90" i="1"/>
  <c r="D90" i="1"/>
  <c r="E90" i="1"/>
  <c r="F90" i="1"/>
  <c r="A91" i="1"/>
  <c r="G91" i="1" s="1"/>
  <c r="B91" i="1"/>
  <c r="C91" i="1"/>
  <c r="E91" i="1"/>
  <c r="D91" i="1" s="1"/>
  <c r="F91" i="1"/>
  <c r="A92" i="1"/>
  <c r="D92" i="1" s="1"/>
  <c r="B92" i="1"/>
  <c r="J92" i="1" s="1"/>
  <c r="C92" i="1"/>
  <c r="E92" i="1"/>
  <c r="F92" i="1"/>
  <c r="G92" i="1"/>
  <c r="A93" i="1"/>
  <c r="B93" i="1"/>
  <c r="J93" i="1" s="1"/>
  <c r="C93" i="1"/>
  <c r="E93" i="1"/>
  <c r="F93" i="1"/>
  <c r="A94" i="1"/>
  <c r="B94" i="1"/>
  <c r="C94" i="1"/>
  <c r="E94" i="1"/>
  <c r="F94" i="1"/>
  <c r="G94" i="1"/>
  <c r="J94" i="1"/>
  <c r="A95" i="1"/>
  <c r="B95" i="1"/>
  <c r="C95" i="1"/>
  <c r="E95" i="1"/>
  <c r="F95" i="1"/>
  <c r="G95" i="1"/>
  <c r="J95" i="1"/>
  <c r="A96" i="1"/>
  <c r="D96" i="1" s="1"/>
  <c r="B96" i="1"/>
  <c r="J96" i="1" s="1"/>
  <c r="C96" i="1"/>
  <c r="E96" i="1"/>
  <c r="F96" i="1"/>
  <c r="G96" i="1"/>
  <c r="A97" i="1"/>
  <c r="B97" i="1"/>
  <c r="J97" i="1" s="1"/>
  <c r="C97" i="1"/>
  <c r="D97" i="1"/>
  <c r="E97" i="1"/>
  <c r="F97" i="1"/>
  <c r="A98" i="1"/>
  <c r="B98" i="1"/>
  <c r="J98" i="1" s="1"/>
  <c r="C98" i="1"/>
  <c r="D98" i="1"/>
  <c r="E98" i="1"/>
  <c r="F98" i="1"/>
  <c r="G98" i="1"/>
  <c r="A99" i="1"/>
  <c r="B99" i="1"/>
  <c r="C99" i="1"/>
  <c r="E99" i="1"/>
  <c r="F99" i="1"/>
  <c r="G99" i="1"/>
  <c r="J99" i="1"/>
  <c r="A100" i="1"/>
  <c r="B100" i="1"/>
  <c r="C100" i="1"/>
  <c r="D100" i="1"/>
  <c r="E100" i="1"/>
  <c r="F100" i="1"/>
  <c r="G100" i="1"/>
  <c r="J100" i="1"/>
  <c r="A101" i="1"/>
  <c r="B101" i="1"/>
  <c r="J101" i="1" s="1"/>
  <c r="C101" i="1"/>
  <c r="E101" i="1"/>
  <c r="F101" i="1"/>
  <c r="A102" i="1"/>
  <c r="B102" i="1"/>
  <c r="C102" i="1"/>
  <c r="E102" i="1"/>
  <c r="F102" i="1"/>
  <c r="G102" i="1"/>
  <c r="I102" i="1"/>
  <c r="A103" i="1"/>
  <c r="G103" i="1" s="1"/>
  <c r="B103" i="1"/>
  <c r="C103" i="1"/>
  <c r="E103" i="1"/>
  <c r="F103" i="1"/>
  <c r="J103" i="1"/>
  <c r="A104" i="1"/>
  <c r="B104" i="1"/>
  <c r="J104" i="1" s="1"/>
  <c r="C104" i="1"/>
  <c r="D104" i="1"/>
  <c r="E104" i="1"/>
  <c r="F104" i="1"/>
  <c r="A105" i="1"/>
  <c r="B105" i="1"/>
  <c r="J105" i="1" s="1"/>
  <c r="C105" i="1"/>
  <c r="E105" i="1"/>
  <c r="F105" i="1"/>
  <c r="A106" i="1"/>
  <c r="B106" i="1"/>
  <c r="C106" i="1"/>
  <c r="D106" i="1"/>
  <c r="E106" i="1"/>
  <c r="F106" i="1"/>
  <c r="G106" i="1"/>
  <c r="J106" i="1"/>
  <c r="A107" i="1"/>
  <c r="D107" i="1" s="1"/>
  <c r="B107" i="1"/>
  <c r="C107" i="1"/>
  <c r="E107" i="1"/>
  <c r="F107" i="1"/>
  <c r="G107" i="1"/>
  <c r="J107" i="1"/>
  <c r="A108" i="1"/>
  <c r="G108" i="1" s="1"/>
  <c r="B108" i="1"/>
  <c r="C108" i="1"/>
  <c r="D108" i="1"/>
  <c r="E108" i="1"/>
  <c r="F108" i="1"/>
  <c r="J108" i="1"/>
  <c r="A109" i="1"/>
  <c r="B109" i="1"/>
  <c r="J109" i="1" s="1"/>
  <c r="C109" i="1"/>
  <c r="E109" i="1"/>
  <c r="F109" i="1"/>
  <c r="A110" i="1"/>
  <c r="B110" i="1"/>
  <c r="J110" i="1" s="1"/>
  <c r="C110" i="1"/>
  <c r="D110" i="1"/>
  <c r="E110" i="1"/>
  <c r="F110" i="1"/>
  <c r="G110" i="1"/>
  <c r="A111" i="1"/>
  <c r="D111" i="1" s="1"/>
  <c r="B111" i="1"/>
  <c r="C111" i="1"/>
  <c r="E111" i="1"/>
  <c r="F111" i="1"/>
  <c r="G111" i="1"/>
  <c r="J111" i="1"/>
  <c r="A112" i="1"/>
  <c r="B112" i="1"/>
  <c r="C112" i="1"/>
  <c r="D112" i="1"/>
  <c r="E112" i="1"/>
  <c r="F112" i="1"/>
  <c r="G112" i="1"/>
  <c r="J112" i="1"/>
  <c r="A113" i="1"/>
  <c r="B113" i="1"/>
  <c r="J113" i="1" s="1"/>
  <c r="C113" i="1"/>
  <c r="E113" i="1"/>
  <c r="F113" i="1"/>
  <c r="G113" i="1"/>
  <c r="A114" i="1"/>
  <c r="B114" i="1"/>
  <c r="J114" i="1" s="1"/>
  <c r="C114" i="1"/>
  <c r="D114" i="1"/>
  <c r="E114" i="1"/>
  <c r="F114" i="1"/>
  <c r="G114" i="1"/>
  <c r="A115" i="1"/>
  <c r="G115" i="1" s="1"/>
  <c r="B115" i="1"/>
  <c r="C115" i="1"/>
  <c r="D115" i="1"/>
  <c r="E115" i="1"/>
  <c r="F115" i="1"/>
  <c r="J115" i="1"/>
  <c r="A116" i="1"/>
  <c r="B116" i="1"/>
  <c r="J116" i="1" s="1"/>
  <c r="C116" i="1"/>
  <c r="E116" i="1"/>
  <c r="F116" i="1"/>
  <c r="A117" i="1"/>
  <c r="B117" i="1"/>
  <c r="J117" i="1" s="1"/>
  <c r="C117" i="1"/>
  <c r="E117" i="1"/>
  <c r="F117" i="1"/>
  <c r="G117" i="1"/>
  <c r="A118" i="1"/>
  <c r="B118" i="1"/>
  <c r="C118" i="1"/>
  <c r="D118" i="1"/>
  <c r="E118" i="1"/>
  <c r="F118" i="1"/>
  <c r="G118" i="1"/>
  <c r="I118" i="1"/>
  <c r="H118" i="1" s="1"/>
  <c r="J118" i="1"/>
  <c r="A119" i="1"/>
  <c r="D119" i="1" s="1"/>
  <c r="B119" i="1"/>
  <c r="C119" i="1"/>
  <c r="E119" i="1"/>
  <c r="F119" i="1"/>
  <c r="G119" i="1"/>
  <c r="I119" i="1"/>
  <c r="J119" i="1"/>
  <c r="A120" i="1"/>
  <c r="B120" i="1"/>
  <c r="C120" i="1"/>
  <c r="E120" i="1"/>
  <c r="F120" i="1"/>
  <c r="G120" i="1"/>
  <c r="I120" i="1"/>
  <c r="J120" i="1"/>
  <c r="A121" i="1"/>
  <c r="B121" i="1"/>
  <c r="J121" i="1" s="1"/>
  <c r="C121" i="1"/>
  <c r="E121" i="1"/>
  <c r="F121" i="1"/>
  <c r="A122" i="1"/>
  <c r="G122" i="1" s="1"/>
  <c r="B122" i="1"/>
  <c r="J122" i="1" s="1"/>
  <c r="C122" i="1"/>
  <c r="E122" i="1"/>
  <c r="D122" i="1" s="1"/>
  <c r="F122" i="1"/>
  <c r="A123" i="1"/>
  <c r="D123" i="1" s="1"/>
  <c r="B123" i="1"/>
  <c r="C123" i="1"/>
  <c r="E123" i="1"/>
  <c r="F123" i="1"/>
  <c r="G123" i="1"/>
  <c r="J123" i="1"/>
  <c r="A124" i="1"/>
  <c r="B124" i="1"/>
  <c r="C124" i="1"/>
  <c r="D124" i="1"/>
  <c r="E124" i="1"/>
  <c r="F124" i="1"/>
  <c r="G124" i="1"/>
  <c r="I124" i="1"/>
  <c r="J124" i="1"/>
  <c r="A125" i="1"/>
  <c r="B125" i="1"/>
  <c r="J125" i="1" s="1"/>
  <c r="C125" i="1"/>
  <c r="E125" i="1"/>
  <c r="F125" i="1"/>
  <c r="A126" i="1"/>
  <c r="B126" i="1"/>
  <c r="J126" i="1" s="1"/>
  <c r="C126" i="1"/>
  <c r="D126" i="1"/>
  <c r="E126" i="1"/>
  <c r="F126" i="1"/>
  <c r="G126" i="1"/>
  <c r="A127" i="1"/>
  <c r="G127" i="1" s="1"/>
  <c r="B127" i="1"/>
  <c r="C127" i="1"/>
  <c r="D127" i="1"/>
  <c r="E127" i="1"/>
  <c r="F127" i="1"/>
  <c r="A128" i="1"/>
  <c r="B128" i="1"/>
  <c r="J128" i="1" s="1"/>
  <c r="C128" i="1"/>
  <c r="E128" i="1"/>
  <c r="F128" i="1"/>
  <c r="A129" i="1"/>
  <c r="B129" i="1"/>
  <c r="J129" i="1" s="1"/>
  <c r="C129" i="1"/>
  <c r="E129" i="1"/>
  <c r="F129" i="1"/>
  <c r="A130" i="1"/>
  <c r="B130" i="1"/>
  <c r="C130" i="1"/>
  <c r="D130" i="1"/>
  <c r="E130" i="1"/>
  <c r="F130" i="1"/>
  <c r="G130" i="1"/>
  <c r="I130" i="1"/>
  <c r="J130" i="1"/>
  <c r="A131" i="1"/>
  <c r="B131" i="1"/>
  <c r="C131" i="1"/>
  <c r="E131" i="1"/>
  <c r="F131" i="1"/>
  <c r="G131" i="1"/>
  <c r="J131" i="1"/>
  <c r="A132" i="1"/>
  <c r="D132" i="1" s="1"/>
  <c r="B132" i="1"/>
  <c r="C132" i="1"/>
  <c r="E132" i="1"/>
  <c r="F132" i="1"/>
  <c r="G132" i="1"/>
  <c r="J132" i="1"/>
  <c r="A133" i="1"/>
  <c r="B133" i="1"/>
  <c r="C133" i="1"/>
  <c r="E133" i="1"/>
  <c r="F133" i="1"/>
  <c r="J133" i="1"/>
  <c r="A134" i="1"/>
  <c r="B134" i="1"/>
  <c r="J134" i="1" s="1"/>
  <c r="C134" i="1"/>
  <c r="E134" i="1"/>
  <c r="F134" i="1"/>
  <c r="A135" i="1"/>
  <c r="B135" i="1"/>
  <c r="J135" i="1" s="1"/>
  <c r="C135" i="1"/>
  <c r="E135" i="1"/>
  <c r="F135" i="1"/>
  <c r="G135" i="1"/>
  <c r="A136" i="1"/>
  <c r="B136" i="1"/>
  <c r="C136" i="1"/>
  <c r="D136" i="1"/>
  <c r="E136" i="1"/>
  <c r="F136" i="1"/>
  <c r="G136" i="1"/>
  <c r="I136" i="1"/>
  <c r="J136" i="1"/>
  <c r="A137" i="1"/>
  <c r="B137" i="1"/>
  <c r="C137" i="1"/>
  <c r="E137" i="1"/>
  <c r="F137" i="1"/>
  <c r="G137" i="1"/>
  <c r="J137" i="1"/>
  <c r="A138" i="1"/>
  <c r="B138" i="1"/>
  <c r="C138" i="1"/>
  <c r="E138" i="1"/>
  <c r="F138" i="1"/>
  <c r="J138" i="1"/>
  <c r="A139" i="1"/>
  <c r="B139" i="1"/>
  <c r="J139" i="1" s="1"/>
  <c r="C139" i="1"/>
  <c r="E139" i="1"/>
  <c r="F139" i="1"/>
  <c r="A140" i="1"/>
  <c r="B140" i="1"/>
  <c r="J140" i="1" s="1"/>
  <c r="C140" i="1"/>
  <c r="E140" i="1"/>
  <c r="D140" i="1" s="1"/>
  <c r="F140" i="1"/>
  <c r="G140" i="1"/>
  <c r="A141" i="1"/>
  <c r="B141" i="1"/>
  <c r="C141" i="1"/>
  <c r="E141" i="1"/>
  <c r="D141" i="1" s="1"/>
  <c r="F141" i="1"/>
  <c r="G141" i="1"/>
  <c r="I141" i="1"/>
  <c r="J141" i="1"/>
  <c r="A142" i="1"/>
  <c r="B142" i="1"/>
  <c r="C142" i="1"/>
  <c r="E142" i="1"/>
  <c r="F142" i="1"/>
  <c r="J142" i="1"/>
  <c r="A143" i="1"/>
  <c r="B143" i="1"/>
  <c r="J143" i="1" s="1"/>
  <c r="C143" i="1"/>
  <c r="E143" i="1"/>
  <c r="F143" i="1"/>
  <c r="I143" i="1"/>
  <c r="A144" i="1"/>
  <c r="B144" i="1"/>
  <c r="J144" i="1" s="1"/>
  <c r="C144" i="1"/>
  <c r="D144" i="1"/>
  <c r="E144" i="1"/>
  <c r="F144" i="1"/>
  <c r="A145" i="1"/>
  <c r="G145" i="1" s="1"/>
  <c r="B145" i="1"/>
  <c r="J145" i="1" s="1"/>
  <c r="C145" i="1"/>
  <c r="E145" i="1"/>
  <c r="F145" i="1"/>
  <c r="A146" i="1"/>
  <c r="B146" i="1"/>
  <c r="J146" i="1" s="1"/>
  <c r="C146" i="1"/>
  <c r="E146" i="1"/>
  <c r="D146" i="1" s="1"/>
  <c r="F146" i="1"/>
  <c r="G146" i="1"/>
  <c r="A147" i="1"/>
  <c r="B147" i="1"/>
  <c r="C147" i="1"/>
  <c r="D147" i="1"/>
  <c r="E147" i="1"/>
  <c r="F147" i="1"/>
  <c r="G147" i="1"/>
  <c r="I147" i="1"/>
  <c r="J147" i="1"/>
  <c r="A148" i="1"/>
  <c r="B148" i="1"/>
  <c r="C148" i="1"/>
  <c r="E148" i="1"/>
  <c r="F148" i="1"/>
  <c r="J148" i="1"/>
  <c r="A149" i="1"/>
  <c r="B149" i="1"/>
  <c r="J149" i="1" s="1"/>
  <c r="C149" i="1"/>
  <c r="E149" i="1"/>
  <c r="F149" i="1"/>
  <c r="A150" i="1"/>
  <c r="B150" i="1"/>
  <c r="C150" i="1"/>
  <c r="E150" i="1"/>
  <c r="F150" i="1"/>
  <c r="G150" i="1"/>
  <c r="A151" i="1"/>
  <c r="B151" i="1"/>
  <c r="C151" i="1"/>
  <c r="E151" i="1"/>
  <c r="F151" i="1"/>
  <c r="I151" i="1"/>
  <c r="J151" i="1"/>
  <c r="A152" i="1"/>
  <c r="B152" i="1"/>
  <c r="J152" i="1" s="1"/>
  <c r="C152" i="1"/>
  <c r="E152" i="1"/>
  <c r="F152" i="1"/>
  <c r="A153" i="1"/>
  <c r="B153" i="1"/>
  <c r="J153" i="1" s="1"/>
  <c r="C153" i="1"/>
  <c r="E153" i="1"/>
  <c r="D153" i="1" s="1"/>
  <c r="F153" i="1"/>
  <c r="G153" i="1"/>
  <c r="A154" i="1"/>
  <c r="B154" i="1"/>
  <c r="C154" i="1"/>
  <c r="D154" i="1"/>
  <c r="E154" i="1"/>
  <c r="F154" i="1"/>
  <c r="G154" i="1"/>
  <c r="I154" i="1"/>
  <c r="J154" i="1"/>
  <c r="A155" i="1"/>
  <c r="B155" i="1"/>
  <c r="C155" i="1"/>
  <c r="E155" i="1"/>
  <c r="F155" i="1"/>
  <c r="G155" i="1"/>
  <c r="I155" i="1"/>
  <c r="J155" i="1"/>
  <c r="A156" i="1"/>
  <c r="B156" i="1"/>
  <c r="J156" i="1" s="1"/>
  <c r="C156" i="1"/>
  <c r="E156" i="1"/>
  <c r="F156" i="1"/>
  <c r="A157" i="1"/>
  <c r="B157" i="1"/>
  <c r="J157" i="1" s="1"/>
  <c r="C157" i="1"/>
  <c r="E157" i="1"/>
  <c r="F157" i="1"/>
  <c r="G157" i="1"/>
  <c r="A158" i="1"/>
  <c r="B158" i="1"/>
  <c r="J158" i="1" s="1"/>
  <c r="C158" i="1"/>
  <c r="E158" i="1"/>
  <c r="F158" i="1"/>
  <c r="A159" i="1"/>
  <c r="B159" i="1"/>
  <c r="C159" i="1"/>
  <c r="E159" i="1"/>
  <c r="F159" i="1"/>
  <c r="G159" i="1"/>
  <c r="J159" i="1"/>
  <c r="A160" i="1"/>
  <c r="B160" i="1"/>
  <c r="C160" i="1"/>
  <c r="D160" i="1"/>
  <c r="E160" i="1"/>
  <c r="F160" i="1"/>
  <c r="G160" i="1"/>
  <c r="I160" i="1"/>
  <c r="J160" i="1"/>
  <c r="A161" i="1"/>
  <c r="B161" i="1"/>
  <c r="J161" i="1" s="1"/>
  <c r="C161" i="1"/>
  <c r="E161" i="1"/>
  <c r="F161" i="1"/>
  <c r="G161" i="1"/>
  <c r="A162" i="1"/>
  <c r="B162" i="1"/>
  <c r="J162" i="1" s="1"/>
  <c r="C162" i="1"/>
  <c r="E162" i="1"/>
  <c r="F162" i="1"/>
  <c r="I162" i="1"/>
  <c r="A163" i="1"/>
  <c r="B163" i="1"/>
  <c r="J163" i="1" s="1"/>
  <c r="C163" i="1"/>
  <c r="D163" i="1"/>
  <c r="E163" i="1"/>
  <c r="F163" i="1"/>
  <c r="A164" i="1"/>
  <c r="G164" i="1" s="1"/>
  <c r="B164" i="1"/>
  <c r="J164" i="1" s="1"/>
  <c r="C164" i="1"/>
  <c r="D164" i="1"/>
  <c r="E164" i="1"/>
  <c r="F164" i="1"/>
  <c r="A165" i="1"/>
  <c r="B165" i="1"/>
  <c r="C165" i="1"/>
  <c r="D165" i="1"/>
  <c r="E165" i="1"/>
  <c r="F165" i="1"/>
  <c r="G165" i="1"/>
  <c r="I165" i="1"/>
  <c r="J165" i="1"/>
  <c r="A166" i="1"/>
  <c r="D166" i="1" s="1"/>
  <c r="B166" i="1"/>
  <c r="C166" i="1"/>
  <c r="E166" i="1"/>
  <c r="F166" i="1"/>
  <c r="G166" i="1"/>
  <c r="I166" i="1"/>
  <c r="J166" i="1"/>
  <c r="A167" i="1"/>
  <c r="B167" i="1"/>
  <c r="J167" i="1" s="1"/>
  <c r="C167" i="1"/>
  <c r="E167" i="1"/>
  <c r="F167" i="1"/>
  <c r="A168" i="1"/>
  <c r="B168" i="1"/>
  <c r="J168" i="1" s="1"/>
  <c r="C168" i="1"/>
  <c r="D168" i="1"/>
  <c r="E168" i="1"/>
  <c r="F168" i="1"/>
  <c r="G168" i="1"/>
  <c r="A169" i="1"/>
  <c r="B169" i="1"/>
  <c r="D169" i="1" s="1"/>
  <c r="C169" i="1"/>
  <c r="E169" i="1"/>
  <c r="F169" i="1"/>
  <c r="G169" i="1"/>
  <c r="I169" i="1"/>
  <c r="J169" i="1"/>
  <c r="A170" i="1"/>
  <c r="B170" i="1"/>
  <c r="J170" i="1" s="1"/>
  <c r="C170" i="1"/>
  <c r="E170" i="1"/>
  <c r="F170" i="1"/>
  <c r="A171" i="1"/>
  <c r="G171" i="1" s="1"/>
  <c r="B171" i="1"/>
  <c r="J171" i="1" s="1"/>
  <c r="C171" i="1"/>
  <c r="E171" i="1"/>
  <c r="F171" i="1"/>
  <c r="I171" i="1"/>
  <c r="A172" i="1"/>
  <c r="G172" i="1" s="1"/>
  <c r="B172" i="1"/>
  <c r="C172" i="1"/>
  <c r="D172" i="1"/>
  <c r="E172" i="1"/>
  <c r="F172" i="1"/>
  <c r="I172" i="1"/>
  <c r="J172" i="1"/>
  <c r="A173" i="1"/>
  <c r="B173" i="1"/>
  <c r="C173" i="1"/>
  <c r="E173" i="1"/>
  <c r="F173" i="1"/>
  <c r="G173" i="1"/>
  <c r="A174" i="1"/>
  <c r="B174" i="1"/>
  <c r="D174" i="1" s="1"/>
  <c r="C174" i="1"/>
  <c r="E174" i="1"/>
  <c r="F174" i="1"/>
  <c r="G174" i="1"/>
  <c r="A175" i="1"/>
  <c r="G175" i="1" s="1"/>
  <c r="B175" i="1"/>
  <c r="C175" i="1"/>
  <c r="D175" i="1"/>
  <c r="E175" i="1"/>
  <c r="F175" i="1"/>
  <c r="I175" i="1"/>
  <c r="J175" i="1"/>
  <c r="A176" i="1"/>
  <c r="B176" i="1"/>
  <c r="J176" i="1" s="1"/>
  <c r="C176" i="1"/>
  <c r="E176" i="1"/>
  <c r="F176" i="1"/>
  <c r="A177" i="1"/>
  <c r="G177" i="1" s="1"/>
  <c r="B177" i="1"/>
  <c r="J177" i="1" s="1"/>
  <c r="C177" i="1"/>
  <c r="D177" i="1"/>
  <c r="E177" i="1"/>
  <c r="F177" i="1"/>
  <c r="A178" i="1"/>
  <c r="B178" i="1"/>
  <c r="C178" i="1"/>
  <c r="D178" i="1"/>
  <c r="E178" i="1"/>
  <c r="F178" i="1"/>
  <c r="G178" i="1"/>
  <c r="J178" i="1"/>
  <c r="A179" i="1"/>
  <c r="B179" i="1"/>
  <c r="J179" i="1" s="1"/>
  <c r="C179" i="1"/>
  <c r="E179" i="1"/>
  <c r="F179" i="1"/>
  <c r="I179" i="1"/>
  <c r="H179" i="1" s="1"/>
  <c r="A180" i="1"/>
  <c r="B180" i="1"/>
  <c r="D180" i="1" s="1"/>
  <c r="C180" i="1"/>
  <c r="E180" i="1"/>
  <c r="F180" i="1"/>
  <c r="G180" i="1"/>
  <c r="A181" i="1"/>
  <c r="B181" i="1"/>
  <c r="C181" i="1"/>
  <c r="D181" i="1"/>
  <c r="E181" i="1"/>
  <c r="F181" i="1"/>
  <c r="G181" i="1"/>
  <c r="J181" i="1"/>
  <c r="A182" i="1"/>
  <c r="B182" i="1"/>
  <c r="C182" i="1"/>
  <c r="E182" i="1"/>
  <c r="F182" i="1"/>
  <c r="G182" i="1"/>
  <c r="I182" i="1"/>
  <c r="J182" i="1"/>
  <c r="A183" i="1"/>
  <c r="B183" i="1"/>
  <c r="J183" i="1" s="1"/>
  <c r="C183" i="1"/>
  <c r="E183" i="1"/>
  <c r="F183" i="1"/>
  <c r="A184" i="1"/>
  <c r="B184" i="1"/>
  <c r="J184" i="1" s="1"/>
  <c r="C184" i="1"/>
  <c r="E184" i="1"/>
  <c r="D184" i="1" s="1"/>
  <c r="F184" i="1"/>
  <c r="A185" i="1"/>
  <c r="D185" i="1" s="1"/>
  <c r="B185" i="1"/>
  <c r="J185" i="1" s="1"/>
  <c r="C185" i="1"/>
  <c r="E185" i="1"/>
  <c r="F185" i="1"/>
  <c r="G185" i="1"/>
  <c r="A186" i="1"/>
  <c r="B186" i="1"/>
  <c r="C186" i="1"/>
  <c r="D186" i="1"/>
  <c r="E186" i="1"/>
  <c r="F186" i="1"/>
  <c r="G186" i="1"/>
  <c r="I186" i="1"/>
  <c r="J186" i="1"/>
  <c r="A187" i="1"/>
  <c r="D187" i="1" s="1"/>
  <c r="B187" i="1"/>
  <c r="C187" i="1"/>
  <c r="E187" i="1"/>
  <c r="F187" i="1"/>
  <c r="J187" i="1"/>
  <c r="A188" i="1"/>
  <c r="B188" i="1"/>
  <c r="C188" i="1"/>
  <c r="E188" i="1"/>
  <c r="F188" i="1"/>
  <c r="I188" i="1"/>
  <c r="J188" i="1"/>
  <c r="A189" i="1"/>
  <c r="B189" i="1"/>
  <c r="J189" i="1" s="1"/>
  <c r="C189" i="1"/>
  <c r="E189" i="1"/>
  <c r="F189" i="1"/>
  <c r="A190" i="1"/>
  <c r="B190" i="1"/>
  <c r="J190" i="1" s="1"/>
  <c r="C190" i="1"/>
  <c r="E190" i="1"/>
  <c r="F190" i="1"/>
  <c r="G190" i="1"/>
  <c r="A191" i="1"/>
  <c r="B191" i="1"/>
  <c r="J191" i="1" s="1"/>
  <c r="C191" i="1"/>
  <c r="E191" i="1"/>
  <c r="F191" i="1"/>
  <c r="G191" i="1"/>
  <c r="I191" i="1"/>
  <c r="A192" i="1"/>
  <c r="B192" i="1"/>
  <c r="D192" i="1" s="1"/>
  <c r="C192" i="1"/>
  <c r="E192" i="1"/>
  <c r="F192" i="1"/>
  <c r="G192" i="1"/>
  <c r="I192" i="1"/>
  <c r="J192" i="1"/>
  <c r="A193" i="1"/>
  <c r="B193" i="1"/>
  <c r="C193" i="1"/>
  <c r="D193" i="1"/>
  <c r="E193" i="1"/>
  <c r="F193" i="1"/>
  <c r="J193" i="1"/>
  <c r="A194" i="1"/>
  <c r="B194" i="1"/>
  <c r="J194" i="1" s="1"/>
  <c r="C194" i="1"/>
  <c r="E194" i="1"/>
  <c r="F194" i="1"/>
  <c r="G194" i="1"/>
  <c r="A195" i="1"/>
  <c r="G195" i="1" s="1"/>
  <c r="B195" i="1"/>
  <c r="C195" i="1"/>
  <c r="D195" i="1"/>
  <c r="E195" i="1"/>
  <c r="F195" i="1"/>
  <c r="I195" i="1"/>
  <c r="J195" i="1"/>
  <c r="A196" i="1"/>
  <c r="B196" i="1"/>
  <c r="C196" i="1"/>
  <c r="E196" i="1"/>
  <c r="F196" i="1"/>
  <c r="J196" i="1"/>
  <c r="A197" i="1"/>
  <c r="B197" i="1"/>
  <c r="J197" i="1" s="1"/>
  <c r="C197" i="1"/>
  <c r="E197" i="1"/>
  <c r="F197" i="1"/>
  <c r="A198" i="1"/>
  <c r="B198" i="1"/>
  <c r="J198" i="1" s="1"/>
  <c r="C198" i="1"/>
  <c r="D198" i="1"/>
  <c r="E198" i="1"/>
  <c r="F198" i="1"/>
  <c r="G198" i="1"/>
  <c r="A199" i="1"/>
  <c r="B199" i="1"/>
  <c r="C199" i="1"/>
  <c r="D199" i="1"/>
  <c r="E199" i="1"/>
  <c r="F199" i="1"/>
  <c r="G199" i="1"/>
  <c r="J199" i="1"/>
  <c r="A200" i="1"/>
  <c r="D200" i="1" s="1"/>
  <c r="B200" i="1"/>
  <c r="C200" i="1"/>
  <c r="E200" i="1"/>
  <c r="F200" i="1"/>
  <c r="I200" i="1"/>
  <c r="J200" i="1"/>
  <c r="A201" i="1"/>
  <c r="D201" i="1" s="1"/>
  <c r="B201" i="1"/>
  <c r="J201" i="1" s="1"/>
  <c r="C201" i="1"/>
  <c r="E201" i="1"/>
  <c r="F201" i="1"/>
  <c r="A202" i="1"/>
  <c r="B202" i="1"/>
  <c r="C202" i="1"/>
  <c r="D202" i="1"/>
  <c r="E202" i="1"/>
  <c r="F202" i="1"/>
  <c r="G202" i="1"/>
  <c r="J202" i="1"/>
  <c r="A203" i="1"/>
  <c r="B203" i="1"/>
  <c r="J203" i="1" s="1"/>
  <c r="C203" i="1"/>
  <c r="E203" i="1"/>
  <c r="F203" i="1"/>
  <c r="A204" i="1"/>
  <c r="B204" i="1"/>
  <c r="J204" i="1" s="1"/>
  <c r="C204" i="1"/>
  <c r="D204" i="1"/>
  <c r="E204" i="1"/>
  <c r="F204" i="1"/>
  <c r="G204" i="1"/>
  <c r="I204" i="1"/>
  <c r="A205" i="1"/>
  <c r="B205" i="1"/>
  <c r="C205" i="1"/>
  <c r="E205" i="1"/>
  <c r="F205" i="1"/>
  <c r="J205" i="1"/>
  <c r="A206" i="1"/>
  <c r="B206" i="1"/>
  <c r="J206" i="1" s="1"/>
  <c r="C206" i="1"/>
  <c r="E206" i="1"/>
  <c r="F206" i="1"/>
  <c r="G206" i="1"/>
  <c r="I206" i="1"/>
  <c r="A207" i="1"/>
  <c r="G207" i="1" s="1"/>
  <c r="B207" i="1"/>
  <c r="C207" i="1"/>
  <c r="E207" i="1"/>
  <c r="F207" i="1"/>
  <c r="J207" i="1"/>
  <c r="A208" i="1"/>
  <c r="G208" i="1" s="1"/>
  <c r="B208" i="1"/>
  <c r="J208" i="1" s="1"/>
  <c r="C208" i="1"/>
  <c r="E208" i="1"/>
  <c r="F208" i="1"/>
  <c r="A209" i="1"/>
  <c r="G209" i="1" s="1"/>
  <c r="B209" i="1"/>
  <c r="J209" i="1" s="1"/>
  <c r="C209" i="1"/>
  <c r="D209" i="1"/>
  <c r="E209" i="1"/>
  <c r="F209" i="1"/>
  <c r="I209" i="1"/>
  <c r="A210" i="1"/>
  <c r="B210" i="1"/>
  <c r="C210" i="1"/>
  <c r="E210" i="1"/>
  <c r="F210" i="1"/>
  <c r="G210" i="1"/>
  <c r="A211" i="1"/>
  <c r="B211" i="1"/>
  <c r="C211" i="1"/>
  <c r="D211" i="1"/>
  <c r="E211" i="1"/>
  <c r="I211" i="1" s="1"/>
  <c r="H211" i="1" s="1"/>
  <c r="F211" i="1"/>
  <c r="G211" i="1"/>
  <c r="J211" i="1"/>
  <c r="A212" i="1"/>
  <c r="B212" i="1"/>
  <c r="C212" i="1"/>
  <c r="E212" i="1"/>
  <c r="F212" i="1"/>
  <c r="J212" i="1"/>
  <c r="A213" i="1"/>
  <c r="G213" i="1" s="1"/>
  <c r="B213" i="1"/>
  <c r="C213" i="1"/>
  <c r="D213" i="1"/>
  <c r="E213" i="1"/>
  <c r="F213" i="1"/>
  <c r="I213" i="1"/>
  <c r="J213" i="1"/>
  <c r="A214" i="1"/>
  <c r="B214" i="1"/>
  <c r="J214" i="1" s="1"/>
  <c r="C214" i="1"/>
  <c r="E214" i="1"/>
  <c r="F214" i="1"/>
  <c r="G214" i="1"/>
  <c r="A215" i="1"/>
  <c r="B215" i="1"/>
  <c r="C215" i="1"/>
  <c r="E215" i="1"/>
  <c r="F215" i="1"/>
  <c r="G215" i="1"/>
  <c r="A216" i="1"/>
  <c r="B216" i="1"/>
  <c r="D216" i="1" s="1"/>
  <c r="C216" i="1"/>
  <c r="E216" i="1"/>
  <c r="F216" i="1"/>
  <c r="G216" i="1"/>
  <c r="I216" i="1"/>
  <c r="J216" i="1"/>
  <c r="A217" i="1"/>
  <c r="B217" i="1"/>
  <c r="C217" i="1"/>
  <c r="E217" i="1"/>
  <c r="F217" i="1"/>
  <c r="J217" i="1"/>
  <c r="A218" i="1"/>
  <c r="B218" i="1"/>
  <c r="J218" i="1" s="1"/>
  <c r="C218" i="1"/>
  <c r="E218" i="1"/>
  <c r="F218" i="1"/>
  <c r="A219" i="1"/>
  <c r="B219" i="1"/>
  <c r="J219" i="1" s="1"/>
  <c r="C219" i="1"/>
  <c r="E219" i="1"/>
  <c r="F219" i="1"/>
  <c r="A220" i="1"/>
  <c r="B220" i="1"/>
  <c r="C220" i="1"/>
  <c r="D220" i="1"/>
  <c r="E220" i="1"/>
  <c r="F220" i="1"/>
  <c r="G220" i="1"/>
  <c r="J220" i="1"/>
  <c r="A221" i="1"/>
  <c r="B221" i="1"/>
  <c r="J221" i="1" s="1"/>
  <c r="C221" i="1"/>
  <c r="E221" i="1"/>
  <c r="F221" i="1"/>
  <c r="A222" i="1"/>
  <c r="B222" i="1"/>
  <c r="I222" i="1" s="1"/>
  <c r="C222" i="1"/>
  <c r="D222" i="1"/>
  <c r="E222" i="1"/>
  <c r="F222" i="1"/>
  <c r="G222" i="1"/>
  <c r="A223" i="1"/>
  <c r="B223" i="1"/>
  <c r="C223" i="1"/>
  <c r="E223" i="1"/>
  <c r="D223" i="1" s="1"/>
  <c r="F223" i="1"/>
  <c r="G223" i="1"/>
  <c r="J223" i="1"/>
  <c r="A224" i="1"/>
  <c r="B224" i="1"/>
  <c r="C224" i="1"/>
  <c r="E224" i="1"/>
  <c r="F224" i="1"/>
  <c r="G224" i="1"/>
  <c r="I224" i="1"/>
  <c r="J224" i="1"/>
  <c r="A225" i="1"/>
  <c r="B225" i="1"/>
  <c r="C225" i="1"/>
  <c r="E225" i="1"/>
  <c r="F225" i="1"/>
  <c r="J225" i="1"/>
  <c r="A226" i="1"/>
  <c r="B226" i="1"/>
  <c r="J226" i="1" s="1"/>
  <c r="C226" i="1"/>
  <c r="E226" i="1"/>
  <c r="F226" i="1"/>
  <c r="A227" i="1"/>
  <c r="B227" i="1"/>
  <c r="J227" i="1" s="1"/>
  <c r="C227" i="1"/>
  <c r="E227" i="1"/>
  <c r="F227" i="1"/>
  <c r="G227" i="1"/>
  <c r="A228" i="1"/>
  <c r="B228" i="1"/>
  <c r="C228" i="1"/>
  <c r="D228" i="1"/>
  <c r="E228" i="1"/>
  <c r="F228" i="1"/>
  <c r="G228" i="1"/>
  <c r="J228" i="1"/>
  <c r="A229" i="1"/>
  <c r="B229" i="1"/>
  <c r="C229" i="1"/>
  <c r="E229" i="1"/>
  <c r="F229" i="1"/>
  <c r="J229" i="1"/>
  <c r="A230" i="1"/>
  <c r="B230" i="1"/>
  <c r="C230" i="1"/>
  <c r="E230" i="1"/>
  <c r="F230" i="1"/>
  <c r="J230" i="1"/>
  <c r="A231" i="1"/>
  <c r="B231" i="1"/>
  <c r="J231" i="1" s="1"/>
  <c r="C231" i="1"/>
  <c r="E231" i="1"/>
  <c r="F231" i="1"/>
  <c r="A232" i="1"/>
  <c r="B232" i="1"/>
  <c r="J232" i="1" s="1"/>
  <c r="C232" i="1"/>
  <c r="D232" i="1"/>
  <c r="E232" i="1"/>
  <c r="F232" i="1"/>
  <c r="A233" i="1"/>
  <c r="B233" i="1"/>
  <c r="J233" i="1" s="1"/>
  <c r="C233" i="1"/>
  <c r="E233" i="1"/>
  <c r="F233" i="1"/>
  <c r="G233" i="1"/>
  <c r="I233" i="1"/>
  <c r="A234" i="1"/>
  <c r="B234" i="1"/>
  <c r="D234" i="1" s="1"/>
  <c r="C234" i="1"/>
  <c r="E234" i="1"/>
  <c r="F234" i="1"/>
  <c r="G234" i="1"/>
  <c r="I234" i="1"/>
  <c r="J234" i="1"/>
  <c r="A235" i="1"/>
  <c r="B235" i="1"/>
  <c r="C235" i="1"/>
  <c r="E235" i="1"/>
  <c r="F235" i="1"/>
  <c r="J235" i="1"/>
  <c r="A236" i="1"/>
  <c r="B236" i="1"/>
  <c r="J236" i="1" s="1"/>
  <c r="C236" i="1"/>
  <c r="E236" i="1"/>
  <c r="F236" i="1"/>
  <c r="A237" i="1"/>
  <c r="G237" i="1" s="1"/>
  <c r="B237" i="1"/>
  <c r="C237" i="1"/>
  <c r="D237" i="1"/>
  <c r="E237" i="1"/>
  <c r="F237" i="1"/>
  <c r="J237" i="1"/>
  <c r="A238" i="1"/>
  <c r="B238" i="1"/>
  <c r="C238" i="1"/>
  <c r="E238" i="1"/>
  <c r="F238" i="1"/>
  <c r="G238" i="1"/>
  <c r="J238" i="1"/>
  <c r="A239" i="1"/>
  <c r="B239" i="1"/>
  <c r="J239" i="1" s="1"/>
  <c r="C239" i="1"/>
  <c r="E239" i="1"/>
  <c r="F239" i="1"/>
  <c r="A240" i="1"/>
  <c r="B240" i="1"/>
  <c r="C240" i="1"/>
  <c r="E240" i="1"/>
  <c r="D240" i="1" s="1"/>
  <c r="F240" i="1"/>
  <c r="G240" i="1"/>
  <c r="J240" i="1"/>
  <c r="A241" i="1"/>
  <c r="B241" i="1"/>
  <c r="C241" i="1"/>
  <c r="D241" i="1"/>
  <c r="E241" i="1"/>
  <c r="F241" i="1"/>
  <c r="G241" i="1"/>
  <c r="I241" i="1"/>
  <c r="J241" i="1"/>
  <c r="A242" i="1"/>
  <c r="B242" i="1"/>
  <c r="J242" i="1" s="1"/>
  <c r="C242" i="1"/>
  <c r="E242" i="1"/>
  <c r="F242" i="1"/>
  <c r="A243" i="1"/>
  <c r="B243" i="1"/>
  <c r="J243" i="1" s="1"/>
  <c r="C243" i="1"/>
  <c r="E243" i="1"/>
  <c r="F243" i="1"/>
  <c r="A244" i="1"/>
  <c r="B244" i="1"/>
  <c r="C244" i="1"/>
  <c r="E244" i="1"/>
  <c r="F244" i="1"/>
  <c r="G244" i="1"/>
  <c r="A245" i="1"/>
  <c r="B245" i="1"/>
  <c r="J245" i="1" s="1"/>
  <c r="C245" i="1"/>
  <c r="E245" i="1"/>
  <c r="F245" i="1"/>
  <c r="G245" i="1"/>
  <c r="I245" i="1"/>
  <c r="A246" i="1"/>
  <c r="B246" i="1"/>
  <c r="C246" i="1"/>
  <c r="E246" i="1"/>
  <c r="F246" i="1"/>
  <c r="G246" i="1"/>
  <c r="J246" i="1"/>
  <c r="A247" i="1"/>
  <c r="I247" i="1" s="1"/>
  <c r="H247" i="1" s="1"/>
  <c r="B247" i="1"/>
  <c r="C247" i="1"/>
  <c r="E247" i="1"/>
  <c r="F247" i="1"/>
  <c r="J247" i="1"/>
  <c r="A248" i="1"/>
  <c r="B248" i="1"/>
  <c r="J248" i="1" s="1"/>
  <c r="C248" i="1"/>
  <c r="E248" i="1"/>
  <c r="F248" i="1"/>
  <c r="G248" i="1"/>
  <c r="A249" i="1"/>
  <c r="B249" i="1"/>
  <c r="C249" i="1"/>
  <c r="E249" i="1"/>
  <c r="F249" i="1"/>
  <c r="I249" i="1"/>
  <c r="J249" i="1"/>
  <c r="A250" i="1"/>
  <c r="B250" i="1"/>
  <c r="C250" i="1"/>
  <c r="E250" i="1"/>
  <c r="F250" i="1"/>
  <c r="J250" i="1"/>
  <c r="A251" i="1"/>
  <c r="G251" i="1" s="1"/>
  <c r="B251" i="1"/>
  <c r="J251" i="1" s="1"/>
  <c r="C251" i="1"/>
  <c r="E251" i="1"/>
  <c r="F251" i="1"/>
  <c r="A252" i="1"/>
  <c r="B252" i="1"/>
  <c r="C252" i="1"/>
  <c r="E252" i="1"/>
  <c r="D252" i="1" s="1"/>
  <c r="F252" i="1"/>
  <c r="G252" i="1"/>
  <c r="J252" i="1"/>
  <c r="A253" i="1"/>
  <c r="D253" i="1" s="1"/>
  <c r="B253" i="1"/>
  <c r="C253" i="1"/>
  <c r="E253" i="1"/>
  <c r="F253" i="1"/>
  <c r="J253" i="1"/>
  <c r="A254" i="1"/>
  <c r="B254" i="1"/>
  <c r="I254" i="1" s="1"/>
  <c r="C254" i="1"/>
  <c r="E254" i="1"/>
  <c r="F254" i="1"/>
  <c r="G254" i="1"/>
  <c r="A255" i="1"/>
  <c r="B255" i="1"/>
  <c r="C255" i="1"/>
  <c r="E255" i="1"/>
  <c r="F255" i="1"/>
  <c r="G255" i="1"/>
  <c r="J255" i="1"/>
  <c r="A256" i="1"/>
  <c r="B256" i="1"/>
  <c r="C256" i="1"/>
  <c r="E256" i="1"/>
  <c r="D256" i="1" s="1"/>
  <c r="F256" i="1"/>
  <c r="G256" i="1"/>
  <c r="I256" i="1"/>
  <c r="J256" i="1"/>
  <c r="A257" i="1"/>
  <c r="B257" i="1"/>
  <c r="C257" i="1"/>
  <c r="E257" i="1"/>
  <c r="F257" i="1"/>
  <c r="J257" i="1"/>
  <c r="A258" i="1"/>
  <c r="G258" i="1" s="1"/>
  <c r="B258" i="1"/>
  <c r="C258" i="1"/>
  <c r="D258" i="1"/>
  <c r="E258" i="1"/>
  <c r="F258" i="1"/>
  <c r="J258" i="1"/>
  <c r="A259" i="1"/>
  <c r="B259" i="1"/>
  <c r="C259" i="1"/>
  <c r="E259" i="1"/>
  <c r="F259" i="1"/>
  <c r="G259" i="1"/>
  <c r="A260" i="1"/>
  <c r="B260" i="1"/>
  <c r="J260" i="1" s="1"/>
  <c r="C260" i="1"/>
  <c r="E260" i="1"/>
  <c r="F260" i="1"/>
  <c r="A261" i="1"/>
  <c r="B261" i="1"/>
  <c r="C261" i="1"/>
  <c r="D261" i="1"/>
  <c r="E261" i="1"/>
  <c r="F261" i="1"/>
  <c r="G261" i="1"/>
  <c r="J261" i="1"/>
  <c r="A262" i="1"/>
  <c r="G262" i="1" s="1"/>
  <c r="B262" i="1"/>
  <c r="C262" i="1"/>
  <c r="E262" i="1"/>
  <c r="F262" i="1"/>
  <c r="J262" i="1"/>
  <c r="A263" i="1"/>
  <c r="B263" i="1"/>
  <c r="J263" i="1" s="1"/>
  <c r="C263" i="1"/>
  <c r="E263" i="1"/>
  <c r="F263" i="1"/>
  <c r="A264" i="1"/>
  <c r="B264" i="1"/>
  <c r="J264" i="1" s="1"/>
  <c r="C264" i="1"/>
  <c r="D264" i="1"/>
  <c r="E264" i="1"/>
  <c r="F264" i="1"/>
  <c r="A265" i="1"/>
  <c r="B265" i="1"/>
  <c r="C265" i="1"/>
  <c r="D265" i="1"/>
  <c r="E265" i="1"/>
  <c r="F265" i="1"/>
  <c r="G265" i="1"/>
  <c r="J265" i="1"/>
  <c r="A266" i="1"/>
  <c r="B266" i="1"/>
  <c r="C266" i="1"/>
  <c r="D266" i="1"/>
  <c r="E266" i="1"/>
  <c r="F266" i="1"/>
  <c r="G266" i="1"/>
  <c r="J266" i="1"/>
  <c r="A267" i="1"/>
  <c r="D267" i="1" s="1"/>
  <c r="B267" i="1"/>
  <c r="C267" i="1"/>
  <c r="E267" i="1"/>
  <c r="F267" i="1"/>
  <c r="G267" i="1"/>
  <c r="A268" i="1"/>
  <c r="G268" i="1" s="1"/>
  <c r="B268" i="1"/>
  <c r="I268" i="1" s="1"/>
  <c r="C268" i="1"/>
  <c r="D268" i="1"/>
  <c r="E268" i="1"/>
  <c r="F268" i="1"/>
  <c r="J268" i="1"/>
  <c r="A269" i="1"/>
  <c r="B269" i="1"/>
  <c r="J269" i="1" s="1"/>
  <c r="C269" i="1"/>
  <c r="E269" i="1"/>
  <c r="D269" i="1" s="1"/>
  <c r="F269" i="1"/>
  <c r="G269" i="1"/>
  <c r="A270" i="1"/>
  <c r="B270" i="1"/>
  <c r="J270" i="1" s="1"/>
  <c r="C270" i="1"/>
  <c r="E270" i="1"/>
  <c r="F270" i="1"/>
  <c r="A271" i="1"/>
  <c r="B271" i="1"/>
  <c r="C271" i="1"/>
  <c r="D271" i="1"/>
  <c r="E271" i="1"/>
  <c r="I271" i="1" s="1"/>
  <c r="F271" i="1"/>
  <c r="G271" i="1"/>
  <c r="J271" i="1"/>
  <c r="A272" i="1"/>
  <c r="B272" i="1"/>
  <c r="C272" i="1"/>
  <c r="E272" i="1"/>
  <c r="F272" i="1"/>
  <c r="G272" i="1"/>
  <c r="I272" i="1"/>
  <c r="J272" i="1"/>
  <c r="A273" i="1"/>
  <c r="I273" i="1" s="1"/>
  <c r="H273" i="1" s="1"/>
  <c r="B273" i="1"/>
  <c r="C273" i="1"/>
  <c r="E273" i="1"/>
  <c r="F273" i="1"/>
  <c r="J273" i="1"/>
  <c r="A274" i="1"/>
  <c r="B274" i="1"/>
  <c r="J274" i="1" s="1"/>
  <c r="C274" i="1"/>
  <c r="E274" i="1"/>
  <c r="F274" i="1"/>
  <c r="A275" i="1"/>
  <c r="G275" i="1" s="1"/>
  <c r="B275" i="1"/>
  <c r="C275" i="1"/>
  <c r="D275" i="1"/>
  <c r="E275" i="1"/>
  <c r="F275" i="1"/>
  <c r="J275" i="1"/>
  <c r="A276" i="1"/>
  <c r="B276" i="1"/>
  <c r="C276" i="1"/>
  <c r="E276" i="1"/>
  <c r="D276" i="1" s="1"/>
  <c r="F276" i="1"/>
  <c r="G276" i="1"/>
  <c r="I276" i="1"/>
  <c r="J276" i="1"/>
  <c r="A277" i="1"/>
  <c r="B277" i="1"/>
  <c r="C277" i="1"/>
  <c r="E277" i="1"/>
  <c r="F277" i="1"/>
  <c r="G277" i="1"/>
  <c r="J277" i="1"/>
  <c r="A278" i="1"/>
  <c r="B278" i="1"/>
  <c r="J278" i="1" s="1"/>
  <c r="C278" i="1"/>
  <c r="E278" i="1"/>
  <c r="F278" i="1"/>
  <c r="A279" i="1"/>
  <c r="G279" i="1" s="1"/>
  <c r="B279" i="1"/>
  <c r="J279" i="1" s="1"/>
  <c r="C279" i="1"/>
  <c r="E279" i="1"/>
  <c r="F279" i="1"/>
  <c r="A280" i="1"/>
  <c r="G280" i="1" s="1"/>
  <c r="B280" i="1"/>
  <c r="J280" i="1" s="1"/>
  <c r="C280" i="1"/>
  <c r="E280" i="1"/>
  <c r="D280" i="1" s="1"/>
  <c r="F280" i="1"/>
  <c r="I280" i="1"/>
  <c r="A281" i="1"/>
  <c r="B281" i="1"/>
  <c r="J281" i="1" s="1"/>
  <c r="C281" i="1"/>
  <c r="D281" i="1"/>
  <c r="E281" i="1"/>
  <c r="F281" i="1"/>
  <c r="G281" i="1"/>
  <c r="A282" i="1"/>
  <c r="B282" i="1"/>
  <c r="C282" i="1"/>
  <c r="E282" i="1"/>
  <c r="F282" i="1"/>
  <c r="G282" i="1"/>
  <c r="A283" i="1"/>
  <c r="B283" i="1"/>
  <c r="C283" i="1"/>
  <c r="D283" i="1"/>
  <c r="E283" i="1"/>
  <c r="F283" i="1"/>
  <c r="G283" i="1"/>
  <c r="I283" i="1"/>
  <c r="J283" i="1"/>
  <c r="A284" i="1"/>
  <c r="G284" i="1" s="1"/>
  <c r="B284" i="1"/>
  <c r="C284" i="1"/>
  <c r="D284" i="1"/>
  <c r="E284" i="1"/>
  <c r="F284" i="1"/>
  <c r="I284" i="1"/>
  <c r="J284" i="1"/>
  <c r="A285" i="1"/>
  <c r="B285" i="1"/>
  <c r="J285" i="1" s="1"/>
  <c r="C285" i="1"/>
  <c r="D285" i="1"/>
  <c r="E285" i="1"/>
  <c r="F285" i="1"/>
  <c r="A286" i="1"/>
  <c r="G286" i="1" s="1"/>
  <c r="B286" i="1"/>
  <c r="J286" i="1" s="1"/>
  <c r="C286" i="1"/>
  <c r="E286" i="1"/>
  <c r="D286" i="1" s="1"/>
  <c r="F286" i="1"/>
  <c r="A287" i="1"/>
  <c r="B287" i="1"/>
  <c r="C287" i="1"/>
  <c r="E287" i="1"/>
  <c r="F287" i="1"/>
  <c r="J287" i="1"/>
  <c r="A288" i="1"/>
  <c r="G288" i="1" s="1"/>
  <c r="B288" i="1"/>
  <c r="J288" i="1" s="1"/>
  <c r="C288" i="1"/>
  <c r="D288" i="1"/>
  <c r="E288" i="1"/>
  <c r="F288" i="1"/>
  <c r="A289" i="1"/>
  <c r="B289" i="1"/>
  <c r="C289" i="1"/>
  <c r="E289" i="1"/>
  <c r="F289" i="1"/>
  <c r="G289" i="1"/>
  <c r="A290" i="1"/>
  <c r="B290" i="1"/>
  <c r="J290" i="1" s="1"/>
  <c r="C290" i="1"/>
  <c r="E290" i="1"/>
  <c r="D290" i="1" s="1"/>
  <c r="F290" i="1"/>
  <c r="A291" i="1"/>
  <c r="B291" i="1"/>
  <c r="C291" i="1"/>
  <c r="E291" i="1"/>
  <c r="F291" i="1"/>
  <c r="G291" i="1"/>
  <c r="J291" i="1"/>
  <c r="A292" i="1"/>
  <c r="G292" i="1" s="1"/>
  <c r="B292" i="1"/>
  <c r="C292" i="1"/>
  <c r="E292" i="1"/>
  <c r="F292" i="1"/>
  <c r="J292" i="1"/>
  <c r="A293" i="1"/>
  <c r="I293" i="1" s="1"/>
  <c r="B293" i="1"/>
  <c r="C293" i="1"/>
  <c r="D293" i="1"/>
  <c r="E293" i="1"/>
  <c r="F293" i="1"/>
  <c r="J293" i="1"/>
  <c r="A294" i="1"/>
  <c r="B294" i="1"/>
  <c r="C294" i="1"/>
  <c r="D294" i="1"/>
  <c r="E294" i="1"/>
  <c r="F294" i="1"/>
  <c r="G294" i="1"/>
  <c r="I294" i="1"/>
  <c r="J294" i="1"/>
  <c r="A295" i="1"/>
  <c r="B295" i="1"/>
  <c r="C295" i="1"/>
  <c r="E295" i="1"/>
  <c r="F295" i="1"/>
  <c r="G295" i="1"/>
  <c r="A296" i="1"/>
  <c r="B296" i="1"/>
  <c r="J296" i="1" s="1"/>
  <c r="C296" i="1"/>
  <c r="E296" i="1"/>
  <c r="F296" i="1"/>
  <c r="A297" i="1"/>
  <c r="I297" i="1" s="1"/>
  <c r="B297" i="1"/>
  <c r="C297" i="1"/>
  <c r="D297" i="1"/>
  <c r="E297" i="1"/>
  <c r="F297" i="1"/>
  <c r="J297" i="1"/>
  <c r="A298" i="1"/>
  <c r="G298" i="1" s="1"/>
  <c r="B298" i="1"/>
  <c r="C298" i="1"/>
  <c r="E298" i="1"/>
  <c r="F298" i="1"/>
  <c r="I298" i="1"/>
  <c r="J298" i="1"/>
  <c r="A299" i="1"/>
  <c r="B299" i="1"/>
  <c r="J299" i="1" s="1"/>
  <c r="C299" i="1"/>
  <c r="E299" i="1"/>
  <c r="F299" i="1"/>
  <c r="A300" i="1"/>
  <c r="G300" i="1" s="1"/>
  <c r="B300" i="1"/>
  <c r="C300" i="1"/>
  <c r="E300" i="1"/>
  <c r="F300" i="1"/>
  <c r="A301" i="1"/>
  <c r="B301" i="1"/>
  <c r="C301" i="1"/>
  <c r="E301" i="1"/>
  <c r="D301" i="1" s="1"/>
  <c r="F301" i="1"/>
  <c r="G301" i="1"/>
  <c r="J301" i="1"/>
  <c r="A302" i="1"/>
  <c r="D302" i="1" s="1"/>
  <c r="B302" i="1"/>
  <c r="C302" i="1"/>
  <c r="E302" i="1"/>
  <c r="F302" i="1"/>
  <c r="G302" i="1"/>
  <c r="I302" i="1"/>
  <c r="J302" i="1"/>
  <c r="A303" i="1"/>
  <c r="B303" i="1"/>
  <c r="J303" i="1" s="1"/>
  <c r="C303" i="1"/>
  <c r="E303" i="1"/>
  <c r="F303" i="1"/>
  <c r="G303" i="1"/>
  <c r="A304" i="1"/>
  <c r="G304" i="1" s="1"/>
  <c r="B304" i="1"/>
  <c r="C304" i="1"/>
  <c r="E304" i="1"/>
  <c r="F304" i="1"/>
  <c r="A305" i="1"/>
  <c r="B305" i="1"/>
  <c r="J305" i="1" s="1"/>
  <c r="C305" i="1"/>
  <c r="E305" i="1"/>
  <c r="D305" i="1" s="1"/>
  <c r="F305" i="1"/>
  <c r="G305" i="1"/>
  <c r="A306" i="1"/>
  <c r="B306" i="1"/>
  <c r="J306" i="1" s="1"/>
  <c r="C306" i="1"/>
  <c r="E306" i="1"/>
  <c r="F306" i="1"/>
  <c r="G306" i="1"/>
  <c r="A307" i="1"/>
  <c r="B307" i="1"/>
  <c r="C307" i="1"/>
  <c r="E307" i="1"/>
  <c r="F307" i="1"/>
  <c r="G307" i="1"/>
  <c r="J307" i="1"/>
  <c r="A308" i="1"/>
  <c r="B308" i="1"/>
  <c r="C308" i="1"/>
  <c r="E308" i="1"/>
  <c r="F308" i="1"/>
  <c r="G308" i="1"/>
  <c r="A309" i="1"/>
  <c r="B309" i="1"/>
  <c r="C309" i="1"/>
  <c r="D309" i="1"/>
  <c r="E309" i="1"/>
  <c r="F309" i="1"/>
  <c r="G309" i="1"/>
  <c r="J309" i="1"/>
  <c r="A310" i="1"/>
  <c r="B310" i="1"/>
  <c r="C310" i="1"/>
  <c r="D310" i="1"/>
  <c r="E310" i="1"/>
  <c r="F310" i="1"/>
  <c r="J310" i="1"/>
  <c r="A311" i="1"/>
  <c r="B311" i="1"/>
  <c r="J311" i="1" s="1"/>
  <c r="C311" i="1"/>
  <c r="D311" i="1"/>
  <c r="E311" i="1"/>
  <c r="F311" i="1"/>
  <c r="A312" i="1"/>
  <c r="I312" i="1" s="1"/>
  <c r="B312" i="1"/>
  <c r="C312" i="1"/>
  <c r="D312" i="1"/>
  <c r="E312" i="1"/>
  <c r="F312" i="1"/>
  <c r="J312" i="1"/>
  <c r="A313" i="1"/>
  <c r="B313" i="1"/>
  <c r="J313" i="1" s="1"/>
  <c r="C313" i="1"/>
  <c r="E313" i="1"/>
  <c r="F313" i="1"/>
  <c r="G313" i="1"/>
  <c r="I313" i="1"/>
  <c r="A314" i="1"/>
  <c r="B314" i="1"/>
  <c r="C314" i="1"/>
  <c r="E314" i="1"/>
  <c r="F314" i="1"/>
  <c r="J314" i="1"/>
  <c r="A315" i="1"/>
  <c r="D315" i="1" s="1"/>
  <c r="B315" i="1"/>
  <c r="C315" i="1"/>
  <c r="E315" i="1"/>
  <c r="F315" i="1"/>
  <c r="J315" i="1"/>
  <c r="A316" i="1"/>
  <c r="B316" i="1"/>
  <c r="J316" i="1" s="1"/>
  <c r="C316" i="1"/>
  <c r="E316" i="1"/>
  <c r="F316" i="1"/>
  <c r="A317" i="1"/>
  <c r="B317" i="1"/>
  <c r="J317" i="1" s="1"/>
  <c r="C317" i="1"/>
  <c r="E317" i="1"/>
  <c r="D317" i="1" s="1"/>
  <c r="F317" i="1"/>
  <c r="G317" i="1"/>
  <c r="A318" i="1"/>
  <c r="D318" i="1" s="1"/>
  <c r="B318" i="1"/>
  <c r="C318" i="1"/>
  <c r="E318" i="1"/>
  <c r="F318" i="1"/>
  <c r="G318" i="1"/>
  <c r="I318" i="1"/>
  <c r="J318" i="1"/>
  <c r="A319" i="1"/>
  <c r="B319" i="1"/>
  <c r="J319" i="1" s="1"/>
  <c r="C319" i="1"/>
  <c r="D319" i="1"/>
  <c r="E319" i="1"/>
  <c r="F319" i="1"/>
  <c r="G319" i="1"/>
  <c r="A320" i="1"/>
  <c r="B320" i="1"/>
  <c r="J320" i="1" s="1"/>
  <c r="C320" i="1"/>
  <c r="E320" i="1"/>
  <c r="F320" i="1"/>
  <c r="A321" i="1"/>
  <c r="G321" i="1" s="1"/>
  <c r="B321" i="1"/>
  <c r="J321" i="1" s="1"/>
  <c r="C321" i="1"/>
  <c r="D321" i="1"/>
  <c r="E321" i="1"/>
  <c r="F321" i="1"/>
  <c r="A322" i="1"/>
  <c r="B322" i="1"/>
  <c r="J322" i="1" s="1"/>
  <c r="C322" i="1"/>
  <c r="E322" i="1"/>
  <c r="F322" i="1"/>
  <c r="I322" i="1"/>
  <c r="A323" i="1"/>
  <c r="B323" i="1"/>
  <c r="J323" i="1" s="1"/>
  <c r="C323" i="1"/>
  <c r="E323" i="1"/>
  <c r="F323" i="1"/>
  <c r="A324" i="1"/>
  <c r="I324" i="1" s="1"/>
  <c r="B324" i="1"/>
  <c r="J324" i="1" s="1"/>
  <c r="C324" i="1"/>
  <c r="D324" i="1"/>
  <c r="E324" i="1"/>
  <c r="F324" i="1"/>
  <c r="A325" i="1"/>
  <c r="B325" i="1"/>
  <c r="J325" i="1" s="1"/>
  <c r="C325" i="1"/>
  <c r="D325" i="1"/>
  <c r="E325" i="1"/>
  <c r="F325" i="1"/>
  <c r="G325" i="1"/>
  <c r="I325" i="1"/>
  <c r="A326" i="1"/>
  <c r="I326" i="1" s="1"/>
  <c r="H326" i="1" s="1"/>
  <c r="B326" i="1"/>
  <c r="J326" i="1" s="1"/>
  <c r="C326" i="1"/>
  <c r="E326" i="1"/>
  <c r="F326" i="1"/>
  <c r="A327" i="1"/>
  <c r="B327" i="1"/>
  <c r="J327" i="1" s="1"/>
  <c r="C327" i="1"/>
  <c r="E327" i="1"/>
  <c r="F327" i="1"/>
  <c r="A328" i="1"/>
  <c r="G328" i="1" s="1"/>
  <c r="B328" i="1"/>
  <c r="C328" i="1"/>
  <c r="D328" i="1"/>
  <c r="E328" i="1"/>
  <c r="F328" i="1"/>
  <c r="I328" i="1"/>
  <c r="H328" i="1" s="1"/>
  <c r="J328" i="1"/>
  <c r="A329" i="1"/>
  <c r="B329" i="1"/>
  <c r="C329" i="1"/>
  <c r="D329" i="1"/>
  <c r="E329" i="1"/>
  <c r="F329" i="1"/>
  <c r="G329" i="1"/>
  <c r="J329" i="1"/>
  <c r="A330" i="1"/>
  <c r="D330" i="1" s="1"/>
  <c r="B330" i="1"/>
  <c r="C330" i="1"/>
  <c r="E330" i="1"/>
  <c r="F330" i="1"/>
  <c r="G330" i="1"/>
  <c r="J330" i="1"/>
  <c r="A331" i="1"/>
  <c r="B331" i="1"/>
  <c r="J331" i="1" s="1"/>
  <c r="C331" i="1"/>
  <c r="E331" i="1"/>
  <c r="F331" i="1"/>
  <c r="G331" i="1"/>
  <c r="A332" i="1"/>
  <c r="G332" i="1" s="1"/>
  <c r="B332" i="1"/>
  <c r="J332" i="1" s="1"/>
  <c r="C332" i="1"/>
  <c r="D332" i="1"/>
  <c r="E332" i="1"/>
  <c r="F332" i="1"/>
  <c r="A333" i="1"/>
  <c r="B333" i="1"/>
  <c r="C333" i="1"/>
  <c r="D333" i="1"/>
  <c r="E333" i="1"/>
  <c r="F333" i="1"/>
  <c r="G333" i="1"/>
  <c r="I333" i="1"/>
  <c r="H333" i="1" s="1"/>
  <c r="J333" i="1"/>
  <c r="A334" i="1"/>
  <c r="G334" i="1" s="1"/>
  <c r="B334" i="1"/>
  <c r="C334" i="1"/>
  <c r="E334" i="1"/>
  <c r="F334" i="1"/>
  <c r="I334" i="1"/>
  <c r="J334" i="1"/>
  <c r="A335" i="1"/>
  <c r="B335" i="1"/>
  <c r="J335" i="1" s="1"/>
  <c r="C335" i="1"/>
  <c r="E335" i="1"/>
  <c r="F335" i="1"/>
  <c r="A336" i="1"/>
  <c r="G336" i="1" s="1"/>
  <c r="B336" i="1"/>
  <c r="J336" i="1" s="1"/>
  <c r="C336" i="1"/>
  <c r="E336" i="1"/>
  <c r="F336" i="1"/>
  <c r="A337" i="1"/>
  <c r="B337" i="1"/>
  <c r="C337" i="1"/>
  <c r="E337" i="1"/>
  <c r="F337" i="1"/>
  <c r="G337" i="1"/>
  <c r="J337" i="1"/>
  <c r="A338" i="1"/>
  <c r="B338" i="1"/>
  <c r="C338" i="1"/>
  <c r="E338" i="1"/>
  <c r="F338" i="1"/>
  <c r="J338" i="1"/>
  <c r="A339" i="1"/>
  <c r="B339" i="1"/>
  <c r="C339" i="1"/>
  <c r="E339" i="1"/>
  <c r="F339" i="1"/>
  <c r="G339" i="1"/>
  <c r="A340" i="1"/>
  <c r="G340" i="1" s="1"/>
  <c r="B340" i="1"/>
  <c r="J340" i="1" s="1"/>
  <c r="C340" i="1"/>
  <c r="E340" i="1"/>
  <c r="F340" i="1"/>
  <c r="A341" i="1"/>
  <c r="B341" i="1"/>
  <c r="J341" i="1" s="1"/>
  <c r="C341" i="1"/>
  <c r="E341" i="1"/>
  <c r="F341" i="1"/>
  <c r="A342" i="1"/>
  <c r="B342" i="1"/>
  <c r="J342" i="1" s="1"/>
  <c r="H342" i="1" s="1"/>
  <c r="C342" i="1"/>
  <c r="E342" i="1"/>
  <c r="F342" i="1"/>
  <c r="A343" i="1"/>
  <c r="B343" i="1"/>
  <c r="C343" i="1"/>
  <c r="D343" i="1"/>
  <c r="E343" i="1"/>
  <c r="F343" i="1"/>
  <c r="G343" i="1"/>
  <c r="I343" i="1"/>
  <c r="J343" i="1"/>
  <c r="H343" i="1" s="1"/>
  <c r="A344" i="1"/>
  <c r="B344" i="1"/>
  <c r="C344" i="1"/>
  <c r="E344" i="1"/>
  <c r="F344" i="1"/>
  <c r="G344" i="1"/>
  <c r="I344" i="1"/>
  <c r="J344" i="1"/>
  <c r="H344" i="1" s="1"/>
  <c r="A345" i="1"/>
  <c r="B345" i="1"/>
  <c r="C345" i="1"/>
  <c r="E345" i="1"/>
  <c r="F345" i="1"/>
  <c r="J345" i="1"/>
  <c r="H345" i="1" s="1"/>
  <c r="A346" i="1"/>
  <c r="B346" i="1"/>
  <c r="J346" i="1" s="1"/>
  <c r="H346" i="1" s="1"/>
  <c r="C346" i="1"/>
  <c r="E346" i="1"/>
  <c r="F346" i="1"/>
  <c r="A347" i="1"/>
  <c r="B347" i="1"/>
  <c r="J347" i="1" s="1"/>
  <c r="H347" i="1" s="1"/>
  <c r="C347" i="1"/>
  <c r="E347" i="1"/>
  <c r="F347" i="1"/>
  <c r="G347" i="1"/>
  <c r="A348" i="1"/>
  <c r="B348" i="1"/>
  <c r="J348" i="1" s="1"/>
  <c r="H348" i="1" s="1"/>
  <c r="C348" i="1"/>
  <c r="D348" i="1"/>
  <c r="E348" i="1"/>
  <c r="F348" i="1"/>
  <c r="G348" i="1"/>
  <c r="I348" i="1"/>
  <c r="A349" i="1"/>
  <c r="B349" i="1"/>
  <c r="C349" i="1"/>
  <c r="E349" i="1"/>
  <c r="F349" i="1"/>
  <c r="I349" i="1"/>
  <c r="J349" i="1"/>
  <c r="H349" i="1" s="1"/>
  <c r="A350" i="1"/>
  <c r="D350" i="1" s="1"/>
  <c r="B350" i="1"/>
  <c r="C350" i="1"/>
  <c r="E350" i="1"/>
  <c r="F350" i="1"/>
  <c r="J350" i="1"/>
  <c r="A351" i="1"/>
  <c r="B351" i="1"/>
  <c r="J351" i="1" s="1"/>
  <c r="C351" i="1"/>
  <c r="E351" i="1"/>
  <c r="F351" i="1"/>
  <c r="A352" i="1"/>
  <c r="B352" i="1"/>
  <c r="C352" i="1"/>
  <c r="D352" i="1"/>
  <c r="E352" i="1"/>
  <c r="F352" i="1"/>
  <c r="G352" i="1"/>
  <c r="J352" i="1"/>
  <c r="A353" i="1"/>
  <c r="B353" i="1"/>
  <c r="C353" i="1"/>
  <c r="D353" i="1"/>
  <c r="E353" i="1"/>
  <c r="F353" i="1"/>
  <c r="G353" i="1"/>
  <c r="I353" i="1"/>
  <c r="J353" i="1"/>
  <c r="A354" i="1"/>
  <c r="B354" i="1"/>
  <c r="C354" i="1"/>
  <c r="E354" i="1"/>
  <c r="F354" i="1"/>
  <c r="G354" i="1"/>
  <c r="A355" i="1"/>
  <c r="B355" i="1"/>
  <c r="J355" i="1" s="1"/>
  <c r="C355" i="1"/>
  <c r="E355" i="1"/>
  <c r="F355" i="1"/>
  <c r="A356" i="1"/>
  <c r="B356" i="1"/>
  <c r="C356" i="1"/>
  <c r="D356" i="1"/>
  <c r="E356" i="1"/>
  <c r="F356" i="1"/>
  <c r="G356" i="1"/>
  <c r="J356" i="1"/>
  <c r="A357" i="1"/>
  <c r="B357" i="1"/>
  <c r="C357" i="1"/>
  <c r="E357" i="1"/>
  <c r="F357" i="1"/>
  <c r="I357" i="1"/>
  <c r="J357" i="1"/>
  <c r="H357" i="1" s="1"/>
  <c r="A358" i="1"/>
  <c r="B358" i="1"/>
  <c r="J358" i="1" s="1"/>
  <c r="C358" i="1"/>
  <c r="E358" i="1"/>
  <c r="F358" i="1"/>
  <c r="A359" i="1"/>
  <c r="B359" i="1"/>
  <c r="J359" i="1" s="1"/>
  <c r="C359" i="1"/>
  <c r="D359" i="1"/>
  <c r="E359" i="1"/>
  <c r="F359" i="1"/>
  <c r="A360" i="1"/>
  <c r="B360" i="1"/>
  <c r="J360" i="1" s="1"/>
  <c r="C360" i="1"/>
  <c r="D360" i="1"/>
  <c r="E360" i="1"/>
  <c r="F360" i="1"/>
  <c r="G360" i="1"/>
  <c r="A361" i="1"/>
  <c r="B361" i="1"/>
  <c r="C361" i="1"/>
  <c r="D361" i="1"/>
  <c r="E361" i="1"/>
  <c r="F361" i="1"/>
  <c r="G361" i="1"/>
  <c r="I361" i="1"/>
  <c r="J361" i="1"/>
  <c r="A362" i="1"/>
  <c r="B362" i="1"/>
  <c r="C362" i="1"/>
  <c r="E362" i="1"/>
  <c r="F362" i="1"/>
  <c r="I362" i="1"/>
  <c r="J362" i="1"/>
  <c r="H362" i="1" s="1"/>
  <c r="A363" i="1"/>
  <c r="B363" i="1"/>
  <c r="J363" i="1" s="1"/>
  <c r="C363" i="1"/>
  <c r="E363" i="1"/>
  <c r="F363" i="1"/>
  <c r="A364" i="1"/>
  <c r="D364" i="1" s="1"/>
  <c r="B364" i="1"/>
  <c r="J364" i="1" s="1"/>
  <c r="C364" i="1"/>
  <c r="E364" i="1"/>
  <c r="F364" i="1"/>
  <c r="G364" i="1"/>
  <c r="A365" i="1"/>
  <c r="B365" i="1"/>
  <c r="C365" i="1"/>
  <c r="D365" i="1"/>
  <c r="E365" i="1"/>
  <c r="F365" i="1"/>
  <c r="G365" i="1"/>
  <c r="I365" i="1"/>
  <c r="J365" i="1"/>
  <c r="A366" i="1"/>
  <c r="B366" i="1"/>
  <c r="J366" i="1" s="1"/>
  <c r="H366" i="1" s="1"/>
  <c r="C366" i="1"/>
  <c r="D366" i="1"/>
  <c r="E366" i="1"/>
  <c r="F366" i="1"/>
  <c r="G366" i="1"/>
  <c r="I366" i="1"/>
  <c r="A367" i="1"/>
  <c r="G367" i="1" s="1"/>
  <c r="B367" i="1"/>
  <c r="J367" i="1" s="1"/>
  <c r="C367" i="1"/>
  <c r="D367" i="1"/>
  <c r="E367" i="1"/>
  <c r="F367" i="1"/>
  <c r="A368" i="1"/>
  <c r="B368" i="1"/>
  <c r="C368" i="1"/>
  <c r="D368" i="1"/>
  <c r="E368" i="1"/>
  <c r="F368" i="1"/>
  <c r="J368" i="1"/>
  <c r="A369" i="1"/>
  <c r="B369" i="1"/>
  <c r="C369" i="1"/>
  <c r="E369" i="1"/>
  <c r="F369" i="1"/>
  <c r="J369" i="1"/>
  <c r="A370" i="1"/>
  <c r="I370" i="1" s="1"/>
  <c r="B370" i="1"/>
  <c r="C370" i="1"/>
  <c r="D370" i="1"/>
  <c r="E370" i="1"/>
  <c r="F370" i="1"/>
  <c r="G370" i="1"/>
  <c r="J370" i="1"/>
  <c r="H370" i="1" s="1"/>
  <c r="A371" i="1"/>
  <c r="B371" i="1"/>
  <c r="J371" i="1" s="1"/>
  <c r="C371" i="1"/>
  <c r="E371" i="1"/>
  <c r="F371" i="1"/>
  <c r="A372" i="1"/>
  <c r="B372" i="1"/>
  <c r="C372" i="1"/>
  <c r="E372" i="1"/>
  <c r="F372" i="1"/>
  <c r="G372" i="1"/>
  <c r="A373" i="1"/>
  <c r="B373" i="1"/>
  <c r="J373" i="1" s="1"/>
  <c r="H373" i="1" s="1"/>
  <c r="C373" i="1"/>
  <c r="D373" i="1"/>
  <c r="E373" i="1"/>
  <c r="F373" i="1"/>
  <c r="G373" i="1"/>
  <c r="I373" i="1"/>
  <c r="A374" i="1"/>
  <c r="B374" i="1"/>
  <c r="C374" i="1"/>
  <c r="D374" i="1"/>
  <c r="E374" i="1"/>
  <c r="F374" i="1"/>
  <c r="G374" i="1"/>
  <c r="I374" i="1"/>
  <c r="J374" i="1"/>
  <c r="H374" i="1" s="1"/>
  <c r="A375" i="1"/>
  <c r="B375" i="1"/>
  <c r="C375" i="1"/>
  <c r="E375" i="1"/>
  <c r="F375" i="1"/>
  <c r="J375" i="1"/>
  <c r="A376" i="1"/>
  <c r="B376" i="1"/>
  <c r="J376" i="1" s="1"/>
  <c r="C376" i="1"/>
  <c r="D376" i="1"/>
  <c r="E376" i="1"/>
  <c r="F376" i="1"/>
  <c r="A377" i="1"/>
  <c r="B377" i="1"/>
  <c r="J377" i="1" s="1"/>
  <c r="C377" i="1"/>
  <c r="D377" i="1"/>
  <c r="E377" i="1"/>
  <c r="F377" i="1"/>
  <c r="G377" i="1"/>
  <c r="I377" i="1"/>
  <c r="A378" i="1"/>
  <c r="B378" i="1"/>
  <c r="J378" i="1" s="1"/>
  <c r="H378" i="1" s="1"/>
  <c r="C378" i="1"/>
  <c r="D378" i="1"/>
  <c r="E378" i="1"/>
  <c r="F378" i="1"/>
  <c r="G378" i="1"/>
  <c r="I378" i="1"/>
  <c r="A379" i="1"/>
  <c r="I379" i="1" s="1"/>
  <c r="B379" i="1"/>
  <c r="C379" i="1"/>
  <c r="E379" i="1"/>
  <c r="F379" i="1"/>
  <c r="J379" i="1"/>
  <c r="H379" i="1" s="1"/>
  <c r="A380" i="1"/>
  <c r="G380" i="1" s="1"/>
  <c r="B380" i="1"/>
  <c r="C380" i="1"/>
  <c r="D380" i="1"/>
  <c r="E380" i="1"/>
  <c r="F380" i="1"/>
  <c r="J380" i="1"/>
  <c r="A381" i="1"/>
  <c r="B381" i="1"/>
  <c r="J381" i="1" s="1"/>
  <c r="C381" i="1"/>
  <c r="E381" i="1"/>
  <c r="F381" i="1"/>
  <c r="A382" i="1"/>
  <c r="B382" i="1"/>
  <c r="C382" i="1"/>
  <c r="D382" i="1"/>
  <c r="E382" i="1"/>
  <c r="F382" i="1"/>
  <c r="G382" i="1"/>
  <c r="J382" i="1"/>
  <c r="A383" i="1"/>
  <c r="B383" i="1"/>
  <c r="C383" i="1"/>
  <c r="E383" i="1"/>
  <c r="F383" i="1"/>
  <c r="I383" i="1"/>
  <c r="J383" i="1"/>
  <c r="A384" i="1"/>
  <c r="B384" i="1"/>
  <c r="C384" i="1"/>
  <c r="D384" i="1"/>
  <c r="E384" i="1"/>
  <c r="F384" i="1"/>
  <c r="G384" i="1"/>
  <c r="A385" i="1"/>
  <c r="I385" i="1" s="1"/>
  <c r="B385" i="1"/>
  <c r="J385" i="1" s="1"/>
  <c r="H385" i="1" s="1"/>
  <c r="C385" i="1"/>
  <c r="E385" i="1"/>
  <c r="F385" i="1"/>
  <c r="G385" i="1"/>
  <c r="A386" i="1"/>
  <c r="B386" i="1"/>
  <c r="C386" i="1"/>
  <c r="D386" i="1"/>
  <c r="E386" i="1"/>
  <c r="F386" i="1"/>
  <c r="G386" i="1"/>
  <c r="I386" i="1"/>
  <c r="J386" i="1"/>
  <c r="H386" i="1" s="1"/>
  <c r="A387" i="1"/>
  <c r="B387" i="1"/>
  <c r="C387" i="1"/>
  <c r="E387" i="1"/>
  <c r="F387" i="1"/>
  <c r="I387" i="1"/>
  <c r="J387" i="1"/>
  <c r="H387" i="1" s="1"/>
  <c r="A388" i="1"/>
  <c r="B388" i="1"/>
  <c r="J388" i="1" s="1"/>
  <c r="H388" i="1" s="1"/>
  <c r="C388" i="1"/>
  <c r="E388" i="1"/>
  <c r="F388" i="1"/>
  <c r="A389" i="1"/>
  <c r="B389" i="1"/>
  <c r="J389" i="1" s="1"/>
  <c r="H389" i="1" s="1"/>
  <c r="C389" i="1"/>
  <c r="E389" i="1"/>
  <c r="D389" i="1" s="1"/>
  <c r="F389" i="1"/>
  <c r="A390" i="1"/>
  <c r="B390" i="1"/>
  <c r="J390" i="1" s="1"/>
  <c r="H390" i="1" s="1"/>
  <c r="C390" i="1"/>
  <c r="D390" i="1"/>
  <c r="E390" i="1"/>
  <c r="F390" i="1"/>
  <c r="G390" i="1"/>
  <c r="I390" i="1"/>
  <c r="A391" i="1"/>
  <c r="B391" i="1"/>
  <c r="C391" i="1"/>
  <c r="D391" i="1"/>
  <c r="E391" i="1"/>
  <c r="F391" i="1"/>
  <c r="G391" i="1"/>
  <c r="I391" i="1"/>
  <c r="J391" i="1"/>
  <c r="H391" i="1" s="1"/>
  <c r="A392" i="1"/>
  <c r="B392" i="1"/>
  <c r="C392" i="1"/>
  <c r="E392" i="1"/>
  <c r="F392" i="1"/>
  <c r="I392" i="1"/>
  <c r="J392" i="1"/>
  <c r="H392" i="1" s="1"/>
  <c r="A393" i="1"/>
  <c r="B393" i="1"/>
  <c r="J393" i="1" s="1"/>
  <c r="H393" i="1" s="1"/>
  <c r="C393" i="1"/>
  <c r="E393" i="1"/>
  <c r="F393" i="1"/>
  <c r="A394" i="1"/>
  <c r="B394" i="1"/>
  <c r="J394" i="1" s="1"/>
  <c r="H394" i="1" s="1"/>
  <c r="C394" i="1"/>
  <c r="D394" i="1"/>
  <c r="E394" i="1"/>
  <c r="F394" i="1"/>
  <c r="G394" i="1"/>
  <c r="A395" i="1"/>
  <c r="B395" i="1"/>
  <c r="C395" i="1"/>
  <c r="D395" i="1"/>
  <c r="E395" i="1"/>
  <c r="F395" i="1"/>
  <c r="G395" i="1"/>
  <c r="I395" i="1"/>
  <c r="J395" i="1"/>
  <c r="H395" i="1" s="1"/>
  <c r="A396" i="1"/>
  <c r="B396" i="1"/>
  <c r="C396" i="1"/>
  <c r="E396" i="1"/>
  <c r="F396" i="1"/>
  <c r="G396" i="1"/>
  <c r="I396" i="1"/>
  <c r="A397" i="1"/>
  <c r="B397" i="1"/>
  <c r="J397" i="1" s="1"/>
  <c r="H397" i="1" s="1"/>
  <c r="C397" i="1"/>
  <c r="D397" i="1"/>
  <c r="E397" i="1"/>
  <c r="F397" i="1"/>
  <c r="A398" i="1"/>
  <c r="I398" i="1" s="1"/>
  <c r="B398" i="1"/>
  <c r="C398" i="1"/>
  <c r="D398" i="1"/>
  <c r="E398" i="1"/>
  <c r="F398" i="1"/>
  <c r="G398" i="1"/>
  <c r="J398" i="1"/>
  <c r="H398" i="1" s="1"/>
  <c r="A399" i="1"/>
  <c r="B399" i="1"/>
  <c r="C399" i="1"/>
  <c r="E399" i="1"/>
  <c r="F399" i="1"/>
  <c r="I399" i="1"/>
  <c r="J399" i="1"/>
  <c r="H399" i="1" s="1"/>
  <c r="A400" i="1"/>
  <c r="B400" i="1"/>
  <c r="C400" i="1"/>
  <c r="E400" i="1"/>
  <c r="F400" i="1"/>
  <c r="J400" i="1"/>
  <c r="H400" i="1" s="1"/>
  <c r="A401" i="1"/>
  <c r="G401" i="1" s="1"/>
  <c r="B401" i="1"/>
  <c r="J401" i="1" s="1"/>
  <c r="H401" i="1" s="1"/>
  <c r="C401" i="1"/>
  <c r="E401" i="1"/>
  <c r="F401" i="1"/>
  <c r="A402" i="1"/>
  <c r="B402" i="1"/>
  <c r="C402" i="1"/>
  <c r="E402" i="1"/>
  <c r="F402" i="1"/>
  <c r="G402" i="1"/>
  <c r="A403" i="1"/>
  <c r="B403" i="1"/>
  <c r="C403" i="1"/>
  <c r="D403" i="1"/>
  <c r="E403" i="1"/>
  <c r="F403" i="1"/>
  <c r="G403" i="1"/>
  <c r="I403" i="1"/>
  <c r="J403" i="1"/>
  <c r="H403" i="1" s="1"/>
  <c r="A404" i="1"/>
  <c r="B404" i="1"/>
  <c r="C404" i="1"/>
  <c r="D404" i="1"/>
  <c r="E404" i="1"/>
  <c r="F404" i="1"/>
  <c r="G404" i="1"/>
  <c r="I404" i="1"/>
  <c r="J404" i="1"/>
  <c r="H404" i="1" s="1"/>
  <c r="A405" i="1"/>
  <c r="B405" i="1"/>
  <c r="J405" i="1" s="1"/>
  <c r="H405" i="1" s="1"/>
  <c r="C405" i="1"/>
  <c r="E405" i="1"/>
  <c r="F405" i="1"/>
  <c r="A406" i="1"/>
  <c r="B406" i="1"/>
  <c r="J406" i="1" s="1"/>
  <c r="H406" i="1" s="1"/>
  <c r="C406" i="1"/>
  <c r="E406" i="1"/>
  <c r="F406" i="1"/>
  <c r="A407" i="1"/>
  <c r="B407" i="1"/>
  <c r="C407" i="1"/>
  <c r="D407" i="1"/>
  <c r="E407" i="1"/>
  <c r="F407" i="1"/>
  <c r="G407" i="1"/>
  <c r="I407" i="1"/>
  <c r="J407" i="1"/>
  <c r="H407" i="1" s="1"/>
  <c r="A408" i="1"/>
  <c r="B408" i="1"/>
  <c r="C408" i="1"/>
  <c r="D408" i="1"/>
  <c r="E408" i="1"/>
  <c r="F408" i="1"/>
  <c r="G408" i="1"/>
  <c r="I408" i="1"/>
  <c r="J408" i="1"/>
  <c r="H408" i="1" s="1"/>
  <c r="A409" i="1"/>
  <c r="B409" i="1"/>
  <c r="C409" i="1"/>
  <c r="E409" i="1"/>
  <c r="F409" i="1"/>
  <c r="I409" i="1"/>
  <c r="J409" i="1"/>
  <c r="H409" i="1" s="1"/>
  <c r="A410" i="1"/>
  <c r="D410" i="1" s="1"/>
  <c r="B410" i="1"/>
  <c r="J410" i="1" s="1"/>
  <c r="H410" i="1" s="1"/>
  <c r="C410" i="1"/>
  <c r="E410" i="1"/>
  <c r="F410" i="1"/>
  <c r="A411" i="1"/>
  <c r="B411" i="1"/>
  <c r="J411" i="1" s="1"/>
  <c r="H411" i="1" s="1"/>
  <c r="C411" i="1"/>
  <c r="D411" i="1"/>
  <c r="E411" i="1"/>
  <c r="F411" i="1"/>
  <c r="A412" i="1"/>
  <c r="B412" i="1"/>
  <c r="C412" i="1"/>
  <c r="E412" i="1"/>
  <c r="D412" i="1" s="1"/>
  <c r="F412" i="1"/>
  <c r="G412" i="1"/>
  <c r="J412" i="1"/>
  <c r="H412" i="1" s="1"/>
  <c r="A413" i="1"/>
  <c r="B413" i="1"/>
  <c r="C413" i="1"/>
  <c r="D413" i="1"/>
  <c r="E413" i="1"/>
  <c r="F413" i="1"/>
  <c r="G413" i="1"/>
  <c r="I413" i="1"/>
  <c r="J413" i="1"/>
  <c r="H413" i="1" s="1"/>
  <c r="A414" i="1"/>
  <c r="B414" i="1"/>
  <c r="D414" i="1" s="1"/>
  <c r="C414" i="1"/>
  <c r="E414" i="1"/>
  <c r="F414" i="1"/>
  <c r="G414" i="1"/>
  <c r="I414" i="1"/>
  <c r="J414" i="1"/>
  <c r="H414" i="1" s="1"/>
  <c r="A415" i="1"/>
  <c r="B415" i="1"/>
  <c r="J415" i="1" s="1"/>
  <c r="H415" i="1" s="1"/>
  <c r="C415" i="1"/>
  <c r="E415" i="1"/>
  <c r="F415" i="1"/>
  <c r="A416" i="1"/>
  <c r="B416" i="1"/>
  <c r="J416" i="1" s="1"/>
  <c r="H416" i="1" s="1"/>
  <c r="C416" i="1"/>
  <c r="E416" i="1"/>
  <c r="F416" i="1"/>
  <c r="A417" i="1"/>
  <c r="G417" i="1" s="1"/>
  <c r="B417" i="1"/>
  <c r="J417" i="1" s="1"/>
  <c r="H417" i="1" s="1"/>
  <c r="C417" i="1"/>
  <c r="D417" i="1"/>
  <c r="E417" i="1"/>
  <c r="F417" i="1"/>
  <c r="I417" i="1"/>
  <c r="A418" i="1"/>
  <c r="B418" i="1"/>
  <c r="C418" i="1"/>
  <c r="D418" i="1"/>
  <c r="E418" i="1"/>
  <c r="F418" i="1"/>
  <c r="G418" i="1"/>
  <c r="J418" i="1"/>
  <c r="H418" i="1" s="1"/>
  <c r="A419" i="1"/>
  <c r="B419" i="1"/>
  <c r="C419" i="1"/>
  <c r="E419" i="1"/>
  <c r="F419" i="1"/>
  <c r="I419" i="1"/>
  <c r="J419" i="1"/>
  <c r="H419" i="1" s="1"/>
  <c r="A420" i="1"/>
  <c r="B420" i="1"/>
  <c r="C420" i="1"/>
  <c r="E420" i="1"/>
  <c r="F420" i="1"/>
  <c r="G420" i="1"/>
  <c r="A421" i="1"/>
  <c r="B421" i="1"/>
  <c r="J421" i="1" s="1"/>
  <c r="H421" i="1" s="1"/>
  <c r="C421" i="1"/>
  <c r="D421" i="1"/>
  <c r="E421" i="1"/>
  <c r="F421" i="1"/>
  <c r="A422" i="1"/>
  <c r="I422" i="1" s="1"/>
  <c r="B422" i="1"/>
  <c r="J422" i="1" s="1"/>
  <c r="H422" i="1" s="1"/>
  <c r="C422" i="1"/>
  <c r="D422" i="1"/>
  <c r="E422" i="1"/>
  <c r="F422" i="1"/>
  <c r="G422" i="1"/>
  <c r="A423" i="1"/>
  <c r="G423" i="1" s="1"/>
  <c r="B423" i="1"/>
  <c r="C423" i="1"/>
  <c r="D423" i="1"/>
  <c r="E423" i="1"/>
  <c r="F423" i="1"/>
  <c r="I423" i="1"/>
  <c r="J423" i="1"/>
  <c r="H423" i="1" s="1"/>
  <c r="A424" i="1"/>
  <c r="B424" i="1"/>
  <c r="C424" i="1"/>
  <c r="E424" i="1"/>
  <c r="F424" i="1"/>
  <c r="J424" i="1"/>
  <c r="H424" i="1" s="1"/>
  <c r="A425" i="1"/>
  <c r="B425" i="1"/>
  <c r="J425" i="1" s="1"/>
  <c r="H425" i="1" s="1"/>
  <c r="C425" i="1"/>
  <c r="E425" i="1"/>
  <c r="F425" i="1"/>
  <c r="A426" i="1"/>
  <c r="B426" i="1"/>
  <c r="C426" i="1"/>
  <c r="D426" i="1"/>
  <c r="E426" i="1"/>
  <c r="F426" i="1"/>
  <c r="G426" i="1"/>
  <c r="A427" i="1"/>
  <c r="I427" i="1" s="1"/>
  <c r="B427" i="1"/>
  <c r="J427" i="1" s="1"/>
  <c r="H427" i="1" s="1"/>
  <c r="C427" i="1"/>
  <c r="D427" i="1"/>
  <c r="E427" i="1"/>
  <c r="F427" i="1"/>
  <c r="G427" i="1"/>
  <c r="A428" i="1"/>
  <c r="B428" i="1"/>
  <c r="C428" i="1"/>
  <c r="D428" i="1"/>
  <c r="E428" i="1"/>
  <c r="F428" i="1"/>
  <c r="G428" i="1"/>
  <c r="I428" i="1"/>
  <c r="J428" i="1"/>
  <c r="H428" i="1" s="1"/>
  <c r="A429" i="1"/>
  <c r="G429" i="1" s="1"/>
  <c r="B429" i="1"/>
  <c r="C429" i="1"/>
  <c r="D429" i="1"/>
  <c r="E429" i="1"/>
  <c r="F429" i="1"/>
  <c r="I429" i="1"/>
  <c r="J429" i="1"/>
  <c r="H429" i="1" s="1"/>
  <c r="A430" i="1"/>
  <c r="B430" i="1"/>
  <c r="J430" i="1" s="1"/>
  <c r="H430" i="1" s="1"/>
  <c r="C430" i="1"/>
  <c r="E430" i="1"/>
  <c r="F430" i="1"/>
  <c r="A431" i="1"/>
  <c r="D431" i="1" s="1"/>
  <c r="B431" i="1"/>
  <c r="J431" i="1" s="1"/>
  <c r="H431" i="1" s="1"/>
  <c r="C431" i="1"/>
  <c r="E431" i="1"/>
  <c r="F431" i="1"/>
  <c r="A432" i="1"/>
  <c r="B432" i="1"/>
  <c r="I432" i="1" s="1"/>
  <c r="C432" i="1"/>
  <c r="D432" i="1"/>
  <c r="E432" i="1"/>
  <c r="F432" i="1"/>
  <c r="G432" i="1"/>
  <c r="A433" i="1"/>
  <c r="B433" i="1"/>
  <c r="C433" i="1"/>
  <c r="D433" i="1"/>
  <c r="E433" i="1"/>
  <c r="F433" i="1"/>
  <c r="G433" i="1"/>
  <c r="I433" i="1"/>
  <c r="J433" i="1"/>
  <c r="H433" i="1" s="1"/>
  <c r="A434" i="1"/>
  <c r="B434" i="1"/>
  <c r="C434" i="1"/>
  <c r="D434" i="1"/>
  <c r="E434" i="1"/>
  <c r="F434" i="1"/>
  <c r="G434" i="1"/>
  <c r="I434" i="1"/>
  <c r="J434" i="1"/>
  <c r="H434" i="1" s="1"/>
  <c r="A435" i="1"/>
  <c r="B435" i="1"/>
  <c r="J435" i="1" s="1"/>
  <c r="H435" i="1" s="1"/>
  <c r="C435" i="1"/>
  <c r="E435" i="1"/>
  <c r="F435" i="1"/>
  <c r="A436" i="1"/>
  <c r="B436" i="1"/>
  <c r="J436" i="1" s="1"/>
  <c r="H436" i="1" s="1"/>
  <c r="C436" i="1"/>
  <c r="D436" i="1"/>
  <c r="E436" i="1"/>
  <c r="F436" i="1"/>
  <c r="A437" i="1"/>
  <c r="I437" i="1" s="1"/>
  <c r="B437" i="1"/>
  <c r="J437" i="1" s="1"/>
  <c r="H437" i="1" s="1"/>
  <c r="C437" i="1"/>
  <c r="D437" i="1"/>
  <c r="E437" i="1"/>
  <c r="F437" i="1"/>
  <c r="G437" i="1"/>
  <c r="A438" i="1"/>
  <c r="B438" i="1"/>
  <c r="C438" i="1"/>
  <c r="D438" i="1"/>
  <c r="E438" i="1"/>
  <c r="F438" i="1"/>
  <c r="G438" i="1"/>
  <c r="I438" i="1"/>
  <c r="J438" i="1"/>
  <c r="H438" i="1" s="1"/>
  <c r="A439" i="1"/>
  <c r="B439" i="1"/>
  <c r="C439" i="1"/>
  <c r="D439" i="1"/>
  <c r="E439" i="1"/>
  <c r="F439" i="1"/>
  <c r="G439" i="1"/>
  <c r="I439" i="1"/>
  <c r="J439" i="1"/>
  <c r="H439" i="1" s="1"/>
  <c r="A440" i="1"/>
  <c r="B440" i="1"/>
  <c r="C440" i="1"/>
  <c r="E440" i="1"/>
  <c r="F440" i="1"/>
  <c r="I440" i="1"/>
  <c r="J440" i="1"/>
  <c r="H440" i="1" s="1"/>
  <c r="A441" i="1"/>
  <c r="B441" i="1"/>
  <c r="J441" i="1" s="1"/>
  <c r="H441" i="1" s="1"/>
  <c r="C441" i="1"/>
  <c r="D441" i="1"/>
  <c r="E441" i="1"/>
  <c r="F441" i="1"/>
  <c r="A442" i="1"/>
  <c r="B442" i="1"/>
  <c r="J442" i="1" s="1"/>
  <c r="H442" i="1" s="1"/>
  <c r="C442" i="1"/>
  <c r="E442" i="1"/>
  <c r="F442" i="1"/>
  <c r="G442" i="1"/>
  <c r="A443" i="1"/>
  <c r="B443" i="1"/>
  <c r="C443" i="1"/>
  <c r="D443" i="1"/>
  <c r="E443" i="1"/>
  <c r="F443" i="1"/>
  <c r="G443" i="1"/>
  <c r="I443" i="1"/>
  <c r="J443" i="1"/>
  <c r="H443" i="1" s="1"/>
  <c r="A444" i="1"/>
  <c r="B444" i="1"/>
  <c r="C444" i="1"/>
  <c r="E444" i="1"/>
  <c r="D444" i="1" s="1"/>
  <c r="F444" i="1"/>
  <c r="G444" i="1"/>
  <c r="I444" i="1"/>
  <c r="J444" i="1"/>
  <c r="H444" i="1" s="1"/>
  <c r="A445" i="1"/>
  <c r="B445" i="1"/>
  <c r="I445" i="1" s="1"/>
  <c r="C445" i="1"/>
  <c r="E445" i="1"/>
  <c r="F445" i="1"/>
  <c r="B16" i="11"/>
  <c r="G32" i="11"/>
  <c r="G28" i="11"/>
  <c r="G26" i="11"/>
  <c r="G27" i="11"/>
  <c r="G29" i="11"/>
  <c r="G30" i="11"/>
  <c r="G31" i="11"/>
  <c r="H276" i="1" l="1"/>
  <c r="H119" i="1"/>
  <c r="H216" i="1"/>
  <c r="H165" i="1"/>
  <c r="H124" i="1"/>
  <c r="H46" i="1"/>
  <c r="H38" i="1"/>
  <c r="H206" i="1"/>
  <c r="H322" i="1"/>
  <c r="H120" i="1"/>
  <c r="H241" i="1"/>
  <c r="H271" i="1"/>
  <c r="H324" i="1"/>
  <c r="H20" i="1"/>
  <c r="H272" i="1"/>
  <c r="H130" i="1"/>
  <c r="H312" i="1"/>
  <c r="H298" i="1"/>
  <c r="H297" i="1"/>
  <c r="H4" i="1"/>
  <c r="H154" i="1"/>
  <c r="H14" i="1"/>
  <c r="H365" i="1"/>
  <c r="H353" i="1"/>
  <c r="H293" i="1"/>
  <c r="H40" i="1"/>
  <c r="H234" i="1"/>
  <c r="H249" i="1"/>
  <c r="H26" i="1"/>
  <c r="H245" i="1"/>
  <c r="H361" i="1"/>
  <c r="H383" i="1"/>
  <c r="H377" i="1"/>
  <c r="H191" i="1"/>
  <c r="H171" i="1"/>
  <c r="H162" i="1"/>
  <c r="H294" i="1"/>
  <c r="H233" i="1"/>
  <c r="H50" i="1"/>
  <c r="H16" i="1"/>
  <c r="H15" i="1"/>
  <c r="H166" i="1"/>
  <c r="H175" i="1"/>
  <c r="H155" i="1"/>
  <c r="H22" i="1"/>
  <c r="H45" i="1"/>
  <c r="H28" i="1"/>
  <c r="H256" i="1"/>
  <c r="H224" i="1"/>
  <c r="H200" i="1"/>
  <c r="H182" i="1"/>
  <c r="H283" i="1"/>
  <c r="H325" i="1"/>
  <c r="H151" i="1"/>
  <c r="H147" i="1"/>
  <c r="H268" i="1"/>
  <c r="H318" i="1"/>
  <c r="H313" i="1"/>
  <c r="H195" i="1"/>
  <c r="H186" i="1"/>
  <c r="H51" i="1"/>
  <c r="H34" i="1"/>
  <c r="H27" i="1"/>
  <c r="H8" i="1"/>
  <c r="H169" i="1"/>
  <c r="H5" i="1"/>
  <c r="H21" i="1"/>
  <c r="H334" i="1"/>
  <c r="H136" i="1"/>
  <c r="J372" i="1"/>
  <c r="H372" i="1" s="1"/>
  <c r="I372" i="1"/>
  <c r="I257" i="1"/>
  <c r="H257" i="1" s="1"/>
  <c r="D257" i="1"/>
  <c r="G441" i="1"/>
  <c r="I441" i="1"/>
  <c r="J402" i="1"/>
  <c r="H402" i="1" s="1"/>
  <c r="I402" i="1"/>
  <c r="D402" i="1"/>
  <c r="D424" i="1"/>
  <c r="G424" i="1"/>
  <c r="G416" i="1"/>
  <c r="I416" i="1"/>
  <c r="I341" i="1"/>
  <c r="H341" i="1" s="1"/>
  <c r="G341" i="1"/>
  <c r="D341" i="1"/>
  <c r="I430" i="1"/>
  <c r="D430" i="1"/>
  <c r="G430" i="1"/>
  <c r="D400" i="1"/>
  <c r="G400" i="1"/>
  <c r="I436" i="1"/>
  <c r="G436" i="1"/>
  <c r="D409" i="1"/>
  <c r="G409" i="1"/>
  <c r="J396" i="1"/>
  <c r="H396" i="1" s="1"/>
  <c r="D396" i="1"/>
  <c r="I388" i="1"/>
  <c r="D388" i="1"/>
  <c r="G388" i="1"/>
  <c r="G375" i="1"/>
  <c r="D375" i="1"/>
  <c r="I375" i="1"/>
  <c r="H375" i="1" s="1"/>
  <c r="G359" i="1"/>
  <c r="I359" i="1"/>
  <c r="H359" i="1" s="1"/>
  <c r="G322" i="1"/>
  <c r="D322" i="1"/>
  <c r="J304" i="1"/>
  <c r="D304" i="1"/>
  <c r="J295" i="1"/>
  <c r="D295" i="1"/>
  <c r="G425" i="1"/>
  <c r="I425" i="1"/>
  <c r="I420" i="1"/>
  <c r="J420" i="1"/>
  <c r="H420" i="1" s="1"/>
  <c r="I406" i="1"/>
  <c r="G406" i="1"/>
  <c r="D362" i="1"/>
  <c r="G362" i="1"/>
  <c r="G316" i="1"/>
  <c r="D316" i="1"/>
  <c r="G440" i="1"/>
  <c r="D440" i="1"/>
  <c r="G415" i="1"/>
  <c r="I415" i="1"/>
  <c r="D383" i="1"/>
  <c r="G383" i="1"/>
  <c r="I347" i="1"/>
  <c r="I342" i="1"/>
  <c r="G342" i="1"/>
  <c r="D342" i="1"/>
  <c r="G338" i="1"/>
  <c r="I338" i="1"/>
  <c r="H338" i="1" s="1"/>
  <c r="D338" i="1"/>
  <c r="D277" i="1"/>
  <c r="I277" i="1"/>
  <c r="H277" i="1" s="1"/>
  <c r="I307" i="1"/>
  <c r="H307" i="1" s="1"/>
  <c r="D307" i="1"/>
  <c r="J300" i="1"/>
  <c r="D300" i="1"/>
  <c r="J244" i="1"/>
  <c r="D244" i="1"/>
  <c r="J215" i="1"/>
  <c r="I215" i="1"/>
  <c r="D215" i="1"/>
  <c r="G260" i="1"/>
  <c r="D260" i="1"/>
  <c r="G355" i="1"/>
  <c r="I355" i="1"/>
  <c r="H355" i="1" s="1"/>
  <c r="D355" i="1"/>
  <c r="I327" i="1"/>
  <c r="H327" i="1" s="1"/>
  <c r="G327" i="1"/>
  <c r="D327" i="1"/>
  <c r="J445" i="1"/>
  <c r="H445" i="1" s="1"/>
  <c r="G381" i="1"/>
  <c r="D381" i="1"/>
  <c r="I381" i="1"/>
  <c r="H381" i="1" s="1"/>
  <c r="D416" i="1"/>
  <c r="G410" i="1"/>
  <c r="I410" i="1"/>
  <c r="G435" i="1"/>
  <c r="I435" i="1"/>
  <c r="D435" i="1"/>
  <c r="I426" i="1"/>
  <c r="J426" i="1"/>
  <c r="H426" i="1" s="1"/>
  <c r="G405" i="1"/>
  <c r="D405" i="1"/>
  <c r="I405" i="1"/>
  <c r="G397" i="1"/>
  <c r="I397" i="1"/>
  <c r="D392" i="1"/>
  <c r="G392" i="1"/>
  <c r="J384" i="1"/>
  <c r="I376" i="1"/>
  <c r="H376" i="1" s="1"/>
  <c r="G376" i="1"/>
  <c r="D371" i="1"/>
  <c r="G371" i="1"/>
  <c r="I371" i="1"/>
  <c r="H371" i="1" s="1"/>
  <c r="G368" i="1"/>
  <c r="I368" i="1"/>
  <c r="H368" i="1" s="1"/>
  <c r="I358" i="1"/>
  <c r="H358" i="1" s="1"/>
  <c r="D358" i="1"/>
  <c r="G358" i="1"/>
  <c r="I323" i="1"/>
  <c r="H323" i="1" s="1"/>
  <c r="G323" i="1"/>
  <c r="D323" i="1"/>
  <c r="I296" i="1"/>
  <c r="H296" i="1" s="1"/>
  <c r="G296" i="1"/>
  <c r="D296" i="1"/>
  <c r="I289" i="1"/>
  <c r="J289" i="1"/>
  <c r="D289" i="1"/>
  <c r="I270" i="1"/>
  <c r="H270" i="1" s="1"/>
  <c r="G270" i="1"/>
  <c r="D270" i="1"/>
  <c r="I295" i="1"/>
  <c r="I282" i="1"/>
  <c r="J282" i="1"/>
  <c r="D170" i="1"/>
  <c r="G170" i="1"/>
  <c r="I170" i="1"/>
  <c r="H170" i="1" s="1"/>
  <c r="H302" i="1"/>
  <c r="I287" i="1"/>
  <c r="H287" i="1" s="1"/>
  <c r="G287" i="1"/>
  <c r="D287" i="1"/>
  <c r="G278" i="1"/>
  <c r="I278" i="1"/>
  <c r="H278" i="1" s="1"/>
  <c r="D278" i="1"/>
  <c r="D273" i="1"/>
  <c r="G273" i="1"/>
  <c r="G257" i="1"/>
  <c r="J259" i="1"/>
  <c r="D259" i="1"/>
  <c r="I279" i="1"/>
  <c r="H279" i="1" s="1"/>
  <c r="G345" i="1"/>
  <c r="D345" i="1"/>
  <c r="G314" i="1"/>
  <c r="D314" i="1"/>
  <c r="G431" i="1"/>
  <c r="I431" i="1"/>
  <c r="G421" i="1"/>
  <c r="I421" i="1"/>
  <c r="G389" i="1"/>
  <c r="I389" i="1"/>
  <c r="D379" i="1"/>
  <c r="G379" i="1"/>
  <c r="J339" i="1"/>
  <c r="I335" i="1"/>
  <c r="H335" i="1" s="1"/>
  <c r="G335" i="1"/>
  <c r="D335" i="1"/>
  <c r="I337" i="1"/>
  <c r="H337" i="1" s="1"/>
  <c r="D337" i="1"/>
  <c r="G419" i="1"/>
  <c r="D419" i="1"/>
  <c r="J354" i="1"/>
  <c r="D354" i="1"/>
  <c r="I354" i="1"/>
  <c r="G351" i="1"/>
  <c r="D351" i="1"/>
  <c r="I351" i="1"/>
  <c r="H351" i="1" s="1"/>
  <c r="I345" i="1"/>
  <c r="I314" i="1"/>
  <c r="H314" i="1" s="1"/>
  <c r="I292" i="1"/>
  <c r="H292" i="1" s="1"/>
  <c r="D292" i="1"/>
  <c r="H284" i="1"/>
  <c r="D442" i="1"/>
  <c r="D425" i="1"/>
  <c r="D406" i="1"/>
  <c r="D372" i="1"/>
  <c r="D340" i="1"/>
  <c r="I340" i="1"/>
  <c r="H340" i="1" s="1"/>
  <c r="G326" i="1"/>
  <c r="D326" i="1"/>
  <c r="J308" i="1"/>
  <c r="D445" i="1"/>
  <c r="G445" i="1"/>
  <c r="D420" i="1"/>
  <c r="D415" i="1"/>
  <c r="G411" i="1"/>
  <c r="I411" i="1"/>
  <c r="D401" i="1"/>
  <c r="G349" i="1"/>
  <c r="D349" i="1"/>
  <c r="D336" i="1"/>
  <c r="I336" i="1"/>
  <c r="H336" i="1" s="1"/>
  <c r="G320" i="1"/>
  <c r="D320" i="1"/>
  <c r="I267" i="1"/>
  <c r="J267" i="1"/>
  <c r="D239" i="1"/>
  <c r="D212" i="1"/>
  <c r="I212" i="1"/>
  <c r="H212" i="1" s="1"/>
  <c r="G212" i="1"/>
  <c r="G189" i="1"/>
  <c r="D189" i="1"/>
  <c r="I189" i="1"/>
  <c r="H189" i="1" s="1"/>
  <c r="D331" i="1"/>
  <c r="G324" i="1"/>
  <c r="I321" i="1"/>
  <c r="H321" i="1" s="1"/>
  <c r="G312" i="1"/>
  <c r="I306" i="1"/>
  <c r="H306" i="1" s="1"/>
  <c r="I299" i="1"/>
  <c r="H299" i="1" s="1"/>
  <c r="G299" i="1"/>
  <c r="D299" i="1"/>
  <c r="G297" i="1"/>
  <c r="G293" i="1"/>
  <c r="I291" i="1"/>
  <c r="H291" i="1" s="1"/>
  <c r="I286" i="1"/>
  <c r="H286" i="1" s="1"/>
  <c r="G205" i="1"/>
  <c r="I205" i="1"/>
  <c r="H205" i="1" s="1"/>
  <c r="H188" i="1"/>
  <c r="I158" i="1"/>
  <c r="H158" i="1" s="1"/>
  <c r="D158" i="1"/>
  <c r="G158" i="1"/>
  <c r="D145" i="1"/>
  <c r="G363" i="1"/>
  <c r="D363" i="1"/>
  <c r="G346" i="1"/>
  <c r="I346" i="1"/>
  <c r="G274" i="1"/>
  <c r="I274" i="1"/>
  <c r="H274" i="1" s="1"/>
  <c r="G263" i="1"/>
  <c r="D263" i="1"/>
  <c r="I250" i="1"/>
  <c r="H250" i="1" s="1"/>
  <c r="G250" i="1"/>
  <c r="D242" i="1"/>
  <c r="G242" i="1"/>
  <c r="I240" i="1"/>
  <c r="H240" i="1" s="1"/>
  <c r="D226" i="1"/>
  <c r="D218" i="1"/>
  <c r="G218" i="1"/>
  <c r="J210" i="1"/>
  <c r="I210" i="1"/>
  <c r="D210" i="1"/>
  <c r="G393" i="1"/>
  <c r="D393" i="1"/>
  <c r="D385" i="1"/>
  <c r="D347" i="1"/>
  <c r="I311" i="1"/>
  <c r="H311" i="1" s="1"/>
  <c r="D303" i="1"/>
  <c r="I285" i="1"/>
  <c r="H285" i="1" s="1"/>
  <c r="G285" i="1"/>
  <c r="D279" i="1"/>
  <c r="D236" i="1"/>
  <c r="D203" i="1"/>
  <c r="G203" i="1"/>
  <c r="I203" i="1"/>
  <c r="H203" i="1" s="1"/>
  <c r="D190" i="1"/>
  <c r="J173" i="1"/>
  <c r="I173" i="1"/>
  <c r="D251" i="1"/>
  <c r="D243" i="1"/>
  <c r="I239" i="1"/>
  <c r="H239" i="1" s="1"/>
  <c r="G239" i="1"/>
  <c r="D229" i="1"/>
  <c r="G229" i="1"/>
  <c r="G183" i="1"/>
  <c r="D183" i="1"/>
  <c r="I183" i="1"/>
  <c r="H183" i="1" s="1"/>
  <c r="I180" i="1"/>
  <c r="J180" i="1"/>
  <c r="H160" i="1"/>
  <c r="D176" i="1"/>
  <c r="I176" i="1"/>
  <c r="H176" i="1" s="1"/>
  <c r="G176" i="1"/>
  <c r="G152" i="1"/>
  <c r="D152" i="1"/>
  <c r="I152" i="1"/>
  <c r="H152" i="1" s="1"/>
  <c r="J150" i="1"/>
  <c r="D150" i="1"/>
  <c r="I150" i="1"/>
  <c r="G148" i="1"/>
  <c r="D148" i="1"/>
  <c r="I148" i="1"/>
  <c r="H148" i="1" s="1"/>
  <c r="G134" i="1"/>
  <c r="I134" i="1"/>
  <c r="H134" i="1" s="1"/>
  <c r="D134" i="1"/>
  <c r="G129" i="1"/>
  <c r="I129" i="1"/>
  <c r="H129" i="1" s="1"/>
  <c r="D129" i="1"/>
  <c r="D105" i="1"/>
  <c r="I105" i="1"/>
  <c r="H105" i="1" s="1"/>
  <c r="G105" i="1"/>
  <c r="D101" i="1"/>
  <c r="G101" i="1"/>
  <c r="I288" i="1"/>
  <c r="H288" i="1" s="1"/>
  <c r="I275" i="1"/>
  <c r="H275" i="1" s="1"/>
  <c r="G264" i="1"/>
  <c r="I253" i="1"/>
  <c r="H253" i="1" s="1"/>
  <c r="I251" i="1"/>
  <c r="H251" i="1" s="1"/>
  <c r="G243" i="1"/>
  <c r="I243" i="1"/>
  <c r="H243" i="1" s="1"/>
  <c r="I214" i="1"/>
  <c r="H214" i="1" s="1"/>
  <c r="D214" i="1"/>
  <c r="I193" i="1"/>
  <c r="H193" i="1" s="1"/>
  <c r="G193" i="1"/>
  <c r="G201" i="1"/>
  <c r="I201" i="1"/>
  <c r="H201" i="1" s="1"/>
  <c r="I442" i="1"/>
  <c r="I364" i="1"/>
  <c r="H364" i="1" s="1"/>
  <c r="D339" i="1"/>
  <c r="D308" i="1"/>
  <c r="D282" i="1"/>
  <c r="G221" i="1"/>
  <c r="D221" i="1"/>
  <c r="I394" i="1"/>
  <c r="I380" i="1"/>
  <c r="H380" i="1" s="1"/>
  <c r="G369" i="1"/>
  <c r="D369" i="1"/>
  <c r="I367" i="1"/>
  <c r="H367" i="1" s="1"/>
  <c r="G399" i="1"/>
  <c r="D399" i="1"/>
  <c r="I290" i="1"/>
  <c r="H290" i="1" s="1"/>
  <c r="G290" i="1"/>
  <c r="G247" i="1"/>
  <c r="D246" i="1"/>
  <c r="I246" i="1"/>
  <c r="H246" i="1" s="1"/>
  <c r="I232" i="1"/>
  <c r="H232" i="1" s="1"/>
  <c r="G232" i="1"/>
  <c r="H213" i="1"/>
  <c r="H204" i="1"/>
  <c r="G200" i="1"/>
  <c r="D196" i="1"/>
  <c r="G196" i="1"/>
  <c r="D167" i="1"/>
  <c r="G167" i="1"/>
  <c r="I167" i="1"/>
  <c r="H167" i="1" s="1"/>
  <c r="I382" i="1"/>
  <c r="H382" i="1" s="1"/>
  <c r="G357" i="1"/>
  <c r="D357" i="1"/>
  <c r="D344" i="1"/>
  <c r="H280" i="1"/>
  <c r="D272" i="1"/>
  <c r="G253" i="1"/>
  <c r="I242" i="1"/>
  <c r="H242" i="1" s="1"/>
  <c r="I235" i="1"/>
  <c r="H235" i="1" s="1"/>
  <c r="G235" i="1"/>
  <c r="D235" i="1"/>
  <c r="G219" i="1"/>
  <c r="D219" i="1"/>
  <c r="D217" i="1"/>
  <c r="G217" i="1"/>
  <c r="I217" i="1"/>
  <c r="H217" i="1" s="1"/>
  <c r="D207" i="1"/>
  <c r="I207" i="1"/>
  <c r="H207" i="1" s="1"/>
  <c r="I315" i="1"/>
  <c r="H315" i="1" s="1"/>
  <c r="I401" i="1"/>
  <c r="I352" i="1"/>
  <c r="H352" i="1" s="1"/>
  <c r="G350" i="1"/>
  <c r="I331" i="1"/>
  <c r="H331" i="1" s="1"/>
  <c r="G315" i="1"/>
  <c r="I393" i="1"/>
  <c r="G311" i="1"/>
  <c r="J432" i="1"/>
  <c r="H432" i="1" s="1"/>
  <c r="I418" i="1"/>
  <c r="G387" i="1"/>
  <c r="D387" i="1"/>
  <c r="D306" i="1"/>
  <c r="D291" i="1"/>
  <c r="D255" i="1"/>
  <c r="G249" i="1"/>
  <c r="D249" i="1"/>
  <c r="G236" i="1"/>
  <c r="D230" i="1"/>
  <c r="G230" i="1"/>
  <c r="D227" i="1"/>
  <c r="I223" i="1"/>
  <c r="H223" i="1" s="1"/>
  <c r="D205" i="1"/>
  <c r="D142" i="1"/>
  <c r="G142" i="1"/>
  <c r="I142" i="1"/>
  <c r="H142" i="1" s="1"/>
  <c r="I116" i="1"/>
  <c r="H116" i="1" s="1"/>
  <c r="D116" i="1"/>
  <c r="G116" i="1"/>
  <c r="I350" i="1"/>
  <c r="H350" i="1" s="1"/>
  <c r="I332" i="1"/>
  <c r="H332" i="1" s="1"/>
  <c r="I363" i="1"/>
  <c r="H363" i="1" s="1"/>
  <c r="D313" i="1"/>
  <c r="I360" i="1"/>
  <c r="H360" i="1" s="1"/>
  <c r="D346" i="1"/>
  <c r="G310" i="1"/>
  <c r="I310" i="1"/>
  <c r="H310" i="1" s="1"/>
  <c r="I304" i="1"/>
  <c r="I300" i="1"/>
  <c r="D274" i="1"/>
  <c r="I269" i="1"/>
  <c r="H269" i="1" s="1"/>
  <c r="J254" i="1"/>
  <c r="H254" i="1" s="1"/>
  <c r="D250" i="1"/>
  <c r="D247" i="1"/>
  <c r="D238" i="1"/>
  <c r="G225" i="1"/>
  <c r="D225" i="1"/>
  <c r="I225" i="1"/>
  <c r="H225" i="1" s="1"/>
  <c r="D197" i="1"/>
  <c r="I184" i="1"/>
  <c r="H184" i="1" s="1"/>
  <c r="G184" i="1"/>
  <c r="G179" i="1"/>
  <c r="D179" i="1"/>
  <c r="H141" i="1"/>
  <c r="G231" i="1"/>
  <c r="I231" i="1"/>
  <c r="H231" i="1" s="1"/>
  <c r="G187" i="1"/>
  <c r="I174" i="1"/>
  <c r="G139" i="1"/>
  <c r="D139" i="1"/>
  <c r="J69" i="1"/>
  <c r="D78" i="1"/>
  <c r="D76" i="1"/>
  <c r="D125" i="1"/>
  <c r="G125" i="1"/>
  <c r="I125" i="1"/>
  <c r="H125" i="1" s="1"/>
  <c r="I208" i="1"/>
  <c r="H208" i="1" s="1"/>
  <c r="D208" i="1"/>
  <c r="H192" i="1"/>
  <c r="D171" i="1"/>
  <c r="D156" i="1"/>
  <c r="G156" i="1"/>
  <c r="H143" i="1"/>
  <c r="D157" i="1"/>
  <c r="D143" i="1"/>
  <c r="G143" i="1"/>
  <c r="G226" i="1"/>
  <c r="D194" i="1"/>
  <c r="G162" i="1"/>
  <c r="D162" i="1"/>
  <c r="G109" i="1"/>
  <c r="D109" i="1"/>
  <c r="G60" i="1"/>
  <c r="D60" i="1"/>
  <c r="I135" i="1"/>
  <c r="H135" i="1" s="1"/>
  <c r="D135" i="1"/>
  <c r="D133" i="1"/>
  <c r="I117" i="1"/>
  <c r="H117" i="1" s="1"/>
  <c r="D117" i="1"/>
  <c r="J102" i="1"/>
  <c r="H102" i="1" s="1"/>
  <c r="D102" i="1"/>
  <c r="G62" i="1"/>
  <c r="D62" i="1"/>
  <c r="D188" i="1"/>
  <c r="G188" i="1"/>
  <c r="D159" i="1"/>
  <c r="I159" i="1"/>
  <c r="H159" i="1" s="1"/>
  <c r="D334" i="1"/>
  <c r="D298" i="1"/>
  <c r="I281" i="1"/>
  <c r="H281" i="1" s="1"/>
  <c r="D262" i="1"/>
  <c r="D248" i="1"/>
  <c r="I248" i="1"/>
  <c r="H248" i="1" s="1"/>
  <c r="I244" i="1"/>
  <c r="D233" i="1"/>
  <c r="D231" i="1"/>
  <c r="H209" i="1"/>
  <c r="I202" i="1"/>
  <c r="H202" i="1" s="1"/>
  <c r="D191" i="1"/>
  <c r="I178" i="1"/>
  <c r="H178" i="1" s="1"/>
  <c r="I157" i="1"/>
  <c r="H157" i="1" s="1"/>
  <c r="D151" i="1"/>
  <c r="G151" i="1"/>
  <c r="I128" i="1"/>
  <c r="H128" i="1" s="1"/>
  <c r="D128" i="1"/>
  <c r="G128" i="1"/>
  <c r="G78" i="1"/>
  <c r="I252" i="1"/>
  <c r="H252" i="1" s="1"/>
  <c r="D245" i="1"/>
  <c r="D206" i="1"/>
  <c r="I187" i="1"/>
  <c r="H187" i="1" s="1"/>
  <c r="D149" i="1"/>
  <c r="G149" i="1"/>
  <c r="I149" i="1"/>
  <c r="H149" i="1" s="1"/>
  <c r="I146" i="1"/>
  <c r="H146" i="1" s="1"/>
  <c r="I91" i="1"/>
  <c r="J91" i="1"/>
  <c r="J222" i="1"/>
  <c r="H222" i="1" s="1"/>
  <c r="G197" i="1"/>
  <c r="I177" i="1"/>
  <c r="H177" i="1" s="1"/>
  <c r="J174" i="1"/>
  <c r="I164" i="1"/>
  <c r="H164" i="1" s="1"/>
  <c r="I163" i="1"/>
  <c r="H163" i="1" s="1"/>
  <c r="G163" i="1"/>
  <c r="I156" i="1"/>
  <c r="H156" i="1" s="1"/>
  <c r="I145" i="1"/>
  <c r="H145" i="1" s="1"/>
  <c r="G121" i="1"/>
  <c r="D121" i="1"/>
  <c r="D93" i="1"/>
  <c r="G93" i="1"/>
  <c r="I93" i="1"/>
  <c r="H93" i="1" s="1"/>
  <c r="G73" i="1"/>
  <c r="D73" i="1"/>
  <c r="D83" i="1"/>
  <c r="G83" i="1"/>
  <c r="G86" i="1"/>
  <c r="I168" i="1"/>
  <c r="H168" i="1" s="1"/>
  <c r="D161" i="1"/>
  <c r="I153" i="1"/>
  <c r="H153" i="1" s="1"/>
  <c r="D113" i="1"/>
  <c r="D94" i="1"/>
  <c r="D89" i="1"/>
  <c r="G89" i="1"/>
  <c r="G79" i="1"/>
  <c r="G72" i="1"/>
  <c r="D72" i="1"/>
  <c r="G104" i="1"/>
  <c r="J63" i="1"/>
  <c r="J127" i="1"/>
  <c r="D224" i="1"/>
  <c r="I190" i="1"/>
  <c r="H190" i="1" s="1"/>
  <c r="D173" i="1"/>
  <c r="G144" i="1"/>
  <c r="I144" i="1"/>
  <c r="H144" i="1" s="1"/>
  <c r="D138" i="1"/>
  <c r="G138" i="1"/>
  <c r="G133" i="1"/>
  <c r="G97" i="1"/>
  <c r="I97" i="1"/>
  <c r="H97" i="1" s="1"/>
  <c r="J75" i="1"/>
  <c r="D254" i="1"/>
  <c r="D182" i="1"/>
  <c r="H172" i="1"/>
  <c r="I161" i="1"/>
  <c r="H161" i="1" s="1"/>
  <c r="I126" i="1"/>
  <c r="H126" i="1" s="1"/>
  <c r="D120" i="1"/>
  <c r="G90" i="1"/>
  <c r="D75" i="1"/>
  <c r="D68" i="1"/>
  <c r="G68" i="1"/>
  <c r="G66" i="1"/>
  <c r="D64" i="1"/>
  <c r="G55" i="1"/>
  <c r="D59" i="1"/>
  <c r="G49" i="1"/>
  <c r="I49" i="1"/>
  <c r="H49" i="1" s="1"/>
  <c r="G43" i="1"/>
  <c r="G37" i="1"/>
  <c r="I37" i="1"/>
  <c r="H37" i="1" s="1"/>
  <c r="G31" i="1"/>
  <c r="I31" i="1"/>
  <c r="H31" i="1" s="1"/>
  <c r="G25" i="1"/>
  <c r="I25" i="1"/>
  <c r="H25" i="1" s="1"/>
  <c r="G19" i="1"/>
  <c r="I19" i="1"/>
  <c r="H19" i="1" s="1"/>
  <c r="G13" i="1"/>
  <c r="I13" i="1"/>
  <c r="H13" i="1" s="1"/>
  <c r="D11" i="1"/>
  <c r="G11" i="1"/>
  <c r="I11" i="1"/>
  <c r="H11" i="1" s="1"/>
  <c r="D53" i="1"/>
  <c r="D47" i="1"/>
  <c r="G47" i="1"/>
  <c r="D41" i="1"/>
  <c r="G41" i="1"/>
  <c r="D35" i="1"/>
  <c r="G35" i="1"/>
  <c r="D29" i="1"/>
  <c r="G29" i="1"/>
  <c r="D23" i="1"/>
  <c r="G23" i="1"/>
  <c r="D17" i="1"/>
  <c r="G17" i="1"/>
  <c r="D84" i="1"/>
  <c r="D69" i="1"/>
  <c r="D54" i="1"/>
  <c r="G6" i="1"/>
  <c r="I6" i="1"/>
  <c r="H6" i="1" s="1"/>
  <c r="D6" i="1"/>
  <c r="D87" i="1"/>
  <c r="G65" i="1"/>
  <c r="D63" i="1"/>
  <c r="D155" i="1"/>
  <c r="D131" i="1"/>
  <c r="D103" i="1"/>
  <c r="D95" i="1"/>
  <c r="D85" i="1"/>
  <c r="D77" i="1"/>
  <c r="G67" i="1"/>
  <c r="I110" i="1"/>
  <c r="H110" i="1" s="1"/>
  <c r="G59" i="1"/>
  <c r="D57" i="1"/>
  <c r="D55" i="1"/>
  <c r="G48" i="1"/>
  <c r="G42" i="1"/>
  <c r="I42" i="1"/>
  <c r="H42" i="1" s="1"/>
  <c r="G36" i="1"/>
  <c r="I36" i="1"/>
  <c r="H36" i="1" s="1"/>
  <c r="G30" i="1"/>
  <c r="I30" i="1"/>
  <c r="H30" i="1" s="1"/>
  <c r="G24" i="1"/>
  <c r="I24" i="1"/>
  <c r="H24" i="1" s="1"/>
  <c r="G18" i="1"/>
  <c r="I18" i="1"/>
  <c r="H18" i="1" s="1"/>
  <c r="G12" i="1"/>
  <c r="I12" i="1"/>
  <c r="H12" i="1" s="1"/>
  <c r="G61" i="1"/>
  <c r="D137" i="1"/>
  <c r="D99" i="1"/>
  <c r="D81" i="1"/>
  <c r="G56" i="1"/>
  <c r="G53" i="1"/>
  <c r="D49" i="1"/>
  <c r="I47" i="1"/>
  <c r="H47" i="1" s="1"/>
  <c r="D43" i="1"/>
  <c r="I41" i="1"/>
  <c r="H41" i="1" s="1"/>
  <c r="D37" i="1"/>
  <c r="I35" i="1"/>
  <c r="H35" i="1" s="1"/>
  <c r="D31" i="1"/>
  <c r="I29" i="1"/>
  <c r="H29" i="1" s="1"/>
  <c r="D25" i="1"/>
  <c r="I23" i="1"/>
  <c r="H23" i="1" s="1"/>
  <c r="D19" i="1"/>
  <c r="I17" i="1"/>
  <c r="H17" i="1" s="1"/>
  <c r="D13" i="1"/>
  <c r="G8" i="1"/>
  <c r="D7" i="1"/>
  <c r="I7" i="1"/>
  <c r="H7" i="1" s="1"/>
  <c r="E37" i="6"/>
  <c r="E18" i="5"/>
  <c r="E16" i="5"/>
  <c r="E17" i="5"/>
  <c r="E15" i="5"/>
  <c r="E14" i="5"/>
  <c r="E13" i="5"/>
  <c r="E11" i="5"/>
  <c r="E9" i="5"/>
  <c r="E6" i="5"/>
  <c r="E7" i="5"/>
  <c r="E8" i="5"/>
  <c r="E5" i="5"/>
  <c r="E137" i="3"/>
  <c r="E135" i="3"/>
  <c r="E134" i="3"/>
  <c r="E133" i="3"/>
  <c r="E131" i="3"/>
  <c r="E128" i="3"/>
  <c r="E127" i="3"/>
  <c r="E126" i="3"/>
  <c r="E123" i="3"/>
  <c r="E122" i="3"/>
  <c r="E119" i="3"/>
  <c r="E118" i="3"/>
  <c r="E115" i="3"/>
  <c r="E114" i="3"/>
  <c r="E112" i="3"/>
  <c r="E109" i="3"/>
  <c r="E108" i="3"/>
  <c r="E105" i="3"/>
  <c r="E104" i="3"/>
  <c r="E99" i="3"/>
  <c r="E100" i="3"/>
  <c r="E98" i="3"/>
  <c r="E90" i="3"/>
  <c r="E91" i="3"/>
  <c r="E92" i="3"/>
  <c r="E93" i="3"/>
  <c r="E94" i="3"/>
  <c r="E95" i="3"/>
  <c r="E96" i="3"/>
  <c r="E89" i="3"/>
  <c r="E88" i="3"/>
  <c r="E85" i="3"/>
  <c r="E86" i="3"/>
  <c r="E84" i="3"/>
  <c r="F67" i="3"/>
  <c r="F66" i="3"/>
  <c r="F65" i="3"/>
  <c r="F71" i="3"/>
  <c r="F64" i="3"/>
  <c r="F51" i="3"/>
  <c r="F52" i="3"/>
  <c r="F53" i="3"/>
  <c r="F54" i="3"/>
  <c r="F55" i="3"/>
  <c r="F50" i="3"/>
  <c r="E42" i="3"/>
  <c r="E43" i="3"/>
  <c r="E44" i="3"/>
  <c r="E45" i="3"/>
  <c r="E46" i="3"/>
  <c r="E41" i="3"/>
  <c r="E39" i="3"/>
  <c r="E37" i="3"/>
  <c r="E36" i="3"/>
  <c r="E22" i="2"/>
  <c r="E35" i="3"/>
  <c r="E29" i="3"/>
  <c r="E30" i="3"/>
  <c r="E31" i="3"/>
  <c r="E32" i="3"/>
  <c r="E33" i="3"/>
  <c r="E26" i="3"/>
  <c r="E24" i="3"/>
  <c r="E25" i="3"/>
  <c r="E23" i="3"/>
  <c r="E22" i="3"/>
  <c r="E20" i="3"/>
  <c r="E19" i="3"/>
  <c r="E18" i="3"/>
  <c r="E17" i="3"/>
  <c r="E16" i="3"/>
  <c r="E15" i="3"/>
  <c r="E12" i="3"/>
  <c r="E13" i="3"/>
  <c r="E11" i="3"/>
  <c r="E10" i="3"/>
  <c r="E8" i="3"/>
  <c r="E7" i="3"/>
  <c r="E5" i="8"/>
  <c r="E6" i="8"/>
  <c r="E7" i="8"/>
  <c r="E4" i="8"/>
  <c r="E6" i="2"/>
  <c r="E5" i="2"/>
  <c r="H354" i="1" l="1"/>
  <c r="H215" i="1"/>
  <c r="H210" i="1"/>
  <c r="H91" i="1"/>
  <c r="H295" i="1"/>
  <c r="H180" i="1"/>
  <c r="H267" i="1"/>
  <c r="H282" i="1"/>
  <c r="H289" i="1"/>
  <c r="H300" i="1"/>
  <c r="H174" i="1"/>
  <c r="H244" i="1"/>
  <c r="H150" i="1"/>
  <c r="H173" i="1"/>
  <c r="H304" i="1"/>
  <c r="G5" i="11"/>
  <c r="E53" i="6"/>
  <c r="E52" i="6"/>
  <c r="E51" i="6"/>
  <c r="E50" i="6"/>
  <c r="E49" i="6"/>
  <c r="E48" i="6"/>
  <c r="E47" i="6"/>
  <c r="E46" i="6"/>
  <c r="E44" i="6"/>
  <c r="E45" i="6"/>
  <c r="E58" i="6"/>
  <c r="E41" i="6"/>
  <c r="E40" i="6"/>
  <c r="E57" i="6"/>
  <c r="B185" i="11" l="1"/>
  <c r="I9" i="1" s="1"/>
  <c r="H9" i="1" s="1"/>
  <c r="B160" i="11" l="1"/>
  <c r="I32" i="1" s="1"/>
  <c r="H32" i="1" s="1"/>
  <c r="B104" i="11"/>
  <c r="B96" i="11"/>
  <c r="I99" i="1" s="1"/>
  <c r="H99" i="1" s="1"/>
  <c r="B80" i="11"/>
  <c r="B76" i="11"/>
  <c r="B72" i="11"/>
  <c r="B44" i="11"/>
  <c r="B20" i="11"/>
  <c r="I96" i="1" s="1"/>
  <c r="H96" i="1" s="1"/>
  <c r="B19" i="11"/>
  <c r="I95" i="1" s="1"/>
  <c r="H95" i="1" s="1"/>
  <c r="B17" i="11"/>
  <c r="B14" i="11"/>
  <c r="C112" i="3" l="1"/>
  <c r="C131" i="3"/>
  <c r="C126" i="3"/>
  <c r="C118" i="3"/>
  <c r="B184" i="11" l="1"/>
  <c r="I339" i="1" s="1"/>
  <c r="H339" i="1" s="1"/>
  <c r="B183" i="11"/>
  <c r="B182" i="11"/>
  <c r="B181" i="11"/>
  <c r="I317" i="1" s="1"/>
  <c r="H317" i="1" s="1"/>
  <c r="B180" i="11"/>
  <c r="I316" i="1" s="1"/>
  <c r="H316" i="1" s="1"/>
  <c r="B179" i="11"/>
  <c r="B178" i="11"/>
  <c r="B177" i="11"/>
  <c r="I305" i="1" s="1"/>
  <c r="H305" i="1" s="1"/>
  <c r="B176" i="11"/>
  <c r="B175" i="11"/>
  <c r="B173" i="11"/>
  <c r="I262" i="1" s="1"/>
  <c r="H262" i="1" s="1"/>
  <c r="B172" i="11"/>
  <c r="B171" i="11"/>
  <c r="I255" i="1" s="1"/>
  <c r="H255" i="1" s="1"/>
  <c r="B170" i="11"/>
  <c r="B169" i="11"/>
  <c r="I236" i="1" s="1"/>
  <c r="H236" i="1" s="1"/>
  <c r="B167" i="11"/>
  <c r="I230" i="1" s="1"/>
  <c r="H230" i="1" s="1"/>
  <c r="B166" i="11"/>
  <c r="B165" i="11"/>
  <c r="B164" i="11"/>
  <c r="I133" i="1" s="1"/>
  <c r="H133" i="1" s="1"/>
  <c r="B163" i="11"/>
  <c r="I132" i="1" s="1"/>
  <c r="H132" i="1" s="1"/>
  <c r="B162" i="11"/>
  <c r="I131" i="1" s="1"/>
  <c r="H131" i="1" s="1"/>
  <c r="B161" i="11"/>
  <c r="I104" i="1" s="1"/>
  <c r="H104" i="1" s="1"/>
  <c r="B168" i="11"/>
  <c r="B101" i="11"/>
  <c r="I90" i="1" s="1"/>
  <c r="H90" i="1" s="1"/>
  <c r="B69" i="11"/>
  <c r="B112" i="11"/>
  <c r="B113" i="11"/>
  <c r="B157" i="11"/>
  <c r="I123" i="1" s="1"/>
  <c r="H123" i="1" s="1"/>
  <c r="B159" i="11"/>
  <c r="E132" i="3"/>
  <c r="E136" i="3"/>
  <c r="I261" i="1" l="1"/>
  <c r="H261" i="1" s="1"/>
  <c r="I258" i="1"/>
  <c r="H258" i="1" s="1"/>
  <c r="I260" i="1"/>
  <c r="H260" i="1" s="1"/>
  <c r="I259" i="1"/>
  <c r="H259" i="1" s="1"/>
  <c r="I264" i="1"/>
  <c r="H264" i="1" s="1"/>
  <c r="I263" i="1"/>
  <c r="H263" i="1" s="1"/>
  <c r="I303" i="1"/>
  <c r="H303" i="1" s="1"/>
  <c r="I301" i="1"/>
  <c r="H301" i="1" s="1"/>
  <c r="I308" i="1"/>
  <c r="H308" i="1" s="1"/>
  <c r="I309" i="1"/>
  <c r="H309" i="1" s="1"/>
  <c r="I329" i="1"/>
  <c r="H329" i="1" s="1"/>
  <c r="I319" i="1"/>
  <c r="H319" i="1" s="1"/>
  <c r="I238" i="1"/>
  <c r="H238" i="1" s="1"/>
  <c r="I226" i="1"/>
  <c r="H226" i="1" s="1"/>
  <c r="I237" i="1"/>
  <c r="H237" i="1" s="1"/>
  <c r="I219" i="1"/>
  <c r="H219" i="1" s="1"/>
  <c r="I221" i="1"/>
  <c r="H221" i="1" s="1"/>
  <c r="I220" i="1"/>
  <c r="H220" i="1" s="1"/>
  <c r="I218" i="1"/>
  <c r="H218" i="1" s="1"/>
  <c r="I228" i="1"/>
  <c r="H228" i="1" s="1"/>
  <c r="I227" i="1"/>
  <c r="H227" i="1" s="1"/>
  <c r="I229" i="1"/>
  <c r="H229" i="1" s="1"/>
  <c r="I330" i="1"/>
  <c r="H330" i="1" s="1"/>
  <c r="I320" i="1"/>
  <c r="H320" i="1" s="1"/>
  <c r="D113" i="3" a="1"/>
  <c r="D113" i="3" s="1"/>
  <c r="E113" i="3" l="1"/>
  <c r="B174" i="11"/>
  <c r="I266" i="1" l="1"/>
  <c r="H266" i="1" s="1"/>
  <c r="I265" i="1"/>
  <c r="H265" i="1" s="1"/>
  <c r="B41" i="11"/>
  <c r="G6" i="11" l="1"/>
  <c r="G3" i="11" l="1"/>
  <c r="B39" i="11" l="1"/>
  <c r="B38" i="11"/>
  <c r="B109" i="11" l="1"/>
  <c r="E12" i="5"/>
  <c r="E10" i="5"/>
  <c r="E43" i="6"/>
  <c r="E42" i="6"/>
  <c r="F49" i="3"/>
  <c r="C131" i="11"/>
  <c r="C130" i="11"/>
  <c r="C129" i="11"/>
  <c r="C128" i="11"/>
  <c r="C127" i="11"/>
  <c r="C126" i="11"/>
  <c r="C125" i="11"/>
  <c r="G125" i="11"/>
  <c r="G124" i="11"/>
  <c r="G17" i="11"/>
  <c r="G16" i="11"/>
  <c r="G18" i="11"/>
  <c r="B90" i="11" l="1"/>
  <c r="I108" i="1" s="1"/>
  <c r="H108" i="1" s="1"/>
  <c r="G97" i="11"/>
  <c r="A111" i="12"/>
  <c r="D33" i="18"/>
  <c r="D32" i="18"/>
  <c r="B158" i="11" l="1"/>
  <c r="I127" i="1" s="1"/>
  <c r="H127" i="1" s="1"/>
  <c r="B156" i="11"/>
  <c r="I122" i="1" s="1"/>
  <c r="H122" i="1" s="1"/>
  <c r="B155" i="11"/>
  <c r="I106" i="1" s="1"/>
  <c r="H106" i="1" s="1"/>
  <c r="B153" i="11"/>
  <c r="I101" i="1" s="1"/>
  <c r="H101" i="1" s="1"/>
  <c r="B152" i="11"/>
  <c r="I92" i="1" s="1"/>
  <c r="H92" i="1" s="1"/>
  <c r="B151" i="11"/>
  <c r="B150" i="11"/>
  <c r="I87" i="1" s="1"/>
  <c r="H87" i="1" s="1"/>
  <c r="B149" i="11"/>
  <c r="I86" i="1" s="1"/>
  <c r="H86" i="1" s="1"/>
  <c r="B148" i="11"/>
  <c r="B147" i="11"/>
  <c r="B146" i="11"/>
  <c r="I71" i="1" s="1"/>
  <c r="H71" i="1" s="1"/>
  <c r="B145" i="11"/>
  <c r="B144" i="11"/>
  <c r="I66" i="1" s="1"/>
  <c r="H66" i="1" s="1"/>
  <c r="B143" i="11"/>
  <c r="B142" i="11"/>
  <c r="I63" i="1" s="1"/>
  <c r="H63" i="1" s="1"/>
  <c r="B141" i="11"/>
  <c r="I61" i="1" s="1"/>
  <c r="H61" i="1" s="1"/>
  <c r="B140" i="11"/>
  <c r="B139" i="11"/>
  <c r="I59" i="1" s="1"/>
  <c r="H59" i="1" s="1"/>
  <c r="B138" i="11"/>
  <c r="I58" i="1" s="1"/>
  <c r="H58" i="1" s="1"/>
  <c r="I77" i="1" l="1"/>
  <c r="H77" i="1" s="1"/>
  <c r="I81" i="1"/>
  <c r="H81" i="1" s="1"/>
  <c r="I70" i="1"/>
  <c r="H70" i="1" s="1"/>
  <c r="I79" i="1"/>
  <c r="H79" i="1" s="1"/>
  <c r="I69" i="1"/>
  <c r="H69" i="1" s="1"/>
  <c r="I72" i="1"/>
  <c r="H72" i="1" s="1"/>
  <c r="I68" i="1"/>
  <c r="H68" i="1" s="1"/>
  <c r="I78" i="1"/>
  <c r="H78" i="1" s="1"/>
  <c r="I76" i="1"/>
  <c r="H76" i="1" s="1"/>
  <c r="I80" i="1"/>
  <c r="H80" i="1" s="1"/>
  <c r="I67" i="1"/>
  <c r="H67" i="1" s="1"/>
  <c r="I73" i="1"/>
  <c r="H73" i="1" s="1"/>
  <c r="I84" i="1"/>
  <c r="H84" i="1" s="1"/>
  <c r="I75" i="1"/>
  <c r="H75" i="1" s="1"/>
  <c r="I83" i="1"/>
  <c r="H83" i="1" s="1"/>
  <c r="I74" i="1"/>
  <c r="H74" i="1" s="1"/>
  <c r="I82" i="1"/>
  <c r="H82" i="1" s="1"/>
  <c r="I85" i="1"/>
  <c r="H85" i="1" s="1"/>
  <c r="I89" i="1"/>
  <c r="H89" i="1" s="1"/>
  <c r="I88" i="1"/>
  <c r="H88" i="1" s="1"/>
  <c r="I65" i="1"/>
  <c r="H65" i="1" s="1"/>
  <c r="I64" i="1"/>
  <c r="H64" i="1" s="1"/>
  <c r="I60" i="1"/>
  <c r="H60" i="1" s="1"/>
  <c r="I62" i="1"/>
  <c r="H62" i="1" s="1"/>
  <c r="C61" i="3"/>
  <c r="C60" i="3"/>
  <c r="C59" i="3"/>
  <c r="C33" i="18" s="1"/>
  <c r="C58" i="3"/>
  <c r="C32" i="18" s="1"/>
  <c r="C70" i="3"/>
  <c r="C71" i="3"/>
  <c r="D71" i="3" s="1"/>
  <c r="C72" i="3"/>
  <c r="C73" i="3"/>
  <c r="D73" i="3" s="1"/>
  <c r="F72" i="3" l="1"/>
  <c r="D72" i="3"/>
  <c r="F73" i="3"/>
  <c r="A444" i="12" l="1"/>
  <c r="A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C140" i="3"/>
  <c r="E24" i="6"/>
  <c r="G25" i="14" l="1"/>
  <c r="G24" i="14" l="1"/>
  <c r="G123" i="11"/>
  <c r="G90" i="11"/>
  <c r="G15" i="11" l="1"/>
  <c r="B119" i="11"/>
  <c r="I10" i="1" s="1"/>
  <c r="H10" i="1" s="1"/>
  <c r="C113" i="3" l="1"/>
  <c r="C99" i="3"/>
  <c r="C18" i="14" l="1"/>
  <c r="G57" i="11" l="1"/>
  <c r="K43" i="2" l="1"/>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E19" i="6"/>
  <c r="G75" i="11"/>
  <c r="G110" i="11" l="1"/>
  <c r="G111" i="11"/>
  <c r="G112" i="11"/>
  <c r="G113" i="11"/>
  <c r="G114" i="11"/>
  <c r="G115" i="11"/>
  <c r="G116" i="11"/>
  <c r="G117" i="11"/>
  <c r="G118" i="11"/>
  <c r="G109" i="11"/>
  <c r="G34" i="11"/>
  <c r="G35" i="11"/>
  <c r="G36" i="11"/>
  <c r="G37" i="11"/>
  <c r="G38" i="11"/>
  <c r="G39" i="11"/>
  <c r="G40" i="11"/>
  <c r="G41" i="11"/>
  <c r="G42" i="11"/>
  <c r="G43" i="11"/>
  <c r="G44" i="11"/>
  <c r="G45" i="11"/>
  <c r="G46" i="11"/>
  <c r="G47" i="11"/>
  <c r="G48" i="11"/>
  <c r="G49" i="11"/>
  <c r="G50" i="11"/>
  <c r="G51" i="11"/>
  <c r="G52" i="11"/>
  <c r="G53" i="11"/>
  <c r="G54" i="11"/>
  <c r="G55" i="11"/>
  <c r="G56" i="11"/>
  <c r="G58" i="11"/>
  <c r="G59" i="11"/>
  <c r="G60" i="11"/>
  <c r="G61" i="11"/>
  <c r="G62" i="11"/>
  <c r="G63" i="11"/>
  <c r="G64" i="11"/>
  <c r="G65" i="11"/>
  <c r="G66" i="11"/>
  <c r="G67" i="11"/>
  <c r="G68" i="11"/>
  <c r="G69" i="11"/>
  <c r="G70" i="11"/>
  <c r="G71" i="11"/>
  <c r="G72" i="11"/>
  <c r="G73" i="11"/>
  <c r="G74" i="11"/>
  <c r="G76" i="11"/>
  <c r="G77" i="11"/>
  <c r="G78" i="11"/>
  <c r="G79" i="11"/>
  <c r="G80" i="11"/>
  <c r="G81" i="11"/>
  <c r="G82" i="11"/>
  <c r="G83" i="11"/>
  <c r="G84" i="11"/>
  <c r="G85" i="11"/>
  <c r="G86" i="11"/>
  <c r="G87" i="11"/>
  <c r="G88" i="11"/>
  <c r="G89" i="11"/>
  <c r="G91" i="11"/>
  <c r="G92" i="11"/>
  <c r="G93" i="11"/>
  <c r="G94" i="11"/>
  <c r="G95" i="11"/>
  <c r="G96" i="11"/>
  <c r="G98" i="11"/>
  <c r="G99" i="11"/>
  <c r="G100" i="11"/>
  <c r="G101" i="11"/>
  <c r="G102" i="11"/>
  <c r="G103" i="11"/>
  <c r="G104" i="11"/>
  <c r="G105" i="11"/>
  <c r="G106" i="11"/>
  <c r="G107" i="11"/>
  <c r="G108" i="11"/>
  <c r="G33" i="11"/>
  <c r="G13" i="11"/>
  <c r="G14" i="11"/>
  <c r="G7" i="11"/>
  <c r="G4" i="11"/>
  <c r="E87" i="3" l="1"/>
  <c r="G16" i="14" l="1"/>
  <c r="C36" i="14" l="1"/>
  <c r="H6" i="14"/>
  <c r="C6" i="14" l="1"/>
  <c r="C37" i="14"/>
  <c r="B118" i="11"/>
  <c r="B117" i="11"/>
  <c r="B116" i="11"/>
  <c r="B115" i="11"/>
  <c r="E5" i="6"/>
  <c r="E6" i="6"/>
  <c r="E7" i="6"/>
  <c r="E8" i="6"/>
  <c r="E9" i="6"/>
  <c r="E10" i="6"/>
  <c r="E23" i="6"/>
  <c r="F1" i="6" l="1"/>
  <c r="E21" i="2"/>
  <c r="G33" i="14"/>
  <c r="C7" i="14"/>
  <c r="B114" i="11"/>
  <c r="B110" i="11"/>
  <c r="B111" i="11"/>
  <c r="B108" i="11"/>
  <c r="B15" i="18" l="1"/>
  <c r="D15" i="18" s="1"/>
  <c r="M15" i="18" s="1"/>
  <c r="B16" i="18"/>
  <c r="B17" i="18"/>
  <c r="D31" i="18"/>
  <c r="D30" i="18"/>
  <c r="D20" i="18"/>
  <c r="C20" i="18"/>
  <c r="B14" i="18"/>
  <c r="C14" i="18" s="1"/>
  <c r="B13" i="18"/>
  <c r="D7" i="18"/>
  <c r="G45" i="18"/>
  <c r="G44" i="18"/>
  <c r="G43" i="18"/>
  <c r="G42" i="18"/>
  <c r="G41" i="18"/>
  <c r="G40" i="18"/>
  <c r="D17" i="18" l="1"/>
  <c r="M17" i="18" s="1"/>
  <c r="C16" i="18"/>
  <c r="C17" i="18"/>
  <c r="C15" i="18"/>
  <c r="C13" i="18"/>
  <c r="D14" i="18"/>
  <c r="I121" i="1" l="1"/>
  <c r="H121" i="1" s="1"/>
  <c r="B107" i="11"/>
  <c r="B64" i="11"/>
  <c r="I194" i="1" s="1"/>
  <c r="H194" i="1" s="1"/>
  <c r="E8" i="2"/>
  <c r="C8" i="2"/>
  <c r="B6" i="14" s="1"/>
  <c r="B106" i="11"/>
  <c r="B102" i="11" l="1"/>
  <c r="E6" i="3"/>
  <c r="F59" i="3"/>
  <c r="F61" i="3"/>
  <c r="F60" i="3"/>
  <c r="F58" i="3"/>
  <c r="B154" i="11"/>
  <c r="I103" i="1" s="1"/>
  <c r="H103" i="1" s="1"/>
  <c r="B105" i="11"/>
  <c r="C75" i="3"/>
  <c r="D75" i="3" s="1"/>
  <c r="C74" i="3"/>
  <c r="D74" i="3" s="1"/>
  <c r="G29" i="14"/>
  <c r="B34" i="11"/>
  <c r="C122" i="3"/>
  <c r="C123" i="3"/>
  <c r="B100" i="11"/>
  <c r="I57" i="1" s="1"/>
  <c r="H57" i="1" s="1"/>
  <c r="B99" i="11"/>
  <c r="B98" i="11"/>
  <c r="B93" i="11"/>
  <c r="D16" i="2"/>
  <c r="D15" i="2"/>
  <c r="G121" i="11" s="1"/>
  <c r="G21" i="14"/>
  <c r="G20" i="14"/>
  <c r="G19" i="14"/>
  <c r="G18" i="14"/>
  <c r="I1" i="14" s="1"/>
  <c r="G17" i="14"/>
  <c r="G32" i="14"/>
  <c r="G31" i="14"/>
  <c r="G30" i="14"/>
  <c r="G28" i="14"/>
  <c r="G27" i="14"/>
  <c r="G26" i="14"/>
  <c r="C81" i="3"/>
  <c r="I52" i="1" l="1"/>
  <c r="H52" i="1" s="1"/>
  <c r="I56" i="1"/>
  <c r="H56" i="1" s="1"/>
  <c r="B79" i="11"/>
  <c r="B83" i="11"/>
  <c r="I113" i="1" s="1"/>
  <c r="H113" i="1" s="1"/>
  <c r="B84" i="11"/>
  <c r="I114" i="1" s="1"/>
  <c r="H114" i="1" s="1"/>
  <c r="B97" i="11"/>
  <c r="I100" i="1" s="1"/>
  <c r="H100" i="1" s="1"/>
  <c r="G8" i="11"/>
  <c r="G9" i="11"/>
  <c r="G10" i="11"/>
  <c r="G11" i="11"/>
  <c r="F74" i="3"/>
  <c r="G12" i="11"/>
  <c r="F75" i="3"/>
  <c r="E23" i="2"/>
  <c r="G122" i="11"/>
  <c r="C23" i="18"/>
  <c r="C25" i="18"/>
  <c r="C24" i="18"/>
  <c r="C26" i="18"/>
  <c r="C27" i="18"/>
  <c r="E13" i="7"/>
  <c r="D13" i="7"/>
  <c r="C13" i="7"/>
  <c r="D23" i="18" l="1"/>
  <c r="D25" i="18"/>
  <c r="D27" i="18"/>
  <c r="D26" i="18"/>
  <c r="D24" i="18"/>
  <c r="E15" i="7"/>
  <c r="D15" i="7"/>
  <c r="C15" i="7"/>
  <c r="E14" i="7"/>
  <c r="D14" i="7"/>
  <c r="C14" i="7"/>
  <c r="E12" i="7"/>
  <c r="D12" i="7"/>
  <c r="C12" i="7"/>
  <c r="H8" i="7"/>
  <c r="H7" i="7"/>
  <c r="H6" i="7"/>
  <c r="H5" i="7"/>
  <c r="E103" i="3"/>
  <c r="D87" i="3"/>
  <c r="E47" i="3"/>
  <c r="E38" i="3"/>
  <c r="E34" i="3"/>
  <c r="E7" i="2"/>
  <c r="E4" i="2"/>
  <c r="I1" i="7" l="1"/>
  <c r="F1" i="5"/>
  <c r="F63" i="3"/>
  <c r="D17" i="2"/>
  <c r="D19" i="2"/>
  <c r="D18" i="2"/>
  <c r="D20" i="2"/>
  <c r="D13" i="2"/>
  <c r="D14" i="2"/>
  <c r="G120" i="11" l="1"/>
  <c r="B77" i="11"/>
  <c r="B85" i="11"/>
  <c r="I115" i="1" s="1"/>
  <c r="H115" i="1" s="1"/>
  <c r="G119" i="11"/>
  <c r="B32" i="11"/>
  <c r="B88" i="11"/>
  <c r="B82" i="11"/>
  <c r="I112" i="1" s="1"/>
  <c r="H112" i="1" s="1"/>
  <c r="D13" i="18"/>
  <c r="M13" i="18" s="1"/>
  <c r="G2" i="11"/>
  <c r="C133" i="11" s="1" a="1"/>
  <c r="C133" i="11" s="1"/>
  <c r="B35" i="11"/>
  <c r="B95" i="11"/>
  <c r="B94" i="11"/>
  <c r="I138" i="1" l="1"/>
  <c r="H138" i="1" s="1"/>
  <c r="I137" i="1"/>
  <c r="H137" i="1" s="1"/>
  <c r="I140" i="1"/>
  <c r="H140" i="1" s="1"/>
  <c r="I139" i="1"/>
  <c r="H139" i="1" s="1"/>
  <c r="H24" i="11"/>
  <c r="G24" i="11" s="1" a="1"/>
  <c r="G24" i="11" s="1"/>
  <c r="B127" i="11" s="1" a="1"/>
  <c r="B127" i="11" s="1"/>
  <c r="H9" i="18" s="1"/>
  <c r="A3" i="1"/>
  <c r="B3" i="1"/>
  <c r="B129" i="11" l="1" a="1"/>
  <c r="B129" i="11" s="1"/>
  <c r="J9" i="18" s="1"/>
  <c r="B128" i="11" a="1"/>
  <c r="B128" i="11" s="1"/>
  <c r="I9" i="18" s="1"/>
  <c r="B126" i="11" a="1"/>
  <c r="B126" i="11" s="1"/>
  <c r="G9" i="18" s="1"/>
  <c r="B125" i="11" a="1"/>
  <c r="B125" i="11" s="1"/>
  <c r="F9" i="18" s="1"/>
  <c r="B130" i="11" a="1"/>
  <c r="B130" i="11" s="1"/>
  <c r="K9" i="18" s="1"/>
  <c r="B131" i="11" a="1"/>
  <c r="B131" i="11" s="1"/>
  <c r="L9" i="18" s="1"/>
  <c r="G3" i="1"/>
  <c r="D136" i="3"/>
  <c r="D132" i="3"/>
  <c r="D103" i="3"/>
  <c r="D40" i="3"/>
  <c r="D27" i="3"/>
  <c r="D21" i="3"/>
  <c r="D14" i="3"/>
  <c r="D9" i="3"/>
  <c r="L1" i="18" l="1"/>
  <c r="B103" i="11"/>
  <c r="C90" i="3"/>
  <c r="B92" i="11" l="1"/>
  <c r="I196" i="1" s="1"/>
  <c r="H196" i="1" s="1"/>
  <c r="B91" i="11"/>
  <c r="I198" i="1" s="1"/>
  <c r="H198" i="1" s="1"/>
  <c r="B86" i="11" l="1"/>
  <c r="I55" i="1" s="1"/>
  <c r="H55" i="1" s="1"/>
  <c r="B68" i="11" l="1"/>
  <c r="B75" i="11"/>
  <c r="B81" i="11"/>
  <c r="B78" i="11"/>
  <c r="B87" i="11" l="1"/>
  <c r="B74" i="11"/>
  <c r="B89" i="11"/>
  <c r="B71" i="11"/>
  <c r="I199" i="1" s="1"/>
  <c r="H199" i="1" s="1"/>
  <c r="B73" i="11" l="1"/>
  <c r="B33" i="11"/>
  <c r="B25" i="11"/>
  <c r="B70" i="11" l="1"/>
  <c r="I197" i="1" s="1"/>
  <c r="H197" i="1" s="1"/>
  <c r="B67" i="11"/>
  <c r="B66" i="11"/>
  <c r="I181" i="1" s="1"/>
  <c r="H181" i="1" s="1"/>
  <c r="B65" i="11" l="1"/>
  <c r="B63" i="11" l="1"/>
  <c r="B43" i="11"/>
  <c r="C97" i="3"/>
  <c r="C98" i="3"/>
  <c r="C100" i="3"/>
  <c r="B62" i="11"/>
  <c r="B61" i="11"/>
  <c r="B60" i="11"/>
  <c r="C109" i="3"/>
  <c r="B59" i="11"/>
  <c r="C128" i="3"/>
  <c r="B58" i="11"/>
  <c r="B57" i="11"/>
  <c r="B56" i="11"/>
  <c r="B55" i="11"/>
  <c r="B54" i="11"/>
  <c r="B53" i="11"/>
  <c r="B52" i="11"/>
  <c r="B50" i="11"/>
  <c r="B48" i="11"/>
  <c r="B47" i="11"/>
  <c r="B46" i="11"/>
  <c r="B45" i="11"/>
  <c r="B37" i="11"/>
  <c r="B31" i="11"/>
  <c r="B30" i="11"/>
  <c r="I111" i="1" s="1"/>
  <c r="H111" i="1" s="1"/>
  <c r="B29" i="11"/>
  <c r="I109" i="1" s="1"/>
  <c r="H109" i="1" s="1"/>
  <c r="B28" i="11"/>
  <c r="B27" i="11"/>
  <c r="I107" i="1" s="1"/>
  <c r="H107" i="1" s="1"/>
  <c r="B26" i="11"/>
  <c r="B23" i="11"/>
  <c r="B22" i="11"/>
  <c r="B21" i="11"/>
  <c r="I98" i="1" s="1"/>
  <c r="H98" i="1" s="1"/>
  <c r="B18" i="11"/>
  <c r="I94" i="1" s="1"/>
  <c r="H94" i="1" s="1"/>
  <c r="B15" i="11"/>
  <c r="B13" i="11"/>
  <c r="B12" i="11"/>
  <c r="B11" i="11"/>
  <c r="B10" i="11"/>
  <c r="B9" i="11"/>
  <c r="B8" i="11"/>
  <c r="B7" i="11"/>
  <c r="B6" i="11"/>
  <c r="B4" i="11"/>
  <c r="I48" i="1" s="1"/>
  <c r="H48" i="1" s="1"/>
  <c r="B3" i="11"/>
  <c r="B2" i="11"/>
  <c r="I33" i="1" s="1"/>
  <c r="H33" i="1" s="1"/>
  <c r="C91" i="3"/>
  <c r="C92" i="3"/>
  <c r="C93" i="3"/>
  <c r="C94" i="3"/>
  <c r="C95" i="3"/>
  <c r="C96" i="3"/>
  <c r="E21" i="3"/>
  <c r="E14" i="3"/>
  <c r="E27" i="3"/>
  <c r="E9" i="3"/>
  <c r="B51" i="11"/>
  <c r="B40" i="11"/>
  <c r="B5" i="11"/>
  <c r="B49" i="11"/>
  <c r="B42" i="11"/>
  <c r="I185" i="1" s="1"/>
  <c r="H185" i="1" s="1"/>
  <c r="C139" i="3"/>
  <c r="C138" i="3"/>
  <c r="C137" i="3"/>
  <c r="C136" i="3"/>
  <c r="C135" i="3"/>
  <c r="C134" i="3"/>
  <c r="C133" i="3"/>
  <c r="C132" i="3"/>
  <c r="C127" i="3"/>
  <c r="C119" i="3"/>
  <c r="C115" i="3"/>
  <c r="C114" i="3"/>
  <c r="C108" i="3"/>
  <c r="C105" i="3"/>
  <c r="C104" i="3"/>
  <c r="C103" i="3"/>
  <c r="C89" i="3"/>
  <c r="C88" i="3"/>
  <c r="C87" i="3"/>
  <c r="C86" i="3"/>
  <c r="C85" i="3"/>
  <c r="C84" i="3"/>
  <c r="C67" i="3"/>
  <c r="C66" i="3"/>
  <c r="C65" i="3"/>
  <c r="C64" i="3"/>
  <c r="C55" i="3"/>
  <c r="C54" i="3"/>
  <c r="C53" i="3"/>
  <c r="C52" i="3"/>
  <c r="C51" i="3"/>
  <c r="C31" i="18" s="1"/>
  <c r="C50" i="3"/>
  <c r="C30" i="18" s="1"/>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5" i="3"/>
  <c r="C36" i="3"/>
  <c r="C37" i="3"/>
  <c r="C39" i="3"/>
  <c r="C40" i="3"/>
  <c r="C41" i="3"/>
  <c r="C42" i="3"/>
  <c r="C43" i="3"/>
  <c r="C44" i="3"/>
  <c r="C45" i="3"/>
  <c r="C46" i="3"/>
  <c r="C5" i="3"/>
  <c r="E4" i="3"/>
  <c r="F3" i="1"/>
  <c r="E3" i="1"/>
  <c r="D185" i="11" s="1"/>
  <c r="J3" i="1"/>
  <c r="C3" i="1"/>
  <c r="I39" i="1" l="1"/>
  <c r="H39" i="1" s="1"/>
  <c r="I384" i="1"/>
  <c r="H384" i="1" s="1"/>
  <c r="I424" i="1"/>
  <c r="I43" i="1"/>
  <c r="H43" i="1" s="1"/>
  <c r="I44" i="1"/>
  <c r="H44" i="1" s="1"/>
  <c r="I356" i="1"/>
  <c r="H356" i="1" s="1"/>
  <c r="I412" i="1"/>
  <c r="I400" i="1"/>
  <c r="I369" i="1"/>
  <c r="H369" i="1" s="1"/>
  <c r="I54" i="1"/>
  <c r="H54" i="1" s="1"/>
  <c r="I53" i="1"/>
  <c r="H53" i="1" s="1"/>
  <c r="D167" i="11"/>
  <c r="D179" i="11"/>
  <c r="D164" i="11"/>
  <c r="D168" i="11"/>
  <c r="D178" i="11"/>
  <c r="D184" i="11"/>
  <c r="D163" i="11"/>
  <c r="D169" i="11"/>
  <c r="D182" i="11"/>
  <c r="D162" i="11"/>
  <c r="D170" i="11"/>
  <c r="D173" i="11"/>
  <c r="D183" i="11"/>
  <c r="D160" i="11"/>
  <c r="D166" i="11"/>
  <c r="D171" i="11"/>
  <c r="D165" i="11"/>
  <c r="D172" i="11"/>
  <c r="D181" i="11"/>
  <c r="D161" i="11"/>
  <c r="D174" i="11"/>
  <c r="D175" i="11"/>
  <c r="D176" i="11"/>
  <c r="D177" i="11"/>
  <c r="D180" i="11"/>
  <c r="D90" i="11"/>
  <c r="D96" i="11"/>
  <c r="D139" i="11"/>
  <c r="D140" i="11"/>
  <c r="D141" i="11"/>
  <c r="D142" i="11"/>
  <c r="D143" i="11"/>
  <c r="D144" i="11"/>
  <c r="D145" i="11"/>
  <c r="D146" i="11"/>
  <c r="D147" i="11"/>
  <c r="D148" i="11"/>
  <c r="D149" i="11"/>
  <c r="D150" i="11"/>
  <c r="D152" i="11"/>
  <c r="D138" i="11"/>
  <c r="D151" i="11"/>
  <c r="F1" i="3"/>
  <c r="D153" i="11"/>
  <c r="D155" i="11"/>
  <c r="D158" i="11"/>
  <c r="D156" i="11"/>
  <c r="D154" i="11"/>
  <c r="D157" i="11"/>
  <c r="D159" i="11"/>
  <c r="D119" i="11"/>
  <c r="D118" i="11"/>
  <c r="D117" i="11"/>
  <c r="D115" i="11"/>
  <c r="D116" i="11"/>
  <c r="D114" i="11"/>
  <c r="D112" i="11"/>
  <c r="D109" i="11"/>
  <c r="D111" i="11"/>
  <c r="D108" i="11"/>
  <c r="D110" i="11"/>
  <c r="D113" i="11"/>
  <c r="D3" i="1"/>
  <c r="D107" i="11"/>
  <c r="D106" i="11"/>
  <c r="D105" i="11"/>
  <c r="D104" i="11"/>
  <c r="D99" i="11"/>
  <c r="D100" i="11"/>
  <c r="D101" i="11"/>
  <c r="D102" i="11"/>
  <c r="D103" i="11"/>
  <c r="D98" i="11"/>
  <c r="D97" i="11"/>
  <c r="D95" i="11"/>
  <c r="D93" i="11"/>
  <c r="D94" i="11"/>
  <c r="B24" i="11"/>
  <c r="B36" i="11"/>
  <c r="D91" i="11"/>
  <c r="D92" i="11"/>
  <c r="D86" i="11"/>
  <c r="D85" i="11"/>
  <c r="D84" i="11"/>
  <c r="D83" i="11"/>
  <c r="D81" i="11"/>
  <c r="D89" i="11"/>
  <c r="D88" i="11"/>
  <c r="D87" i="11"/>
  <c r="D82" i="11"/>
  <c r="D80" i="11"/>
  <c r="D79" i="11"/>
  <c r="D78" i="11"/>
  <c r="D66" i="11"/>
  <c r="D58" i="11"/>
  <c r="D77" i="11"/>
  <c r="D75" i="11"/>
  <c r="D73" i="11"/>
  <c r="D76" i="11"/>
  <c r="D72" i="11"/>
  <c r="D74" i="11"/>
  <c r="D71" i="11"/>
  <c r="D70" i="11"/>
  <c r="D69" i="11"/>
  <c r="D68" i="11"/>
  <c r="D67" i="11"/>
  <c r="D56" i="11"/>
  <c r="D45" i="11"/>
  <c r="D32" i="11"/>
  <c r="D28" i="11"/>
  <c r="D47" i="11"/>
  <c r="D27" i="11"/>
  <c r="D31" i="11"/>
  <c r="D2" i="11"/>
  <c r="D13" i="11"/>
  <c r="D42" i="11"/>
  <c r="D15" i="11"/>
  <c r="D3" i="11"/>
  <c r="D44" i="11"/>
  <c r="D6" i="11"/>
  <c r="D4" i="11"/>
  <c r="D26" i="11"/>
  <c r="D39" i="11"/>
  <c r="D23" i="11"/>
  <c r="D37" i="11"/>
  <c r="D36" i="11"/>
  <c r="D59" i="11"/>
  <c r="D20" i="11"/>
  <c r="D35" i="11"/>
  <c r="D30" i="11"/>
  <c r="D18" i="11"/>
  <c r="D52" i="11"/>
  <c r="D62" i="11"/>
  <c r="D33" i="11"/>
  <c r="D55" i="11"/>
  <c r="D17" i="11"/>
  <c r="I3" i="1"/>
  <c r="H3" i="1" s="1"/>
  <c r="D57" i="11"/>
  <c r="D5" i="11"/>
  <c r="D16" i="11"/>
  <c r="D21" i="11"/>
  <c r="D11" i="11"/>
  <c r="D48" i="11"/>
  <c r="D22" i="11"/>
  <c r="D25" i="11"/>
  <c r="D46" i="11"/>
  <c r="D38" i="11"/>
  <c r="D41" i="11"/>
  <c r="D14" i="11"/>
  <c r="D24" i="11"/>
  <c r="D10" i="11"/>
  <c r="D51" i="11"/>
  <c r="D49" i="11"/>
  <c r="D40" i="11"/>
  <c r="D63" i="11"/>
  <c r="D12" i="11"/>
  <c r="D34" i="11"/>
  <c r="D8" i="11"/>
  <c r="D64" i="11"/>
  <c r="D53" i="11"/>
  <c r="D7" i="11"/>
  <c r="D50" i="11"/>
  <c r="D43" i="11"/>
  <c r="D61" i="11"/>
  <c r="D60" i="11"/>
  <c r="D54" i="11"/>
  <c r="D9" i="11"/>
  <c r="D19" i="11"/>
  <c r="D29" i="11"/>
  <c r="D65" i="11"/>
  <c r="E24" i="2" l="1"/>
  <c r="N1" i="2" s="1"/>
  <c r="I2" i="14" s="1"/>
  <c r="I2" i="7" s="1"/>
  <c r="D16" i="18"/>
  <c r="M16" i="18" s="1"/>
  <c r="B133" i="11" l="1" a="1"/>
  <c r="B133" i="11" s="1"/>
  <c r="B124" i="11" s="1"/>
  <c r="F2" i="6"/>
  <c r="F2" i="5"/>
  <c r="N2" i="2"/>
  <c r="F2" i="3"/>
  <c r="C38" i="14" l="1"/>
  <c r="D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EC3F99D-90C9-4A4C-9F7B-9049FA7A53B8}" name="CS_features_2025-06-16" type="6" refreshedVersion="8" deleted="1" background="1" saveData="1">
    <textPr sourceFile="/Users/ckrul/projects/oca/OCPPdevelopment/OCPP-2.x/part5_certification_profiles/CS_features_2025-06-16.csv" decimal="," thousands="." tab="0" comma="1">
      <textFields count="4">
        <textField/>
        <textField/>
        <textField/>
        <textField/>
      </textFields>
    </textPr>
  </connection>
  <connection id="2" xr16:uid="{7CA42B7A-E924-584F-8BE3-357113596768}" name="CS_features_2025-06-18"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3" xr16:uid="{F16A5637-99CF-634C-83D1-7673C1C71666}" name="CS_features_2025-06-181"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4" xr16:uid="{7054DA1E-5802-C048-91D3-4DC61C9C508B}" name="CS_features_2025-06-182"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5" xr16:uid="{1418CA47-D09D-1A45-96F9-9EDB8945D576}" name="CS_testcases_2025-06-18" type="6" refreshedVersion="8" deleted="1" background="1" saveData="1">
    <textPr sourceFile="/Users/ckrul/projects/oca/OCPPdevelopment/OCPP-2.x/part5_certification_profiles/CS_testcases_2025-06-18.csv" decimal="," thousands="." comma="1">
      <textFields count="6">
        <textField/>
        <textField/>
        <textField/>
        <textField/>
        <textField/>
        <textField/>
      </textFields>
    </textPr>
  </connection>
  <connection id="6" xr16:uid="{15FD6870-D6DB-DF44-9FF5-E3F92DF7482E}"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<sst xmlns="http://schemas.openxmlformats.org/spreadsheetml/2006/main" count="3900" uniqueCount="1790">
  <si>
    <t>Protocol Implementation Conformance Statement</t>
  </si>
  <si>
    <t>OCPP 2.0.1 Certification</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</si>
  <si>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</si>
  <si>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</si>
  <si>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</si>
  <si>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</si>
  <si>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</si>
  <si>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</si>
  <si>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</si>
  <si>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</si>
  <si>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</si>
  <si>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</si>
  <si>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</si>
  <si>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</si>
  <si>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</si>
  <si>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</si>
  <si>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</si>
  <si>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</si>
  <si>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</si>
  <si>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</si>
  <si>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</si>
  <si>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</si>
  <si>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</si>
  <si>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</si>
  <si>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</si>
  <si>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</si>
  <si>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</si>
  <si>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</si>
  <si>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</si>
  <si>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</si>
  <si>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</si>
  <si>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No. EVSEs</t>
  </si>
  <si>
    <t>Communication technology  </t>
  </si>
  <si>
    <t>RFID readers </t>
  </si>
  <si>
    <t>Optional features</t>
  </si>
  <si>
    <t xml:space="preserve">List of Optional Features is currently: </t>
  </si>
  <si>
    <t>  </t>
  </si>
  <si>
    <t>Id </t>
  </si>
  <si>
    <t>Feature</t>
  </si>
  <si>
    <t>C-01</t>
  </si>
  <si>
    <t>C-02</t>
  </si>
  <si>
    <t>C-03</t>
  </si>
  <si>
    <t>C-04</t>
  </si>
  <si>
    <t>C-06</t>
  </si>
  <si>
    <t>C-06.1</t>
  </si>
  <si>
    <t>C-06.2</t>
  </si>
  <si>
    <t>C-07</t>
  </si>
  <si>
    <t>C-08</t>
  </si>
  <si>
    <t>C-09</t>
  </si>
  <si>
    <t>C-09.1</t>
  </si>
  <si>
    <t>C-09.2</t>
  </si>
  <si>
    <t>C-09.3</t>
  </si>
  <si>
    <t>C-09.4</t>
  </si>
  <si>
    <t>C-09.5</t>
  </si>
  <si>
    <t>C-09.6</t>
  </si>
  <si>
    <t>C-10</t>
  </si>
  <si>
    <t>C-10.1</t>
  </si>
  <si>
    <t>C-10.2</t>
  </si>
  <si>
    <t>C-10.3</t>
  </si>
  <si>
    <t>C-10.4</t>
  </si>
  <si>
    <t>C-10.5</t>
  </si>
  <si>
    <t>C-12</t>
  </si>
  <si>
    <t>C-12.1</t>
  </si>
  <si>
    <t>C-12.2</t>
  </si>
  <si>
    <t>C-13</t>
  </si>
  <si>
    <t>C-14</t>
  </si>
  <si>
    <t>C-20</t>
  </si>
  <si>
    <t>C-21</t>
  </si>
  <si>
    <r>
      <t> </t>
    </r>
    <r>
      <rPr>
        <b/>
        <sz val="11"/>
        <color rgb="FF000000"/>
        <rFont val="Arial"/>
        <family val="2"/>
      </rPr>
      <t> </t>
    </r>
  </si>
  <si>
    <t>C-23</t>
  </si>
  <si>
    <t>C-25</t>
  </si>
  <si>
    <t>C-26</t>
  </si>
  <si>
    <t>C-28</t>
  </si>
  <si>
    <t>C-29</t>
  </si>
  <si>
    <t>C-29.1</t>
  </si>
  <si>
    <t>C-29.2</t>
  </si>
  <si>
    <t>C-29.3</t>
  </si>
  <si>
    <t>C-29.4</t>
  </si>
  <si>
    <t>C-29.5</t>
  </si>
  <si>
    <t>C-29.6</t>
  </si>
  <si>
    <t>C-30</t>
  </si>
  <si>
    <t>C-31</t>
  </si>
  <si>
    <t>C-32</t>
  </si>
  <si>
    <t>C-33</t>
  </si>
  <si>
    <t>C-34</t>
  </si>
  <si>
    <t>C-35</t>
  </si>
  <si>
    <t> Id </t>
  </si>
  <si>
    <t>Supported</t>
  </si>
  <si>
    <t>C-36</t>
  </si>
  <si>
    <t>C-37</t>
  </si>
  <si>
    <t>C-38</t>
  </si>
  <si>
    <t>C-39</t>
  </si>
  <si>
    <t>C-40</t>
  </si>
  <si>
    <t>{ list of supported } at least one</t>
  </si>
  <si>
    <t>* mandatory to support at least one </t>
  </si>
  <si>
    <t>C-41</t>
  </si>
  <si>
    <t>C-42</t>
  </si>
  <si>
    <t>C-43</t>
  </si>
  <si>
    <t>C-47</t>
  </si>
  <si>
    <t>C-48</t>
  </si>
  <si>
    <t>C-48.1</t>
  </si>
  <si>
    <t>C-48.2</t>
  </si>
  <si>
    <t>C-58</t>
  </si>
  <si>
    <t>C-49</t>
  </si>
  <si>
    <t>C-59</t>
  </si>
  <si>
    <t>C-51</t>
  </si>
  <si>
    <t>C-52</t>
  </si>
  <si>
    <t>C-53</t>
  </si>
  <si>
    <t>C-54</t>
  </si>
  <si>
    <t>C-56</t>
  </si>
  <si>
    <t>C-57</t>
  </si>
  <si>
    <t>C-60</t>
  </si>
  <si>
    <t>Certification Profile: Smart Charging </t>
  </si>
  <si>
    <t>SC-2</t>
  </si>
  <si>
    <t>SC-2.1</t>
  </si>
  <si>
    <t>SC-2.2</t>
  </si>
  <si>
    <t>AS-2</t>
  </si>
  <si>
    <t>AS-3</t>
  </si>
  <si>
    <t>R-2</t>
  </si>
  <si>
    <t>R-3</t>
  </si>
  <si>
    <t>DM-3</t>
  </si>
  <si>
    <t>ISO-4</t>
  </si>
  <si>
    <t>LA-1</t>
  </si>
  <si>
    <t>LA-3</t>
  </si>
  <si>
    <t>UI-1</t>
  </si>
  <si>
    <t>UI-1.1</t>
  </si>
  <si>
    <t>UI-1.2</t>
  </si>
  <si>
    <t>UI-1.3</t>
  </si>
  <si>
    <t>UI-2</t>
  </si>
  <si>
    <t>UI-2.1</t>
  </si>
  <si>
    <t>UI-2.2</t>
  </si>
  <si>
    <t>UI-2.3</t>
  </si>
  <si>
    <t>UI-2.4</t>
  </si>
  <si>
    <t>Profile selection</t>
  </si>
  <si>
    <t>Certification Profile</t>
  </si>
  <si>
    <t>Description</t>
  </si>
  <si>
    <t>Core</t>
  </si>
  <si>
    <t>Basic Charging Station functionality for booting, authorization (incl. cache if available), configuration, transactions, remote control, including basic security.</t>
  </si>
  <si>
    <t>Advanced Security</t>
  </si>
  <si>
    <t>Support for TLS with client authentication.</t>
  </si>
  <si>
    <t>Local Authorization List Management</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</si>
  <si>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</si>
  <si>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</si>
  <si>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</si>
  <si>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</si>
  <si>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</si>
  <si>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</si>
  <si>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</si>
  <si>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Additional questions</t>
  </si>
  <si>
    <t>Additional questions for lab testing </t>
  </si>
  <si>
    <t>AQ-1</t>
  </si>
  <si>
    <t>AQ-2</t>
  </si>
  <si>
    <t>Does the Charging Station have a cable lock, which prevents the EV driver to connect the EV and EVSE before authorization? </t>
  </si>
  <si>
    <t>AQ-3</t>
  </si>
  <si>
    <t>Can the last ChargingStationCertificate be removed (via other means than OCPP)? </t>
  </si>
  <si>
    <t>AQ-4</t>
  </si>
  <si>
    <t>Is there at least one unsupported NumberOfPhases? </t>
  </si>
  <si>
    <t>AQ-5</t>
  </si>
  <si>
    <t>Does the Charging Station have at least one hardWired monitor? </t>
  </si>
  <si>
    <t>AQ-6</t>
  </si>
  <si>
    <t>Does the Charging Station have a pre-configured monitor?</t>
  </si>
  <si>
    <t>AQ-7</t>
  </si>
  <si>
    <t>Is your Charging Station able to download firmware while there is an ongoing transaction?</t>
  </si>
  <si>
    <t>AQ-8</t>
  </si>
  <si>
    <t>Does your Charging Station enforce a selection of EVSE (by design) prior to authorization?</t>
  </si>
  <si>
    <t>Other relevant Settings</t>
  </si>
  <si>
    <t>Value </t>
  </si>
  <si>
    <t>ORS-1</t>
  </si>
  <si>
    <t>ItemsPerMessageGetReport </t>
  </si>
  <si>
    <t>… </t>
  </si>
  <si>
    <t>ORS-2</t>
  </si>
  <si>
    <t>ItemsPerMessageGetVariables </t>
  </si>
  <si>
    <t>ORS-3</t>
  </si>
  <si>
    <t>ItemsPerMessageSetVariables </t>
  </si>
  <si>
    <t>ORS-4</t>
  </si>
  <si>
    <t>BytesPerMessageGetReport </t>
  </si>
  <si>
    <t>ORS-5</t>
  </si>
  <si>
    <t>BytesPerMessageGetVariables </t>
  </si>
  <si>
    <t>ORS-6</t>
  </si>
  <si>
    <t>BytesPerMessageSetVariables </t>
  </si>
  <si>
    <t>ORS-7</t>
  </si>
  <si>
    <t>ORS-8</t>
  </si>
  <si>
    <t>ORS-9</t>
  </si>
  <si>
    <t>Minimum SampledDataTxUpdatedInterval supported </t>
  </si>
  <si>
    <t>ORS-10</t>
  </si>
  <si>
    <t>Maximum SampledDataTxUpdatedInterval supported  </t>
  </si>
  <si>
    <t>ORS-11</t>
  </si>
  <si>
    <t>Minimum HeartbeatInterval supported  </t>
  </si>
  <si>
    <t>ORS-12</t>
  </si>
  <si>
    <t>Maximum HeartbeatInterval supported </t>
  </si>
  <si>
    <t>ORS-14</t>
  </si>
  <si>
    <t>ORS-15</t>
  </si>
  <si>
    <t>ORS-16</t>
  </si>
  <si>
    <t>WebSocketPingInterval </t>
  </si>
  <si>
    <t>ORS-17</t>
  </si>
  <si>
    <t>ORS-18</t>
  </si>
  <si>
    <t>MaxCertificateChainSize </t>
  </si>
  <si>
    <t>ORS-19</t>
  </si>
  <si>
    <t>LocalAuthListEntries </t>
  </si>
  <si>
    <t>ORS-20</t>
  </si>
  <si>
    <t>ItemsPerMessageSendLocalList </t>
  </si>
  <si>
    <t>ORS-21</t>
  </si>
  <si>
    <t>BytesPerMessageSendLocalList </t>
  </si>
  <si>
    <t>ORS-22</t>
  </si>
  <si>
    <t>ChargingProfileMaxStackLevel </t>
  </si>
  <si>
    <t>ORS-23</t>
  </si>
  <si>
    <t>PeriodsPerSchedule </t>
  </si>
  <si>
    <t>ORS-24</t>
  </si>
  <si>
    <t>Supported file transfer protocols </t>
  </si>
  <si>
    <t>ORS-25</t>
  </si>
  <si>
    <t>ItemsPerMessageSetVariableMonitoring </t>
  </si>
  <si>
    <t>ORS-26</t>
  </si>
  <si>
    <t>BytesPerMessageSetVariableMonitoring </t>
  </si>
  <si>
    <t>ORS-27</t>
  </si>
  <si>
    <t>NumberOfDisplayMessages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</si>
  <si>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</si>
  <si>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</si>
  <si>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</si>
  <si>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</si>
  <si>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</si>
  <si>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</si>
  <si>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</si>
  <si>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</si>
  <si>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</si>
  <si>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</si>
  <si>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</si>
  <si>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</si>
  <si>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</si>
  <si>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</si>
  <si>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</si>
  <si>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</si>
  <si>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OCPP triggered function response time (asynchronous reporting) </t>
  </si>
  <si>
    <t>OCPP response time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</si>
  <si>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</si>
  <si>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</si>
  <si>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</si>
  <si>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</si>
  <si>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</si>
  <si>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</si>
  <si>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NOT C-56</t>
  </si>
  <si>
    <t>C-40 and C-42</t>
  </si>
  <si>
    <t>AS-2 and C-47</t>
  </si>
  <si>
    <t>NOT C-13</t>
  </si>
  <si>
    <t>(C-30 or C-31 or C-32 or C-35) and NOT AQ-2</t>
  </si>
  <si>
    <t>C-30 or C-31 or C-32</t>
  </si>
  <si>
    <t>(C-30 or C-31 or C-32 or C-35) and AQ-2</t>
  </si>
  <si>
    <t>NOT AQ-2 and (C-30 or C-31 or C-32)</t>
  </si>
  <si>
    <t>C-30 or C-31 or C-32 or (C-48.1 and (C-36 or C-37))</t>
  </si>
  <si>
    <t>C-49 and (C-07 or C-08)</t>
  </si>
  <si>
    <t>C-49 and C-03</t>
  </si>
  <si>
    <t>NOT AQ-2 and (C-30 - C-35 or ISO 15118 support)</t>
  </si>
  <si>
    <t>C-30 - C-35 or ISO 15118 support</t>
  </si>
  <si>
    <t>C-09.2 and (C-30 - C-35 or ISO 15118 support)</t>
  </si>
  <si>
    <t>C-09.3 and (C-51 or NOT (C-09.1 or C-09.2 or C-09.6))</t>
  </si>
  <si>
    <t>C-09.4 and (C-51 or NOT (C-09.1 or C-09.2 or C-09.3 or C-09.6))</t>
  </si>
  <si>
    <t>C-09.5 and (C-51 or NOT (C-09.1 or C-09.2 or C-09.3 or C-09.4 or C-09.6))</t>
  </si>
  <si>
    <t>HFS-1 and C-10.1 and (C-52 or NOT (C-10.2 or C-10.3 or C-10.4))</t>
  </si>
  <si>
    <t>C-10.1 and (C-52 or NOT (C-10.3 or C-10.4))</t>
  </si>
  <si>
    <t>C-10.2 and (C-30 or C-31 or C-32 or C35)</t>
  </si>
  <si>
    <t>(C-10.2 or C-10.3) and (C-30 - C-35 or ISO 15118 support) and C-01</t>
  </si>
  <si>
    <t>(C-10.2 or C-10.3) and C-06.2</t>
  </si>
  <si>
    <t>C-10.3 and (C-52 or NOT C-10.2) and (C-30 or C-31 or C-32 or C35)</t>
  </si>
  <si>
    <t>C-10.3 and (C-52 or NOT C-10.2)</t>
  </si>
  <si>
    <t>C-10.3 and (C-52 or NOT (C-10.1 or C-10.4))</t>
  </si>
  <si>
    <t>C-10.4 and (C-52 or NOT (C-10.2 or C-10.3))</t>
  </si>
  <si>
    <t>C-10.5 and (C-52 or NOT (C-10.1 or C-10.2 or C-10.3 or C-10.4))</t>
  </si>
  <si>
    <t>C-30 or C-31 or C-32 or C35</t>
  </si>
  <si>
    <t>HFS-1 and C-06.2 and C-12.1</t>
  </si>
  <si>
    <t>C-06.2 and C-12.2</t>
  </si>
  <si>
    <t>(C-10.2 or C-10.5) and (C-52 or NOT (C-10.1 or C-10.3 or C-10.4)) and C-06.1 and C-12.2</t>
  </si>
  <si>
    <t>(C-10.2 or C-10.5) and (C-52 or NOT (C-10.1 or C-10.3 or C-10.4)) and C-06.1 and C-12.2 and HFS-2</t>
  </si>
  <si>
    <t>C-01 and (C-30 - C-35 or ISO 15118 support)</t>
  </si>
  <si>
    <t>AQ-2 and (C-36 -(or) C-39)</t>
  </si>
  <si>
    <t>C-48.1 and (C-36 -(or) C-39)</t>
  </si>
  <si>
    <t>C-48.2 and (C-36 -(or) C-39)</t>
  </si>
  <si>
    <t>See column 3/4</t>
  </si>
  <si>
    <t>NOT ISO-3</t>
  </si>
  <si>
    <t>NOT Smart Charging</t>
  </si>
  <si>
    <t>C-20 and NOT C-43</t>
  </si>
  <si>
    <t>(C-30 or C-31 or C-34) and (Local Authorization List Management or C-49)</t>
  </si>
  <si>
    <t>(C-30 or C-31 or C-34) and C-49</t>
  </si>
  <si>
    <t>NOT (UI-1.1 and UI-1.2 and UI-1.3)</t>
  </si>
  <si>
    <t>NOT (UI-2.1 and UI-2.2 and UI-2.3 and UI-2.4)</t>
  </si>
  <si>
    <t>(UI-1.1 and UI-1.2) or (UI-1.2 and UI-1.3) or (UI-1.3 and UI-1.1)</t>
  </si>
  <si>
    <t>NOT (HFS-5 and HFS-6 and HFS-7)</t>
  </si>
  <si>
    <t>NOT (SC-2.1 and SC-2.2)</t>
  </si>
  <si>
    <t>HFS-8 &gt; 1</t>
  </si>
  <si>
    <t>C-49 and (C-30 or C-31 or C-32)</t>
  </si>
  <si>
    <t>C-02 and (C-30 or C-31 or C-32)</t>
  </si>
  <si>
    <t>C-07 and (C-30 or C-31 or C-32)</t>
  </si>
  <si>
    <t>C-08 and (C-30 or C-31 or C-32)</t>
  </si>
  <si>
    <t>C-53 and (C-30 or C-31 or C-32)</t>
  </si>
  <si>
    <t>C-49 and (C-07 or C-08) and (C-30 or C-31 or C-32)</t>
  </si>
  <si>
    <t>C-49 and C-03 and (C-30 or C-31 or C-32)</t>
  </si>
  <si>
    <t>C-59 and C-49 and (C-30 or C-31 or C-32)</t>
  </si>
  <si>
    <t>LA-3 and (C-30 or C-31 or C-32)</t>
  </si>
  <si>
    <t>C-20 and NOT C-43 and AQ-7</t>
  </si>
  <si>
    <t>C-20 and NOT C-43 and NOT AQ-7</t>
  </si>
  <si>
    <t>C-40 and NOT AQ-8</t>
  </si>
  <si>
    <t>NOT C-60</t>
  </si>
  <si>
    <t xml:space="preserve">Name </t>
  </si>
  <si>
    <t>CS Status</t>
  </si>
  <si>
    <t>Additional root certificate check mechanism implemented (AdditionalRootCertificateCheck)</t>
  </si>
  <si>
    <t>Optional</t>
  </si>
  <si>
    <t>Update Charging Station Certificate - CertificateSignedRequest Timeout (CertSigningWaitMinimum,CertSigningRepeatTimes)</t>
  </si>
  <si>
    <t>Support for offline authorization of transactions</t>
  </si>
  <si>
    <t>Support for allowing Offline Authorization for Unknown Ids (OfflineTxForUnknownIdEnabled)</t>
  </si>
  <si>
    <t>Support for maximizing energy for invalid ids (MaxEnergyOnInvalidId)</t>
  </si>
  <si>
    <t>Support to limit StatusNotifications (MinimumStatusDuration)</t>
  </si>
  <si>
    <t>Authorization status after cable disconnected on EV side (StopTxOnEVSideDisconnect)</t>
  </si>
  <si>
    <t>Support for maintaining authorization when cable disconnected on EV side</t>
  </si>
  <si>
    <t>Support for not maintaining authorization when cable disconnected on EV side</t>
  </si>
  <si>
    <t>Support for using a Master Pass for charging stations with UI (MasterPassGroupId)</t>
  </si>
  <si>
    <t>Support for using a Master Pass for charging stations without UI (MasterPassGroupId)</t>
  </si>
  <si>
    <t>Supported Transaction Start points (TxStartPoint)</t>
  </si>
  <si>
    <t>Start transaction options - EVConnected</t>
  </si>
  <si>
    <t>Start transaction options - Authorized</t>
  </si>
  <si>
    <t>Start transaction options - DataSigned</t>
  </si>
  <si>
    <t>Start transaction options - PowerPathClosed</t>
  </si>
  <si>
    <t>Start transaction options - EnergyTransfer</t>
  </si>
  <si>
    <t>Start transaction options - ParkingBayOccupancy</t>
  </si>
  <si>
    <t>Supported Transaction Stop points (TxStopPoint)</t>
  </si>
  <si>
    <t>Stop transaction options - EVConnected</t>
  </si>
  <si>
    <t>Stop transaction options - Authorized</t>
  </si>
  <si>
    <t>Stop transaction options - PowerPathClosed</t>
  </si>
  <si>
    <t>Stop transaction options - EnergyTransfer</t>
  </si>
  <si>
    <t>Stop transaction options - ParkingBayOccupancy</t>
  </si>
  <si>
    <t>Unlocking of connector when cable disconnected on EV side (UnlockOnEVSideDisconnect)</t>
  </si>
  <si>
    <t>Support for unlocking connector when cable disconnected on EV side</t>
  </si>
  <si>
    <t>Support for not unlocking when cable disconnected on EV side</t>
  </si>
  <si>
    <t>Support for Reset per EVSE (AllowReset)</t>
  </si>
  <si>
    <t>Support for retrieving / deleting CustomerInformation - CustomerIdentifier</t>
  </si>
  <si>
    <t>Allowing New Sessions Pending a FirmwareUpdate (AllowNewSessionsPendingFirmwareUpdate )</t>
  </si>
  <si>
    <t>Support for queuing all or only Transaction related messages until they are delivered to the CSMS (QueueAllMessages)</t>
  </si>
  <si>
    <t>Time related settings</t>
  </si>
  <si>
    <t>Supported time sources (TimeSource)</t>
  </si>
  <si>
    <t>{ list } at least Heartbeat</t>
  </si>
  <si>
    <t>Support for setting a TimeOffset (TimeOffset)</t>
  </si>
  <si>
    <t>Support for setting the TimeZone (TimeZone)</t>
  </si>
  <si>
    <t>Toggle sending clock aligned meter values when a transaction is ongoing / Idle (AlignedDataSendDuringIdle)</t>
  </si>
  <si>
    <t>TriggerMessage</t>
  </si>
  <si>
    <t>Trigger message - MeterValues</t>
  </si>
  <si>
    <t>Trigger message - TransactionEvent</t>
  </si>
  <si>
    <t>Trigger message - LogStatusNotification</t>
  </si>
  <si>
    <t>Trigger message - FirmwareStatusNotification</t>
  </si>
  <si>
    <t>Trigger message - StatusNotification</t>
  </si>
  <si>
    <t>Trigger message - BootNotification</t>
  </si>
  <si>
    <t>Authorization options for local start</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</si>
  <si>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</si>
  <si>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</si>
  <si>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</si>
  <si>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</si>
  <si>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</si>
  <si>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</si>
  <si>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</si>
  <si>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</si>
  <si>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Supported Cipher Suites</t>
  </si>
  <si>
    <t>Signed Metervalues (SampledDataSignReadings)</t>
  </si>
  <si>
    <t>Support for falling back to default OCPP reconnection mechanism when NetworkConnection profile connection has failed</t>
  </si>
  <si>
    <t>Authorization of remote start (AuthorizeRemoteStart)</t>
  </si>
  <si>
    <t>Option for authorization in case of a remote start</t>
  </si>
  <si>
    <t>Option for no authorization in case of a remote start</t>
  </si>
  <si>
    <t>Authorization Cache (AuthCacheEnabled)</t>
  </si>
  <si>
    <t>Configurable TxStartPoint</t>
  </si>
  <si>
    <t>Configurable TxStopPoint</t>
  </si>
  <si>
    <t>Support for lifetime cached token (AuthCacheLifeTime)</t>
  </si>
  <si>
    <t>Supported policies for replacing cached entries (AuthCachePolicy)</t>
  </si>
  <si>
    <t>Support for providing the SummaryInventory</t>
  </si>
  <si>
    <t>Support for cancelling ongoing log file upload</t>
  </si>
  <si>
    <t>Option for disabling remote authorization for cached invalid idTokens (AuthCacheDisablePostAuthorize)</t>
  </si>
  <si>
    <t>Support for cancelling ongoing firmware update</t>
  </si>
  <si>
    <t>Queue notifyEventRequest messages for specific severities (OfflineMonitoringEventQueuingSeverity)</t>
  </si>
  <si>
    <t>ISO 15118 support</t>
  </si>
  <si>
    <t>Support for retrieving / deleting CustomerInformation - CustomerCertificate</t>
  </si>
  <si>
    <t>Authorization list support (LocalAuthListEnabled)</t>
  </si>
  <si>
    <t>Option for disabling remote authorization for invalid idTokens stored at the Local Authorization List (LocalAuthListDisablePostAuthorize)</t>
  </si>
  <si>
    <t>Support for reservation of unspecified EVSE (ReservationNonEvseSpecific)</t>
  </si>
  <si>
    <t>Supported charging rate units (ChargingScheduleChargingRateUnit)</t>
  </si>
  <si>
    <t>A</t>
  </si>
  <si>
    <t>W</t>
  </si>
  <si>
    <t>Supported message priorities (DisplayMessageSupportedPriorities)</t>
  </si>
  <si>
    <t>AlwaysFront</t>
  </si>
  <si>
    <t>InFront</t>
  </si>
  <si>
    <t>NormalCycle</t>
  </si>
  <si>
    <t>Supported message formats (DisplayMessageSupportedFormats)</t>
  </si>
  <si>
    <t>ASCII</t>
  </si>
  <si>
    <t>HTML</t>
  </si>
  <si>
    <t>URI</t>
  </si>
  <si>
    <t>UTF8</t>
  </si>
  <si>
    <t>Helper</t>
  </si>
  <si>
    <t>TC_A_01_CS</t>
  </si>
  <si>
    <t>M</t>
  </si>
  <si>
    <t>TC_A_04_CS</t>
  </si>
  <si>
    <t>TC_A_05_CS</t>
  </si>
  <si>
    <t>TC_A_06_CS</t>
  </si>
  <si>
    <t>TC_A_07_CS</t>
  </si>
  <si>
    <t>TC_A_09_CS</t>
  </si>
  <si>
    <t>TC_A_10_CS</t>
  </si>
  <si>
    <t>TC_A_11_CS</t>
  </si>
  <si>
    <t>TC_A_12_CS</t>
  </si>
  <si>
    <t>C</t>
  </si>
  <si>
    <t>TC_A_14_CS</t>
  </si>
  <si>
    <t>TC_A_15_CS</t>
  </si>
  <si>
    <t>TC_A_19_CS</t>
  </si>
  <si>
    <t>TC_A_20_CS</t>
  </si>
  <si>
    <t>TC_A_21_CS</t>
  </si>
  <si>
    <t>TC_A_22_CS</t>
  </si>
  <si>
    <t>TC_A_23_CS</t>
  </si>
  <si>
    <t>TC_B_01_CS</t>
  </si>
  <si>
    <t>TC_B_02_CS</t>
  </si>
  <si>
    <t>C-44</t>
  </si>
  <si>
    <t>BootNotification Pending</t>
  </si>
  <si>
    <t>TC_B_03_CS</t>
  </si>
  <si>
    <t>TC_B_06_CS</t>
  </si>
  <si>
    <t>TC_B_07_CS</t>
  </si>
  <si>
    <t>C-45</t>
  </si>
  <si>
    <t>TC_B_09_CS</t>
  </si>
  <si>
    <t>TC_B_10_CS</t>
  </si>
  <si>
    <t>C-46</t>
  </si>
  <si>
    <t>TC_B_11_CS</t>
  </si>
  <si>
    <t>TC_B_12_CS</t>
  </si>
  <si>
    <t>ConfigurationInventory</t>
  </si>
  <si>
    <t>TC_B_13_CS</t>
  </si>
  <si>
    <t>C-50.2</t>
  </si>
  <si>
    <t>GetBaseReport - FullInventory - Manual trigger</t>
  </si>
  <si>
    <t>TC_B_14_CS</t>
  </si>
  <si>
    <t>TC_B_15_CS</t>
  </si>
  <si>
    <t>Not C-56</t>
  </si>
  <si>
    <t>TC_B_16_CS</t>
  </si>
  <si>
    <t>TC_B_17_CS</t>
  </si>
  <si>
    <t>TC_B_18_CS</t>
  </si>
  <si>
    <t>TC_B_20_CS</t>
  </si>
  <si>
    <t>TC_B_21_CS</t>
  </si>
  <si>
    <t>TC_B_22_CS</t>
  </si>
  <si>
    <t>TC_B_23_CS</t>
  </si>
  <si>
    <t>TC_B_24_CS</t>
  </si>
  <si>
    <t>TC_B_25_CS</t>
  </si>
  <si>
    <t>Reset per EVSE</t>
  </si>
  <si>
    <t>TC_B_26_CS</t>
  </si>
  <si>
    <t>TC_B_27_CS</t>
  </si>
  <si>
    <t>TC_B_28_CS</t>
  </si>
  <si>
    <t>TC_B_29_CS</t>
  </si>
  <si>
    <t>TC_B_30_CS</t>
  </si>
  <si>
    <t>TC_B_32_CS</t>
  </si>
  <si>
    <t>TC_B_33_CS</t>
  </si>
  <si>
    <t>TC_B_34_CS</t>
  </si>
  <si>
    <t>TC_B_35_CS</t>
  </si>
  <si>
    <t>TC_B_36_CS</t>
  </si>
  <si>
    <t>TC_B_37_CS</t>
  </si>
  <si>
    <t>TC_B_39_CS</t>
  </si>
  <si>
    <t>TC_B_41_CS</t>
  </si>
  <si>
    <t>TC_B_43_CS</t>
  </si>
  <si>
    <t>TC_B_45_CS</t>
  </si>
  <si>
    <t>TC_B_46_CS</t>
  </si>
  <si>
    <t>TC_B_47_CS</t>
  </si>
  <si>
    <t>Additional Root Certificate check mechanism implemented &amp; Reconnect after NetworkProfileConnectionAttempts</t>
  </si>
  <si>
    <t>TC_B_49_CS</t>
  </si>
  <si>
    <t>Reconnect after NetworkProfileConnectionAttempts</t>
  </si>
  <si>
    <t>TC_B_50_CS</t>
  </si>
  <si>
    <t>TC_B_51_CS</t>
  </si>
  <si>
    <t>TC_B_52_CS</t>
  </si>
  <si>
    <t>TC_B_53_CS</t>
  </si>
  <si>
    <t>TC_B_54_CS</t>
  </si>
  <si>
    <t>TC_B_55_CS</t>
  </si>
  <si>
    <t>TC_B_56_CS</t>
  </si>
  <si>
    <t>TC_B_57_CS</t>
  </si>
  <si>
    <t>TC_C_02_CS</t>
  </si>
  <si>
    <t>TC_C_04_CS</t>
  </si>
  <si>
    <t>Local Authorization - using RFID ISO14443 / RFID ISO15693 / KeyCode</t>
  </si>
  <si>
    <t>TC_C_05_CS</t>
  </si>
  <si>
    <t>Local Authorization - using RFID ISO14443 / RFID ISO15693 / KeyCode / NoAuthorization</t>
  </si>
  <si>
    <t>TC_C_06_CS</t>
  </si>
  <si>
    <t>TC_C_07_CS</t>
  </si>
  <si>
    <t>TC_C_08_CS</t>
  </si>
  <si>
    <t>Authorization Cache</t>
  </si>
  <si>
    <t>TC_C_09_CS</t>
  </si>
  <si>
    <t>TC_C_10_CS</t>
  </si>
  <si>
    <t>TC_C_11_CS</t>
  </si>
  <si>
    <t>TC_C_12_CS</t>
  </si>
  <si>
    <t>TC_C_13_CS</t>
  </si>
  <si>
    <t>TC_C_15_CS</t>
  </si>
  <si>
    <t>Authorization Cache &amp; MaxEnergyOnInvalidId</t>
  </si>
  <si>
    <t>TC_C_16_CS</t>
  </si>
  <si>
    <t>TC_C_17_CS</t>
  </si>
  <si>
    <t>TC_C_18_CS</t>
  </si>
  <si>
    <t>TC_C_21_CS</t>
  </si>
  <si>
    <t>TC_C_22_CS</t>
  </si>
  <si>
    <t>TC_C_23_CS</t>
  </si>
  <si>
    <t>TC_C_24_CS</t>
  </si>
  <si>
    <t>TC_C_25_CS</t>
  </si>
  <si>
    <t>TC_C_26_CS</t>
  </si>
  <si>
    <t>Unknown Offline Authorization</t>
  </si>
  <si>
    <t>TC_C_27_CS</t>
  </si>
  <si>
    <t>TC_C_28_CS</t>
  </si>
  <si>
    <t>TC_C_29_CS</t>
  </si>
  <si>
    <t>TC_C_30_CS</t>
  </si>
  <si>
    <t>TC_C_31_CS</t>
  </si>
  <si>
    <t>TC_C_32_CS</t>
  </si>
  <si>
    <t>TC_C_33_CS</t>
  </si>
  <si>
    <t>TC_C_34_CS</t>
  </si>
  <si>
    <t>TC_C_36_CS</t>
  </si>
  <si>
    <t>TC_C_37_CS</t>
  </si>
  <si>
    <t>TC_C_38_CS</t>
  </si>
  <si>
    <t>TC_C_39_CS</t>
  </si>
  <si>
    <t>TC_C_40_CS</t>
  </si>
  <si>
    <t>TC_C_41_CS</t>
  </si>
  <si>
    <t>TC_C_42_CS</t>
  </si>
  <si>
    <t>TC_C_43_CS</t>
  </si>
  <si>
    <t>TC_C_44_CS</t>
  </si>
  <si>
    <t>TC_C_45_CS</t>
  </si>
  <si>
    <t>TC_C_46_CS</t>
  </si>
  <si>
    <t>TC_C_47_CS</t>
  </si>
  <si>
    <t>Master Pass - With UI</t>
  </si>
  <si>
    <t>TC_C_48_CS</t>
  </si>
  <si>
    <t>TC_C_49_CS</t>
  </si>
  <si>
    <t>Master Pass - Without UI</t>
  </si>
  <si>
    <t>TC_C_50_CS</t>
  </si>
  <si>
    <t>TC_C_51_CS</t>
  </si>
  <si>
    <t>TC_C_52_CS</t>
  </si>
  <si>
    <t>TC_C_53_CS</t>
  </si>
  <si>
    <t>TC_C_54_CS</t>
  </si>
  <si>
    <t>TC_C_55_CS</t>
  </si>
  <si>
    <t>TC_C_56_CS</t>
  </si>
  <si>
    <t>TC_C_57_CS</t>
  </si>
  <si>
    <t>TC_C_58_CS</t>
  </si>
  <si>
    <t>TC_D_01_CS</t>
  </si>
  <si>
    <t>TC_D_02_CS</t>
  </si>
  <si>
    <t>TC_D_03_CS</t>
  </si>
  <si>
    <t>TC_D_04_CS</t>
  </si>
  <si>
    <t>TC_D_05_CS</t>
  </si>
  <si>
    <t>TC_D_06_CS</t>
  </si>
  <si>
    <t>TC_D_07_CS</t>
  </si>
  <si>
    <t>TC_D_08_CS</t>
  </si>
  <si>
    <t>GetLocalListVersion</t>
  </si>
  <si>
    <t>TC_D_10_CS</t>
  </si>
  <si>
    <t>TC_E_01_CS</t>
  </si>
  <si>
    <t>Supported Transaction Start points</t>
  </si>
  <si>
    <t>TC_E_02_CS</t>
  </si>
  <si>
    <t>TC_E_03_CS</t>
  </si>
  <si>
    <t>TC_E_04_CS</t>
  </si>
  <si>
    <t>TC_E_05_CS</t>
  </si>
  <si>
    <t>TC_E_06_CS</t>
  </si>
  <si>
    <t>TC_E_07_CS</t>
  </si>
  <si>
    <t>Supported Transaction Stop Points &amp; Local Authorization - using RFID ISO14443 / RFID ISO15693 / KeyCode / NoAuthorization</t>
  </si>
  <si>
    <t>TC_E_08_CS</t>
  </si>
  <si>
    <t>Supported Transaction Stop points</t>
  </si>
  <si>
    <t>TC_E_09_CS</t>
  </si>
  <si>
    <t>TC_E_10_CS</t>
  </si>
  <si>
    <t>Supported Transaction Start Points &amp; Authorization options for local start &amp; Authorization - eMAID</t>
  </si>
  <si>
    <t>TC_E_11_CS</t>
  </si>
  <si>
    <t>TC_E_12_CS</t>
  </si>
  <si>
    <t>TC_E_13_CS</t>
  </si>
  <si>
    <t>TC_E_14_CS</t>
  </si>
  <si>
    <t>TC_E_15_CS</t>
  </si>
  <si>
    <t>TC_E_16_CS</t>
  </si>
  <si>
    <t>TC_E_17_CS</t>
  </si>
  <si>
    <t>TC_E_19_CS</t>
  </si>
  <si>
    <t>TC_E_20_CS</t>
  </si>
  <si>
    <t>TC_E_21_CS</t>
  </si>
  <si>
    <t>TC_E_22_CS</t>
  </si>
  <si>
    <t>TC_E_24_CS</t>
  </si>
  <si>
    <t>Support for not maintaining authorization when cable disconnected on EV side &amp; Support for unlocking connector when cable disconnected on EV side</t>
  </si>
  <si>
    <t>TC_E_25_CS</t>
  </si>
  <si>
    <t>Support for not maintaining authorization when cable disconnected on EV side &amp; Support for not unlocking connector when cable disconnected on EV side</t>
  </si>
  <si>
    <t>TC_E_26_CS</t>
  </si>
  <si>
    <t>TC_E_27_CS</t>
  </si>
  <si>
    <t>TC_E_28_CS</t>
  </si>
  <si>
    <t>TC_E_29_CS</t>
  </si>
  <si>
    <t>C-16</t>
  </si>
  <si>
    <t>Check TransactionStatus</t>
  </si>
  <si>
    <t>TC_E_30_CS</t>
  </si>
  <si>
    <t>TC_E_31_CS</t>
  </si>
  <si>
    <t>TC_E_32_CS</t>
  </si>
  <si>
    <t>TC_E_33_CS</t>
  </si>
  <si>
    <t>TC_E_34_CS</t>
  </si>
  <si>
    <t>TC_E_35_CS</t>
  </si>
  <si>
    <t>TC_E_37_CS</t>
  </si>
  <si>
    <t>TC_E_38_CS</t>
  </si>
  <si>
    <t>TC_E_39_CS</t>
  </si>
  <si>
    <t>TC_E_40_CS</t>
  </si>
  <si>
    <t>TC_E_41_CS</t>
  </si>
  <si>
    <t>TC_E_42_CS</t>
  </si>
  <si>
    <t>TC_E_43_CS</t>
  </si>
  <si>
    <t>TC_E_44_CS</t>
  </si>
  <si>
    <t>TC_E_45_CS</t>
  </si>
  <si>
    <t>TC_E_46_CS</t>
  </si>
  <si>
    <t>TC_E_50_CS</t>
  </si>
  <si>
    <t>TC_E_51_CS</t>
  </si>
  <si>
    <t>TC_E_52_CS</t>
  </si>
  <si>
    <t>TC_F_01_CS</t>
  </si>
  <si>
    <t>Authorization options for remote start</t>
  </si>
  <si>
    <t>TC_F_02_CS</t>
  </si>
  <si>
    <t>TC_F_03_CS</t>
  </si>
  <si>
    <t>TC_F_04_CS</t>
  </si>
  <si>
    <t>TC_F_05_CS</t>
  </si>
  <si>
    <t>TC_F_06_CS</t>
  </si>
  <si>
    <t>TC_F_07_CS</t>
  </si>
  <si>
    <t>TC_F_08_CS</t>
  </si>
  <si>
    <t>TC_F_09_CS</t>
  </si>
  <si>
    <t>TC_F_10_CS</t>
  </si>
  <si>
    <t>TC_F_11_CS</t>
  </si>
  <si>
    <t>TC_F_12_CS</t>
  </si>
  <si>
    <t>TC_F_13_CS</t>
  </si>
  <si>
    <t>TC_F_14_CS</t>
  </si>
  <si>
    <t>TC_F_15_CS</t>
  </si>
  <si>
    <t>TC_F_16_CS</t>
  </si>
  <si>
    <t>TC_F_17_CS</t>
  </si>
  <si>
    <t>TC_F_18_CS</t>
  </si>
  <si>
    <t>TC_F_19_CS</t>
  </si>
  <si>
    <t>TC_F_20_CS</t>
  </si>
  <si>
    <t>TC_F_23_CS</t>
  </si>
  <si>
    <t>TC_F_24_CS</t>
  </si>
  <si>
    <t>TC_F_26_CS</t>
  </si>
  <si>
    <t>TC_F_27_CS</t>
  </si>
  <si>
    <t>TC_G_01_CS</t>
  </si>
  <si>
    <t>TC_G_02_CS</t>
  </si>
  <si>
    <t>TC_G_03_CS</t>
  </si>
  <si>
    <t>TC_G_04_CS</t>
  </si>
  <si>
    <t>TC_G_05_CS</t>
  </si>
  <si>
    <t>TC_G_06_CS</t>
  </si>
  <si>
    <t>TC_G_07_CS</t>
  </si>
  <si>
    <t>TC_G_08_CS</t>
  </si>
  <si>
    <t>TC_G_09_CS</t>
  </si>
  <si>
    <t>TC_G_10_CS</t>
  </si>
  <si>
    <t>TC_G_11_CS</t>
  </si>
  <si>
    <t>TC_G_12_CS</t>
  </si>
  <si>
    <t>TC_G_13_CS</t>
  </si>
  <si>
    <t>TC_G_14_CS</t>
  </si>
  <si>
    <t>TC_G_15_CS</t>
  </si>
  <si>
    <t>TC_G_16_CS</t>
  </si>
  <si>
    <t>TC_G_17_CS</t>
  </si>
  <si>
    <t>TC_G_18_CS</t>
  </si>
  <si>
    <t>TC_G_19_CS</t>
  </si>
  <si>
    <t>TC_G_21_CS</t>
  </si>
  <si>
    <t>TC_H_01_CS</t>
  </si>
  <si>
    <t>TC_H_02_CS</t>
  </si>
  <si>
    <t>TC_H_03_CS</t>
  </si>
  <si>
    <t>TC_H_04_CS</t>
  </si>
  <si>
    <t>TC_H_06_CS</t>
  </si>
  <si>
    <t>TC_H_07_CS</t>
  </si>
  <si>
    <t>TC_H_08_CS</t>
  </si>
  <si>
    <t>Support reservations of unspecified EVSE</t>
  </si>
  <si>
    <t>TC_H_09_CS</t>
  </si>
  <si>
    <t>TC_H_10_CS</t>
  </si>
  <si>
    <t>TC_H_12_CS</t>
  </si>
  <si>
    <t>TC_H_13_CS</t>
  </si>
  <si>
    <t>TC_H_14_CS</t>
  </si>
  <si>
    <t>TC_H_15_CS</t>
  </si>
  <si>
    <t>TC_H_16_CS</t>
  </si>
  <si>
    <t>TC_H_17_CS</t>
  </si>
  <si>
    <t>TC_H_18_CS</t>
  </si>
  <si>
    <t>TC_H_19_CS</t>
  </si>
  <si>
    <t>TC_H_21_CS</t>
  </si>
  <si>
    <t>TC_H_22_CS</t>
  </si>
  <si>
    <t>TC_H_23_CS</t>
  </si>
  <si>
    <t>TC_H_24_CS</t>
  </si>
  <si>
    <t>TC_I_01_CS</t>
  </si>
  <si>
    <t>TC_I_02_CS</t>
  </si>
  <si>
    <t>TC_I_07_CS</t>
  </si>
  <si>
    <t>TC_J_01_CS</t>
  </si>
  <si>
    <t>Supported MeterValue Measurands</t>
  </si>
  <si>
    <t>TC_J_02_CS</t>
  </si>
  <si>
    <t>TC_J_03_CS</t>
  </si>
  <si>
    <t>TC_J_04_CS</t>
  </si>
  <si>
    <t>Supported MeterValue Measurands &amp; Signed Metervalues</t>
  </si>
  <si>
    <t>TC_J_06_CS</t>
  </si>
  <si>
    <t>AlignedDataSendDuringIdle</t>
  </si>
  <si>
    <t>TC_J_07_CS</t>
  </si>
  <si>
    <t>TC_J_08_CS</t>
  </si>
  <si>
    <t>Supported MeterValue Measurands &amp; possibility to enforce EVSE being known.</t>
  </si>
  <si>
    <t>TC_J_09_CS</t>
  </si>
  <si>
    <t>TC_J_10_CS</t>
  </si>
  <si>
    <t>TC_J_11_CS</t>
  </si>
  <si>
    <t>TC_K_01_CS</t>
  </si>
  <si>
    <t>TC_K_02_CS</t>
  </si>
  <si>
    <t>TC_K_03_CS</t>
  </si>
  <si>
    <t>TC_K_04_CS</t>
  </si>
  <si>
    <t>TC_K_05_CS</t>
  </si>
  <si>
    <t>TC_K_06_CS</t>
  </si>
  <si>
    <t>TC_K_07_CS</t>
  </si>
  <si>
    <t>TC_K_08_CS</t>
  </si>
  <si>
    <t>TC_K_09_CS</t>
  </si>
  <si>
    <t>TC_K_10_CS</t>
  </si>
  <si>
    <t>SC-4</t>
  </si>
  <si>
    <t>Support for TxDefaultProfile on EVSEID #0</t>
  </si>
  <si>
    <t>TC_K_11_CS</t>
  </si>
  <si>
    <t>TC_K_12_CS</t>
  </si>
  <si>
    <t>TC_K_13_CS</t>
  </si>
  <si>
    <t>TC_K_14_CS</t>
  </si>
  <si>
    <t>TC_K_16_CS</t>
  </si>
  <si>
    <t>TC_K_19_CS</t>
  </si>
  <si>
    <t>TC_K_21_CS</t>
  </si>
  <si>
    <t>TC_K_22_CS</t>
  </si>
  <si>
    <t>TC_K_23_CS</t>
  </si>
  <si>
    <t>TC_K_24_CS</t>
  </si>
  <si>
    <t>TC_K_28_CS</t>
  </si>
  <si>
    <t>TC_K_29_CS</t>
  </si>
  <si>
    <t>TC_K_30_CS</t>
  </si>
  <si>
    <t>TC_K_31_CS</t>
  </si>
  <si>
    <t>TC_K_32_CS</t>
  </si>
  <si>
    <t>TC_K_33_CS</t>
  </si>
  <si>
    <t>TC_K_34_CS</t>
  </si>
  <si>
    <t>TC_K_35_CS</t>
  </si>
  <si>
    <t>TC_K_36_CS</t>
  </si>
  <si>
    <t>TC_K_37_CS</t>
  </si>
  <si>
    <t>TC_K_38_CS</t>
  </si>
  <si>
    <t>TC_K_39_CS</t>
  </si>
  <si>
    <t>TC_K_40_CS</t>
  </si>
  <si>
    <t>ChargingRateUnit</t>
  </si>
  <si>
    <t>TC_K_41_CS</t>
  </si>
  <si>
    <t>TC_K_42_CS</t>
  </si>
  <si>
    <t>TC_K_47_CS</t>
  </si>
  <si>
    <t>TC_K_53_CS</t>
  </si>
  <si>
    <t>TC_K_54_CS</t>
  </si>
  <si>
    <t>TC_K_56_CS</t>
  </si>
  <si>
    <t>TC_K_57_CS</t>
  </si>
  <si>
    <t>TC_K_58_CS</t>
  </si>
  <si>
    <t>TC_K_60_CS</t>
  </si>
  <si>
    <t>TC_L_01_CS</t>
  </si>
  <si>
    <t>TC_L_02_CS</t>
  </si>
  <si>
    <t>C-15</t>
  </si>
  <si>
    <t>Scheduled firmware updates</t>
  </si>
  <si>
    <t>TC_L_03_CS</t>
  </si>
  <si>
    <t>TC_L_05_CS</t>
  </si>
  <si>
    <t>TC_L_06_CS</t>
  </si>
  <si>
    <t>TC_L_07_CS</t>
  </si>
  <si>
    <t>TC_L_08_CS</t>
  </si>
  <si>
    <t>TC_L_10_CS</t>
  </si>
  <si>
    <t>TC_L_11_CS</t>
  </si>
  <si>
    <t>TC_L_12_CS</t>
  </si>
  <si>
    <t>AllowNewSessionsPendingFirmwareUpdate</t>
  </si>
  <si>
    <t>TC_L_13_CS</t>
  </si>
  <si>
    <t>TC_L_14_CS</t>
  </si>
  <si>
    <t>TC_L_15_CS</t>
  </si>
  <si>
    <t>TC_L_16_CS</t>
  </si>
  <si>
    <t>Install Firmware with ongoing transaction(s)</t>
  </si>
  <si>
    <t>TC_L_18_CS</t>
  </si>
  <si>
    <t>TC_M_01_CS</t>
  </si>
  <si>
    <t>TC_M_02_CS</t>
  </si>
  <si>
    <t>TC_M_03_CS</t>
  </si>
  <si>
    <t>TC_M_04_CS</t>
  </si>
  <si>
    <t>TC_M_07_CS</t>
  </si>
  <si>
    <t>TC_M_09_CS</t>
  </si>
  <si>
    <t>Additional Root Certificate check mechanism implemented</t>
  </si>
  <si>
    <t>TC_M_12_CS</t>
  </si>
  <si>
    <t>TC_M_13_CS</t>
  </si>
  <si>
    <t>TC_M_14_CS</t>
  </si>
  <si>
    <t>TC_M_15_CS</t>
  </si>
  <si>
    <t>TC_M_16_CS</t>
  </si>
  <si>
    <t>TC_M_17_CS</t>
  </si>
  <si>
    <t>TC_M_18_CS</t>
  </si>
  <si>
    <t>TC_M_19_CS</t>
  </si>
  <si>
    <t>TC_M_20_CS</t>
  </si>
  <si>
    <t>TC_M_22_CS</t>
  </si>
  <si>
    <t>TC_M_23_CS</t>
  </si>
  <si>
    <t>TC_M_24_CS</t>
  </si>
  <si>
    <t>TC_M_25_CS</t>
  </si>
  <si>
    <t>TC_M_26_CS</t>
  </si>
  <si>
    <t>TC_M_27_CS</t>
  </si>
  <si>
    <t>TC_M_28_CS</t>
  </si>
  <si>
    <t>TC_M_29_CS</t>
  </si>
  <si>
    <t>TC_M_30_CS</t>
  </si>
  <si>
    <t>TC_M_31_CS</t>
  </si>
  <si>
    <t>TC_N_01_CS</t>
  </si>
  <si>
    <t>TC_N_02_CS</t>
  </si>
  <si>
    <t>TC_N_03_CS</t>
  </si>
  <si>
    <t>TC_N_05_CS</t>
  </si>
  <si>
    <t>TC_N_06_CS</t>
  </si>
  <si>
    <t>TC_N_08_CS</t>
  </si>
  <si>
    <t>TC_N_09_CS</t>
  </si>
  <si>
    <t>TC_N_10_CS</t>
  </si>
  <si>
    <t>TC_N_11_CS</t>
  </si>
  <si>
    <t>TC_N_12_CS</t>
  </si>
  <si>
    <t>TC_N_13_CS</t>
  </si>
  <si>
    <t>TC_N_15_CS</t>
  </si>
  <si>
    <t>TC_N_16_CS</t>
  </si>
  <si>
    <t>TC_N_17_CS</t>
  </si>
  <si>
    <t>TC_N_18_CS</t>
  </si>
  <si>
    <t>TC_N_19_CS</t>
  </si>
  <si>
    <t>TC_N_20_CS</t>
  </si>
  <si>
    <t>TC_N_21_CS</t>
  </si>
  <si>
    <t>TC_N_22_CS</t>
  </si>
  <si>
    <t>OfflineMonitoringEventQueuingSeverity</t>
  </si>
  <si>
    <t>TC_N_23_CS</t>
  </si>
  <si>
    <t>TC_N_24_CS</t>
  </si>
  <si>
    <t>TC_N_25_CS</t>
  </si>
  <si>
    <t>TC_N_26_CS</t>
  </si>
  <si>
    <t>TC_N_27_CS</t>
  </si>
  <si>
    <t>TC_N_28_CS</t>
  </si>
  <si>
    <t>TC_N_30_CS</t>
  </si>
  <si>
    <t>TC_N_31_CS</t>
  </si>
  <si>
    <t>TC_N_32_CS</t>
  </si>
  <si>
    <t>TC_N_35_CS</t>
  </si>
  <si>
    <t>TC_N_36_CS</t>
  </si>
  <si>
    <t>TC_N_37_CS</t>
  </si>
  <si>
    <t>TC_N_39_CS</t>
  </si>
  <si>
    <t>TC_N_40_CS</t>
  </si>
  <si>
    <t>TC_N_41_CS</t>
  </si>
  <si>
    <t>TC_N_43_CS</t>
  </si>
  <si>
    <t>TC_N_44_CS</t>
  </si>
  <si>
    <t>TC_N_45_CS</t>
  </si>
  <si>
    <t>TC_N_47_CS</t>
  </si>
  <si>
    <t>TC_N_48_CS</t>
  </si>
  <si>
    <t>TC_N_51_CS</t>
  </si>
  <si>
    <t>TC_N_52_CS</t>
  </si>
  <si>
    <t>TC_N_53_CS</t>
  </si>
  <si>
    <t>TC_N_56_CS</t>
  </si>
  <si>
    <t>TC_N_62_CS</t>
  </si>
  <si>
    <t>TC_N_63_CS</t>
  </si>
  <si>
    <t>TC_O_01_CS</t>
  </si>
  <si>
    <t>TC_O_02_CS</t>
  </si>
  <si>
    <t>TC_O_03_CS</t>
  </si>
  <si>
    <t>TC_O_04_CS</t>
  </si>
  <si>
    <t>TC_O_05_CS</t>
  </si>
  <si>
    <t>TC_O_06_CS</t>
  </si>
  <si>
    <t>TC_O_07_CS</t>
  </si>
  <si>
    <t>TC_O_08_CS</t>
  </si>
  <si>
    <t>Supported MessagePriorities</t>
  </si>
  <si>
    <t>TC_O_09_CS</t>
  </si>
  <si>
    <t>TC_O_10_CS</t>
  </si>
  <si>
    <t>TC_O_11_CS</t>
  </si>
  <si>
    <t>TC_O_12_CS</t>
  </si>
  <si>
    <t>TC_O_13_CS</t>
  </si>
  <si>
    <t>TC_O_14_CS</t>
  </si>
  <si>
    <t>TC_O_17_CS</t>
  </si>
  <si>
    <t>TC_O_19_CS</t>
  </si>
  <si>
    <t>TC_O_20_CS</t>
  </si>
  <si>
    <t>TC_O_22_CS</t>
  </si>
  <si>
    <t>Supported MessagePriorities InFront</t>
  </si>
  <si>
    <t>TC_O_24_CS</t>
  </si>
  <si>
    <t>Supported MessagePriorities AlwaysFront</t>
  </si>
  <si>
    <t>TC_O_27_CS</t>
  </si>
  <si>
    <t>TC_O_28_CS</t>
  </si>
  <si>
    <t>TC_O_30_CS</t>
  </si>
  <si>
    <t>TC_O_32_CS</t>
  </si>
  <si>
    <t>TC_O_33_CS</t>
  </si>
  <si>
    <t>TC_O_34_CS</t>
  </si>
  <si>
    <t>TC_O_35_CS</t>
  </si>
  <si>
    <t>TC_O_36_CS</t>
  </si>
  <si>
    <t>TC_O_37_CS</t>
  </si>
  <si>
    <t>TC_O_38_CS</t>
  </si>
  <si>
    <t>TC_P_01_CS</t>
  </si>
  <si>
    <t>TC_P_03_CS</t>
  </si>
  <si>
    <t>C-10.1 and (C-52 or NOT (C-10.3 or C-10.4)) AND NOT (C-10.2 AND NOT C-52 AND NOT C-06.1)</t>
  </si>
  <si>
    <t>C-40 and NOT AQ-8 AND (C-09.2 OR C-09.6)</t>
  </si>
  <si>
    <t>(C-30 or C-31 or C-32) AND (C-07 OR C-08)</t>
  </si>
  <si>
    <t>NOT C-09.5</t>
  </si>
  <si>
    <t>(C-30 or C-31 or C-32) and (Local Authorization List Management or C-49)</t>
  </si>
  <si>
    <t>NOT C-43 and NOT AQ-7</t>
  </si>
  <si>
    <t>NOT C-43 and AQ-7</t>
  </si>
  <si>
    <t>AQ-9</t>
  </si>
  <si>
    <t>C-10.1 and (C-52 or NOT (C-10.3 or C-10.4)) AND NOT (C-10.2 AND NOT C-52 AND (NOT C-06.1 OR NOT AQ-9))</t>
  </si>
  <si>
    <t>(C-10.2 or C-10.3) and C-06.2 and AQ-9</t>
  </si>
  <si>
    <t>HFS-1 and C-06.2 and C-12.1 and AQ-9</t>
  </si>
  <si>
    <t>C-06.2 and C-12.2 and AQ-9</t>
  </si>
  <si>
    <t>(C-10.2 or C-10.5) and (C-52 or NOT (C-10.1 or C-10.3 or C-10.4)) and C-06.1 and C-12.2 and AQ-9</t>
  </si>
  <si>
    <t>(C-10.2 or C-10.5) and (C-52 or NOT (C-10.1 or C-10.3 or C-10.4)) and C-06.1 and C-12.2 and HFS-2 and AQ-9</t>
  </si>
  <si>
    <t>Does your Charging Station support charging an EV using IEC 61851-1 (Mode 3)?</t>
  </si>
  <si>
    <t>Local Authorization - using RFID ISO14443 / RFID ISO15693 / KeyCode and Master Pass</t>
  </si>
  <si>
    <t>C-10.1 and (C-52 or NOT (C-10.3 or C-10.4)) AND NOT (C-10.2 AND NOT C-52 AND NOT C-06.1) AND AQ-9</t>
  </si>
  <si>
    <t>C-10.1 and (C-52 or NOT (C-10.3 or C-10.4)) AND NOT (C-10.2 AND NOT C-52) AND (HFS-4 OR ISO15118 support)</t>
  </si>
  <si>
    <t>NOT AQ-2 and (C-36 -(or) C-39)</t>
  </si>
  <si>
    <t>C-10.1 and (C-52 or NOT (C-10.3 or C-10.4)) AND NOT (C-10.2 AND NOT C-52 AND NOT C-06.1) AND (AQ-9 OR Product Subtype "Mode 1/2-only Charging Station")</t>
  </si>
  <si>
    <t>NOT C-09.5 and NOT Product Subtype "Mode 1/2-only Charging Station"</t>
  </si>
  <si>
    <t>C-10.1 and (C-52 or NOT (C-10.3 or C-10.4)) AND NOT (C-10.2 AND NOT C-52) AND (HFS-4 OR ISO15118 support) and NOT Product Subtype "Mode 1/2-only Charging Station"</t>
  </si>
  <si>
    <t>Product Subtype</t>
  </si>
  <si>
    <t>See column 3/4 -&gt; old formula</t>
  </si>
  <si>
    <t>TC_E_54_CS</t>
  </si>
  <si>
    <t>C-20 and NOT C-43 and AQ-7 and HFS-8 &gt; 1</t>
  </si>
  <si>
    <t>C-20 and NOT C-43 and NOT AQ-7 and HFS-8 &gt; 1</t>
  </si>
  <si>
    <t>*** only checked with BaseReport</t>
  </si>
  <si>
    <t>** only configured measurands are tested</t>
  </si>
  <si>
    <t>SampledTxStartedMeasurands</t>
  </si>
  <si>
    <t>SampledTxUpdatedMeasurands</t>
  </si>
  <si>
    <t>SampledTxEndedMeasurands</t>
  </si>
  <si>
    <t>AlignedDataMeasurands</t>
  </si>
  <si>
    <t>AlignedDataTxEndedMeasurands</t>
  </si>
  <si>
    <t>C-40.1</t>
  </si>
  <si>
    <t>C-40.2</t>
  </si>
  <si>
    <t>C-40.3</t>
  </si>
  <si>
    <t>C-40.4</t>
  </si>
  <si>
    <t>C-40.5</t>
  </si>
  <si>
    <t>EVSE</t>
  </si>
  <si>
    <t>Phases</t>
  </si>
  <si>
    <t>Connector</t>
  </si>
  <si>
    <t>Metervalues</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</si>
  <si>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</si>
  <si>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</si>
  <si>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</si>
  <si>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</si>
  <si>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</si>
  <si>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</si>
  <si>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</si>
  <si>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</si>
  <si>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</si>
  <si>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multiple values elements GetVariablesRequest</t>
  </si>
  <si>
    <t>multiple values elements SetVariablesRequest</t>
  </si>
  <si>
    <t>C-10.1 and (C-52 or NOT (C-10.2 or C-10.3 or C-10.4)) AND NOT C-06.1) AND (AQ-9 OR Product Subtype "Mode 1/2-only Charging Station")</t>
  </si>
  <si>
    <t>C-10.1 and (C-52 or NOT (C-10.2 or C-10.3 or C-10.4)) AND (HFS-4 OR ISO15118 support) AND NOT Product Subtype "Mode 1/2-only Charging Station"</t>
  </si>
  <si>
    <t>Test Report Reference</t>
  </si>
  <si>
    <t>Current</t>
  </si>
  <si>
    <t>(At least one of the suboptions below is required)</t>
  </si>
  <si>
    <t>The response time for when waiting for an OCPP response message after sending an OCPP request message. This entails all OCPP messages. Messages to the DUT can be handled within this timeout. </t>
  </si>
  <si>
    <t>Max Value</t>
  </si>
  <si>
    <t>Min Value</t>
  </si>
  <si>
    <t>Vendor provided performance values</t>
  </si>
  <si>
    <t>Communication technology used during performance measurement: </t>
  </si>
  <si>
    <t>Cable Type</t>
  </si>
  <si>
    <t>HFS-9</t>
  </si>
  <si>
    <t>HFS-10</t>
  </si>
  <si>
    <t>PICS Version:</t>
  </si>
  <si>
    <t>OCPP Errata Version</t>
  </si>
  <si>
    <t>OCPP Spec Version</t>
  </si>
  <si>
    <t>&lt;list of values, at least Heartbeat&gt;</t>
  </si>
  <si>
    <t>&lt;list of supported values, at least one&gt;</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</si>
  <si>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</si>
  <si>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</si>
  <si>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</si>
  <si>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</si>
  <si>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</si>
  <si>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</si>
  <si>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</si>
  <si>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</si>
  <si>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C-10.1 and (C-52 or NOT (C-10.3 or C-10.4)) AND (C-10.2 AND NOT C-52 AND NOT C.06.1) AND (AQ-9 OR Product Subtype "Mode 1/2-only Charging Station")</t>
  </si>
  <si>
    <t>Test Location</t>
  </si>
  <si>
    <t>&lt;location where tests are performed&gt;</t>
  </si>
  <si>
    <t>&lt;date the test lab completed testing&gt;</t>
  </si>
  <si>
    <t>Transaction authorization time by RequestStartTransactionRequest</t>
  </si>
  <si>
    <t>Transaction authorization end time by RequestStopTransactionRequest</t>
  </si>
  <si>
    <t>Product Designation</t>
  </si>
  <si>
    <t>&lt;select subtype or Not Applicable&gt;</t>
  </si>
  <si>
    <t>&lt;select RFID Reader configuration&gt;</t>
  </si>
  <si>
    <t xml:space="preserve">Hardware Feature Set is : </t>
  </si>
  <si>
    <t>EVSE and Connector Configuration</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</si>
  <si>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</si>
  <si>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</si>
  <si>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</si>
  <si>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</si>
  <si>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</si>
  <si>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t>&lt;specify supported communication technology/ies&gt;</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</si>
  <si>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</si>
  <si>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</si>
  <si>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</si>
  <si>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</si>
  <si>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</si>
  <si>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</si>
  <si>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</si>
  <si>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</si>
  <si>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</si>
  <si>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</si>
  <si>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</si>
  <si>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</si>
  <si>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</si>
  <si>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I hereby declare that the information provided in the document is correct and complete and that I approve this document to be submitted for OCPP 2.0.1 certification based on this information.</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</si>
  <si>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</si>
  <si>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</si>
  <si>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t>Supported / Present </t>
  </si>
  <si>
    <t>Tested during Certification</t>
  </si>
  <si>
    <t>Supported 
according to Vendor</t>
  </si>
  <si>
    <t>Supported
according to Vendor***</t>
  </si>
  <si>
    <t>Supported / Present</t>
  </si>
  <si>
    <t>Security Related Settings</t>
  </si>
  <si>
    <t>Limit / Setting</t>
  </si>
  <si>
    <t>Firmware Management Settings</t>
  </si>
  <si>
    <t xml:space="preserve">List of Other Relevant Settings is currently: </t>
  </si>
  <si>
    <t>&lt;please provide the preconfigured value (max. 120 seconds)&gt;</t>
  </si>
  <si>
    <t>Minimum WebSocketPingInterval  supported</t>
  </si>
  <si>
    <t>Maximum WebSocketPingInterval  supported</t>
  </si>
  <si>
    <t>Maximum MessageAttemptIntervalTransactionEvent  supported</t>
  </si>
  <si>
    <t>Minimum MessageAttemptIntervalTransactionEvent  supported</t>
  </si>
  <si>
    <t>Certification Profile: ISO 15118 Support</t>
  </si>
  <si>
    <t>Certification Profile: Advanced Security</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</si>
  <si>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</si>
  <si>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</si>
  <si>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</si>
  <si>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</si>
  <si>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</si>
  <si>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</si>
  <si>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</si>
  <si>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</si>
  <si>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t>&lt;select type of Device Under Test&gt;</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</si>
  <si>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</si>
  <si>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The response time used when waiting for an asynchronous OCPP report after requesting this report (the time between receiving a GetReportRequest, GetBaseReportRequest or CustomerInformationRequest and lthe last corresponding NotifyReportRequest or NotifyCustomerInformationRequest). </t>
  </si>
  <si>
    <t>The time between a RequestStopTransactionRequest and the corresponding TransactionEventRequest (with triggerReason RemoteStop)
Only cases where the RequestStopTransactionRequest immediately results in an end of the authorization followed by a TransactionEventRequest (with triggerReason RemoteStop), that do not contain transactionInfo.chargingState = EVConnected (to exclude chargingState transitions) are included.</t>
  </si>
  <si>
    <t>The time between a RequestStartTransactionRequest and the corresponding TransactionEventRequest (with triggerReason RemoteStart).
Only cases where the RequestStartTransactionRequest immediately results in an authorization followed by a TransactionEventRequest (with triggerReason RemoteStart), without the need of any additional manual actions or chargingState transitions inbetween are included.</t>
  </si>
  <si>
    <t>Core Features</t>
  </si>
  <si>
    <t>Cipher Suites</t>
  </si>
  <si>
    <r>
      <t>Statement of Appr</t>
    </r>
    <r>
      <rPr>
        <sz val="12"/>
        <color theme="1"/>
        <rFont val="Calibri"/>
        <family val="2"/>
        <scheme val="minor"/>
      </rPr>
      <t xml:space="preserve">oval is currently: </t>
    </r>
  </si>
  <si>
    <t>AC</t>
  </si>
  <si>
    <t>DC</t>
  </si>
  <si>
    <t>AC &amp; DC</t>
  </si>
  <si>
    <t>1.0.2</t>
  </si>
  <si>
    <t>1.0.1</t>
  </si>
  <si>
    <t>1.0.0</t>
  </si>
  <si>
    <t>Initial version</t>
  </si>
  <si>
    <t>Update for erroneous formula's for AC/DC software stacks and Mode 1/2-only Charging Stations</t>
  </si>
  <si>
    <t>Changelog:</t>
  </si>
  <si>
    <t>Update for automatic generation of certificates and improved validations</t>
  </si>
  <si>
    <t>C-09.2 or C-09.6</t>
  </si>
  <si>
    <t>1.1.0</t>
  </si>
  <si>
    <t>(C-30 or C-31 or C-32) and NOT AQ-2</t>
  </si>
  <si>
    <t>(C-30 or C-31 or C-32) and AQ-2</t>
  </si>
  <si>
    <t>C-58 and (C-30 or C-31 or C-32) and (C-49 or Local Authorization List Management)</t>
  </si>
  <si>
    <t>(C-10.2 or C-10.3) and (C-30 - C-32 or ISO 15118 support) and C-01</t>
  </si>
  <si>
    <t>(C-01 and (C-30 - C-34 or ISO 15118 support)) or C-35</t>
  </si>
  <si>
    <t>Local Authorization options for local start &amp; Authorization - eMAID</t>
  </si>
  <si>
    <t>Update for part 5 errata (B_06, F_04, formulas E_20, E_54 and formulas for NoAuthorization cases) and
added testlab reviewer name</t>
  </si>
  <si>
    <t>1.2.0</t>
  </si>
  <si>
    <t>Update for part 5 errata 2024-02 (test cases E_31, F_04 and M_23 and optional feature C-43)</t>
  </si>
  <si>
    <t>ISO-5</t>
  </si>
  <si>
    <t>Charging Station can provide a contract certificate that it cannot validate to the CSMS (CentralContractValidationAllowed)</t>
  </si>
  <si>
    <t>NOT ( NOT (C-30 - C-35) AND (NOT C-10.1 AND NOT C-10.3 AND NOT C-10.4 AND NOT C-10.5) AND NOT C-06.2)</t>
  </si>
  <si>
    <t>1.3.0</t>
  </si>
  <si>
    <t>Update for part 5 errata / edition 3 and remaining profiles.</t>
  </si>
  <si>
    <t>(Select all supported suboptions)</t>
  </si>
  <si>
    <t>Test lab result</t>
  </si>
  <si>
    <t>Test lab remark</t>
  </si>
  <si>
    <t>Name reviewer</t>
  </si>
  <si>
    <t>&lt;optional testlab reviewer name&gt;</t>
  </si>
  <si>
    <t>1.3.1</t>
  </si>
  <si>
    <t>1.3.2</t>
  </si>
  <si>
    <t>Update to Errata 2024-06</t>
  </si>
  <si>
    <t>1.3.3</t>
  </si>
  <si>
    <t>(C-30 or C-31 or C-32 or C-33 or C-35)</t>
  </si>
  <si>
    <t>C-10.2 and C-06.2 and AQ-9 and NOT (NOT C-52 AND (10.1 OR C-10.3 OR 10.4))</t>
  </si>
  <si>
    <t>Update to Errata 2024-09</t>
  </si>
  <si>
    <t>1.3.4</t>
  </si>
  <si>
    <t>Fix in formula for E_17</t>
  </si>
  <si>
    <t>1.3.5</t>
  </si>
  <si>
    <t>The complete PICS is currently</t>
  </si>
  <si>
    <t>&lt;type software version of the product&gt;</t>
  </si>
  <si>
    <t>NOT R-2</t>
  </si>
  <si>
    <t>Update to Errata 2024-11</t>
  </si>
  <si>
    <t>OCPP Family Members</t>
  </si>
  <si>
    <t>Please specify the differences between Representative Product and Family members</t>
  </si>
  <si>
    <t>Representative product</t>
  </si>
  <si>
    <t>Family members</t>
  </si>
  <si>
    <t>Product designation:</t>
  </si>
  <si>
    <t>Configuration ID</t>
  </si>
  <si>
    <t>RFID authorization</t>
  </si>
  <si>
    <t>I hereby declare that the information provided about the product family members in this document is correct and complete.</t>
  </si>
  <si>
    <t>HFS-11</t>
  </si>
  <si>
    <t>HFS-12</t>
  </si>
  <si>
    <t>Number of displays</t>
  </si>
  <si>
    <t>&lt;specify the number of displays on your product&gt;</t>
  </si>
  <si>
    <t>DC power level (kW)</t>
  </si>
  <si>
    <t>&lt;specify DC power level&gt;</t>
  </si>
  <si>
    <t>ORS-28</t>
  </si>
  <si>
    <t>ChargingProfilesEntries</t>
  </si>
  <si>
    <t>C-49 and C-53</t>
  </si>
  <si>
    <t>Authorization Cache &amp; AuthCacheLifeTime</t>
  </si>
  <si>
    <t>C-49 and C-03 and (C-30 or C-31 or C-32 or C-34)</t>
  </si>
  <si>
    <t>C-59 and C-49</t>
  </si>
  <si>
    <t>C-58 and (C-30 or C-31 or C-32 or C-34) and (C-49 or Local Authorization List Management)</t>
  </si>
  <si>
    <t>(C-30 or C-31 or C-32 or C-34) AND (Local Authorization List Management or C-49)</t>
  </si>
  <si>
    <t>C-30 or C-31 or C-32 or C-34</t>
  </si>
  <si>
    <t>Updated for new certification run and errata 2025-02</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</si>
  <si>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</si>
  <si>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</si>
  <si>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</si>
  <si>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Config ID</t>
  </si>
  <si>
    <t>Answer</t>
  </si>
  <si>
    <t>Protocol</t>
  </si>
  <si>
    <t>Direction</t>
  </si>
  <si>
    <t>Network port</t>
  </si>
  <si>
    <t>Secured</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</si>
  <si>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</si>
  <si>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Additional DUT information</t>
  </si>
  <si>
    <t>Firmware image hash</t>
  </si>
  <si>
    <t>OCTT version(s) used</t>
  </si>
  <si>
    <t>Additional Test information</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</si>
  <si>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</si>
  <si>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EVSE selection prior to authorization</t>
  </si>
  <si>
    <t>Supported Metervalue Measurands</t>
  </si>
  <si>
    <t>Family member photos</t>
  </si>
  <si>
    <t>Product description</t>
  </si>
  <si>
    <t>If yes, please provide the monitor Id of the hardWired monitor that should be used for the certification test in the Other Relevant Settings Tab</t>
  </si>
  <si>
    <t>If yes, please provide the monitor Id of the pre-configured monitor that should be used for the certification test in the Other Relevant Settings Tab</t>
  </si>
  <si>
    <t>ORS-29</t>
  </si>
  <si>
    <t>Preconfigured Monitor Id</t>
  </si>
  <si>
    <t>Numeric Monitor Component.Variable</t>
  </si>
  <si>
    <t>Numeric Monitor Value</t>
  </si>
  <si>
    <t>Non-Numeric Monitor Component.Variable</t>
  </si>
  <si>
    <t>Non-Numeric Monitor Value</t>
  </si>
  <si>
    <t>Threshold Monitor With MaxLimit Component.Variable</t>
  </si>
  <si>
    <t>MaxLimit Monitor Value</t>
  </si>
  <si>
    <t>Threshold Monitor Component.Variable</t>
  </si>
  <si>
    <t>Lower Threshold Monitor Value</t>
  </si>
  <si>
    <t>Upper Threshold Monitor Value</t>
  </si>
  <si>
    <t>Non-Trigger Threshold Monitor Value</t>
  </si>
  <si>
    <t>Hardwired Monitor Id</t>
  </si>
  <si>
    <t>ORS-30</t>
  </si>
  <si>
    <t>ORS-31</t>
  </si>
  <si>
    <t>ORS-32</t>
  </si>
  <si>
    <t>ORS-33</t>
  </si>
  <si>
    <t>ORS-34</t>
  </si>
  <si>
    <t>ORS-35</t>
  </si>
  <si>
    <t>ORS-36</t>
  </si>
  <si>
    <t>ORS-37</t>
  </si>
  <si>
    <t>ORS-38</t>
  </si>
  <si>
    <t>ORS-39</t>
  </si>
  <si>
    <t>ORS-40</t>
  </si>
  <si>
    <t>C-49 and ((C-30 or C-31 or C-32 or C-34) or (C-36 or C-37))</t>
  </si>
  <si>
    <t>C-49 and C-53 and ((C-30 or C-31 or C-32 or C-34) or (C-36 or C-37))</t>
  </si>
  <si>
    <t>C-59 and C-49 and ((C-30 or C-31 or C-32 or C-34) or (C-36 or C-37))</t>
  </si>
  <si>
    <t>AQ-10</t>
  </si>
  <si>
    <t>Support for disabling Reservations (ReservationEnabled)</t>
  </si>
  <si>
    <t>Does your Charging Station support a combined charging station Certificate (for both OCPP and ISO 15118)</t>
  </si>
  <si>
    <t>AQ-11</t>
  </si>
  <si>
    <t>Does your Charging Station support setting a Delta monitor on the WriteOnly component.variable SecurityCtrlr.BasicAuthPassword?</t>
  </si>
  <si>
    <t>NOT AQ-11</t>
  </si>
  <si>
    <t>Photo('s) of tested Charging Stations
((taken and added by test lab, will NOT be visible on certificate, do not use picture in cell)</t>
  </si>
  <si>
    <t>Config_ID</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</si>
  <si>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</si>
  <si>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</si>
  <si>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</si>
  <si>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</si>
  <si>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</si>
  <si>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</si>
  <si>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</si>
  <si>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</si>
  <si>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</si>
  <si>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</si>
  <si>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</si>
  <si>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</si>
  <si>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</si>
  <si>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</si>
  <si>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</si>
  <si>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2.0.0</t>
  </si>
  <si>
    <t>PICS Id:</t>
  </si>
  <si>
    <t>Required test based on configuration</t>
  </si>
  <si>
    <t>Tested during Certification*</t>
  </si>
  <si>
    <t>Tested during Certification**</t>
  </si>
  <si>
    <t>2.0.1</t>
  </si>
  <si>
    <t>Aligned Table headers of Metervalues with the other headers and 1.6</t>
  </si>
  <si>
    <t>2.0.2</t>
  </si>
  <si>
    <t>&lt;please provide a short description of your product family representative product&gt;</t>
  </si>
  <si>
    <t>&lt;please provide a short description for this product family member model&gt;</t>
  </si>
  <si>
    <t>Fixed calculation of ConfigID, added additional validations</t>
  </si>
  <si>
    <t>Heartbeat</t>
  </si>
  <si>
    <t>Heartbeat,NTP</t>
  </si>
  <si>
    <t>Heartbeat,GPS</t>
  </si>
  <si>
    <t>Heartbeat,RealTimeClock</t>
  </si>
  <si>
    <t>Heartbeat,MobileNetwork</t>
  </si>
  <si>
    <t>Heartbeat,RadioTimeTransmitter</t>
  </si>
  <si>
    <t>Heartbeat,NTP,GPS</t>
  </si>
  <si>
    <t>Heartbeat,NTP,RealTimeClock</t>
  </si>
  <si>
    <t>Heartbeat,NTP,MobileNetwork</t>
  </si>
  <si>
    <t>Heartbeat,NTP,RadioTimeTransmitter</t>
  </si>
  <si>
    <t>Heartbeat,GPS,RealTimeClock</t>
  </si>
  <si>
    <t>Heartbeat,GPS,MobileNetwork</t>
  </si>
  <si>
    <t>Heartbeat,GPS,RadioTimeTransmitter</t>
  </si>
  <si>
    <t>Heartbeat,RealTimeClock,MobileNetwork</t>
  </si>
  <si>
    <t>Heartbeat,RealTimeClock,RadioTimeTransmitter</t>
  </si>
  <si>
    <t>Heartbeat,MobileNetwork,RadioTimeTransmitter</t>
  </si>
  <si>
    <t>Heartbeat,NTP,GPS,RealTimeClock</t>
  </si>
  <si>
    <t>Heartbeat,NTP,GPS,MobileNetwork</t>
  </si>
  <si>
    <t>Heartbeat,NTP,GPS,RadioTimeTransmitter</t>
  </si>
  <si>
    <t>Heartbeat,NTP,RealTimeClock,MobileNetwork</t>
  </si>
  <si>
    <t>Heartbeat,NTP,RealTimeClock,RadioTimeTransmitter</t>
  </si>
  <si>
    <t>Heartbeat,NTP,MobileNetwork,RadioTimeTransmitter</t>
  </si>
  <si>
    <t>Heartbeat,GPS,RealTimeClock,MobileNetwork</t>
  </si>
  <si>
    <t>Heartbeat,GPS,RealTimeClock,RadioTimeTransmitter</t>
  </si>
  <si>
    <t>Heartbeat,GPS,MobileNetwork,RadioTimeTransmitter</t>
  </si>
  <si>
    <t>Heartbeat,RealTimeClock,MobileNetwork,RadioTimeTransmitter</t>
  </si>
  <si>
    <t>Heartbeat,NTP,GPS,RealTimeClock,MobileNetwork</t>
  </si>
  <si>
    <t>Heartbeat,NTP,GPS,RealTimeClock,RadioTimeTransmitter</t>
  </si>
  <si>
    <t>Heartbeat,NTP,GPS,MobileNetwork,RadioTimeTransmitter</t>
  </si>
  <si>
    <t>Heartbeat,NTP,RealTimeClock,MobileNetwork,RadioTimeTransmitter</t>
  </si>
  <si>
    <t>Heartbeat,GPS,RealTimeClock,MobileNetwork,RadioTimeTransmitter</t>
  </si>
  <si>
    <t>Heartbeat,NTP,GPS,RealTimeClock,MobileNetwork,RadioTimeTransmitter</t>
  </si>
  <si>
    <t>&lt;fill in family member 1&gt;</t>
  </si>
  <si>
    <t>2.0.3</t>
  </si>
  <si>
    <t>Added some field validations and updated logo.</t>
  </si>
  <si>
    <t>The Hardware Feature set is the actual set of relevant hardware properties of the product tested, that influence the OCPP messaging behavior. In the table below you can see for each hardware feature relevant for OCPP whether this is applicable for this product.</t>
  </si>
  <si>
    <t>(The values below are automatically filled in)</t>
  </si>
  <si>
    <t>(Please fill in the following fields)</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</si>
  <si>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</si>
  <si>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</si>
  <si>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HTTP</t>
  </si>
  <si>
    <t>HTTPS</t>
  </si>
  <si>
    <t>SFTP</t>
  </si>
  <si>
    <t>FTP</t>
  </si>
  <si>
    <t>FTPS</t>
  </si>
  <si>
    <t>HTTP, HTTPS</t>
  </si>
  <si>
    <t>HTTP, SFTP</t>
  </si>
  <si>
    <t>HTTP, FTP</t>
  </si>
  <si>
    <t>HTTP, FTPS</t>
  </si>
  <si>
    <t>HTTPS, SFTP</t>
  </si>
  <si>
    <t>HTTPS, FTP</t>
  </si>
  <si>
    <t>HTTPS, FTPS</t>
  </si>
  <si>
    <t>SFTP, FTP</t>
  </si>
  <si>
    <t>SFTP, FTPS</t>
  </si>
  <si>
    <t>FTP, FTPS</t>
  </si>
  <si>
    <t>HTTP, HTTPS, SFTP</t>
  </si>
  <si>
    <t>HTTP, HTTPS, FTP</t>
  </si>
  <si>
    <t>HTTP, HTTPS, FTPS</t>
  </si>
  <si>
    <t>HTTP, SFTP, FTP</t>
  </si>
  <si>
    <t>HTTP, SFTP, FTPS</t>
  </si>
  <si>
    <t>HTTP, FTP, FTPS</t>
  </si>
  <si>
    <t>HTTPS, SFTP, FTP</t>
  </si>
  <si>
    <t>HTTPS, SFTP, FTPS</t>
  </si>
  <si>
    <t>HTTPS, FTP, FTPS</t>
  </si>
  <si>
    <t>SFTP, FTP, FTPS</t>
  </si>
  <si>
    <t>HTTP, HTTPS, SFTP, FTP</t>
  </si>
  <si>
    <t>HTTP, HTTPS, SFTP, FTPS</t>
  </si>
  <si>
    <t>HTTP, HTTPS, FTP, FTPS</t>
  </si>
  <si>
    <t>HTTP, SFTP, FTP, FTPS</t>
  </si>
  <si>
    <t>HTTPS, SFTP, FTP, FTPS</t>
  </si>
  <si>
    <t>HTTP, HTTPS, SFTP, FTP, FTPS</t>
  </si>
  <si>
    <t>&lt;please select the supported protocols&gt;</t>
  </si>
  <si>
    <t>Can the last CSMSRootCertificate be removed? </t>
  </si>
  <si>
    <t>C-61</t>
  </si>
  <si>
    <t>Security Profile 1 - Unsecured Transport with Basic Authentication</t>
  </si>
  <si>
    <t>R-1</t>
  </si>
  <si>
    <t>Support for reservations of connectorType</t>
  </si>
  <si>
    <t>cCCS1</t>
  </si>
  <si>
    <t>cCCS2</t>
  </si>
  <si>
    <t>cG105</t>
  </si>
  <si>
    <t>cTesla</t>
  </si>
  <si>
    <t>cType1</t>
  </si>
  <si>
    <t>cType2</t>
  </si>
  <si>
    <t>s309-1P-16A</t>
  </si>
  <si>
    <t>s309-1P-32A</t>
  </si>
  <si>
    <t>s309-3P-16A</t>
  </si>
  <si>
    <t>s309-3P-32A</t>
  </si>
  <si>
    <t>sBS1361</t>
  </si>
  <si>
    <t>sCEE-7-7</t>
  </si>
  <si>
    <t>sType2</t>
  </si>
  <si>
    <t>sType3</t>
  </si>
  <si>
    <t>Other1PhMax16A</t>
  </si>
  <si>
    <t>Other1PhOver16A</t>
  </si>
  <si>
    <t>Other3Ph</t>
  </si>
  <si>
    <t>Pan</t>
  </si>
  <si>
    <t>wInductive</t>
  </si>
  <si>
    <t>wResonant</t>
  </si>
  <si>
    <t>sType1</t>
  </si>
  <si>
    <t>AQ-1 and C-61</t>
  </si>
  <si>
    <t>C-44 or NOT AQ-16</t>
  </si>
  <si>
    <t>Support reservations of connectorType</t>
  </si>
  <si>
    <t>2.1.0</t>
  </si>
  <si>
    <t>Release 2025-06, added sType1 to list of Connector Types, Security Profile 1 is now optional (C-61), added missing validations.</t>
  </si>
  <si>
    <t>None</t>
  </si>
  <si>
    <t>Single</t>
  </si>
  <si>
    <t>One per EVSE</t>
  </si>
  <si>
    <t>ORS-41</t>
  </si>
  <si>
    <t>Primary Display Component</t>
  </si>
  <si>
    <t>Maximum CertificateEntries supported </t>
  </si>
  <si>
    <t>PH-1</t>
  </si>
  <si>
    <t>PH-20</t>
  </si>
  <si>
    <t>PH-19</t>
  </si>
  <si>
    <t>PH-18</t>
  </si>
  <si>
    <t>PH-17</t>
  </si>
  <si>
    <t>PH-16</t>
  </si>
  <si>
    <t>PH-15</t>
  </si>
  <si>
    <t>PH-14</t>
  </si>
  <si>
    <t>PH-13</t>
  </si>
  <si>
    <t>PH-12</t>
  </si>
  <si>
    <t>PH-11</t>
  </si>
  <si>
    <t>PH-10</t>
  </si>
  <si>
    <t>PH-9</t>
  </si>
  <si>
    <t>PH-8</t>
  </si>
  <si>
    <t>PH-2</t>
  </si>
  <si>
    <t>PH-3</t>
  </si>
  <si>
    <t>PH-4</t>
  </si>
  <si>
    <t>PH-5</t>
  </si>
  <si>
    <t>PH-6</t>
  </si>
  <si>
    <t>PH-7</t>
  </si>
  <si>
    <t>cCCS1-NACS</t>
  </si>
  <si>
    <t xml:space="preserve">cChaoJi </t>
  </si>
  <si>
    <t>cGBT</t>
  </si>
  <si>
    <t>cGBT-AC</t>
  </si>
  <si>
    <t>cGBT-DC</t>
  </si>
  <si>
    <t xml:space="preserve">cLECCS </t>
  </si>
  <si>
    <t xml:space="preserve">cMCS </t>
  </si>
  <si>
    <t xml:space="preserve">cNACS </t>
  </si>
  <si>
    <t>cNACS-CCS1</t>
  </si>
  <si>
    <t>cUltraChaoJi</t>
  </si>
  <si>
    <t>OppCharge</t>
  </si>
  <si>
    <t>AQ-18</t>
  </si>
  <si>
    <t>Does your Charging Station have at least one connector with an (automatic) mechanized locking mechanism on Charging Station side?</t>
  </si>
  <si>
    <t>Option for disabling remote authorization	(DisableRemoteAuthorization)</t>
  </si>
  <si>
    <t>C-70</t>
  </si>
  <si>
    <t>Authorization options for local stop</t>
  </si>
  <si>
    <t>C-71</t>
  </si>
  <si>
    <t>C-72</t>
  </si>
  <si>
    <t>C-75</t>
  </si>
  <si>
    <t>Basic Authentication - Valid username/password combination</t>
  </si>
  <si>
    <t>Update Charging Station Password for HTTP Basic Authentication - Accepted</t>
  </si>
  <si>
    <t>Update Charging Station Password for HTTP Basic Authentication - Rejected</t>
  </si>
  <si>
    <t>TLS - server-side certificate - Valid certificate</t>
  </si>
  <si>
    <t>TLS - server-side certificate - Invalid certificate</t>
  </si>
  <si>
    <t>TLS - server-side certificate - TLS version too low</t>
  </si>
  <si>
    <t>Upgrade Charging Station Security Profile - Accepted</t>
  </si>
  <si>
    <t>Upgrade Charging Station Security Profile - No valid CSMSRootCertificate installed</t>
  </si>
  <si>
    <t>Upgrade Charging Station Security Profile - Downgrade security profile - Rejected</t>
  </si>
  <si>
    <t>Cold Boot Charging Station - Accepted</t>
  </si>
  <si>
    <t>Cold Boot Charging Station - Pending</t>
  </si>
  <si>
    <t>Cold Boot Charging Station - Rejected</t>
  </si>
  <si>
    <t>Cold Boot Charging Station - Pending/Rejected - SecurityError</t>
  </si>
  <si>
    <t>Status change during offline period - &gt; Offline Threshold</t>
  </si>
  <si>
    <t>Status change during offline period - &lt; Offline Threshold</t>
  </si>
  <si>
    <t>Get Variables - single value</t>
  </si>
  <si>
    <t>Get Variables - multiple values</t>
  </si>
  <si>
    <t>Get Variables - Unknown component</t>
  </si>
  <si>
    <t>Get Variables - Unknown variable</t>
  </si>
  <si>
    <t>Get Variables - Not supported attribute type</t>
  </si>
  <si>
    <t>Set Variables - single value</t>
  </si>
  <si>
    <t>Set Variables - multiple values</t>
  </si>
  <si>
    <t>Set Variables - Unknown component</t>
  </si>
  <si>
    <t>Set Variables - Unknown variable</t>
  </si>
  <si>
    <t>C-70 or C-71 or C-72</t>
  </si>
  <si>
    <t>Set Variables - Not supported attribute type</t>
  </si>
  <si>
    <t>C-70 or C-71 or C-72 or C-75</t>
  </si>
  <si>
    <t>Set Variables - invalidly formatted values</t>
  </si>
  <si>
    <t>(C-30 and C-70) or (C-31 and C-71) or (C-32 and C-72)</t>
  </si>
  <si>
    <t>Set Variables - Read-only</t>
  </si>
  <si>
    <t>Get Base Report - ConfigurationInventory</t>
  </si>
  <si>
    <t>Get Base Report - FullInventory</t>
  </si>
  <si>
    <t>C-02 and (C-30 or C-31 or C-32 or C-33 or C-34)</t>
  </si>
  <si>
    <t>Get Base Report - SummaryInventory</t>
  </si>
  <si>
    <t>C-07 and (C-70 or C-71 or C-72)</t>
  </si>
  <si>
    <t>Get Base Report - Not Supported base report</t>
  </si>
  <si>
    <t>Get Base Report - Test mandatory DM variables via FullInventory</t>
  </si>
  <si>
    <t>C-08 and (C-70 or C-71 or C-72)</t>
  </si>
  <si>
    <t>Reset Charging Station - Without ongoing transaction - OnIdle</t>
  </si>
  <si>
    <t>Reset Charging Station - With Ongoing Transaction - OnIdle</t>
  </si>
  <si>
    <t>Reset Charging Station - With Ongoing Transaction - Immediate</t>
  </si>
  <si>
    <t>Reset Charging Station - Unavailable persists reset</t>
  </si>
  <si>
    <t>Reset Charging Station - With multiple ongoing transactions - OnIdle</t>
  </si>
  <si>
    <t>Reset EVSE - Without ongoing transaction</t>
  </si>
  <si>
    <t>Reset EVSE - With Ongoing Transaction - OnIdle</t>
  </si>
  <si>
    <t>Reset EVSE - With Ongoing Transaction - Immediate</t>
  </si>
  <si>
    <t>Reset EVSE - Not Supported</t>
  </si>
  <si>
    <t>Reset EVSE - With ongoing transaction - Not Supported</t>
  </si>
  <si>
    <t>Set new NetworkConnectionProfile - Rejected</t>
  </si>
  <si>
    <t>Migrate to new ConnectionProfile - Success - Same CSMS Root</t>
  </si>
  <si>
    <t>Migrate to new ConnectionProfile - Fallback mechanism - Same CSMS Root</t>
  </si>
  <si>
    <t>Migrate to new ConnectionProfile - Fallback after NetworkProfileConnectionAttempts per NetworkConfigurationPriority failed - New CSMS Root - New CSMS</t>
  </si>
  <si>
    <t>Migrate to new ConnectionProfile - Fallback after NetworkProfileConnectionAttempts per NetworkConfigurationPriority failed - Same CSMS Root</t>
  </si>
  <si>
    <t>Migrate to new ConnectionProfile - Success - New CSMS Root - New CSMS</t>
  </si>
  <si>
    <t>Network Reconnection - After connection loss</t>
  </si>
  <si>
    <t>Local start transaction - Authorization Invalid/Unknown</t>
  </si>
  <si>
    <t>Local start transaction - Authorization Blocked</t>
  </si>
  <si>
    <t>Local start transaction - Authorization Expired</t>
  </si>
  <si>
    <t>Local Authorization - using RFID ISO14443 / RFID ISO15693 / KeyCode &amp;</t>
  </si>
  <si>
    <t>Local start transaction - EV not ready</t>
  </si>
  <si>
    <t>NOT AQ-2 and (C-30 or C-31 or C-32 or C-33 or C-34 or C-35 or ISO 15118 support)</t>
  </si>
  <si>
    <t>Local start transaction - Authorization Unknown</t>
  </si>
  <si>
    <t>C-30 or C-31 or C-32 or C-33 or C-35</t>
  </si>
  <si>
    <t>Local start transaction - Authorization invalid - Cable lock</t>
  </si>
  <si>
    <t>Local Stop Transaction - Different idToken</t>
  </si>
  <si>
    <t>Local Stop Transaction - Accepted</t>
  </si>
  <si>
    <t>Authorization by GroupId - Success</t>
  </si>
  <si>
    <t>C-09.2 and (C-30 or C-31 or C-32 or C-33 or C-34 or C-35 or ISO 15118 support)</t>
  </si>
  <si>
    <t>Authorization by GroupId - Master pass - Not able to start transaction + groupId</t>
  </si>
  <si>
    <t>Authorization by GroupId - Not stopped by GroupId</t>
  </si>
  <si>
    <t>Offline Authorization - Unknown Id</t>
  </si>
  <si>
    <t>Stop Transaction with a Master Pass - With UI - All transactions</t>
  </si>
  <si>
    <t>Stop Transaction with a Master Pass - With UI - With UI - Specific transactions</t>
  </si>
  <si>
    <t>Stop Transaction with a Master Pass - Without UI</t>
  </si>
  <si>
    <t>Supported Transaction Stop Points &amp; Local Authorization options for local start</t>
  </si>
  <si>
    <t>Store Authorization Data in the Authorization Cache - Persistent over reboot</t>
  </si>
  <si>
    <t>Store Authorization Data in the Authorization Cache - Update on AuthorizeResponse</t>
  </si>
  <si>
    <t>Store Authorization Data in the Authorization Cache - Update on TransactionResponse</t>
  </si>
  <si>
    <t>C-10.2 and (C-70 or C-71 or C-72 or C-75)</t>
  </si>
  <si>
    <t>Store Authorization Data in the Authorization Cache - AuthCacheCtrlr.LocalPreAuthorize = false</t>
  </si>
  <si>
    <t>Store Authorization Data in the Authorization Cache - AuthCacheLifeTime</t>
  </si>
  <si>
    <t>(C-10.2 or C-10.3) and C-01 and NOT C-35</t>
  </si>
  <si>
    <t>Clear Authorization Data in Authorization Cache - Accepted</t>
  </si>
  <si>
    <t>Clear Authorization Data in Authorization Cache - Rejected</t>
  </si>
  <si>
    <t>C-10.3 and (C-52 or NOT C-10.2) and (C-70 or C-71 or C-72 or C-75)</t>
  </si>
  <si>
    <t>Authorization by GroupId - Success with Authorization Cache</t>
  </si>
  <si>
    <t>Authorization by GroupId - Invalid status with Authorization Cache</t>
  </si>
  <si>
    <t>Authorization through authorization cache - Accepted</t>
  </si>
  <si>
    <t>Offline transaction support</t>
  </si>
  <si>
    <t>Authorization through authorization cache - Invalid &amp; Not Accepted</t>
  </si>
  <si>
    <t>Authorization through authorization cache - Invalid &amp; Accepted</t>
  </si>
  <si>
    <t>Local Authorization - using RFID ISO14443 / RFID ISO15693 / KeyCode and Local Authorization List or Authorization Cache</t>
  </si>
  <si>
    <t>Authorization through authorization cache - Blocked</t>
  </si>
  <si>
    <t>Authorization through authorization cache - Expired</t>
  </si>
  <si>
    <t>Authorization through authorization cache - Accepted but cable not connected yet.</t>
  </si>
  <si>
    <t>Authorization through authorization cache - StopTxOnInvalidId = false, MaxEnergyOnInvalidId &gt; 0</t>
  </si>
  <si>
    <t>Authorization through authorization cache - StopTxOnInvalidId = true</t>
  </si>
  <si>
    <t>Authorization through authorization cache - StopTxOnInvalidId = false</t>
  </si>
  <si>
    <t>C-70 or C-71 or C-72 or C-75 or ISO 15118 support</t>
  </si>
  <si>
    <t>Authorization through authorization cache - StopTxOnInvalidId = true, MaxEnergyOnInvalidId &gt; 0</t>
  </si>
  <si>
    <t>(C-70 or C-71 or C-72) AND (Local Authorization List Management or C-49)</t>
  </si>
  <si>
    <t>Authorization through authorization cache - AuthCacheDisablePostAuthorize</t>
  </si>
  <si>
    <t>Local start transaction - Cable plugin first - Success</t>
  </si>
  <si>
    <t>Local start transaction - Authorization first - Success</t>
  </si>
  <si>
    <t>Local start transaction - Authorization first - Cable plugin timeout</t>
  </si>
  <si>
    <t>Local start transaction - Authorization first - DisableRemoteAuthorization</t>
  </si>
  <si>
    <t>Start transaction options - Authorized - Local</t>
  </si>
  <si>
    <t>Start transaction options - Authorized - Remote</t>
  </si>
  <si>
    <t>Start transaction options - ParkingBayOccupied</t>
  </si>
  <si>
    <t>Stop transaction options - EVDisconnected - Charging Station side</t>
  </si>
  <si>
    <t>Stop transaction options - EVDisconnected - EV side (able to charge IEC 61851-1 EV)</t>
  </si>
  <si>
    <t>Stop transaction options - EVDisconnected - EV side (not able to charge IEC 61851-1 EV)</t>
  </si>
  <si>
    <t>Stop transaction options - StopAuthorized - Local</t>
  </si>
  <si>
    <t>Stop transaction options - StopAuthorized - Remote</t>
  </si>
  <si>
    <t>Stop transaction options - Deauthorized - Invalid idToken</t>
  </si>
  <si>
    <t>Stop transaction options - Deauthorized - EV side disconnect</t>
  </si>
  <si>
    <t>Stop transaction options - Deauthorized - timeout</t>
  </si>
  <si>
    <t>Stop transaction options - PowerPathClosed - Local stop</t>
  </si>
  <si>
    <t>Stop transaction options - PowerPathClosed - Remote stop</t>
  </si>
  <si>
    <t>Stop transaction options - PowerPathClosed - EV side disconnect</t>
  </si>
  <si>
    <t>Stop transaction options - EnergyTransfer stopped - StopAuthorized</t>
  </si>
  <si>
    <t>Stop transaction options - EnergyTransfer stopped - SuspendedEV</t>
  </si>
  <si>
    <t>Stop transaction options - ParkingBayUnoccupied</t>
  </si>
  <si>
    <t>Disconnect cable on EV-side - Deauthorize transaction - UnlockOnEVSideDisconnect is true</t>
  </si>
  <si>
    <t>Disconnect cable on EV-side - Deauthorize transaction - UnlockOnEVSideDisconnect is false</t>
  </si>
  <si>
    <t>Disconnect cable on EV-side - Suspend transaction</t>
  </si>
  <si>
    <t>Disconnect cable on EV-side - Suspend transaction - Fixed cable connection timeout</t>
  </si>
  <si>
    <t>Retry sending transaction message when failed - Max retry count reached</t>
  </si>
  <si>
    <t>Retry sending transaction message when failed - Success before reaching the max retry count</t>
  </si>
  <si>
    <t>Retry sending transaction message when failed - Max retry count reached - CallError</t>
  </si>
  <si>
    <t>Retry sending transaction message when failed - Success before reaching the max retry count - CallError</t>
  </si>
  <si>
    <t>Offline Behaviour - Connection loss during transaction</t>
  </si>
  <si>
    <t>Offline Behaviour - Transaction during offline period</t>
  </si>
  <si>
    <t>Offline Behaviour - Stop transaction during offline period</t>
  </si>
  <si>
    <t>Offline Behaviour - Stop transaction during offline period - Same GroupId</t>
  </si>
  <si>
    <t>Check Transaction status - TransactionId unknown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</si>
  <si>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</si>
  <si>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</si>
  <si>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</si>
  <si>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Transaction with id ended - without message in queue</t>
  </si>
  <si>
    <t>Check Transaction status - Without transactionId - with message in queue</t>
  </si>
  <si>
    <t>Check Transaction status - Without transactionId - without message in queue</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</si>
  <si>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</si>
  <si>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</si>
  <si>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</si>
  <si>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</si>
  <si>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stop transaction - Success</t>
  </si>
  <si>
    <t>Remote stop transaction - Rejected</t>
  </si>
  <si>
    <t>Remote unlock Connector - With ongoing transaction</t>
  </si>
  <si>
    <t>Remote unlock Connector - Without ongoing transaction - Accepted</t>
  </si>
  <si>
    <t>Remote unlock Connector - Without ongoing transaction - No cable connected</t>
  </si>
  <si>
    <t>Remote unlock Connector - Without ongoing transaction - UnknownConnector</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</si>
  <si>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</si>
  <si>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</si>
  <si>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</si>
  <si>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</si>
  <si>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</si>
  <si>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LogStatusNotification - Uploading</t>
  </si>
  <si>
    <t>C-49 and (C-30 or C-31 or (C-32 and C-72))</t>
  </si>
  <si>
    <t>Trigger message - FirmwareStatusNotification - Specific EVSE not relevant</t>
  </si>
  <si>
    <t>Trigger message - FirmwareStatusNotification - Idle</t>
  </si>
  <si>
    <t>Trigger message - FirmwareStatusNotification - Downloading</t>
  </si>
  <si>
    <t>Trigger message - Heartbeat</t>
  </si>
  <si>
    <t>Trigger message - StatusNotification - Specific EVSE - Available</t>
  </si>
  <si>
    <t>Trigger message - StatusNotification - Specific EVSE - Occupied</t>
  </si>
  <si>
    <t>Trigger message - BootNotification - Rejected</t>
  </si>
  <si>
    <t>Trigger message - NotImplemented</t>
  </si>
  <si>
    <t>Connector status Notification - Available to Occupied</t>
  </si>
  <si>
    <t>Connector status Notification - Occupied to Available</t>
  </si>
  <si>
    <t>Change Availability EVSE - Operative to inoperative</t>
  </si>
  <si>
    <t>Change Availability EVSE - Operative to operative</t>
  </si>
  <si>
    <t>Change Availability EVSE - Inoperative to operative</t>
  </si>
  <si>
    <t>Change Availability EVSE - Inoperative to inoperative</t>
  </si>
  <si>
    <t>Change Availability EVSE - With ongoing transaction</t>
  </si>
  <si>
    <t>Change Availability EVSE - state persists across reboot</t>
  </si>
  <si>
    <t>Change Availability Charging Station - Operative to inoperative</t>
  </si>
  <si>
    <t>Change Availability Charging Station - Operative to operative</t>
  </si>
  <si>
    <t>Change Availability Charging Station - Inoperative to operative</t>
  </si>
  <si>
    <t>Change Availability Charging Station - Inoperative to inoperative</t>
  </si>
  <si>
    <t>Change Availability Charging Station - state persists across reboot</t>
  </si>
  <si>
    <t>Change Availability Charging Station - With ongoing transaction</t>
  </si>
  <si>
    <t>Change Availability Connector - Operative to inoperative</t>
  </si>
  <si>
    <t>Change Availability Connector - Operative to operative</t>
  </si>
  <si>
    <t>Change Availability Connector - Inoperative to operative</t>
  </si>
  <si>
    <t>Change Availability Connector - Inoperative to inoperative</t>
  </si>
  <si>
    <t>Change Availability Connector - With ongoing transaction</t>
  </si>
  <si>
    <t>Change Availability Connector - state persists across reboot</t>
  </si>
  <si>
    <t>Clock-aligned Meter Values - No transaction ongoing</t>
  </si>
  <si>
    <t>Clock-aligned Meter Values - Transaction ongoing</t>
  </si>
  <si>
    <t>Clock-aligned Meter Values - EventType Ended</t>
  </si>
  <si>
    <t>Clock-aligned Meter Values - Signed</t>
  </si>
  <si>
    <t>Clock-aligned Meter Values - No Meter Values during transaction</t>
  </si>
  <si>
    <t>Sampled Meter Values - EventType Started - EVSE known</t>
  </si>
  <si>
    <t>Sampled Meter Values - Context Transaction.Begin - EVSE not known</t>
  </si>
  <si>
    <t>Sampled Meter Values - EventType Updated</t>
  </si>
  <si>
    <t>Sampled Meter Values - EventType Ended</t>
  </si>
  <si>
    <t>Sampled Meter Values - Signed</t>
  </si>
  <si>
    <t>Remote start transaction with charging profile - Ignore chargingProfile</t>
  </si>
  <si>
    <t>Secure Firmware Update - Installation successful</t>
  </si>
  <si>
    <t>Secure Firmware Update - InstallScheduled</t>
  </si>
  <si>
    <t>Secure Firmware Update - DownloadScheduled</t>
  </si>
  <si>
    <t>Secure Firmware Update - InvalidCertificate</t>
  </si>
  <si>
    <t>Secure Firmware Update - InvalidSignature</t>
  </si>
  <si>
    <t>Secure Firmware Update - DownloadFailed</t>
  </si>
  <si>
    <t>Secure Firmware Update - InstallVerificationFailed or InstallationFailed</t>
  </si>
  <si>
    <t>Secure Firmware Update - AcceptedCanceled</t>
  </si>
  <si>
    <t>Secure Firmware Update - Unable to cancel</t>
  </si>
  <si>
    <t>Secure Firmware Update - Missing firmware signing certificate and signature</t>
  </si>
  <si>
    <t>Secure Firmware Update - Unable to download/install firmware with ongoing transaction - AllowNewSessionsPendingFirmwareUpdate is true</t>
  </si>
  <si>
    <t>Secure Firmware Update - Unable to download/install firmware with ongoing transaction - AllowNewSessionsPendingFirmwareUpdate is false</t>
  </si>
  <si>
    <t>Secure Firmware Update - Unable to install and activate firmware with ongoing transaction - AllowNewSessionsPendingFirmwareUpdate is true</t>
  </si>
  <si>
    <t>Secure Firmware Update - Unable to install firmware with ongoing transaction - AllowNewSessionsPendingFirmwareUpdate is false</t>
  </si>
  <si>
    <t>Secure Firmware Update - Able to update firmware with ongoing transaction</t>
  </si>
  <si>
    <t>Retrieve certificates from Charging Station - CSMSRootCertificate</t>
  </si>
  <si>
    <t>Retrieve certificates from Charging Station - ManufacturerRootCertificate</t>
  </si>
  <si>
    <t>Retrieve certificates from Charging Station - CSMSRootCertificate &amp;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</si>
  <si>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</si>
  <si>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</si>
  <si>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</si>
  <si>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No matching certificate found</t>
  </si>
  <si>
    <t>Install CA certificate - CSMSRootCertificate</t>
  </si>
  <si>
    <t>Install CA certificate - ManufacturerRootCertificate</t>
  </si>
  <si>
    <t>Install CA certificate - Rejected - Certificate invalid</t>
  </si>
  <si>
    <t>Install CA certificate - AdditionalRootCertificateCheck - Rejected</t>
  </si>
  <si>
    <t>Install CA certificate - AdditionalRootCertificateCheck - Reconnect using new CSMS Root - Success</t>
  </si>
  <si>
    <t>Install CA certificate - AdditionalRootCertificateCheck - Reconnect using new CSMS Root - Fallback mechanism</t>
  </si>
  <si>
    <t>Retrieve Log Information - Diagnostics Log - Success</t>
  </si>
  <si>
    <t>Retrieve Log Information - Diagnostics Log - Upload failed</t>
  </si>
  <si>
    <t>Retrieve Log Information - Security Log - Success</t>
  </si>
  <si>
    <t>Retrieve Log Information - Second Request</t>
  </si>
  <si>
    <t>Get Customer Information - Accepted + data</t>
  </si>
  <si>
    <t>Get Customer Information - Accepted + no data</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</si>
  <si>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</si>
  <si>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</si>
  <si>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</si>
  <si>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</si>
  <si>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Charging Station - Rejected / Unknown VendorId / Unknown MessageId</t>
  </si>
  <si>
    <t>CustomData - Receive custom data</t>
  </si>
  <si>
    <t>TLS - Client-side certificate - valid certificate</t>
  </si>
  <si>
    <t>Update Charging Station Certificate by request of CSMS - Success - Charging Station Certificate</t>
  </si>
  <si>
    <t>Update Charging Station Certificate by request of CSMS - Invalid certificate</t>
  </si>
  <si>
    <t>Update Charging Station Certificate by request of CSMS - SignCertificateRequest Rejected</t>
  </si>
  <si>
    <t>Update Charging Station Certificate by request of CSMS - CertificateSignedRequest Timeout</t>
  </si>
  <si>
    <t>Upgrade Charging Station Security Profile - No valid ChargingStationCertificate installed</t>
  </si>
  <si>
    <t>Delete a certificate from a Charging Station - Unable to delete the Charging Station Certificate</t>
  </si>
  <si>
    <t>Offline authorization through local authorization list - Accepted</t>
  </si>
  <si>
    <t>Offline authorization through local authorization list - Invalid</t>
  </si>
  <si>
    <t>Offline authorization through local authorization list - Blocked</t>
  </si>
  <si>
    <t>Offline authorization through local authorization list - Expired</t>
  </si>
  <si>
    <t>Offline authorization through local authorization list - Local Authorization List &gt; Authorization Cache</t>
  </si>
  <si>
    <t>Online authorization through local authorization list - Accepted</t>
  </si>
  <si>
    <t>Online authorization through local authorization list - Invalid &amp; Not Accepted</t>
  </si>
  <si>
    <t>Online authorization through local authorization list - Invalid &amp; Accepted</t>
  </si>
  <si>
    <t>Online authorization through local authorization list - Blocked</t>
  </si>
  <si>
    <t>Online authorization through local authorization list - Expired</t>
  </si>
  <si>
    <t>Online authorization through local authorization list - LocalAuthListDisablePostAuthorize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</si>
  <si>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</si>
  <si>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</si>
  <si>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</si>
  <si>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</si>
  <si>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</si>
  <si>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</si>
  <si>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Send Local Authorization List - Differential with empty list</t>
  </si>
  <si>
    <t>Send Local Authorization List - VersionMismatch</t>
  </si>
  <si>
    <t>Send Local Authorization List - Persistent over reboot</t>
  </si>
  <si>
    <t>Get Local List Version - Success</t>
  </si>
  <si>
    <t>Get Local List Version - Function disabled</t>
  </si>
  <si>
    <t>Set Charging Profile - TxDefaultProfile - Specific EVSE</t>
  </si>
  <si>
    <t>Set Charging Profile - TxDefaultProfile - All EVSE</t>
  </si>
  <si>
    <t>Set Charging Profile - TxProfile with ongoing transaction on the specified EVSE</t>
  </si>
  <si>
    <t>Set Charging Profile - TxProfile without ongoing transaction on the specified EVSE</t>
  </si>
  <si>
    <t>Set Charging Profile - Unable to set TxProfile on all EVSE at once</t>
  </si>
  <si>
    <t>Set Charging Profile - ChargingStationMaxProfile</t>
  </si>
  <si>
    <t>Set Charging Profile - ChargingProfileKind is Recurring</t>
  </si>
  <si>
    <t>Set Charging Profile - ChargerRateUnit Rejected</t>
  </si>
  <si>
    <t>Set Charging Profile - Persistent over reboot</t>
  </si>
  <si>
    <t>Set Charging Profile - Unexisting EVSEid</t>
  </si>
  <si>
    <t>Set Charging Profile - TxDefaultProfile with transaction ongoing</t>
  </si>
  <si>
    <t>Set Charging Profile - Unknown transactionId</t>
  </si>
  <si>
    <t>Set Charging Profile - ValidFrom</t>
  </si>
  <si>
    <t>Set Charging Profile - ValidTo</t>
  </si>
  <si>
    <t>Set Charging Profile - StartSchedule</t>
  </si>
  <si>
    <t>Replace charging profile - With chargingProfileId</t>
  </si>
  <si>
    <t>Remote start transaction with charging profile - Success</t>
  </si>
  <si>
    <t>Get Composite Schedule - No ChargingProfile installed on Charging Station</t>
  </si>
  <si>
    <t>Get Composite Schedule - Stacking ChargingProfiles</t>
  </si>
  <si>
    <t>Get Composite Schedule - Combining chargingProfilePurposes</t>
  </si>
  <si>
    <t>Get Composite Schedule - chargingRateUnit not supported</t>
  </si>
  <si>
    <t>Get Composite Schedule - Unknown EVSEId</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</si>
  <si>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</si>
  <si>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</si>
  <si>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</si>
  <si>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</si>
  <si>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</si>
  <si>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</si>
  <si>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</si>
  <si>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</si>
  <si>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</si>
  <si>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</si>
  <si>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 unknown stackLevel/purpose combination</t>
  </si>
  <si>
    <t>Clear Charging Profile - Without previous charging profile</t>
  </si>
  <si>
    <t>Clear Charging Profile - Clearing a TxDefaultProfile - With ongoing transaction</t>
  </si>
  <si>
    <t>Clear Charging Profile - With stackLevel/purpose combination for multiple profiles</t>
  </si>
  <si>
    <t>Get Custom Report - with component criteria</t>
  </si>
  <si>
    <t>Get Custom Report - with component/variable</t>
  </si>
  <si>
    <t>Get Custom Report - with componentCriteria and component/variables</t>
  </si>
  <si>
    <t>Get Custom Report - with component/variable, but no instance</t>
  </si>
  <si>
    <t>Get Custom Report - with component/variable/instance</t>
  </si>
  <si>
    <t>Get Custom Report - with component/variable, but no evseId</t>
  </si>
  <si>
    <t>Get Monitoring Report - with monitoringCriteria</t>
  </si>
  <si>
    <t>Get Monitoring Report - with component/variable</t>
  </si>
  <si>
    <t>Get Monitoring Report - with component criteria and component/variable</t>
  </si>
  <si>
    <t>Get Monitoring Report - Report all</t>
  </si>
  <si>
    <t>Set Monitoring Base - success</t>
  </si>
  <si>
    <t>Set Monitoring Base - test removal custom monitors</t>
  </si>
  <si>
    <t>Set Variable Monitoring - One SetMonitoringData element</t>
  </si>
  <si>
    <t>Set Variable Monitoring - Multiple elements on different component and variable</t>
  </si>
  <si>
    <t>Set Variable Monitoring - Multiple monitors on the same component and variable</t>
  </si>
  <si>
    <t>Set Variable Monitoring - Unknown component</t>
  </si>
  <si>
    <t>Set Variable Monitoring - Value out of range - Delta monitor</t>
  </si>
  <si>
    <t>Set Variable Monitoring - Value out of range - Threshold monitor</t>
  </si>
  <si>
    <t>Set Variable Monitoring - Duplicate Variable type/severity combination</t>
  </si>
  <si>
    <t>Set Variable Monitoring - Periodic event</t>
  </si>
  <si>
    <t>Set Variable Monitoring - Unknown Variable</t>
  </si>
  <si>
    <t>Set Variable Monitoring - Component/Variable combination does NOT correspond</t>
  </si>
  <si>
    <t>Set Variable Monitoring - Replace Variable Monitor</t>
  </si>
  <si>
    <t>Set Variable Monitoring - Return to FactoryDefault</t>
  </si>
  <si>
    <t>Set Variable Monitoring - First SetMonitoringData and third SetMonitoringData are valid, but the second contains an out of range value</t>
  </si>
  <si>
    <t>Set Variable Monitoring - Modifying a VariableMonitor and trigger</t>
  </si>
  <si>
    <t>Set Variable Monitoring - Removing a VariableMonitor</t>
  </si>
  <si>
    <t>Set Monitoring Level - Success</t>
  </si>
  <si>
    <t>Set Monitoring Level - Out of range</t>
  </si>
  <si>
    <t>Clear Monitoring - Success</t>
  </si>
  <si>
    <t>Clear Monitoring - Not found</t>
  </si>
  <si>
    <t>Clear Monitoring - Rejected</t>
  </si>
  <si>
    <t>Alert Event - Threshold value exceeded</t>
  </si>
  <si>
    <t>Alert Event - HardWiredMonitor</t>
  </si>
  <si>
    <t>Alert Event - Delta value exceeded</t>
  </si>
  <si>
    <t>Alert Event - Variable monitoring on write only</t>
  </si>
  <si>
    <t>Alert Event - Persistant over reboot</t>
  </si>
  <si>
    <t>Alert Event - Delta value NOT numeric exceeded</t>
  </si>
  <si>
    <t>Offline Notification - OfflineMonitoringEventQueuingSeverity set equal or lower</t>
  </si>
  <si>
    <t>Offline Notification - OfflineMonitoringEventQueuingSeverity set higher</t>
  </si>
  <si>
    <t>Reset Charging Station - Reserved persists reset</t>
  </si>
  <si>
    <t>Reserve a specific EVSE - Accepted - Valid idToken</t>
  </si>
  <si>
    <t>Reserve a specific EVSE - Accepted - Different idToken</t>
  </si>
  <si>
    <t>Reserve a specific EVSE - Occupied - EVSE Reserved</t>
  </si>
  <si>
    <t>Reserve a specific EVSE - Occupied - EVSE Occupied</t>
  </si>
  <si>
    <t>Reserve a specific EVSE - Unavailable</t>
  </si>
  <si>
    <t>Reserve a specific EVSE - Reservation Ended / not used</t>
  </si>
  <si>
    <t>Reserve a specific EVSE - Configured to Reject</t>
  </si>
  <si>
    <t>Reserve a specific EVSE - Replace reservation</t>
  </si>
  <si>
    <t>Reserve a specific EVSE - Use a reserved EVSE with GroupId</t>
  </si>
  <si>
    <t>Reserve an unspecified EVSE - Accepted</t>
  </si>
  <si>
    <t>Reserve an unspecified EVSE - Occupied - EVSE Reserved</t>
  </si>
  <si>
    <t>Reserve an unspecified EVSE - Occupied - EVSE Occupied</t>
  </si>
  <si>
    <t>Reserve an unspecified EVSE - Unavailable</t>
  </si>
  <si>
    <t>Reserve an unspecified EVSE - Rejected</t>
  </si>
  <si>
    <t>Reserve an unspecified EVSE - Amount of EVSEs available equals the amount of reservations</t>
  </si>
  <si>
    <t>Reserve an unspecified EVSE - GroupIdToken</t>
  </si>
  <si>
    <t>Reserve a connector with a specific type - Success</t>
  </si>
  <si>
    <t>Reserve a connector with a specific type - Amount of available connectors of a type equals the amount of reservations</t>
  </si>
  <si>
    <t>Cancel reservation of an EVSE - Success</t>
  </si>
  <si>
    <t>Cancel reservation of an EVSE - Rejected</t>
  </si>
  <si>
    <t>Cancel reservation of an EVSE - Charging Station cancels reservation when Unavailable</t>
  </si>
  <si>
    <t>Show costs to EV Driver - Show EV Driver running total cost during charging</t>
  </si>
  <si>
    <t>Show costs to EV Driver - Show EV Driver Final Total Cost After Charging</t>
  </si>
  <si>
    <t>Show costs to EV Driver - Show EV Driver running total cost during charging - transactionEventResponse</t>
  </si>
  <si>
    <t>Set Display Message - Success</t>
  </si>
  <si>
    <t>Set Display Message - Display message at StartTime</t>
  </si>
  <si>
    <t>Set Display Message - Remove message after EndTime</t>
  </si>
  <si>
    <t>Set Display Message - NotSupportedPriority</t>
  </si>
  <si>
    <t>Set Display Message - NotSupportedMessageFormat</t>
  </si>
  <si>
    <t>Set Display Message - Persistent over reboot</t>
  </si>
  <si>
    <t>Set Display Message - Multiple In front priority</t>
  </si>
  <si>
    <t>Set Display Message - Second Alwaysfront priority</t>
  </si>
  <si>
    <t>Set Display Message - State Charging</t>
  </si>
  <si>
    <t>Set Display Message - State Idle</t>
  </si>
  <si>
    <t>Set Display Message - State Unavailable</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</si>
  <si>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</si>
  <si>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</si>
  <si>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</si>
  <si>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</si>
  <si>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</si>
  <si>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Set Display Message - Specific transaction - Multiple In front priority</t>
  </si>
  <si>
    <t>Set Display Message - Specific transaction - Second Alwaysfront priority</t>
  </si>
  <si>
    <t>Get all Display Messages - Success</t>
  </si>
  <si>
    <t>Get all Display Messages - No DisplayMessages configured</t>
  </si>
  <si>
    <t>Get a Specific Display Message - Id</t>
  </si>
  <si>
    <t>Get a Specific Display Message - Priority</t>
  </si>
  <si>
    <t>Get a Specific Display Message - State</t>
  </si>
  <si>
    <t>Get a Specific Display Message - Unknown parameters</t>
  </si>
  <si>
    <t>Get a Specific Display Message - No DisplayMessages configured</t>
  </si>
  <si>
    <t>Get a Specific Display Message - Known Id, but not matching State</t>
  </si>
  <si>
    <t>Get a Specific Display Message - Known Id, but not matching Priority</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</si>
  <si>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</si>
  <si>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</si>
  <si>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</si>
  <si>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</si>
  <si>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</si>
  <si>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</si>
  <si>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Authorization using Contract Certificates 15118 - Online - Central contract validation fails</t>
  </si>
  <si>
    <t>Authorization using Contract Certificates 15118 - Offline - ContractValidationOffline is true</t>
  </si>
  <si>
    <t>Authorization using Contract Certificates 15118 - Offline - ContractValidationOffline is false</t>
  </si>
  <si>
    <t>End of charging process 15118 - End of charging process 15118</t>
  </si>
  <si>
    <t>Get Composite Schedule - chargingRateUnit  not supported</t>
  </si>
  <si>
    <t>Charging with load leveling based on High Level Communication - Success</t>
  </si>
  <si>
    <t>Charging with load leveling based on High Level Communication - No SASchedule (rejected)</t>
  </si>
  <si>
    <t>Charging with load leveling based on High Level Communication - Offline</t>
  </si>
  <si>
    <t>Renegotiating a Charging Schedule - Initiated by EV</t>
  </si>
  <si>
    <t>Renegotiating a Charging Schedule - Initiated by CSMS</t>
  </si>
  <si>
    <t>Certificate Installation EV - Success</t>
  </si>
  <si>
    <t>Certificate Installation EV - Failed</t>
  </si>
  <si>
    <t>Certificate Update EV - Success</t>
  </si>
  <si>
    <t>Certificate Update EV - Failed</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</si>
  <si>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</si>
  <si>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</si>
  <si>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</si>
  <si>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</si>
  <si>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</si>
  <si>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</si>
  <si>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Get Charging Station Certificate status - Rejected</t>
  </si>
  <si>
    <t>Clear Customer Information - Clear and report - customerCertificate</t>
  </si>
  <si>
    <t>((C-30 and C-70) or (C-31 and C-71)) and (Local Authorization List Management or C-49)</t>
  </si>
  <si>
    <t>C-49 and C-03 and ((C-30 and C-70) or (C-31 and C-71) or (C-32 and C-72))</t>
  </si>
  <si>
    <t>C-59 and C-49 and (((C-30 and C-70) or (C-31 and C-71) or (C-32 and C-72)) or (C-36 or C-37))</t>
  </si>
  <si>
    <t>C-49 and ((C-30 and C-70) or (C-31 and C-71) or (C-32 and C-72))</t>
  </si>
  <si>
    <t>C-49 and (((C-30 and C-70) or (C-31 and C-71) or (C-32 and C-72)) or (C-36 or C-37))</t>
  </si>
  <si>
    <t>C-49 and C-53 and (((C-30 and C-70) or (C-31 and C-71) or (C-32 and C-72)) or (C-36 or C-37))</t>
  </si>
  <si>
    <t>((C-30 and C-70) or (C-31 and C-71) or (C-32 and C-72)) AND (C-07 OR C-08)</t>
  </si>
  <si>
    <t>2.2.0</t>
  </si>
  <si>
    <t>sGBT-AC</t>
  </si>
  <si>
    <t>Added new connector types, added subtype "Wireless Charging Station", added missing validations</t>
  </si>
  <si>
    <t>C-10.1 AND (NOT (NOT C-52 AND (C-10.2 or C-10.3 or C-10.4))) AND (HFS-4 OR ISO 15118 support OR Product Subtype "Wireless Charging Station") AND NOT Product Subtype "Mode 1/2-only Charging Station"</t>
  </si>
  <si>
    <t>C-10.3 and (C-52 or NOT (C-10.1 or C-10.4)) AND (AQ-9 OR Product Subtype "Mode 1/2-only Charging Station" OR Product Subtype "Wireless Charging Station")</t>
  </si>
  <si>
    <t>HFS-1 and C-06.2 and C-12.1 and AQ-18 and NOT (HFS-4 or (ISO 15118 support and NOT AQ-9 ))</t>
  </si>
  <si>
    <t>C-06.2 and C-12.2 and AQ-18 and NOT (HFS-4 or (ISO 15118 support and NOT AQ-9 ))</t>
  </si>
  <si>
    <t>(C-10.2 or C-10.5) and (C-52 or NOT (C-10.1 or C-10.3 or C-10.4)) and C-06.1 and C-12.2 and NOT (HFS-4 or (ISO 15118 support and NOT AQ-9 )) and NOT Product Subtype "Mode 1/2-only Charging Station"</t>
  </si>
  <si>
    <t>(C-10.2 or C-10.5) and (C-52 or NOT (C-10.1 or C-10.3 or C-10.4)) and C-06.1 and C-12.2 and HFS-2 and NOT (HFS-4 or (ISO 15118 support and NOT AQ-9 )) and NOT Product Subtype "Mode 1/2-only Charging Station"</t>
  </si>
  <si>
    <t>HFS-1 and AQ-18</t>
  </si>
  <si>
    <t>cChaoJi</t>
  </si>
  <si>
    <t>cLECCS</t>
  </si>
  <si>
    <t>cMCS</t>
  </si>
  <si>
    <t>cNACS</t>
  </si>
  <si>
    <t>2.2.1</t>
  </si>
  <si>
    <t>Improved consistency of calculation of ConfigID</t>
  </si>
  <si>
    <t>Conditional. Supporting this feature depends on whether at least one of the following feature combinations is supported; - Certification Profile: Local Authorization List Management AND at least one of the following local authorization options; C-30 or C-31 or C-32 - C-02: Support for allowing offline authorization for unknown ids AND at least one of the following local authorization options; C-30 or C-31 or C-32 or C-33 or C-34 - C-49: Authorization Cache AND at least one of the following local authorization options; C-30 or C-31 or C-32 - C-35: Local Authorization - NoAuthorization - start (Because there is no authorization, no local authorization mechanism is needed.)</t>
  </si>
  <si>
    <t>{ list of cipher suites } -&gt; at least one of TLS_ECDHE_ECDSA_WITH_AES_128_GCM_SHA256 TLS_ECDHE_ECDSA_WITH_AES_256_GCM_SHA384 OR TLS_RSA_WITH_AES_128_GCM_SHA256 TLS_RSA_WITH_AES_256_GCM_SHA384</t>
  </si>
  <si>
    <t>R-0</t>
  </si>
  <si>
    <t>Support for Reservation</t>
  </si>
  <si>
    <t>Conditional. Supporting this feature depends on whether at least one connectorType is supported that is part of the ConnectorEnumType list from part 2 specification.</t>
  </si>
  <si>
    <t>DM-0</t>
  </si>
  <si>
    <t>Support for Advanced Device Management</t>
  </si>
  <si>
    <t>LA-0</t>
  </si>
  <si>
    <t>Support for Local Authorization List Management</t>
  </si>
  <si>
    <t>UI-0</t>
  </si>
  <si>
    <t>Support for Advanced User Interface</t>
  </si>
  <si>
    <t>(At least one of the suboptions below is required, if UI-0 is supported)</t>
  </si>
  <si>
    <t>AS-4</t>
  </si>
  <si>
    <t>Security downgrades from profile 3 to 2 (AllowSecurityProfileDowngrade)</t>
  </si>
  <si>
    <t>AS-4.1</t>
  </si>
  <si>
    <t>Support for disallowing security downgrades from profile 3 to 2</t>
  </si>
  <si>
    <t>AS-4.2</t>
  </si>
  <si>
    <t>Support for allowing security downgrades from profile 3 to 2</t>
  </si>
  <si>
    <t>Can the last CSMSRootCertificate be removed? Security Profile 1 - Unsecured Transport with Basic Authentication</t>
  </si>
  <si>
    <t>BootNotification Pending or Does the CSMS reject unknown Charging Stations during websocket connection setup?</t>
  </si>
  <si>
    <t>C-17 OR DM-0</t>
  </si>
  <si>
    <t>C-56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</si>
  <si>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</si>
  <si>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</si>
  <si>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</si>
  <si>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NOT AQ-2 and (C-36 or C-37 or C-38 or C-39)</t>
  </si>
  <si>
    <t>C-48.1 and (C-36 or C-37 or C-38 or C-39)</t>
  </si>
  <si>
    <t>C-48.2 and (C-36 or C-37 or C-38 or C-39)</t>
  </si>
  <si>
    <t>LA-0 and ((C-30 and C-70) or (C-31 and C-71) or (C-32 and C-72))</t>
  </si>
  <si>
    <t>LA-0 and (C-30 or C-31 or C-32)</t>
  </si>
  <si>
    <t>LA-0 and C-49 and (C-30 or C-31 or (C-32 and C-72))</t>
  </si>
  <si>
    <t>LA-0 and LA-3</t>
  </si>
  <si>
    <t>R-0 and R-2</t>
  </si>
  <si>
    <t>R-0 and NOT R-2</t>
  </si>
  <si>
    <t>R-0 and R-1</t>
  </si>
  <si>
    <t>DM-0 and AQ-10</t>
  </si>
  <si>
    <t>DM-0 and DM-3</t>
  </si>
  <si>
    <t>UI-1 and UI-2: Supported MessagePriorities &amp; Supported MessageFormats</t>
  </si>
  <si>
    <t>UI-0 and UI-1.2</t>
  </si>
  <si>
    <t>UI-0 and UI-1.1</t>
  </si>
  <si>
    <t>UI-1: Supported MessagePriorities</t>
  </si>
  <si>
    <t>UI-0 and ((UI-1.1 and UI-1.2) or (UI-1.2 and UI-1.3) or (UI-1.3 and UI-1.1))</t>
  </si>
  <si>
    <t>NOT (NOT ((C-30 and C-70) or (C-31 and C-71) or (C-32 and C-72) or (C-35 and C-75)) AND (NOT C-10.1 AND NOT C-10.3 AND NOT C-10.4 AND NOT C-10.5) AND NOT C-06.2)</t>
  </si>
  <si>
    <t>R-0 and R-3</t>
  </si>
  <si>
    <t>DM-0 and AQ-5</t>
  </si>
  <si>
    <t>UI-0 and NOT (UI-1.1 and UI-1.2 and UI-1.3)</t>
  </si>
  <si>
    <t>UI-0 and NOT (UI-2.1 and UI-2.2 and UI-2.3 and UI-2.4)</t>
  </si>
  <si>
    <t>C-61 or Advanced Security</t>
  </si>
  <si>
    <t>Reservations</t>
  </si>
  <si>
    <t>3.0.0</t>
  </si>
  <si>
    <t>Updated for the new certification program structure</t>
  </si>
  <si>
    <t>C-61 OR Advanced Security</t>
  </si>
  <si>
    <t>(C-09.1 and (C-51 or NOT C-09.6)) and NOT AQ-2</t>
  </si>
  <si>
    <t>&lt;-- This cell is based on a calculation: Local Authorization and C- 02="Yes" OR (C-49="Yes" OR LA-0="Yes")</t>
  </si>
  <si>
    <t>Advanced Device Management </t>
  </si>
  <si>
    <t>Edition 4 FINAL, 2025-12-03</t>
  </si>
  <si>
    <t>de05bd55b3498751fee1514cb0d1e1eff2e680db0c8c84ee755d584174db5a94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</si>
</sst>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b/>
      <i/>
      <sz val="11"/>
      <color rgb="FF7030A0"/>
      <name val="Calibri"/>
      <family val="2"/>
      <scheme val="minor"/>
    </font>
    <font>
      <i/>
      <sz val="11"/>
      <color rgb="FF7030A0"/>
      <name val="Calibri"/>
      <family val="2"/>
      <scheme val="minor"/>
    </font>
    <font>
      <b/>
      <sz val="11"/>
      <color theme="0"/>
      <name val="Arial"/>
      <family val="2"/>
    </font>
    <font>
      <b/>
      <i/>
      <sz val="11"/>
      <color rgb="FFFFF2CC"/>
      <name val="Arial"/>
      <family val="2"/>
    </font>
    <font>
      <sz val="8"/>
      <name val="Calibri"/>
      <family val="2"/>
      <scheme val="minor"/>
    </font>
    <font>
      <sz val="12"/>
      <color theme="1"/>
      <name val="Calibri"/>
      <family val="2"/>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s>
  <borders count="125">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style="thin">
        <color rgb="FF000000"/>
      </left>
      <right style="medium">
        <color rgb="FFFFD966"/>
      </right>
      <top style="medium">
        <color rgb="FFFFD966"/>
      </top>
      <bottom style="medium">
        <color theme="7"/>
      </bottom>
      <diagonal/>
    </border>
    <border>
      <left style="medium">
        <color rgb="FFFFD966"/>
      </left>
      <right style="medium">
        <color rgb="FFFFD966"/>
      </right>
      <top style="medium">
        <color rgb="FFFFD966"/>
      </top>
      <bottom style="medium">
        <color theme="7"/>
      </bottom>
      <diagonal/>
    </border>
    <border>
      <left style="medium">
        <color rgb="FFFFD966"/>
      </left>
      <right/>
      <top style="medium">
        <color rgb="FFFFC000"/>
      </top>
      <bottom style="medium">
        <color theme="7"/>
      </bottom>
      <diagonal/>
    </border>
    <border>
      <left/>
      <right/>
      <top style="medium">
        <color rgb="FFFFC000"/>
      </top>
      <bottom style="medium">
        <color theme="7"/>
      </bottom>
      <diagonal/>
    </border>
    <border>
      <left/>
      <right style="medium">
        <color rgb="FFFFD966"/>
      </right>
      <top style="medium">
        <color rgb="FFFFC000"/>
      </top>
      <bottom style="medium">
        <color theme="7"/>
      </bottom>
      <diagonal/>
    </border>
    <border>
      <left/>
      <right/>
      <top style="thin">
        <color rgb="FF000000"/>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5">
    <xf numFmtId="0" fontId="0" fillId="0" borderId="0"/>
    <xf numFmtId="0" fontId="9" fillId="0" borderId="0"/>
    <xf numFmtId="0" fontId="6" fillId="0" borderId="0"/>
    <xf numFmtId="0" fontId="2" fillId="0" borderId="0"/>
    <xf numFmtId="0" fontId="2" fillId="0" borderId="0"/>
  </cellStyleXfs>
  <cellXfs count="425">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2" fillId="3" borderId="30" xfId="0" applyFont="1" applyFill="1" applyBorder="1" applyAlignment="1">
      <alignment vertical="center" wrapText="1"/>
    </xf>
    <xf numFmtId="0" fontId="12" fillId="3" borderId="31" xfId="0" applyFont="1" applyFill="1" applyBorder="1" applyAlignment="1">
      <alignment horizontal="center" vertical="center" wrapText="1"/>
    </xf>
    <xf numFmtId="0" fontId="21" fillId="2" borderId="13" xfId="0" applyFont="1" applyFill="1" applyBorder="1" applyAlignment="1">
      <alignment vertical="center" wrapText="1"/>
    </xf>
    <xf numFmtId="0" fontId="21" fillId="0" borderId="10" xfId="0" applyFont="1" applyBorder="1" applyAlignment="1">
      <alignment vertical="center" wrapText="1"/>
    </xf>
    <xf numFmtId="0" fontId="12" fillId="3" borderId="30" xfId="0" applyFont="1" applyFill="1" applyBorder="1" applyAlignment="1">
      <alignment horizontal="center" vertical="center" wrapText="1"/>
    </xf>
    <xf numFmtId="0" fontId="10" fillId="0" borderId="0" xfId="0" applyFont="1" applyAlignment="1">
      <alignment horizontal="center"/>
    </xf>
    <xf numFmtId="0" fontId="14" fillId="2"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2" fillId="0" borderId="33" xfId="0" applyFont="1" applyBorder="1" applyAlignment="1">
      <alignment horizontal="left" vertical="center" wrapText="1"/>
    </xf>
    <xf numFmtId="0" fontId="14" fillId="2" borderId="18" xfId="0" applyFont="1" applyFill="1" applyBorder="1" applyAlignment="1">
      <alignment horizontal="left" vertical="center" wrapText="1"/>
    </xf>
    <xf numFmtId="0" fontId="14" fillId="0" borderId="18" xfId="0" applyFont="1" applyBorder="1" applyAlignment="1">
      <alignment horizontal="left" vertical="center" wrapText="1"/>
    </xf>
    <xf numFmtId="0" fontId="13" fillId="0" borderId="0" xfId="0" applyFont="1" applyAlignment="1">
      <alignment horizontal="left" vertical="center" wrapText="1"/>
    </xf>
    <xf numFmtId="0" fontId="22" fillId="0" borderId="0" xfId="0" applyFont="1"/>
    <xf numFmtId="0" fontId="23" fillId="0" borderId="0" xfId="0" applyFont="1"/>
    <xf numFmtId="0" fontId="24"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6" fillId="0" borderId="0" xfId="0" applyFont="1"/>
    <xf numFmtId="0" fontId="27" fillId="0" borderId="0" xfId="0" applyFont="1"/>
    <xf numFmtId="0" fontId="12" fillId="0" borderId="23" xfId="0" applyFont="1" applyBorder="1" applyAlignment="1">
      <alignment horizontal="left"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1"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21" fillId="2" borderId="13" xfId="0" applyFont="1" applyFill="1" applyBorder="1" applyAlignment="1">
      <alignment horizontal="center" vertical="center" wrapText="1"/>
    </xf>
    <xf numFmtId="0" fontId="16" fillId="0" borderId="2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2" borderId="29" xfId="0" applyFont="1" applyFill="1" applyBorder="1" applyAlignment="1" applyProtection="1">
      <alignment horizontal="center" vertical="center" wrapText="1"/>
      <protection locked="0"/>
    </xf>
    <xf numFmtId="0" fontId="31" fillId="0" borderId="0" xfId="0" applyFont="1"/>
    <xf numFmtId="0" fontId="11" fillId="0" borderId="0" xfId="0" applyFont="1" applyAlignment="1">
      <alignment wrapText="1"/>
    </xf>
    <xf numFmtId="0" fontId="16" fillId="2" borderId="0" xfId="0" applyFont="1" applyFill="1" applyAlignment="1" applyProtection="1">
      <alignment horizontal="center" vertical="center" wrapText="1"/>
      <protection locked="0"/>
    </xf>
    <xf numFmtId="0" fontId="9" fillId="0" borderId="0" xfId="1"/>
    <xf numFmtId="0" fontId="32" fillId="0" borderId="40" xfId="1" applyFont="1" applyBorder="1" applyAlignment="1">
      <alignment vertical="center"/>
    </xf>
    <xf numFmtId="0" fontId="32" fillId="0" borderId="42" xfId="1" applyFont="1" applyBorder="1" applyAlignment="1">
      <alignment vertical="center"/>
    </xf>
    <xf numFmtId="0" fontId="32" fillId="0" borderId="44" xfId="1" applyFont="1" applyBorder="1" applyAlignment="1">
      <alignment vertical="center"/>
    </xf>
    <xf numFmtId="0" fontId="16" fillId="0" borderId="26" xfId="0" applyFont="1" applyBorder="1" applyAlignment="1" applyProtection="1">
      <alignment horizontal="left" vertical="center" wrapText="1"/>
      <protection locked="0"/>
    </xf>
    <xf numFmtId="0" fontId="12" fillId="0" borderId="3" xfId="0" applyFont="1" applyBorder="1" applyAlignment="1">
      <alignment horizontal="left" vertical="center" wrapText="1"/>
    </xf>
    <xf numFmtId="0" fontId="12" fillId="0" borderId="3" xfId="0" applyFont="1" applyBorder="1" applyAlignment="1">
      <alignment vertical="center" wrapText="1"/>
    </xf>
    <xf numFmtId="0" fontId="12" fillId="0" borderId="18" xfId="0" applyFont="1" applyBorder="1" applyAlignment="1">
      <alignment horizontal="left" vertical="center" wrapText="1"/>
    </xf>
    <xf numFmtId="0" fontId="9" fillId="0" borderId="46" xfId="1" applyBorder="1"/>
    <xf numFmtId="0" fontId="9" fillId="0" borderId="47" xfId="1" applyBorder="1"/>
    <xf numFmtId="0" fontId="9" fillId="0" borderId="48" xfId="1" applyBorder="1"/>
    <xf numFmtId="0" fontId="9" fillId="0" borderId="49"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2" fillId="0" borderId="68" xfId="1" applyFont="1" applyBorder="1" applyAlignment="1">
      <alignment horizontal="left"/>
    </xf>
    <xf numFmtId="0" fontId="9" fillId="0" borderId="70" xfId="1" applyBorder="1"/>
    <xf numFmtId="0" fontId="32" fillId="0" borderId="73" xfId="1" applyFont="1" applyBorder="1" applyAlignment="1">
      <alignment horizontal="left"/>
    </xf>
    <xf numFmtId="0" fontId="32" fillId="0" borderId="74" xfId="1" applyFont="1" applyBorder="1" applyAlignment="1">
      <alignment vertical="center"/>
    </xf>
    <xf numFmtId="0" fontId="32" fillId="0" borderId="76" xfId="1" applyFont="1" applyBorder="1" applyAlignment="1">
      <alignment vertical="center"/>
    </xf>
    <xf numFmtId="0" fontId="32" fillId="0" borderId="78" xfId="1" applyFont="1" applyBorder="1" applyAlignment="1">
      <alignment vertical="center"/>
    </xf>
    <xf numFmtId="165" fontId="24" fillId="0" borderId="0" xfId="0" applyNumberFormat="1" applyFont="1" applyAlignment="1">
      <alignment horizontal="left"/>
    </xf>
    <xf numFmtId="0" fontId="14" fillId="2" borderId="19" xfId="0" applyFont="1" applyFill="1" applyBorder="1" applyAlignment="1">
      <alignment horizontal="left" vertical="center" wrapText="1"/>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19" xfId="0" applyFont="1" applyBorder="1" applyAlignment="1">
      <alignment horizontal="lef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5" fillId="0" borderId="15" xfId="0" applyFont="1" applyBorder="1" applyAlignment="1" applyProtection="1">
      <alignment horizontal="left" vertical="center" wrapText="1"/>
      <protection locked="0"/>
    </xf>
    <xf numFmtId="14" fontId="9" fillId="0" borderId="50" xfId="1" applyNumberFormat="1" applyBorder="1" applyAlignment="1" applyProtection="1">
      <alignment vertical="center"/>
      <protection locked="0"/>
    </xf>
    <xf numFmtId="0" fontId="9" fillId="0" borderId="51" xfId="1" applyBorder="1" applyAlignment="1">
      <alignment vertical="center"/>
    </xf>
    <xf numFmtId="14" fontId="9" fillId="0" borderId="52" xfId="1" applyNumberFormat="1" applyBorder="1" applyAlignment="1">
      <alignment vertical="center"/>
    </xf>
    <xf numFmtId="0" fontId="9" fillId="0" borderId="52" xfId="1" applyBorder="1" applyAlignment="1">
      <alignment vertical="center"/>
    </xf>
    <xf numFmtId="0" fontId="8" fillId="0" borderId="41" xfId="1" applyFont="1" applyBorder="1" applyAlignment="1" applyProtection="1">
      <alignment vertical="center"/>
      <protection locked="0"/>
    </xf>
    <xf numFmtId="0" fontId="8" fillId="0" borderId="43" xfId="1" applyFont="1" applyBorder="1" applyAlignment="1" applyProtection="1">
      <alignment vertical="center"/>
      <protection locked="0"/>
    </xf>
    <xf numFmtId="0" fontId="8" fillId="0" borderId="45" xfId="1" applyFont="1" applyBorder="1" applyAlignment="1" applyProtection="1">
      <alignment vertical="center"/>
      <protection locked="0"/>
    </xf>
    <xf numFmtId="14" fontId="8" fillId="0" borderId="50" xfId="1" applyNumberFormat="1" applyFont="1" applyBorder="1" applyAlignment="1" applyProtection="1">
      <alignment horizontal="left" vertical="center"/>
      <protection locked="0"/>
    </xf>
    <xf numFmtId="14" fontId="8" fillId="0" borderId="69" xfId="1" applyNumberFormat="1" applyFont="1" applyBorder="1" applyAlignment="1" applyProtection="1">
      <alignment horizontal="left" vertical="center"/>
      <protection locked="0"/>
    </xf>
    <xf numFmtId="0" fontId="8" fillId="0" borderId="69" xfId="1" applyFont="1" applyBorder="1" applyAlignment="1" applyProtection="1">
      <alignment horizontal="left" vertical="center"/>
      <protection locked="0"/>
    </xf>
    <xf numFmtId="0" fontId="8" fillId="0" borderId="75" xfId="1" applyFont="1" applyBorder="1" applyAlignment="1" applyProtection="1">
      <alignment vertical="center"/>
      <protection locked="0"/>
    </xf>
    <xf numFmtId="0" fontId="8" fillId="0" borderId="77" xfId="1" applyFont="1" applyBorder="1" applyAlignment="1" applyProtection="1">
      <alignment vertical="center"/>
      <protection locked="0"/>
    </xf>
    <xf numFmtId="0" fontId="8" fillId="0" borderId="79" xfId="1" applyFont="1" applyBorder="1" applyAlignment="1" applyProtection="1">
      <alignment vertical="center"/>
      <protection locked="0"/>
    </xf>
    <xf numFmtId="0" fontId="10" fillId="0" borderId="0" xfId="0" applyFont="1" applyAlignment="1">
      <alignment vertical="center"/>
    </xf>
    <xf numFmtId="0" fontId="37" fillId="0" borderId="3" xfId="0" applyFont="1" applyBorder="1" applyAlignment="1">
      <alignment horizontal="left" vertical="center" wrapText="1"/>
    </xf>
    <xf numFmtId="0" fontId="37" fillId="2" borderId="3" xfId="0" applyFont="1" applyFill="1" applyBorder="1" applyAlignment="1">
      <alignment horizontal="left" vertical="center" wrapText="1"/>
    </xf>
    <xf numFmtId="0" fontId="31" fillId="0" borderId="0" xfId="0" applyFont="1" applyAlignment="1">
      <alignment vertical="center"/>
    </xf>
    <xf numFmtId="0" fontId="14" fillId="2" borderId="65" xfId="0" applyFont="1" applyFill="1" applyBorder="1" applyAlignment="1" applyProtection="1">
      <alignment vertical="center" wrapText="1"/>
      <protection locked="0"/>
    </xf>
    <xf numFmtId="0" fontId="14" fillId="5" borderId="66" xfId="0" applyFont="1" applyFill="1" applyBorder="1" applyAlignment="1" applyProtection="1">
      <alignment horizontal="left" vertical="center" wrapText="1"/>
      <protection locked="0"/>
    </xf>
    <xf numFmtId="0" fontId="14" fillId="2" borderId="67"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20" fillId="2" borderId="25" xfId="0" applyFont="1" applyFill="1" applyBorder="1" applyAlignment="1">
      <alignment horizontal="center" vertical="center" wrapText="1" indent="1"/>
    </xf>
    <xf numFmtId="0" fontId="20" fillId="2" borderId="0" xfId="0" applyFont="1" applyFill="1" applyAlignment="1">
      <alignment horizontal="center" vertical="center" wrapText="1" indent="1"/>
    </xf>
    <xf numFmtId="0" fontId="20" fillId="2" borderId="26" xfId="0" applyFont="1" applyFill="1" applyBorder="1" applyAlignment="1">
      <alignment horizontal="center" vertical="center" wrapText="1" indent="1"/>
    </xf>
    <xf numFmtId="0" fontId="19" fillId="0" borderId="27" xfId="0" applyFont="1" applyBorder="1" applyAlignment="1">
      <alignment horizontal="center" vertical="center" indent="2"/>
    </xf>
    <xf numFmtId="0" fontId="13" fillId="0" borderId="28" xfId="0" applyFont="1" applyBorder="1" applyAlignment="1">
      <alignment horizontal="left" vertical="center" wrapText="1"/>
    </xf>
    <xf numFmtId="0" fontId="16" fillId="0" borderId="29" xfId="0" applyFont="1" applyBorder="1" applyAlignment="1">
      <alignment horizontal="left" vertical="center" wrapText="1"/>
    </xf>
    <xf numFmtId="0" fontId="20" fillId="0" borderId="0" xfId="0" applyFont="1" applyAlignment="1">
      <alignment horizontal="center" vertical="center" wrapText="1" indent="1"/>
    </xf>
    <xf numFmtId="0" fontId="20" fillId="0" borderId="0" xfId="0" applyFont="1" applyAlignment="1">
      <alignment horizontal="left" vertical="center" wrapText="1" indent="1"/>
    </xf>
    <xf numFmtId="0" fontId="19" fillId="0" borderId="0" xfId="0" applyFont="1" applyAlignment="1">
      <alignment horizontal="center" vertical="center"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5"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9" fillId="0" borderId="25" xfId="0" applyFont="1" applyBorder="1" applyAlignment="1">
      <alignment horizontal="center" vertical="center"/>
    </xf>
    <xf numFmtId="0" fontId="36" fillId="0" borderId="26"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36" fillId="2" borderId="26" xfId="0" applyFont="1" applyFill="1" applyBorder="1" applyAlignment="1">
      <alignment horizontal="left" vertical="center" wrapText="1"/>
    </xf>
    <xf numFmtId="0" fontId="13" fillId="0" borderId="0" xfId="0" applyFont="1" applyAlignment="1">
      <alignment vertical="center" wrapText="1"/>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6" xfId="1" applyBorder="1"/>
    <xf numFmtId="0" fontId="0" fillId="0" borderId="0" xfId="0" applyAlignment="1">
      <alignment horizontal="right" vertical="center"/>
    </xf>
    <xf numFmtId="0" fontId="7" fillId="0" borderId="75" xfId="1" applyFont="1" applyBorder="1" applyAlignment="1" applyProtection="1">
      <alignment vertical="center"/>
      <protection locked="0"/>
    </xf>
    <xf numFmtId="14" fontId="6" fillId="0" borderId="50" xfId="2" applyNumberFormat="1" applyBorder="1" applyAlignment="1" applyProtection="1">
      <alignment vertical="center"/>
      <protection locked="0"/>
    </xf>
    <xf numFmtId="0" fontId="6" fillId="0" borderId="104" xfId="2" applyBorder="1" applyAlignment="1" applyProtection="1">
      <alignment vertical="center"/>
      <protection locked="0"/>
    </xf>
    <xf numFmtId="0" fontId="6" fillId="0" borderId="14" xfId="2" applyBorder="1" applyAlignment="1" applyProtection="1">
      <alignment vertical="center"/>
      <protection locked="0"/>
    </xf>
    <xf numFmtId="0" fontId="6" fillId="0" borderId="105" xfId="2" applyBorder="1" applyAlignment="1" applyProtection="1">
      <alignment vertical="center"/>
      <protection locked="0"/>
    </xf>
    <xf numFmtId="49" fontId="0" fillId="2" borderId="108" xfId="0" applyNumberFormat="1" applyFill="1" applyBorder="1" applyProtection="1">
      <protection locked="0"/>
    </xf>
    <xf numFmtId="49" fontId="0" fillId="2" borderId="107" xfId="0" applyNumberFormat="1" applyFill="1" applyBorder="1" applyProtection="1">
      <protection locked="0"/>
    </xf>
    <xf numFmtId="49" fontId="0" fillId="2" borderId="36" xfId="0" applyNumberFormat="1" applyFill="1" applyBorder="1" applyProtection="1">
      <protection locked="0"/>
    </xf>
    <xf numFmtId="49" fontId="0" fillId="2" borderId="37" xfId="0" applyNumberFormat="1" applyFill="1" applyBorder="1" applyProtection="1">
      <protection locked="0"/>
    </xf>
    <xf numFmtId="0" fontId="0" fillId="0" borderId="96" xfId="0" applyBorder="1" applyProtection="1">
      <protection locked="0"/>
    </xf>
    <xf numFmtId="0" fontId="0" fillId="0" borderId="97" xfId="0" applyBorder="1" applyProtection="1">
      <protection locked="0"/>
    </xf>
    <xf numFmtId="0" fontId="0" fillId="0" borderId="9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6" xfId="0" applyFill="1" applyBorder="1" applyProtection="1">
      <protection locked="0"/>
    </xf>
    <xf numFmtId="0" fontId="0" fillId="2" borderId="97" xfId="0" applyFill="1" applyBorder="1" applyProtection="1">
      <protection locked="0"/>
    </xf>
    <xf numFmtId="0" fontId="0" fillId="2" borderId="97"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0" fillId="2" borderId="98" xfId="0" applyFill="1" applyBorder="1" applyProtection="1">
      <protection locked="0"/>
    </xf>
    <xf numFmtId="0" fontId="0" fillId="2" borderId="2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12" fillId="0" borderId="91" xfId="0" applyFont="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28" fillId="0" borderId="0" xfId="0" applyFont="1" applyAlignment="1">
      <alignment horizontal="center"/>
    </xf>
    <xf numFmtId="0" fontId="13" fillId="0" borderId="32" xfId="0" applyFont="1" applyBorder="1" applyAlignment="1">
      <alignment vertical="center" wrapText="1"/>
    </xf>
    <xf numFmtId="0" fontId="13" fillId="2" borderId="10" xfId="0" applyFont="1" applyFill="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5" fillId="0" borderId="0" xfId="1" applyFont="1"/>
    <xf numFmtId="0" fontId="32" fillId="0" borderId="111" xfId="1" applyFont="1" applyBorder="1" applyAlignment="1">
      <alignment horizontal="left"/>
    </xf>
    <xf numFmtId="0" fontId="32" fillId="0" borderId="119" xfId="1" applyFont="1" applyBorder="1" applyAlignment="1">
      <alignment horizontal="left"/>
    </xf>
    <xf numFmtId="0" fontId="32" fillId="0" borderId="120" xfId="1" applyFont="1" applyBorder="1" applyAlignment="1">
      <alignment horizontal="left"/>
    </xf>
    <xf numFmtId="0" fontId="32" fillId="0" borderId="121" xfId="1" applyFont="1" applyBorder="1" applyAlignment="1">
      <alignment horizontal="left"/>
    </xf>
    <xf numFmtId="0" fontId="0" fillId="2" borderId="0" xfId="0" applyFill="1" applyProtection="1">
      <protection locked="0"/>
    </xf>
    <xf numFmtId="0" fontId="32" fillId="0" borderId="111" xfId="1" applyFont="1" applyBorder="1" applyAlignment="1">
      <alignment vertical="center"/>
    </xf>
    <xf numFmtId="0" fontId="32" fillId="0" borderId="113" xfId="1" applyFont="1" applyBorder="1" applyAlignment="1">
      <alignment vertical="center"/>
    </xf>
    <xf numFmtId="14" fontId="8" fillId="0" borderId="110" xfId="1" applyNumberFormat="1" applyFont="1" applyBorder="1" applyAlignment="1">
      <alignment horizontal="left" vertical="center"/>
    </xf>
    <xf numFmtId="14" fontId="8" fillId="0" borderId="112" xfId="1" applyNumberFormat="1" applyFont="1" applyBorder="1" applyAlignment="1">
      <alignment horizontal="left" vertical="center"/>
    </xf>
    <xf numFmtId="0" fontId="8" fillId="0" borderId="115" xfId="1" applyFont="1" applyBorder="1" applyAlignment="1">
      <alignment vertical="center"/>
    </xf>
    <xf numFmtId="0" fontId="24" fillId="0" borderId="0" xfId="0" applyFont="1" applyAlignment="1">
      <alignment horizontal="right"/>
    </xf>
    <xf numFmtId="0" fontId="32" fillId="0" borderId="73" xfId="1" applyFont="1" applyBorder="1" applyAlignment="1" applyProtection="1">
      <alignment horizontal="left"/>
      <protection locked="0"/>
    </xf>
    <xf numFmtId="14" fontId="8" fillId="0" borderId="109" xfId="1" applyNumberFormat="1" applyFont="1" applyBorder="1" applyAlignment="1" applyProtection="1">
      <alignment horizontal="left" vertical="center"/>
      <protection locked="0"/>
    </xf>
    <xf numFmtId="0" fontId="9" fillId="0" borderId="109" xfId="1" applyBorder="1" applyAlignment="1" applyProtection="1">
      <alignment horizontal="left"/>
      <protection locked="0"/>
    </xf>
    <xf numFmtId="0" fontId="9" fillId="0" borderId="110" xfId="1" applyBorder="1" applyAlignment="1" applyProtection="1">
      <alignment horizontal="left"/>
      <protection locked="0"/>
    </xf>
    <xf numFmtId="0" fontId="32" fillId="0" borderId="111" xfId="1" applyFont="1" applyBorder="1" applyAlignment="1" applyProtection="1">
      <alignment horizontal="left"/>
      <protection locked="0"/>
    </xf>
    <xf numFmtId="14" fontId="8" fillId="0" borderId="91" xfId="1" applyNumberFormat="1" applyFont="1" applyBorder="1" applyAlignment="1" applyProtection="1">
      <alignment horizontal="left" vertical="center"/>
      <protection locked="0"/>
    </xf>
    <xf numFmtId="0" fontId="9" fillId="0" borderId="91" xfId="1" applyBorder="1" applyAlignment="1" applyProtection="1">
      <alignment horizontal="left"/>
      <protection locked="0"/>
    </xf>
    <xf numFmtId="0" fontId="9" fillId="0" borderId="112" xfId="1" applyBorder="1" applyAlignment="1" applyProtection="1">
      <alignment horizontal="left"/>
      <protection locked="0"/>
    </xf>
    <xf numFmtId="0" fontId="32" fillId="0" borderId="113" xfId="1" applyFont="1" applyBorder="1" applyAlignment="1" applyProtection="1">
      <alignment horizontal="left" vertical="center"/>
      <protection locked="0"/>
    </xf>
    <xf numFmtId="0" fontId="8" fillId="0" borderId="114" xfId="1" applyFont="1" applyBorder="1" applyAlignment="1" applyProtection="1">
      <alignment horizontal="left" vertical="center"/>
      <protection locked="0"/>
    </xf>
    <xf numFmtId="0" fontId="9" fillId="0" borderId="114" xfId="1" applyBorder="1" applyAlignment="1" applyProtection="1">
      <alignment horizontal="left"/>
      <protection locked="0"/>
    </xf>
    <xf numFmtId="0" fontId="9" fillId="0" borderId="115" xfId="1" applyBorder="1" applyAlignment="1" applyProtection="1">
      <alignment horizontal="left"/>
      <protection locked="0"/>
    </xf>
    <xf numFmtId="0" fontId="0" fillId="0" borderId="26" xfId="0" applyBorder="1" applyAlignment="1">
      <alignment horizontal="center"/>
    </xf>
    <xf numFmtId="0" fontId="0" fillId="0" borderId="96" xfId="0" applyBorder="1" applyAlignment="1" applyProtection="1">
      <alignment horizontal="center" vertical="center" wrapText="1"/>
      <protection locked="0"/>
    </xf>
    <xf numFmtId="0" fontId="0" fillId="0" borderId="91" xfId="0" applyBorder="1" applyProtection="1">
      <protection locked="0"/>
    </xf>
    <xf numFmtId="0" fontId="0" fillId="0" borderId="37" xfId="0" applyBorder="1" applyProtection="1">
      <protection locked="0"/>
    </xf>
    <xf numFmtId="0" fontId="14" fillId="2" borderId="26" xfId="0" applyFont="1" applyFill="1" applyBorder="1" applyAlignment="1" applyProtection="1">
      <alignment horizontal="left" vertical="center" wrapText="1"/>
      <protection locked="0"/>
    </xf>
    <xf numFmtId="0" fontId="0" fillId="2" borderId="29" xfId="0" applyFill="1" applyBorder="1" applyAlignment="1">
      <alignment horizontal="center"/>
    </xf>
    <xf numFmtId="164" fontId="24" fillId="0" borderId="0" xfId="0" quotePrefix="1" applyNumberFormat="1" applyFont="1" applyAlignment="1">
      <alignment horizontal="left"/>
    </xf>
    <xf numFmtId="49" fontId="24" fillId="2" borderId="35" xfId="0" applyNumberFormat="1" applyFont="1" applyFill="1" applyBorder="1" applyProtection="1">
      <protection locked="0"/>
    </xf>
    <xf numFmtId="0" fontId="10" fillId="0" borderId="0" xfId="0" applyFont="1" applyAlignment="1">
      <alignment horizontal="right" vertical="center"/>
    </xf>
    <xf numFmtId="0" fontId="10" fillId="0" borderId="0" xfId="0" applyFont="1" applyAlignment="1">
      <alignment horizontal="right"/>
    </xf>
    <xf numFmtId="0" fontId="9" fillId="0" borderId="43" xfId="1" applyBorder="1" applyAlignment="1">
      <alignment vertical="center"/>
    </xf>
    <xf numFmtId="11" fontId="0" fillId="0" borderId="0" xfId="0" applyNumberFormat="1" applyAlignment="1">
      <alignment horizontal="center"/>
    </xf>
    <xf numFmtId="0" fontId="50" fillId="0" borderId="0" xfId="0" applyFont="1" applyAlignment="1">
      <alignment vertical="center"/>
    </xf>
    <xf numFmtId="0" fontId="14" fillId="2" borderId="20"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14" fillId="2" borderId="21" xfId="0" applyFont="1" applyFill="1" applyBorder="1" applyAlignment="1">
      <alignment horizontal="left" vertical="center" wrapText="1"/>
    </xf>
    <xf numFmtId="0" fontId="37" fillId="2" borderId="26" xfId="0" applyFont="1" applyFill="1" applyBorder="1" applyAlignment="1" applyProtection="1">
      <alignment horizontal="center" vertical="center" wrapText="1"/>
      <protection locked="0"/>
    </xf>
    <xf numFmtId="0" fontId="37" fillId="2" borderId="29" xfId="0" applyFont="1" applyFill="1" applyBorder="1" applyAlignment="1" applyProtection="1">
      <alignment horizontal="center" vertical="center" wrapText="1"/>
      <protection locked="0"/>
    </xf>
    <xf numFmtId="0" fontId="16" fillId="2" borderId="37" xfId="0" applyFont="1" applyFill="1" applyBorder="1" applyAlignment="1" applyProtection="1">
      <alignment horizontal="center" vertical="center" wrapText="1"/>
      <protection locked="0"/>
    </xf>
    <xf numFmtId="0" fontId="12" fillId="0" borderId="22" xfId="0" applyFont="1" applyBorder="1" applyAlignment="1">
      <alignment horizontal="center" vertical="center" wrapText="1"/>
    </xf>
    <xf numFmtId="0" fontId="12" fillId="0" borderId="24" xfId="0" applyFont="1" applyBorder="1" applyAlignment="1">
      <alignment horizontal="center" vertical="center" wrapText="1"/>
    </xf>
    <xf numFmtId="0" fontId="14" fillId="0" borderId="0" xfId="0" applyFont="1" applyAlignment="1">
      <alignment vertical="center" wrapText="1"/>
    </xf>
    <xf numFmtId="49" fontId="0" fillId="0" borderId="0" xfId="0" applyNumberFormat="1"/>
    <xf numFmtId="49" fontId="18" fillId="2" borderId="25" xfId="0" applyNumberFormat="1" applyFont="1" applyFill="1" applyBorder="1" applyAlignment="1">
      <alignment horizontal="left" vertical="center" wrapText="1"/>
    </xf>
    <xf numFmtId="49" fontId="18" fillId="2" borderId="0" xfId="0" applyNumberFormat="1" applyFont="1" applyFill="1" applyAlignment="1">
      <alignment horizontal="left" vertical="center" wrapText="1" indent="2"/>
    </xf>
    <xf numFmtId="49" fontId="18" fillId="0" borderId="25" xfId="0" applyNumberFormat="1" applyFont="1" applyBorder="1" applyAlignment="1">
      <alignment horizontal="left" vertical="center" wrapText="1"/>
    </xf>
    <xf numFmtId="49" fontId="18" fillId="0" borderId="0" xfId="0" applyNumberFormat="1" applyFont="1" applyAlignment="1">
      <alignment horizontal="left" vertical="center" wrapText="1" indent="2"/>
    </xf>
    <xf numFmtId="49" fontId="18" fillId="0" borderId="27" xfId="0" applyNumberFormat="1" applyFont="1" applyBorder="1" applyAlignment="1">
      <alignment horizontal="left" vertical="center" wrapText="1"/>
    </xf>
    <xf numFmtId="49" fontId="18" fillId="0" borderId="28" xfId="0" applyNumberFormat="1" applyFont="1" applyBorder="1" applyAlignment="1">
      <alignment horizontal="left" vertical="center" wrapText="1" indent="2"/>
    </xf>
    <xf numFmtId="49" fontId="18" fillId="0" borderId="0" xfId="0" applyNumberFormat="1" applyFont="1" applyAlignment="1">
      <alignment horizontal="left" vertical="center" wrapText="1"/>
    </xf>
    <xf numFmtId="0" fontId="16" fillId="0" borderId="26" xfId="0" applyFont="1" applyBorder="1" applyAlignment="1">
      <alignment horizontal="center" vertical="center" wrapText="1"/>
    </xf>
    <xf numFmtId="49" fontId="16" fillId="0" borderId="25" xfId="0" applyNumberFormat="1" applyFont="1" applyBorder="1" applyAlignment="1">
      <alignment horizontal="left" vertical="center" wrapText="1"/>
    </xf>
    <xf numFmtId="49" fontId="16" fillId="0" borderId="0" xfId="0" applyNumberFormat="1" applyFont="1" applyAlignment="1">
      <alignment horizontal="left" vertical="center" wrapText="1"/>
    </xf>
    <xf numFmtId="49" fontId="37" fillId="2" borderId="25" xfId="0" applyNumberFormat="1" applyFont="1" applyFill="1" applyBorder="1" applyAlignment="1">
      <alignment horizontal="left" vertical="center" wrapText="1"/>
    </xf>
    <xf numFmtId="0" fontId="37" fillId="2" borderId="0" xfId="0" applyFont="1" applyFill="1"/>
    <xf numFmtId="49" fontId="14" fillId="0" borderId="0" xfId="0" applyNumberFormat="1" applyFont="1" applyAlignment="1">
      <alignment horizontal="left" vertical="center" wrapText="1"/>
    </xf>
    <xf numFmtId="49" fontId="12" fillId="0" borderId="35" xfId="0" applyNumberFormat="1" applyFont="1" applyBorder="1" applyAlignment="1">
      <alignment horizontal="left" vertical="center" wrapText="1"/>
    </xf>
    <xf numFmtId="0" fontId="12" fillId="0" borderId="36" xfId="0" applyFont="1" applyBorder="1" applyAlignment="1">
      <alignment horizontal="left" vertical="center" wrapText="1"/>
    </xf>
    <xf numFmtId="0" fontId="12" fillId="0" borderId="37" xfId="0" applyFont="1" applyBorder="1" applyAlignment="1">
      <alignment horizontal="center" vertical="center" wrapText="1"/>
    </xf>
    <xf numFmtId="0" fontId="37" fillId="2" borderId="0" xfId="0" applyFont="1" applyFill="1" applyAlignment="1">
      <alignment horizontal="left" vertical="center" wrapText="1"/>
    </xf>
    <xf numFmtId="49" fontId="16" fillId="2" borderId="2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49" fontId="16" fillId="0" borderId="27" xfId="0" applyNumberFormat="1" applyFont="1" applyBorder="1" applyAlignment="1">
      <alignment horizontal="left" vertical="center" wrapText="1"/>
    </xf>
    <xf numFmtId="49" fontId="16" fillId="0" borderId="28" xfId="0" applyNumberFormat="1" applyFont="1" applyBorder="1" applyAlignment="1">
      <alignment horizontal="left" vertical="center" wrapText="1"/>
    </xf>
    <xf numFmtId="49" fontId="37" fillId="2" borderId="27" xfId="0" applyNumberFormat="1" applyFont="1" applyFill="1" applyBorder="1" applyAlignment="1">
      <alignment horizontal="left" vertical="center" wrapText="1"/>
    </xf>
    <xf numFmtId="0" fontId="37" fillId="2" borderId="28" xfId="0" applyFont="1" applyFill="1" applyBorder="1" applyAlignment="1">
      <alignment horizontal="left" vertical="center"/>
    </xf>
    <xf numFmtId="0" fontId="30" fillId="0" borderId="26" xfId="0" applyFont="1" applyBorder="1" applyAlignment="1">
      <alignment horizontal="center" vertical="center" wrapText="1"/>
    </xf>
    <xf numFmtId="0" fontId="37" fillId="2" borderId="0" xfId="0" applyFont="1" applyFill="1" applyAlignment="1">
      <alignment horizontal="left" vertical="center"/>
    </xf>
    <xf numFmtId="49" fontId="18" fillId="2" borderId="27" xfId="0" applyNumberFormat="1" applyFont="1" applyFill="1" applyBorder="1" applyAlignment="1">
      <alignment horizontal="left" vertical="center" wrapText="1"/>
    </xf>
    <xf numFmtId="49" fontId="18" fillId="2" borderId="28" xfId="0" applyNumberFormat="1" applyFont="1" applyFill="1" applyBorder="1" applyAlignment="1">
      <alignment horizontal="left" vertical="center" wrapText="1" indent="2"/>
    </xf>
    <xf numFmtId="0" fontId="16" fillId="2" borderId="26" xfId="0" applyFont="1" applyFill="1" applyBorder="1" applyAlignment="1">
      <alignment horizontal="center" vertical="center" wrapText="1"/>
    </xf>
    <xf numFmtId="49" fontId="14" fillId="0" borderId="26" xfId="0" applyNumberFormat="1" applyFont="1" applyBorder="1" applyAlignment="1">
      <alignment horizontal="center" vertical="center" wrapText="1"/>
    </xf>
    <xf numFmtId="0" fontId="15" fillId="0" borderId="37" xfId="0" applyFont="1" applyBorder="1" applyAlignment="1">
      <alignment horizontal="center" vertical="center" wrapText="1"/>
    </xf>
    <xf numFmtId="49" fontId="16" fillId="2" borderId="35" xfId="0" applyNumberFormat="1" applyFont="1" applyFill="1" applyBorder="1" applyAlignment="1">
      <alignment horizontal="left" vertical="center" wrapText="1"/>
    </xf>
    <xf numFmtId="49" fontId="16" fillId="2" borderId="36" xfId="0" applyNumberFormat="1" applyFont="1" applyFill="1" applyBorder="1" applyAlignment="1">
      <alignment horizontal="left" vertical="center" wrapText="1"/>
    </xf>
    <xf numFmtId="49" fontId="16" fillId="0" borderId="0" xfId="0" applyNumberFormat="1" applyFont="1" applyAlignment="1">
      <alignment horizontal="left" vertical="center"/>
    </xf>
    <xf numFmtId="0" fontId="15" fillId="2" borderId="0" xfId="0" applyFont="1" applyFill="1" applyAlignment="1">
      <alignment horizontal="center" vertical="center" wrapText="1"/>
    </xf>
    <xf numFmtId="0" fontId="15" fillId="0" borderId="0" xfId="0" applyFont="1" applyAlignment="1">
      <alignment horizontal="center" vertical="center" wrapText="1"/>
    </xf>
    <xf numFmtId="0" fontId="15" fillId="0" borderId="28" xfId="0" applyFont="1" applyBorder="1" applyAlignment="1">
      <alignment horizontal="center" vertical="center" wrapText="1"/>
    </xf>
    <xf numFmtId="49" fontId="16" fillId="0" borderId="36" xfId="0" applyNumberFormat="1" applyFont="1" applyBorder="1" applyAlignment="1">
      <alignment horizontal="left" vertical="center" wrapText="1"/>
    </xf>
    <xf numFmtId="0" fontId="16" fillId="0" borderId="36" xfId="0" applyFont="1" applyBorder="1" applyAlignment="1">
      <alignment horizontal="center" vertical="center" wrapText="1"/>
    </xf>
    <xf numFmtId="0" fontId="12" fillId="0" borderId="27" xfId="0" applyFont="1" applyBorder="1" applyAlignment="1">
      <alignment vertical="center" wrapText="1"/>
    </xf>
    <xf numFmtId="0" fontId="12" fillId="0" borderId="28" xfId="0" applyFont="1" applyBorder="1" applyAlignment="1">
      <alignment vertical="center" wrapText="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49" fontId="12" fillId="0" borderId="36" xfId="0" applyNumberFormat="1" applyFont="1" applyBorder="1" applyAlignment="1">
      <alignment horizontal="left" vertical="center" wrapText="1"/>
    </xf>
    <xf numFmtId="0" fontId="12" fillId="0" borderId="36" xfId="0" applyFont="1" applyBorder="1" applyAlignment="1">
      <alignment horizontal="center" vertical="center" wrapText="1"/>
    </xf>
    <xf numFmtId="0" fontId="16" fillId="0" borderId="28" xfId="0" applyFont="1" applyBorder="1" applyAlignment="1">
      <alignment horizontal="left" vertical="center" wrapText="1"/>
    </xf>
    <xf numFmtId="0" fontId="16" fillId="0" borderId="29" xfId="0" applyFont="1" applyBorder="1" applyAlignment="1">
      <alignment horizontal="center" vertical="center" wrapText="1"/>
    </xf>
    <xf numFmtId="0" fontId="16" fillId="0" borderId="0" xfId="0" applyFont="1" applyAlignment="1">
      <alignment horizontal="center" vertical="center" wrapText="1"/>
    </xf>
    <xf numFmtId="49" fontId="12" fillId="0" borderId="35" xfId="0" applyNumberFormat="1" applyFont="1" applyBorder="1" applyAlignment="1">
      <alignment vertical="center" wrapText="1"/>
    </xf>
    <xf numFmtId="0" fontId="12" fillId="0" borderId="36" xfId="0" applyFont="1" applyBorder="1" applyAlignment="1">
      <alignment vertical="center" wrapText="1"/>
    </xf>
    <xf numFmtId="49" fontId="28" fillId="0" borderId="0" xfId="0" applyNumberFormat="1" applyFont="1" applyAlignment="1">
      <alignment horizontal="center"/>
    </xf>
    <xf numFmtId="49" fontId="12" fillId="2" borderId="35" xfId="0" applyNumberFormat="1" applyFont="1" applyFill="1" applyBorder="1" applyAlignment="1">
      <alignment horizontal="left" vertical="center" wrapText="1"/>
    </xf>
    <xf numFmtId="0" fontId="12" fillId="2" borderId="36" xfId="0" applyFont="1" applyFill="1" applyBorder="1" applyAlignment="1">
      <alignment horizontal="left" vertical="center" wrapText="1"/>
    </xf>
    <xf numFmtId="0" fontId="15" fillId="2" borderId="37" xfId="0" applyFont="1" applyFill="1" applyBorder="1" applyAlignment="1">
      <alignment horizontal="center" vertical="center" wrapText="1"/>
    </xf>
    <xf numFmtId="0" fontId="13" fillId="0" borderId="0" xfId="0" applyFont="1" applyAlignment="1">
      <alignment horizontal="center" vertical="center" wrapText="1"/>
    </xf>
    <xf numFmtId="0" fontId="20" fillId="0" borderId="0" xfId="0" applyFont="1" applyAlignment="1">
      <alignment vertical="center" wrapText="1"/>
    </xf>
    <xf numFmtId="0" fontId="20" fillId="0" borderId="0" xfId="0" applyFont="1" applyAlignment="1">
      <alignment horizontal="left" vertical="center" wrapText="1"/>
    </xf>
    <xf numFmtId="0" fontId="20" fillId="2"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0" xfId="0" applyFont="1" applyAlignment="1">
      <alignment horizontal="left" vertical="center" indent="2"/>
    </xf>
    <xf numFmtId="0" fontId="13" fillId="0" borderId="26" xfId="0" applyFont="1" applyBorder="1" applyAlignment="1">
      <alignment vertical="center" wrapText="1"/>
    </xf>
    <xf numFmtId="0" fontId="28" fillId="0" borderId="0" xfId="0" applyFont="1" applyAlignment="1">
      <alignment horizontal="center" vertical="center"/>
    </xf>
    <xf numFmtId="0" fontId="24" fillId="0" borderId="0" xfId="0" applyFont="1" applyAlignment="1">
      <alignment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9"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11" xfId="0" applyFont="1" applyBorder="1" applyAlignment="1">
      <alignment horizontal="left" vertical="center" wrapText="1"/>
    </xf>
    <xf numFmtId="0" fontId="15" fillId="0" borderId="10" xfId="0" applyFont="1" applyBorder="1" applyAlignment="1">
      <alignment horizontal="left" vertical="center" wrapText="1"/>
    </xf>
    <xf numFmtId="0" fontId="13" fillId="5" borderId="81" xfId="0" applyFont="1" applyFill="1" applyBorder="1" applyAlignment="1">
      <alignment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5" borderId="83" xfId="0" applyFont="1" applyFill="1" applyBorder="1" applyAlignment="1">
      <alignment vertical="center" wrapText="1"/>
    </xf>
    <xf numFmtId="0" fontId="34" fillId="0" borderId="28" xfId="0" applyFont="1" applyBorder="1" applyAlignment="1">
      <alignment horizontal="left" vertical="center" wrapText="1"/>
    </xf>
    <xf numFmtId="0" fontId="0" fillId="0" borderId="28" xfId="0" applyBorder="1"/>
    <xf numFmtId="0" fontId="12" fillId="3" borderId="57" xfId="0" applyFont="1" applyFill="1" applyBorder="1" applyAlignment="1">
      <alignment horizontal="left" vertical="center" wrapText="1"/>
    </xf>
    <xf numFmtId="0" fontId="12" fillId="3" borderId="58" xfId="0" applyFont="1" applyFill="1" applyBorder="1" applyAlignment="1">
      <alignment horizontal="center" vertical="center" wrapText="1"/>
    </xf>
    <xf numFmtId="0" fontId="9" fillId="0" borderId="53" xfId="1" applyBorder="1" applyProtection="1">
      <protection locked="0"/>
    </xf>
    <xf numFmtId="0" fontId="9" fillId="0" borderId="0" xfId="1" applyProtection="1">
      <protection locked="0"/>
    </xf>
    <xf numFmtId="0" fontId="9" fillId="0" borderId="54" xfId="1" applyBorder="1" applyProtection="1">
      <protection locked="0"/>
    </xf>
    <xf numFmtId="0" fontId="9" fillId="0" borderId="55" xfId="1" applyBorder="1" applyProtection="1">
      <protection locked="0"/>
    </xf>
    <xf numFmtId="0" fontId="9" fillId="0" borderId="87" xfId="1" applyBorder="1" applyProtection="1">
      <protection locked="0"/>
    </xf>
    <xf numFmtId="0" fontId="9" fillId="0" borderId="56" xfId="1" applyBorder="1" applyProtection="1">
      <protection locked="0"/>
    </xf>
    <xf numFmtId="0" fontId="39" fillId="0" borderId="0" xfId="0" applyFont="1" applyAlignment="1">
      <alignment wrapText="1"/>
    </xf>
    <xf numFmtId="0" fontId="10" fillId="0" borderId="0" xfId="0" applyFont="1" applyAlignment="1">
      <alignment horizontal="center" vertical="center"/>
    </xf>
    <xf numFmtId="0" fontId="41"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1" xfId="0" applyFont="1" applyFill="1" applyBorder="1" applyAlignment="1">
      <alignment horizontal="center" vertical="center" wrapText="1" indent="1"/>
    </xf>
    <xf numFmtId="0" fontId="42" fillId="2" borderId="37" xfId="0" applyFont="1" applyFill="1" applyBorder="1" applyAlignment="1">
      <alignment horizontal="center" vertical="center" wrapText="1" indent="1"/>
    </xf>
    <xf numFmtId="0" fontId="42" fillId="2" borderId="91" xfId="0" applyFont="1" applyFill="1" applyBorder="1" applyAlignment="1">
      <alignment horizontal="center" vertical="center" wrapText="1" indent="1"/>
    </xf>
    <xf numFmtId="0" fontId="47" fillId="0" borderId="92" xfId="0" applyFont="1" applyBorder="1" applyAlignment="1">
      <alignment horizontal="center" vertical="center" wrapText="1"/>
    </xf>
    <xf numFmtId="0" fontId="12" fillId="0" borderId="91" xfId="0" applyFont="1" applyBorder="1" applyAlignment="1">
      <alignment horizontal="center" vertical="center" wrapText="1"/>
    </xf>
    <xf numFmtId="0" fontId="12" fillId="0" borderId="0" xfId="0" applyFont="1" applyAlignment="1">
      <alignment horizontal="center" vertical="center" wrapText="1"/>
    </xf>
    <xf numFmtId="0" fontId="0" fillId="2" borderId="93" xfId="0" applyFill="1" applyBorder="1" applyAlignment="1">
      <alignment horizontal="center"/>
    </xf>
    <xf numFmtId="0" fontId="0" fillId="2" borderId="23" xfId="0" applyFill="1" applyBorder="1" applyAlignment="1">
      <alignment horizontal="center"/>
    </xf>
    <xf numFmtId="0" fontId="0" fillId="2" borderId="94" xfId="0" applyFill="1" applyBorder="1" applyAlignment="1">
      <alignment horizontal="center"/>
    </xf>
    <xf numFmtId="0" fontId="0" fillId="2" borderId="94" xfId="0" applyFill="1" applyBorder="1" applyAlignment="1">
      <alignment horizontal="center" vertical="center"/>
    </xf>
    <xf numFmtId="0" fontId="0" fillId="2" borderId="24" xfId="0" applyFill="1" applyBorder="1" applyAlignment="1">
      <alignment horizontal="center" vertical="center"/>
    </xf>
    <xf numFmtId="0" fontId="47" fillId="0" borderId="95" xfId="0" applyFont="1" applyBorder="1" applyAlignment="1">
      <alignment horizontal="center" vertical="center" wrapText="1"/>
    </xf>
    <xf numFmtId="0" fontId="0" fillId="0" borderId="97" xfId="0" applyBorder="1"/>
    <xf numFmtId="0" fontId="0" fillId="0" borderId="97" xfId="0" applyBorder="1" applyAlignment="1">
      <alignment horizontal="center" vertical="center"/>
    </xf>
    <xf numFmtId="0" fontId="0" fillId="0" borderId="26" xfId="0" applyBorder="1" applyAlignment="1">
      <alignment horizontal="center" vertical="center"/>
    </xf>
    <xf numFmtId="0" fontId="0" fillId="2" borderId="96" xfId="0" applyFill="1" applyBorder="1"/>
    <xf numFmtId="0" fontId="0" fillId="2" borderId="0" xfId="0" applyFill="1"/>
    <xf numFmtId="0" fontId="0" fillId="2" borderId="97" xfId="0" applyFill="1" applyBorder="1"/>
    <xf numFmtId="0" fontId="0" fillId="2" borderId="97" xfId="0" applyFill="1" applyBorder="1" applyAlignment="1">
      <alignment horizontal="center" vertical="center"/>
    </xf>
    <xf numFmtId="0" fontId="0" fillId="2" borderId="26" xfId="0" applyFill="1" applyBorder="1" applyAlignment="1">
      <alignment horizontal="center" vertical="center"/>
    </xf>
    <xf numFmtId="0" fontId="10" fillId="0" borderId="35" xfId="0" applyFont="1" applyBorder="1" applyAlignment="1">
      <alignment horizontal="center" vertical="center"/>
    </xf>
    <xf numFmtId="0" fontId="10" fillId="0" borderId="36" xfId="0" applyFont="1" applyBorder="1"/>
    <xf numFmtId="0" fontId="0" fillId="0" borderId="37" xfId="0" applyBorder="1"/>
    <xf numFmtId="0" fontId="0" fillId="0" borderId="96" xfId="0" applyBorder="1"/>
    <xf numFmtId="49" fontId="13" fillId="0" borderId="91" xfId="0" applyNumberFormat="1" applyFont="1" applyBorder="1" applyAlignment="1">
      <alignment horizontal="center" vertical="center" wrapText="1"/>
    </xf>
    <xf numFmtId="0" fontId="13" fillId="0" borderId="91" xfId="0" applyFont="1" applyBorder="1" applyAlignment="1">
      <alignment horizontal="center" vertical="center" wrapText="1"/>
    </xf>
    <xf numFmtId="0" fontId="10" fillId="0" borderId="37" xfId="0" applyFont="1" applyBorder="1"/>
    <xf numFmtId="0" fontId="43" fillId="0" borderId="91" xfId="0" applyFont="1" applyBorder="1" applyAlignment="1">
      <alignment horizontal="center" vertical="center" wrapText="1"/>
    </xf>
    <xf numFmtId="0" fontId="43" fillId="0" borderId="0" xfId="0" applyFont="1" applyAlignment="1">
      <alignment horizontal="center" vertical="center" wrapText="1"/>
    </xf>
    <xf numFmtId="0" fontId="13" fillId="0" borderId="35" xfId="0" applyFont="1" applyBorder="1" applyAlignment="1">
      <alignment horizontal="left" vertical="center"/>
    </xf>
    <xf numFmtId="0" fontId="0" fillId="0" borderId="36" xfId="0" applyBorder="1"/>
    <xf numFmtId="0" fontId="0" fillId="0" borderId="0" xfId="0" applyAlignment="1">
      <alignment vertical="center"/>
    </xf>
    <xf numFmtId="0" fontId="6" fillId="0" borderId="0" xfId="2"/>
    <xf numFmtId="0" fontId="32" fillId="0" borderId="74" xfId="2" applyFont="1" applyBorder="1" applyAlignment="1">
      <alignment vertical="center"/>
    </xf>
    <xf numFmtId="14" fontId="6" fillId="0" borderId="54" xfId="2" applyNumberFormat="1" applyBorder="1" applyAlignment="1">
      <alignment vertical="center"/>
    </xf>
    <xf numFmtId="0" fontId="32" fillId="0" borderId="76" xfId="2" applyFont="1" applyBorder="1" applyAlignment="1">
      <alignment vertical="center"/>
    </xf>
    <xf numFmtId="0" fontId="6" fillId="0" borderId="14" xfId="2" applyBorder="1" applyAlignment="1">
      <alignment vertical="center"/>
    </xf>
    <xf numFmtId="0" fontId="32" fillId="0" borderId="78" xfId="2" applyFont="1" applyBorder="1" applyAlignment="1">
      <alignment vertical="center"/>
    </xf>
    <xf numFmtId="0" fontId="28"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4" fillId="0" borderId="0" xfId="0" applyFont="1" applyAlignment="1">
      <alignment wrapText="1"/>
    </xf>
    <xf numFmtId="49" fontId="28" fillId="0" borderId="0" xfId="0" applyNumberFormat="1" applyFont="1" applyAlignment="1">
      <alignment horizontal="center"/>
    </xf>
    <xf numFmtId="0" fontId="29" fillId="0" borderId="0" xfId="0" applyFont="1" applyAlignment="1">
      <alignment horizontal="center" vertical="center"/>
    </xf>
    <xf numFmtId="0" fontId="14" fillId="0" borderId="0" xfId="0" applyFont="1" applyAlignment="1">
      <alignment vertical="center" wrapText="1"/>
    </xf>
    <xf numFmtId="0" fontId="34" fillId="0" borderId="80" xfId="0" applyFont="1" applyBorder="1" applyAlignment="1">
      <alignment vertical="center" wrapText="1"/>
    </xf>
    <xf numFmtId="0" fontId="29" fillId="0" borderId="0" xfId="0" applyFont="1" applyAlignment="1">
      <alignment horizontal="center" vertical="center" wrapText="1"/>
    </xf>
    <xf numFmtId="0" fontId="12" fillId="3" borderId="8" xfId="0" applyFont="1" applyFill="1" applyBorder="1" applyAlignment="1">
      <alignment vertical="center" wrapText="1"/>
    </xf>
    <xf numFmtId="0" fontId="14" fillId="5" borderId="83" xfId="0" applyFont="1" applyFill="1" applyBorder="1" applyAlignment="1">
      <alignment vertical="center" wrapText="1"/>
    </xf>
    <xf numFmtId="0" fontId="14" fillId="5" borderId="84" xfId="0" applyFont="1" applyFill="1" applyBorder="1" applyAlignment="1">
      <alignment vertical="center" wrapText="1"/>
    </xf>
    <xf numFmtId="0" fontId="14" fillId="5" borderId="85" xfId="0" applyFont="1" applyFill="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0" borderId="64" xfId="0" applyFont="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61" xfId="0" applyFont="1" applyFill="1" applyBorder="1" applyAlignment="1">
      <alignment vertical="center" wrapText="1"/>
    </xf>
    <xf numFmtId="0" fontId="24" fillId="0" borderId="0" xfId="0" applyFont="1" applyAlignment="1">
      <alignment vertical="top" wrapText="1"/>
    </xf>
    <xf numFmtId="0" fontId="1" fillId="0" borderId="0" xfId="0" applyFont="1" applyAlignment="1">
      <alignment horizontal="left" wrapText="1"/>
    </xf>
    <xf numFmtId="0" fontId="4" fillId="0" borderId="0" xfId="0" applyFont="1" applyAlignment="1">
      <alignment horizontal="left" wrapText="1"/>
    </xf>
    <xf numFmtId="0" fontId="9" fillId="0" borderId="91" xfId="1" applyBorder="1" applyAlignment="1" applyProtection="1">
      <alignment horizontal="left"/>
      <protection locked="0"/>
    </xf>
    <xf numFmtId="0" fontId="33" fillId="4" borderId="71" xfId="1" applyFont="1" applyFill="1" applyBorder="1" applyAlignment="1">
      <alignment horizontal="left" vertical="center"/>
    </xf>
    <xf numFmtId="0" fontId="33" fillId="4" borderId="72" xfId="1" applyFont="1" applyFill="1" applyBorder="1" applyAlignment="1">
      <alignment horizontal="left" vertical="center"/>
    </xf>
    <xf numFmtId="0" fontId="38" fillId="4" borderId="122" xfId="1" applyFont="1" applyFill="1" applyBorder="1" applyAlignment="1">
      <alignment horizontal="center" vertical="center" wrapText="1"/>
    </xf>
    <xf numFmtId="0" fontId="38" fillId="4" borderId="123" xfId="1" applyFont="1" applyFill="1" applyBorder="1" applyAlignment="1">
      <alignment horizontal="center" vertical="center" wrapText="1"/>
    </xf>
    <xf numFmtId="0" fontId="38" fillId="4" borderId="124" xfId="1" applyFont="1" applyFill="1" applyBorder="1" applyAlignment="1">
      <alignment horizontal="center" vertical="center" wrapText="1"/>
    </xf>
    <xf numFmtId="0" fontId="38" fillId="4" borderId="55" xfId="1" applyFont="1" applyFill="1" applyBorder="1" applyAlignment="1">
      <alignment horizontal="center" vertical="center" wrapText="1"/>
    </xf>
    <xf numFmtId="0" fontId="38" fillId="4" borderId="87" xfId="1" applyFont="1" applyFill="1" applyBorder="1" applyAlignment="1">
      <alignment horizontal="center" vertical="center" wrapText="1"/>
    </xf>
    <xf numFmtId="0" fontId="38" fillId="4" borderId="56" xfId="1" applyFont="1" applyFill="1" applyBorder="1" applyAlignment="1">
      <alignment horizontal="center" vertical="center" wrapText="1"/>
    </xf>
    <xf numFmtId="0" fontId="9" fillId="0" borderId="122" xfId="1" applyBorder="1" applyAlignment="1" applyProtection="1">
      <alignment horizontal="center"/>
      <protection locked="0"/>
    </xf>
    <xf numFmtId="0" fontId="9" fillId="0" borderId="123" xfId="1" applyBorder="1" applyAlignment="1" applyProtection="1">
      <alignment horizontal="center"/>
      <protection locked="0"/>
    </xf>
    <xf numFmtId="0" fontId="9" fillId="0" borderId="124" xfId="1" applyBorder="1" applyAlignment="1" applyProtection="1">
      <alignment horizontal="center"/>
      <protection locked="0"/>
    </xf>
    <xf numFmtId="0" fontId="9" fillId="0" borderId="53" xfId="1" applyBorder="1" applyAlignment="1" applyProtection="1">
      <alignment horizontal="center"/>
      <protection locked="0"/>
    </xf>
    <xf numFmtId="0" fontId="9" fillId="0" borderId="0" xfId="1" applyAlignment="1" applyProtection="1">
      <alignment horizontal="center"/>
      <protection locked="0"/>
    </xf>
    <xf numFmtId="0" fontId="9" fillId="0" borderId="54" xfId="1" applyBorder="1" applyAlignment="1" applyProtection="1">
      <alignment horizontal="center"/>
      <protection locked="0"/>
    </xf>
    <xf numFmtId="0" fontId="9" fillId="0" borderId="55" xfId="1" applyBorder="1" applyAlignment="1" applyProtection="1">
      <alignment horizontal="center"/>
      <protection locked="0"/>
    </xf>
    <xf numFmtId="0" fontId="9" fillId="0" borderId="87" xfId="1" applyBorder="1" applyAlignment="1" applyProtection="1">
      <alignment horizontal="center"/>
      <protection locked="0"/>
    </xf>
    <xf numFmtId="0" fontId="9" fillId="0" borderId="56" xfId="1" applyBorder="1" applyAlignment="1" applyProtection="1">
      <alignment horizontal="center"/>
      <protection locked="0"/>
    </xf>
    <xf numFmtId="0" fontId="14" fillId="0" borderId="0" xfId="0" applyFont="1" applyAlignment="1">
      <alignment horizontal="left" vertical="center" wrapText="1"/>
    </xf>
    <xf numFmtId="0" fontId="32" fillId="0" borderId="120" xfId="1" applyFont="1" applyBorder="1" applyAlignment="1">
      <alignment horizontal="left"/>
    </xf>
    <xf numFmtId="0" fontId="33" fillId="4" borderId="116" xfId="1" applyFont="1" applyFill="1" applyBorder="1" applyAlignment="1">
      <alignment horizontal="left" vertical="center" wrapText="1"/>
    </xf>
    <xf numFmtId="0" fontId="33" fillId="4" borderId="117" xfId="1" applyFont="1" applyFill="1" applyBorder="1" applyAlignment="1">
      <alignment horizontal="left" vertical="center" wrapText="1"/>
    </xf>
    <xf numFmtId="0" fontId="33" fillId="4" borderId="118" xfId="1" applyFont="1" applyFill="1" applyBorder="1" applyAlignment="1">
      <alignment horizontal="left" vertical="center" wrapText="1"/>
    </xf>
    <xf numFmtId="0" fontId="9" fillId="0" borderId="109" xfId="1" applyBorder="1" applyAlignment="1" applyProtection="1">
      <alignment horizontal="left"/>
      <protection locked="0"/>
    </xf>
    <xf numFmtId="0" fontId="9" fillId="0" borderId="114" xfId="1" applyBorder="1" applyAlignment="1" applyProtection="1">
      <alignment horizontal="left"/>
      <protection locked="0"/>
    </xf>
    <xf numFmtId="14" fontId="8" fillId="0" borderId="114" xfId="1" applyNumberFormat="1" applyFont="1" applyBorder="1" applyAlignment="1">
      <alignment vertical="center"/>
    </xf>
    <xf numFmtId="14" fontId="8" fillId="0" borderId="115" xfId="1" applyNumberFormat="1" applyFont="1" applyBorder="1" applyAlignment="1">
      <alignment vertical="center"/>
    </xf>
    <xf numFmtId="0" fontId="3" fillId="0" borderId="91" xfId="1" applyFont="1" applyBorder="1" applyAlignment="1">
      <alignment horizontal="left" vertical="center"/>
    </xf>
    <xf numFmtId="0" fontId="8" fillId="0" borderId="91" xfId="1" applyFont="1" applyBorder="1" applyAlignment="1">
      <alignment horizontal="left" vertical="center"/>
    </xf>
    <xf numFmtId="0" fontId="8" fillId="0" borderId="112" xfId="1" applyFont="1" applyBorder="1" applyAlignment="1">
      <alignment horizontal="left" vertical="center"/>
    </xf>
    <xf numFmtId="0" fontId="33" fillId="4" borderId="122" xfId="1" applyFont="1" applyFill="1" applyBorder="1" applyAlignment="1">
      <alignment horizontal="center" vertical="center"/>
    </xf>
    <xf numFmtId="0" fontId="33" fillId="4" borderId="123" xfId="1" applyFont="1" applyFill="1" applyBorder="1" applyAlignment="1">
      <alignment horizontal="center" vertical="center"/>
    </xf>
    <xf numFmtId="0" fontId="33" fillId="4" borderId="124" xfId="1" applyFont="1" applyFill="1" applyBorder="1" applyAlignment="1">
      <alignment horizontal="center" vertical="center"/>
    </xf>
    <xf numFmtId="0" fontId="38" fillId="4" borderId="88" xfId="1" applyFont="1" applyFill="1" applyBorder="1" applyAlignment="1">
      <alignment horizontal="center" vertical="center" wrapText="1"/>
    </xf>
    <xf numFmtId="0" fontId="38" fillId="4" borderId="89" xfId="1" applyFont="1" applyFill="1" applyBorder="1" applyAlignment="1">
      <alignment horizontal="center" vertical="center"/>
    </xf>
    <xf numFmtId="0" fontId="38" fillId="4" borderId="90" xfId="1" applyFont="1" applyFill="1" applyBorder="1" applyAlignment="1">
      <alignment horizontal="center" vertical="center"/>
    </xf>
    <xf numFmtId="0" fontId="33" fillId="4" borderId="38" xfId="1" applyFont="1" applyFill="1" applyBorder="1" applyAlignment="1">
      <alignment horizontal="left" vertical="center"/>
    </xf>
    <xf numFmtId="0" fontId="33" fillId="4" borderId="39" xfId="1" applyFont="1" applyFill="1" applyBorder="1" applyAlignment="1">
      <alignment horizontal="left" vertical="center"/>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9" fillId="0" borderId="56" xfId="1" applyBorder="1" applyAlignment="1" applyProtection="1">
      <alignment horizontal="center" vertical="center"/>
      <protection locked="0"/>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4" xfId="2" applyBorder="1" applyAlignment="1" applyProtection="1">
      <alignment horizontal="center"/>
      <protection locked="0"/>
    </xf>
    <xf numFmtId="0" fontId="6" fillId="0" borderId="106" xfId="2" applyBorder="1" applyAlignment="1" applyProtection="1">
      <alignment horizontal="center"/>
      <protection locked="0"/>
    </xf>
    <xf numFmtId="0" fontId="6" fillId="0" borderId="87" xfId="2" applyBorder="1" applyAlignment="1" applyProtection="1">
      <alignment horizontal="center"/>
      <protection locked="0"/>
    </xf>
    <xf numFmtId="0" fontId="6" fillId="0" borderId="56" xfId="2" applyBorder="1" applyAlignment="1" applyProtection="1">
      <alignment horizontal="center"/>
      <protection locked="0"/>
    </xf>
    <xf numFmtId="0" fontId="6" fillId="0" borderId="22" xfId="2" applyBorder="1" applyAlignment="1">
      <alignment horizontal="left" vertical="center"/>
    </xf>
    <xf numFmtId="0" fontId="6" fillId="0" borderId="23" xfId="2" applyBorder="1" applyAlignment="1">
      <alignment horizontal="left" vertical="center"/>
    </xf>
    <xf numFmtId="0" fontId="14" fillId="0" borderId="0" xfId="0" applyFont="1" applyAlignment="1">
      <alignment horizontal="center" vertical="center" wrapText="1"/>
    </xf>
    <xf numFmtId="0" fontId="33" fillId="4" borderId="100" xfId="2" applyFont="1" applyFill="1" applyBorder="1" applyAlignment="1">
      <alignment horizontal="left" vertical="center"/>
    </xf>
    <xf numFmtId="0" fontId="33" fillId="4" borderId="101" xfId="2" applyFont="1" applyFill="1" applyBorder="1" applyAlignment="1">
      <alignment horizontal="left" vertical="center"/>
    </xf>
    <xf numFmtId="0" fontId="40" fillId="2" borderId="35" xfId="0" applyFont="1" applyFill="1" applyBorder="1" applyAlignment="1">
      <alignment horizontal="center" vertical="center" wrapText="1"/>
    </xf>
    <xf numFmtId="0" fontId="40" fillId="2" borderId="36" xfId="0" applyFont="1" applyFill="1" applyBorder="1" applyAlignment="1">
      <alignment horizontal="center" vertical="center" wrapText="1"/>
    </xf>
    <xf numFmtId="0" fontId="40" fillId="2" borderId="37" xfId="0" applyFont="1" applyFill="1" applyBorder="1" applyAlignment="1">
      <alignment horizontal="center" vertical="center" wrapText="1"/>
    </xf>
    <xf numFmtId="0" fontId="6" fillId="0" borderId="102" xfId="2" applyBorder="1" applyAlignment="1">
      <alignment horizontal="left" vertical="center"/>
    </xf>
    <xf numFmtId="0" fontId="6" fillId="0" borderId="103" xfId="2" applyBorder="1" applyAlignment="1">
      <alignment horizontal="left" vertical="center"/>
    </xf>
  </cellXfs>
  <cellStyles count="5">
    <cellStyle name="Normal" xfId="0" builtinId="0"/>
    <cellStyle name="Normal 2" xfId="1" xr:uid="{32107AFE-C5A6-4933-9185-2909303881BF}"/>
    <cellStyle name="Normal 2 2" xfId="2" xr:uid="{694632A0-2A0B-475B-AB64-2E1226F4A5EC}"/>
    <cellStyle name="Normal 2 2 2" xfId="4" xr:uid="{0E5896E7-0618-409C-BCB8-CE3A57D187DA}"/>
    <cellStyle name="Normal 2 3" xfId="3" xr:uid="{B9CF86B8-4FBB-4830-A670-8E4D9553BB7D}"/>
  </cellStyles>
  <dxfs count="26">
    <dxf>
      <font>
        <color rgb="FF006100"/>
      </font>
      <fill>
        <patternFill>
          <bgColor rgb="FFC6EFCE"/>
        </patternFill>
      </fill>
    </dxf>
    <dxf>
      <font>
        <color rgb="FF9C0006"/>
      </font>
      <fill>
        <patternFill>
          <bgColor rgb="FFFFC7CE"/>
        </patternFill>
      </fill>
    </dxf>
    <dxf>
      <font>
        <color theme="7" tint="-0.499984740745262"/>
      </font>
      <fill>
        <patternFill>
          <bgColor theme="7"/>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76200</xdr:rowOff>
    </xdr:from>
    <xdr:to>
      <xdr:col>1</xdr:col>
      <xdr:colOff>330459</xdr:colOff>
      <xdr:row>2</xdr:row>
      <xdr:rowOff>356124</xdr:rowOff>
    </xdr:to>
    <xdr:pic>
      <xdr:nvPicPr>
        <xdr:cNvPr id="3" name="Picture 2">
          <a:extLst>
            <a:ext uri="{FF2B5EF4-FFF2-40B4-BE49-F238E27FC236}">
              <a16:creationId xmlns:a16="http://schemas.microsoft.com/office/drawing/2014/main" id="{D9D716FB-973A-4481-A946-A0D8689B10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22778</xdr:colOff>
      <xdr:row>0</xdr:row>
      <xdr:rowOff>49696</xdr:rowOff>
    </xdr:from>
    <xdr:to>
      <xdr:col>1</xdr:col>
      <xdr:colOff>50763</xdr:colOff>
      <xdr:row>1</xdr:row>
      <xdr:rowOff>98728</xdr:rowOff>
    </xdr:to>
    <xdr:pic>
      <xdr:nvPicPr>
        <xdr:cNvPr id="3" name="Picture 2">
          <a:extLst>
            <a:ext uri="{FF2B5EF4-FFF2-40B4-BE49-F238E27FC236}">
              <a16:creationId xmlns:a16="http://schemas.microsoft.com/office/drawing/2014/main" id="{30405145-93D8-6C41-5396-11A0675B9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78" y="49696"/>
          <a:ext cx="774082" cy="538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701934</xdr:colOff>
      <xdr:row>1</xdr:row>
      <xdr:rowOff>289449</xdr:rowOff>
    </xdr:to>
    <xdr:pic>
      <xdr:nvPicPr>
        <xdr:cNvPr id="2" name="Picture 1">
          <a:extLst>
            <a:ext uri="{FF2B5EF4-FFF2-40B4-BE49-F238E27FC236}">
              <a16:creationId xmlns:a16="http://schemas.microsoft.com/office/drawing/2014/main" id="{9F543B67-F88F-4A34-84FF-EEE5066D22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47626</xdr:colOff>
      <xdr:row>0</xdr:row>
      <xdr:rowOff>38100</xdr:rowOff>
    </xdr:from>
    <xdr:to>
      <xdr:col>1</xdr:col>
      <xdr:colOff>286671</xdr:colOff>
      <xdr:row>1</xdr:row>
      <xdr:rowOff>281940</xdr:rowOff>
    </xdr:to>
    <xdr:pic>
      <xdr:nvPicPr>
        <xdr:cNvPr id="2" name="Picture 1">
          <a:extLst>
            <a:ext uri="{FF2B5EF4-FFF2-40B4-BE49-F238E27FC236}">
              <a16:creationId xmlns:a16="http://schemas.microsoft.com/office/drawing/2014/main" id="{4FF69F9E-E9D1-40DE-830C-7D1574F228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6" y="38100"/>
          <a:ext cx="903890"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1048644</xdr:colOff>
      <xdr:row>1</xdr:row>
      <xdr:rowOff>321834</xdr:rowOff>
    </xdr:to>
    <xdr:pic>
      <xdr:nvPicPr>
        <xdr:cNvPr id="2" name="Picture 1">
          <a:extLst>
            <a:ext uri="{FF2B5EF4-FFF2-40B4-BE49-F238E27FC236}">
              <a16:creationId xmlns:a16="http://schemas.microsoft.com/office/drawing/2014/main" id="{11646427-727A-4D64-B577-DFA623B5C4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1</xdr:col>
      <xdr:colOff>136149</xdr:colOff>
      <xdr:row>1</xdr:row>
      <xdr:rowOff>2429</xdr:rowOff>
    </xdr:to>
    <xdr:pic>
      <xdr:nvPicPr>
        <xdr:cNvPr id="3" name="Picture 2">
          <a:extLst>
            <a:ext uri="{FF2B5EF4-FFF2-40B4-BE49-F238E27FC236}">
              <a16:creationId xmlns:a16="http://schemas.microsoft.com/office/drawing/2014/main" id="{026A33BD-A746-47E2-A132-89C0BF33BE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29469</xdr:colOff>
      <xdr:row>2</xdr:row>
      <xdr:rowOff>3699</xdr:rowOff>
    </xdr:to>
    <xdr:pic>
      <xdr:nvPicPr>
        <xdr:cNvPr id="2" name="Picture 1">
          <a:extLst>
            <a:ext uri="{FF2B5EF4-FFF2-40B4-BE49-F238E27FC236}">
              <a16:creationId xmlns:a16="http://schemas.microsoft.com/office/drawing/2014/main" id="{3AC84187-7BEE-49EB-B877-7E5A6580F6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47625</xdr:rowOff>
    </xdr:from>
    <xdr:to>
      <xdr:col>0</xdr:col>
      <xdr:colOff>1052454</xdr:colOff>
      <xdr:row>1</xdr:row>
      <xdr:rowOff>519954</xdr:rowOff>
    </xdr:to>
    <xdr:pic>
      <xdr:nvPicPr>
        <xdr:cNvPr id="3" name="Picture 2">
          <a:extLst>
            <a:ext uri="{FF2B5EF4-FFF2-40B4-BE49-F238E27FC236}">
              <a16:creationId xmlns:a16="http://schemas.microsoft.com/office/drawing/2014/main" id="{4E32AD5A-F8F9-4DF0-B601-746B4FE17B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104775</xdr:rowOff>
    </xdr:from>
    <xdr:to>
      <xdr:col>0</xdr:col>
      <xdr:colOff>1071504</xdr:colOff>
      <xdr:row>0</xdr:row>
      <xdr:rowOff>777129</xdr:rowOff>
    </xdr:to>
    <xdr:pic>
      <xdr:nvPicPr>
        <xdr:cNvPr id="3" name="Picture 2">
          <a:extLst>
            <a:ext uri="{FF2B5EF4-FFF2-40B4-BE49-F238E27FC236}">
              <a16:creationId xmlns:a16="http://schemas.microsoft.com/office/drawing/2014/main" id="{3CE87597-FFA1-4397-AB7A-5ACCF860B4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95250</xdr:colOff>
      <xdr:row>0</xdr:row>
      <xdr:rowOff>95250</xdr:rowOff>
    </xdr:from>
    <xdr:to>
      <xdr:col>1</xdr:col>
      <xdr:colOff>888624</xdr:colOff>
      <xdr:row>0</xdr:row>
      <xdr:rowOff>775224</xdr:rowOff>
    </xdr:to>
    <xdr:pic>
      <xdr:nvPicPr>
        <xdr:cNvPr id="2" name="Picture 1">
          <a:extLst>
            <a:ext uri="{FF2B5EF4-FFF2-40B4-BE49-F238E27FC236}">
              <a16:creationId xmlns:a16="http://schemas.microsoft.com/office/drawing/2014/main" id="{EB4E22A9-0E16-49DA-A335-2642178774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6" xr16:uid="{9A1D5199-9191-6742-B6BC-85C5C6FCE6A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_features_2025_06_18_2" connectionId="4" xr16:uid="{5D8BFF29-AE80-4A42-A1B7-D4F596C70F69}"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CS_features_2025_06_18_1" connectionId="3" xr16:uid="{B3FF25F9-0A01-9843-9FAF-0B264471757F}"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CS_features_2025-06-18" connectionId="2" xr16:uid="{64D2A78E-F189-3545-83B7-CD2A6CA0C0D6}"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CS_features_2025-06-16" connectionId="1" xr16:uid="{0CE81406-F5B1-5141-B4E7-ED68FCF8F81A}"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CS_testcases_2025_06_18_1" connectionId="5" xr16:uid="{038163E9-7C82-C14A-AA15-17254DA1CB8F}"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queryTable" Target="../queryTables/queryTable4.xml"/><Relationship Id="rId2" Type="http://schemas.openxmlformats.org/officeDocument/2006/relationships/queryTable" Target="../queryTables/queryTable3.xml"/><Relationship Id="rId1" Type="http://schemas.openxmlformats.org/officeDocument/2006/relationships/queryTable" Target="../queryTables/queryTable2.xml"/><Relationship Id="rId4" Type="http://schemas.openxmlformats.org/officeDocument/2006/relationships/queryTable" Target="../queryTables/queryTable5.xml"/></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1"/>
  <sheetViews>
    <sheetView showGridLines="0" tabSelected="1" workbookViewId="0"/>
  </sheetViews>
  <sheetFormatPr defaultColWidth="8.625" defaultRowHeight="15.75" x14ac:dyDescent="0.25"/>
  <cols>
    <col min="3" max="3" width="18.125" customWidth="1"/>
    <col min="4" max="4" width="94.625" customWidth="1"/>
  </cols>
  <sheetData>
    <row r="3" spans="3:4" ht="36" x14ac:dyDescent="0.55000000000000004">
      <c r="C3" s="26" t="s">
        <v>0</v>
      </c>
      <c r="D3" s="20"/>
    </row>
    <row r="5" spans="3:4" ht="21" x14ac:dyDescent="0.35">
      <c r="C5" s="25" t="s">
        <v>1</v>
      </c>
      <c r="D5" s="19"/>
    </row>
    <row r="6" spans="3:4" x14ac:dyDescent="0.25">
      <c r="C6" s="21" t="s">
        <v>910</v>
      </c>
      <c r="D6" s="192" t="s">
        <v>1782</v>
      </c>
    </row>
    <row r="7" spans="3:4" x14ac:dyDescent="0.25">
      <c r="C7" s="21" t="s">
        <v>2</v>
      </c>
      <c r="D7" s="66">
        <v>45994</v>
      </c>
    </row>
    <row r="8" spans="3:4" x14ac:dyDescent="0.25">
      <c r="D8" s="23" t="s">
        <v>3</v>
      </c>
    </row>
    <row r="9" spans="3:4" x14ac:dyDescent="0.25">
      <c r="C9" s="21" t="s">
        <v>912</v>
      </c>
      <c r="D9" s="23" t="s">
        <v>1788</v>
      </c>
    </row>
    <row r="10" spans="3:4" x14ac:dyDescent="0.25">
      <c r="C10" s="21" t="s">
        <v>911</v>
      </c>
      <c r="D10" s="23"/>
    </row>
    <row r="12" spans="3:4" x14ac:dyDescent="0.25">
      <c r="D12" s="21" t="s">
        <v>4</v>
      </c>
    </row>
    <row r="13" spans="3:4" ht="236.25" x14ac:dyDescent="0.25">
      <c r="D13" s="24" t="s">
        <v>954</v>
      </c>
    </row>
    <row r="15" spans="3:4" x14ac:dyDescent="0.25">
      <c r="D15" s="1" t="s">
        <v>5</v>
      </c>
    </row>
    <row r="16" spans="3:4" x14ac:dyDescent="0.25">
      <c r="C16" s="22">
        <v>1</v>
      </c>
      <c r="D16" s="44" t="s">
        <v>6</v>
      </c>
    </row>
    <row r="17" spans="3:5" ht="31.5" x14ac:dyDescent="0.25">
      <c r="C17" s="22">
        <v>2</v>
      </c>
      <c r="D17" s="44" t="s">
        <v>7</v>
      </c>
    </row>
    <row r="18" spans="3:5" ht="31.5" x14ac:dyDescent="0.25">
      <c r="C18" s="22">
        <v>3</v>
      </c>
      <c r="D18" s="44" t="s">
        <v>973</v>
      </c>
    </row>
    <row r="19" spans="3:5" x14ac:dyDescent="0.25">
      <c r="C19" s="22">
        <v>4</v>
      </c>
      <c r="D19" s="2" t="s">
        <v>8</v>
      </c>
      <c r="E19" s="2"/>
    </row>
    <row r="20" spans="3:5" x14ac:dyDescent="0.25">
      <c r="C20" s="22">
        <v>5</v>
      </c>
      <c r="D20" s="44" t="s">
        <v>9</v>
      </c>
    </row>
    <row r="21" spans="3:5" ht="31.5" x14ac:dyDescent="0.25">
      <c r="C21" s="22">
        <v>6</v>
      </c>
      <c r="D21" s="44" t="s">
        <v>921</v>
      </c>
    </row>
    <row r="22" spans="3:5" ht="31.5" x14ac:dyDescent="0.25">
      <c r="C22" s="22">
        <v>7</v>
      </c>
      <c r="D22" s="44" t="s">
        <v>978</v>
      </c>
    </row>
    <row r="24" spans="3:5" x14ac:dyDescent="0.25">
      <c r="D24" s="1" t="s">
        <v>974</v>
      </c>
    </row>
    <row r="25" spans="3:5" ht="36" customHeight="1" x14ac:dyDescent="0.25">
      <c r="C25" s="22">
        <v>8</v>
      </c>
      <c r="D25" s="24" t="s">
        <v>981</v>
      </c>
    </row>
    <row r="26" spans="3:5" ht="31.5" x14ac:dyDescent="0.25">
      <c r="C26" s="22">
        <v>9</v>
      </c>
      <c r="D26" s="2" t="s">
        <v>975</v>
      </c>
    </row>
    <row r="27" spans="3:5" x14ac:dyDescent="0.25">
      <c r="C27" s="22">
        <v>10</v>
      </c>
      <c r="D27" t="s">
        <v>976</v>
      </c>
    </row>
    <row r="30" spans="3:5" x14ac:dyDescent="0.25">
      <c r="C30" s="21" t="s">
        <v>996</v>
      </c>
      <c r="D30" s="1"/>
    </row>
    <row r="31" spans="3:5" x14ac:dyDescent="0.25">
      <c r="C31" s="108" t="s">
        <v>1782</v>
      </c>
      <c r="D31" t="s">
        <v>1783</v>
      </c>
    </row>
    <row r="32" spans="3:5" x14ac:dyDescent="0.25">
      <c r="C32" s="108" t="s">
        <v>1731</v>
      </c>
      <c r="D32" t="s">
        <v>1732</v>
      </c>
    </row>
    <row r="33" spans="3:4" x14ac:dyDescent="0.25">
      <c r="C33" s="108" t="s">
        <v>1717</v>
      </c>
      <c r="D33" t="s">
        <v>1719</v>
      </c>
    </row>
    <row r="34" spans="3:4" x14ac:dyDescent="0.25">
      <c r="C34" s="133" t="s">
        <v>1240</v>
      </c>
      <c r="D34" t="s">
        <v>1241</v>
      </c>
    </row>
    <row r="35" spans="3:4" x14ac:dyDescent="0.25">
      <c r="C35" s="133" t="s">
        <v>1172</v>
      </c>
      <c r="D35" t="s">
        <v>1173</v>
      </c>
    </row>
    <row r="36" spans="3:4" x14ac:dyDescent="0.25">
      <c r="C36" s="133" t="s">
        <v>1135</v>
      </c>
      <c r="D36" t="s">
        <v>1138</v>
      </c>
    </row>
    <row r="37" spans="3:4" x14ac:dyDescent="0.25">
      <c r="C37" s="133" t="s">
        <v>1133</v>
      </c>
      <c r="D37" t="s">
        <v>1134</v>
      </c>
    </row>
    <row r="38" spans="3:4" x14ac:dyDescent="0.25">
      <c r="C38" s="133" t="s">
        <v>1128</v>
      </c>
      <c r="D38" t="s">
        <v>1056</v>
      </c>
    </row>
    <row r="39" spans="3:4" x14ac:dyDescent="0.25">
      <c r="C39" s="133" t="s">
        <v>1028</v>
      </c>
      <c r="D39" t="s">
        <v>1032</v>
      </c>
    </row>
    <row r="40" spans="3:4" x14ac:dyDescent="0.25">
      <c r="C40" s="133" t="s">
        <v>1026</v>
      </c>
      <c r="D40" t="s">
        <v>1027</v>
      </c>
    </row>
    <row r="41" spans="3:4" x14ac:dyDescent="0.25">
      <c r="C41" s="133" t="s">
        <v>1022</v>
      </c>
      <c r="D41" t="s">
        <v>1025</v>
      </c>
    </row>
    <row r="42" spans="3:4" x14ac:dyDescent="0.25">
      <c r="C42" s="133" t="s">
        <v>1020</v>
      </c>
      <c r="D42" t="s">
        <v>1021</v>
      </c>
    </row>
    <row r="43" spans="3:4" x14ac:dyDescent="0.25">
      <c r="C43" s="133" t="s">
        <v>1019</v>
      </c>
      <c r="D43" t="s">
        <v>997</v>
      </c>
    </row>
    <row r="44" spans="3:4" x14ac:dyDescent="0.25">
      <c r="C44" s="133" t="s">
        <v>1012</v>
      </c>
      <c r="D44" t="s">
        <v>1013</v>
      </c>
    </row>
    <row r="45" spans="3:4" x14ac:dyDescent="0.25">
      <c r="C45" s="133" t="s">
        <v>1007</v>
      </c>
      <c r="D45" s="2" t="s">
        <v>1008</v>
      </c>
    </row>
    <row r="46" spans="3:4" ht="31.5" x14ac:dyDescent="0.25">
      <c r="C46" s="133" t="s">
        <v>999</v>
      </c>
      <c r="D46" s="2" t="s">
        <v>1006</v>
      </c>
    </row>
    <row r="47" spans="3:4" x14ac:dyDescent="0.25">
      <c r="C47" s="108" t="s">
        <v>991</v>
      </c>
      <c r="D47" t="s">
        <v>995</v>
      </c>
    </row>
    <row r="48" spans="3:4" x14ac:dyDescent="0.25">
      <c r="C48" s="108" t="s">
        <v>992</v>
      </c>
      <c r="D48" t="s">
        <v>997</v>
      </c>
    </row>
    <row r="49" spans="3:4" x14ac:dyDescent="0.25">
      <c r="C49" s="108" t="s">
        <v>993</v>
      </c>
      <c r="D49" t="s">
        <v>994</v>
      </c>
    </row>
    <row r="51" spans="3:4" x14ac:dyDescent="0.25">
      <c r="C51" s="173" t="s">
        <v>1129</v>
      </c>
      <c r="D51" t="s">
        <v>1789</v>
      </c>
    </row>
  </sheetData>
  <sheetProtection algorithmName="SHA-512" hashValue="tKtw38Lo6/phNeb2rFk1Rsa8DE942Ei+43zyPBTeCS0hv4vyjwfFVbUmAZppsS5irCTl8U0DeEtTb61ZFsuWKg==" saltValue="7Od8l4eB0EEl9NFnJ72zYA==" spinCount="100000" sheet="1" objects="1" scenarios="1"/>
  <pageMargins left="0.7" right="0.7" top="0.75" bottom="0.75" header="0.3" footer="0.3"/>
  <pageSetup paperSize="9" orientation="portrait" r:id="rId1"/>
  <headerFoot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C17" sqref="C17"/>
    </sheetView>
  </sheetViews>
  <sheetFormatPr defaultColWidth="9" defaultRowHeight="15" x14ac:dyDescent="0.25"/>
  <cols>
    <col min="1" max="1" width="2.125" style="46" customWidth="1"/>
    <col min="2" max="2" width="26.125" style="46" customWidth="1"/>
    <col min="3" max="3" width="32.125" style="46" customWidth="1"/>
    <col min="4" max="4" width="2" style="46" customWidth="1"/>
    <col min="5" max="5" width="10.5" style="46" customWidth="1"/>
    <col min="6" max="6" width="13.125" style="46" customWidth="1"/>
    <col min="7" max="7" width="9" style="46"/>
    <col min="8" max="8" width="41.5" style="46" customWidth="1"/>
    <col min="9" max="16384" width="9" style="46"/>
  </cols>
  <sheetData>
    <row r="1" spans="2:13" customFormat="1" ht="61.5" customHeight="1" x14ac:dyDescent="0.25">
      <c r="B1" s="46"/>
      <c r="C1" s="350" t="s">
        <v>952</v>
      </c>
      <c r="D1" s="350"/>
      <c r="E1" s="350"/>
      <c r="F1" s="350"/>
      <c r="H1" s="133" t="s">
        <v>987</v>
      </c>
      <c r="I1" s="88" t="str">
        <f>IF(AND(ISERROR(FIND("&lt;",_xlfn.CONCAT(C17:C33))),_xlfn.CONCAT(G16:G33)=""),"VALID for Certification",IF(AND(ISERROR(FIND("&lt;",_xlfn.CONCAT(C17:C22))),_xlfn.CONCAT(G16:G22)=""),"VALID for a VDoC","INVALID"))</f>
        <v>INVALID</v>
      </c>
    </row>
    <row r="2" spans="2:13" customFormat="1" ht="37.5" customHeight="1" x14ac:dyDescent="0.25">
      <c r="B2" s="46"/>
      <c r="C2" s="385" t="s">
        <v>953</v>
      </c>
      <c r="D2" s="385"/>
      <c r="E2" s="385"/>
      <c r="F2" s="385"/>
      <c r="H2" s="133" t="s">
        <v>1029</v>
      </c>
      <c r="I2" s="88" t="str">
        <f>IF(AND('Hardware Feature set'!N1="VALID",'Optional features'!F1="VALID",'Additional questions'!F1="VALID",'Other relevant settings'!F1="VALID",OR('Performance Measurement'!I1="VALID",NOT(ISERROR(FIND("VDoC",I1))))),I1,"INVALID")</f>
        <v>INVALID</v>
      </c>
    </row>
    <row r="4" spans="2:13" ht="15.75" thickBot="1" x14ac:dyDescent="0.3"/>
    <row r="5" spans="2:13" ht="24" customHeight="1" x14ac:dyDescent="0.25">
      <c r="B5" s="397" t="s">
        <v>1067</v>
      </c>
      <c r="C5" s="398"/>
      <c r="D5" s="398"/>
      <c r="E5" s="398"/>
      <c r="F5" s="398"/>
      <c r="G5" s="399"/>
      <c r="I5" s="370" t="s">
        <v>1071</v>
      </c>
      <c r="J5" s="371"/>
      <c r="K5" s="371"/>
      <c r="L5" s="371"/>
      <c r="M5" s="372"/>
    </row>
    <row r="6" spans="2:13" ht="18.75" customHeight="1" thickBot="1" x14ac:dyDescent="0.3">
      <c r="B6" s="168" t="str">
        <f>'Hardware Feature set'!C8</f>
        <v>OCPP Software Version</v>
      </c>
      <c r="C6" s="394" t="str">
        <f>IF(ISERROR(VLOOKUP("firmwareVersion",'HIDDEN Testrun Results'!A:B,2,FALSE)),"&lt;will be filled in by testlab&gt;",VLOOKUP("firmwareVersion",'HIDDEN Testrun Results'!A:B,2,FALSE))</f>
        <v>&lt;will be filled in by testlab&gt;</v>
      </c>
      <c r="D6" s="395"/>
      <c r="E6" s="395"/>
      <c r="F6" s="395"/>
      <c r="G6" s="396"/>
      <c r="H6" s="91" t="str">
        <f>IF(ISBLANK(C6),"&lt;---- This field cannot be left empty!",IF(ISERROR(VLOOKUP("firmwareVersion",'HIDDEN Testrun Results'!A:B,2,FALSE)),"",IF(VLOOKUP("firmwareVersion",'HIDDEN Testrun Results'!A:B,2,FALSE)='Hardware Feature set'!D8,"","&lt;---- Version not matching vendor information!")))</f>
        <v/>
      </c>
      <c r="I6" s="373"/>
      <c r="J6" s="374"/>
      <c r="K6" s="374"/>
      <c r="L6" s="374"/>
      <c r="M6" s="375"/>
    </row>
    <row r="7" spans="2:13" ht="18.75" customHeight="1" thickBot="1" x14ac:dyDescent="0.3">
      <c r="B7" s="169" t="s">
        <v>1068</v>
      </c>
      <c r="C7" s="392" t="str">
        <f>IFERROR(VLOOKUP(SUBSTITUTE(B7," ",""),'HIDDEN Testrun Results'!$A:$B,2,FALSE),"&lt;will be filled in by testlab&gt;")</f>
        <v>&lt;will be filled in by testlab&gt;</v>
      </c>
      <c r="D7" s="392"/>
      <c r="E7" s="392"/>
      <c r="F7" s="392"/>
      <c r="G7" s="393"/>
      <c r="I7" s="376"/>
      <c r="J7" s="377"/>
      <c r="K7" s="377"/>
      <c r="L7" s="377"/>
      <c r="M7" s="378"/>
    </row>
    <row r="8" spans="2:13" ht="18" customHeight="1" thickBot="1" x14ac:dyDescent="0.3">
      <c r="I8" s="379"/>
      <c r="J8" s="380"/>
      <c r="K8" s="380"/>
      <c r="L8" s="380"/>
      <c r="M8" s="381"/>
    </row>
    <row r="9" spans="2:13" ht="54" customHeight="1" thickBot="1" x14ac:dyDescent="0.3">
      <c r="B9" s="387" t="s">
        <v>1066</v>
      </c>
      <c r="C9" s="388"/>
      <c r="D9" s="388"/>
      <c r="E9" s="388"/>
      <c r="F9" s="388"/>
      <c r="G9" s="389"/>
      <c r="I9" s="379"/>
      <c r="J9" s="380"/>
      <c r="K9" s="380"/>
      <c r="L9" s="380"/>
      <c r="M9" s="381"/>
    </row>
    <row r="10" spans="2:13" ht="16.5" customHeight="1" thickBot="1" x14ac:dyDescent="0.3">
      <c r="B10" s="164" t="s">
        <v>135</v>
      </c>
      <c r="C10" s="165" t="s">
        <v>1062</v>
      </c>
      <c r="D10" s="386" t="s">
        <v>1064</v>
      </c>
      <c r="E10" s="386"/>
      <c r="F10" s="165" t="s">
        <v>1063</v>
      </c>
      <c r="G10" s="166" t="s">
        <v>1065</v>
      </c>
      <c r="H10" s="162"/>
      <c r="I10" s="379"/>
      <c r="J10" s="380"/>
      <c r="K10" s="380"/>
      <c r="L10" s="380"/>
      <c r="M10" s="381"/>
    </row>
    <row r="11" spans="2:13" ht="18" customHeight="1" x14ac:dyDescent="0.25">
      <c r="B11" s="174"/>
      <c r="C11" s="175"/>
      <c r="D11" s="390"/>
      <c r="E11" s="390"/>
      <c r="F11" s="176"/>
      <c r="G11" s="177"/>
      <c r="I11" s="379"/>
      <c r="J11" s="380"/>
      <c r="K11" s="380"/>
      <c r="L11" s="380"/>
      <c r="M11" s="381"/>
    </row>
    <row r="12" spans="2:13" ht="18" customHeight="1" x14ac:dyDescent="0.25">
      <c r="B12" s="178"/>
      <c r="C12" s="179"/>
      <c r="D12" s="367"/>
      <c r="E12" s="367"/>
      <c r="F12" s="180"/>
      <c r="G12" s="181"/>
      <c r="I12" s="379"/>
      <c r="J12" s="380"/>
      <c r="K12" s="380"/>
      <c r="L12" s="380"/>
      <c r="M12" s="381"/>
    </row>
    <row r="13" spans="2:13" ht="18" customHeight="1" x14ac:dyDescent="0.25">
      <c r="B13" s="178"/>
      <c r="C13" s="179"/>
      <c r="D13" s="367"/>
      <c r="E13" s="367"/>
      <c r="F13" s="180"/>
      <c r="G13" s="181"/>
      <c r="I13" s="379"/>
      <c r="J13" s="380"/>
      <c r="K13" s="380"/>
      <c r="L13" s="380"/>
      <c r="M13" s="381"/>
    </row>
    <row r="14" spans="2:13" ht="18" customHeight="1" thickBot="1" x14ac:dyDescent="0.3">
      <c r="B14" s="182"/>
      <c r="C14" s="183"/>
      <c r="D14" s="391"/>
      <c r="E14" s="391"/>
      <c r="F14" s="184"/>
      <c r="G14" s="185"/>
      <c r="I14" s="379"/>
      <c r="J14" s="380"/>
      <c r="K14" s="380"/>
      <c r="L14" s="380"/>
      <c r="M14" s="381"/>
    </row>
    <row r="15" spans="2:13" ht="16.5" customHeight="1" thickBot="1" x14ac:dyDescent="0.3">
      <c r="I15" s="379"/>
      <c r="J15" s="380"/>
      <c r="K15" s="380"/>
      <c r="L15" s="380"/>
      <c r="M15" s="381"/>
    </row>
    <row r="16" spans="2:13" ht="21.75" customHeight="1" thickBot="1" x14ac:dyDescent="0.3">
      <c r="B16" s="403" t="s">
        <v>886</v>
      </c>
      <c r="C16" s="404"/>
      <c r="D16" s="54"/>
      <c r="E16" s="57" t="s">
        <v>893</v>
      </c>
      <c r="F16" s="75" t="s">
        <v>946</v>
      </c>
      <c r="G16" s="91" t="str">
        <f>IF(ISBLANK(F16),"&lt;---- This field cannot be left empty!",IF(NOT(ISERROR(FIND("&lt;",F16))),"&lt;---- Please enter a valid date",IF(F16-IFERROR(VLOOKUP("Last test start",'HIDDEN Testrun Results'!$A:$B,2,FALSE),"0")&lt;0,"&lt;---- This date cannot be before the date of the last log file","")))</f>
        <v>&lt;---- Please enter a valid date</v>
      </c>
      <c r="I16" s="379"/>
      <c r="J16" s="380"/>
      <c r="K16" s="380"/>
      <c r="L16" s="380"/>
      <c r="M16" s="381"/>
    </row>
    <row r="17" spans="2:13" ht="21.75" customHeight="1" x14ac:dyDescent="0.25">
      <c r="B17" s="47" t="s">
        <v>216</v>
      </c>
      <c r="C17" s="79" t="s">
        <v>947</v>
      </c>
      <c r="D17" s="55"/>
      <c r="E17" s="76" t="s">
        <v>894</v>
      </c>
      <c r="F17" s="77"/>
      <c r="G17" s="91" t="str">
        <f t="shared" ref="G17:G21" si="0">IF(ISBLANK(C17),"&lt;---- This field cannot be left empty!",IF(NOT(ISERROR(FIND("&lt;",C17))),"&lt;---- Please enter a valid value",""))</f>
        <v>&lt;---- Please enter a valid value</v>
      </c>
      <c r="I17" s="379"/>
      <c r="J17" s="380"/>
      <c r="K17" s="380"/>
      <c r="L17" s="380"/>
      <c r="M17" s="381"/>
    </row>
    <row r="18" spans="2:13" ht="21.75" customHeight="1" x14ac:dyDescent="0.25">
      <c r="B18" s="48" t="s">
        <v>887</v>
      </c>
      <c r="C18" s="196" t="str">
        <f>'Hardware Feature set'!D4</f>
        <v>&lt;vendor company name&gt; </v>
      </c>
      <c r="D18" s="55"/>
      <c r="E18" s="379"/>
      <c r="F18" s="381"/>
      <c r="G18" s="91" t="str">
        <f t="shared" si="0"/>
        <v>&lt;---- Please enter a valid value</v>
      </c>
      <c r="I18" s="379"/>
      <c r="J18" s="380"/>
      <c r="K18" s="380"/>
      <c r="L18" s="380"/>
      <c r="M18" s="381"/>
    </row>
    <row r="19" spans="2:13" ht="21.75" customHeight="1" x14ac:dyDescent="0.25">
      <c r="B19" s="48" t="s">
        <v>888</v>
      </c>
      <c r="C19" s="80" t="s">
        <v>945</v>
      </c>
      <c r="D19" s="55"/>
      <c r="E19" s="379"/>
      <c r="F19" s="381"/>
      <c r="G19" s="91" t="str">
        <f t="shared" si="0"/>
        <v>&lt;---- Please enter a valid value</v>
      </c>
      <c r="I19" s="379"/>
      <c r="J19" s="380"/>
      <c r="K19" s="380"/>
      <c r="L19" s="380"/>
      <c r="M19" s="381"/>
    </row>
    <row r="20" spans="2:13" ht="21.75" customHeight="1" x14ac:dyDescent="0.25">
      <c r="B20" s="48" t="s">
        <v>889</v>
      </c>
      <c r="C20" s="80" t="s">
        <v>948</v>
      </c>
      <c r="D20" s="55"/>
      <c r="E20" s="379"/>
      <c r="F20" s="381"/>
      <c r="G20" s="91" t="str">
        <f t="shared" si="0"/>
        <v>&lt;---- Please enter a valid value</v>
      </c>
      <c r="I20" s="379"/>
      <c r="J20" s="380"/>
      <c r="K20" s="380"/>
      <c r="L20" s="380"/>
      <c r="M20" s="381"/>
    </row>
    <row r="21" spans="2:13" ht="21.75" customHeight="1" thickBot="1" x14ac:dyDescent="0.3">
      <c r="B21" s="49" t="s">
        <v>890</v>
      </c>
      <c r="C21" s="81" t="s">
        <v>942</v>
      </c>
      <c r="D21" s="56"/>
      <c r="E21" s="382"/>
      <c r="F21" s="384"/>
      <c r="G21" s="91" t="str">
        <f t="shared" si="0"/>
        <v>&lt;---- Please enter a valid value</v>
      </c>
      <c r="I21" s="382"/>
      <c r="J21" s="383"/>
      <c r="K21" s="383"/>
      <c r="L21" s="383"/>
      <c r="M21" s="384"/>
    </row>
    <row r="23" spans="2:13" ht="15.75" thickBot="1" x14ac:dyDescent="0.3"/>
    <row r="24" spans="2:13" ht="23.25" customHeight="1" thickBot="1" x14ac:dyDescent="0.3">
      <c r="B24" s="368" t="s">
        <v>891</v>
      </c>
      <c r="C24" s="369"/>
      <c r="D24" s="54"/>
      <c r="E24" s="57" t="s">
        <v>893</v>
      </c>
      <c r="F24" s="75" t="s">
        <v>946</v>
      </c>
      <c r="G24" s="91"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date",IF(F24&lt;F16,"&lt;---- The test lab signature date cannot be earlier than the test performed on date","")))))</f>
        <v>&lt;---- Please enter a valid date</v>
      </c>
    </row>
    <row r="25" spans="2:13" ht="23.25" customHeight="1" x14ac:dyDescent="0.25">
      <c r="B25" s="62" t="s">
        <v>922</v>
      </c>
      <c r="C25" s="82" t="s">
        <v>926</v>
      </c>
      <c r="D25" s="55"/>
      <c r="E25" s="76" t="s">
        <v>894</v>
      </c>
      <c r="F25" s="78"/>
      <c r="G25" s="91" t="str">
        <f>IF(ISBLANK(C25),"&lt;---- This field cannot be left empty!",IF(NOT(ISERROR(FIND("&lt;",C25))),"&lt;---- Please enter a valid date",IF(F24-IFERROR(VLOOKUP("Last test start",'HIDDEN Testrun Results'!$A:$B,2,FALSE),"0")&lt;0,"&lt;---- This date cannot be before the date of the last log file", IF(F24&lt;C25,"&lt;---- The test performed on date cannot be earlier than the vendor signature date",""))))</f>
        <v>&lt;---- Please enter a valid date</v>
      </c>
    </row>
    <row r="26" spans="2:13" ht="23.25" customHeight="1" x14ac:dyDescent="0.25">
      <c r="B26" s="60" t="s">
        <v>924</v>
      </c>
      <c r="C26" s="83" t="s">
        <v>925</v>
      </c>
      <c r="D26" s="55"/>
      <c r="E26" s="405"/>
      <c r="F26" s="406"/>
      <c r="G26" s="91" t="str">
        <f>IF(ISBLANK(C26),"&lt;---- This field cannot be left empty!",IF(NOT(ISERROR(FIND("&lt;",C26))),"&lt;---- Please enter a valid value",""))</f>
        <v>&lt;---- Please enter a valid value</v>
      </c>
    </row>
    <row r="27" spans="2:13" ht="23.25" customHeight="1" x14ac:dyDescent="0.25">
      <c r="B27" s="60" t="s">
        <v>899</v>
      </c>
      <c r="C27" s="84" t="s">
        <v>951</v>
      </c>
      <c r="D27" s="55"/>
      <c r="E27" s="405"/>
      <c r="F27" s="406"/>
      <c r="G27" s="91" t="str">
        <f t="shared" ref="G27:G32" si="1">IF(ISBLANK(C27),"&lt;---- This field cannot be left empty!",IF(NOT(ISERROR(FIND("&lt;",C27))),"&lt;---- Please enter a valid value",""))</f>
        <v>&lt;---- Please enter a valid value</v>
      </c>
    </row>
    <row r="28" spans="2:13" ht="23.25" customHeight="1" x14ac:dyDescent="0.25">
      <c r="B28" s="63" t="s">
        <v>216</v>
      </c>
      <c r="C28" s="85" t="s">
        <v>949</v>
      </c>
      <c r="D28" s="55"/>
      <c r="E28" s="405"/>
      <c r="F28" s="406"/>
      <c r="G28" s="91" t="str">
        <f t="shared" si="1"/>
        <v>&lt;---- Please enter a valid value</v>
      </c>
    </row>
    <row r="29" spans="2:13" ht="23.25" customHeight="1" x14ac:dyDescent="0.25">
      <c r="B29" s="63" t="s">
        <v>1017</v>
      </c>
      <c r="C29" s="134" t="s">
        <v>1018</v>
      </c>
      <c r="D29" s="132"/>
      <c r="E29" s="405"/>
      <c r="F29" s="406"/>
      <c r="G29" s="91"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64" t="s">
        <v>887</v>
      </c>
      <c r="C30" s="86" t="s">
        <v>943</v>
      </c>
      <c r="D30" s="61"/>
      <c r="E30" s="405"/>
      <c r="F30" s="406"/>
      <c r="G30" s="91" t="str">
        <f t="shared" si="1"/>
        <v>&lt;---- Please enter a valid value</v>
      </c>
    </row>
    <row r="31" spans="2:13" ht="23.25" customHeight="1" x14ac:dyDescent="0.25">
      <c r="B31" s="64" t="s">
        <v>888</v>
      </c>
      <c r="C31" s="86" t="s">
        <v>944</v>
      </c>
      <c r="E31" s="405"/>
      <c r="F31" s="406"/>
      <c r="G31" s="91" t="str">
        <f t="shared" si="1"/>
        <v>&lt;---- Please enter a valid value</v>
      </c>
    </row>
    <row r="32" spans="2:13" ht="23.25" customHeight="1" x14ac:dyDescent="0.25">
      <c r="B32" s="64" t="s">
        <v>889</v>
      </c>
      <c r="C32" s="86" t="s">
        <v>950</v>
      </c>
      <c r="D32" s="55"/>
      <c r="E32" s="405"/>
      <c r="F32" s="406"/>
      <c r="G32" s="91" t="str">
        <f t="shared" si="1"/>
        <v>&lt;---- Please enter a valid value</v>
      </c>
    </row>
    <row r="33" spans="2:7" ht="23.25" customHeight="1" thickBot="1" x14ac:dyDescent="0.3">
      <c r="B33" s="65" t="s">
        <v>890</v>
      </c>
      <c r="C33" s="87" t="s">
        <v>941</v>
      </c>
      <c r="D33" s="56"/>
      <c r="E33" s="407"/>
      <c r="F33" s="408"/>
      <c r="G33" s="91" t="str">
        <f>IF(ISBLANK(C33),"&lt;---- This field cannot be left empty!",IF(NOT(ISERROR(FIND("&lt;",C33))),"&lt;---- Please enter a valid value",""))</f>
        <v>&lt;---- Please enter a valid value</v>
      </c>
    </row>
    <row r="34" spans="2:7" ht="15.75" thickBot="1" x14ac:dyDescent="0.3"/>
    <row r="35" spans="2:7" ht="24" customHeight="1" thickBot="1" x14ac:dyDescent="0.3">
      <c r="B35" s="368" t="s">
        <v>1070</v>
      </c>
      <c r="C35" s="369"/>
    </row>
    <row r="36" spans="2:7" ht="18" customHeight="1" x14ac:dyDescent="0.25">
      <c r="B36" s="62" t="s">
        <v>1069</v>
      </c>
      <c r="C36" s="170"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18" customHeight="1" x14ac:dyDescent="0.25">
      <c r="B37" s="163" t="s">
        <v>1124</v>
      </c>
      <c r="C37" s="171" t="str">
        <f>IFERROR(VLOOKUP(SUBSTITUTE(B37," ",""),'HIDDEN Testrun Results'!$A:$B,2,FALSE),"&lt;will be filled in by testlab&gt;")</f>
        <v>&lt;will be filled in by testlab&gt;</v>
      </c>
    </row>
    <row r="38" spans="2:7" ht="18" customHeight="1" thickBot="1" x14ac:dyDescent="0.3">
      <c r="B38" s="169" t="s">
        <v>1060</v>
      </c>
      <c r="C38" s="172" t="str">
        <f>VLOOKUP("ConfigID",'HIDDEN calc sheet'!A:B,2,FALSE)</f>
        <v>5DD41547-EB64F08D</v>
      </c>
    </row>
    <row r="39" spans="2:7" ht="18" customHeight="1" x14ac:dyDescent="0.25"/>
    <row r="40" spans="2:7" ht="15.75" thickBot="1" x14ac:dyDescent="0.3"/>
    <row r="41" spans="2:7" ht="36" customHeight="1" thickBot="1" x14ac:dyDescent="0.3">
      <c r="B41" s="400" t="s">
        <v>1111</v>
      </c>
      <c r="C41" s="401"/>
      <c r="D41" s="401"/>
      <c r="E41" s="401"/>
      <c r="F41" s="402"/>
    </row>
    <row r="42" spans="2:7" x14ac:dyDescent="0.25">
      <c r="B42" s="295"/>
      <c r="C42" s="296"/>
      <c r="D42" s="296"/>
      <c r="E42" s="296"/>
      <c r="F42" s="297"/>
    </row>
    <row r="43" spans="2:7" x14ac:dyDescent="0.25">
      <c r="B43" s="295"/>
      <c r="C43" s="296"/>
      <c r="D43" s="296"/>
      <c r="E43" s="296"/>
      <c r="F43" s="297"/>
    </row>
    <row r="44" spans="2:7" x14ac:dyDescent="0.25">
      <c r="B44" s="295"/>
      <c r="C44" s="296"/>
      <c r="D44" s="296"/>
      <c r="E44" s="296"/>
      <c r="F44" s="297"/>
    </row>
    <row r="45" spans="2:7" x14ac:dyDescent="0.25">
      <c r="B45" s="295"/>
      <c r="C45" s="296"/>
      <c r="D45" s="296"/>
      <c r="E45" s="296"/>
      <c r="F45" s="297"/>
    </row>
    <row r="46" spans="2:7" x14ac:dyDescent="0.25">
      <c r="B46" s="295"/>
      <c r="C46" s="296"/>
      <c r="D46" s="296"/>
      <c r="E46" s="296"/>
      <c r="F46" s="297"/>
    </row>
    <row r="47" spans="2:7" x14ac:dyDescent="0.25">
      <c r="B47" s="295"/>
      <c r="C47" s="296"/>
      <c r="D47" s="296"/>
      <c r="E47" s="296"/>
      <c r="F47" s="297"/>
    </row>
    <row r="48" spans="2:7" x14ac:dyDescent="0.25">
      <c r="B48" s="295"/>
      <c r="C48" s="296"/>
      <c r="D48" s="296"/>
      <c r="E48" s="296"/>
      <c r="F48" s="297"/>
    </row>
    <row r="49" spans="2:6" x14ac:dyDescent="0.25">
      <c r="B49" s="295"/>
      <c r="C49" s="296"/>
      <c r="D49" s="296"/>
      <c r="E49" s="296"/>
      <c r="F49" s="297"/>
    </row>
    <row r="50" spans="2:6" x14ac:dyDescent="0.25">
      <c r="B50" s="295"/>
      <c r="C50" s="296"/>
      <c r="D50" s="296"/>
      <c r="E50" s="296"/>
      <c r="F50" s="297"/>
    </row>
    <row r="51" spans="2:6" x14ac:dyDescent="0.25">
      <c r="B51" s="295"/>
      <c r="C51" s="296"/>
      <c r="D51" s="296"/>
      <c r="E51" s="296"/>
      <c r="F51" s="297"/>
    </row>
    <row r="52" spans="2:6" x14ac:dyDescent="0.25">
      <c r="B52" s="295"/>
      <c r="C52" s="296"/>
      <c r="D52" s="296"/>
      <c r="E52" s="296"/>
      <c r="F52" s="297"/>
    </row>
    <row r="53" spans="2:6" x14ac:dyDescent="0.25">
      <c r="B53" s="295"/>
      <c r="C53" s="296"/>
      <c r="D53" s="296"/>
      <c r="E53" s="296"/>
      <c r="F53" s="297"/>
    </row>
    <row r="54" spans="2:6" x14ac:dyDescent="0.25">
      <c r="B54" s="295"/>
      <c r="C54" s="296"/>
      <c r="D54" s="296"/>
      <c r="E54" s="296"/>
      <c r="F54" s="297"/>
    </row>
    <row r="55" spans="2:6" x14ac:dyDescent="0.25">
      <c r="B55" s="295"/>
      <c r="C55" s="296"/>
      <c r="D55" s="296"/>
      <c r="E55" s="296"/>
      <c r="F55" s="297"/>
    </row>
    <row r="56" spans="2:6" x14ac:dyDescent="0.25">
      <c r="B56" s="295"/>
      <c r="C56" s="296"/>
      <c r="D56" s="296"/>
      <c r="E56" s="296"/>
      <c r="F56" s="297"/>
    </row>
    <row r="57" spans="2:6" x14ac:dyDescent="0.25">
      <c r="B57" s="295"/>
      <c r="C57" s="296"/>
      <c r="D57" s="296"/>
      <c r="E57" s="296"/>
      <c r="F57" s="297"/>
    </row>
    <row r="58" spans="2:6" x14ac:dyDescent="0.25">
      <c r="B58" s="295"/>
      <c r="C58" s="296"/>
      <c r="D58" s="296"/>
      <c r="E58" s="296"/>
      <c r="F58" s="297"/>
    </row>
    <row r="59" spans="2:6" x14ac:dyDescent="0.25">
      <c r="B59" s="295"/>
      <c r="C59" s="296"/>
      <c r="D59" s="296"/>
      <c r="E59" s="296"/>
      <c r="F59" s="297"/>
    </row>
    <row r="60" spans="2:6" x14ac:dyDescent="0.25">
      <c r="B60" s="295"/>
      <c r="C60" s="296"/>
      <c r="D60" s="296"/>
      <c r="E60" s="296"/>
      <c r="F60" s="297"/>
    </row>
    <row r="61" spans="2:6" x14ac:dyDescent="0.25">
      <c r="B61" s="295"/>
      <c r="C61" s="296"/>
      <c r="D61" s="296"/>
      <c r="E61" s="296"/>
      <c r="F61" s="297"/>
    </row>
    <row r="62" spans="2:6" x14ac:dyDescent="0.25">
      <c r="B62" s="295"/>
      <c r="C62" s="296"/>
      <c r="D62" s="296"/>
      <c r="E62" s="296"/>
      <c r="F62" s="297"/>
    </row>
    <row r="63" spans="2:6" x14ac:dyDescent="0.25">
      <c r="B63" s="295"/>
      <c r="C63" s="296"/>
      <c r="D63" s="296"/>
      <c r="E63" s="296"/>
      <c r="F63" s="297"/>
    </row>
    <row r="64" spans="2:6" x14ac:dyDescent="0.25">
      <c r="B64" s="295"/>
      <c r="C64" s="296"/>
      <c r="D64" s="296"/>
      <c r="E64" s="296"/>
      <c r="F64" s="297"/>
    </row>
    <row r="65" spans="2:6" x14ac:dyDescent="0.25">
      <c r="B65" s="295"/>
      <c r="C65" s="296"/>
      <c r="D65" s="296"/>
      <c r="E65" s="296"/>
      <c r="F65" s="297"/>
    </row>
    <row r="66" spans="2:6" x14ac:dyDescent="0.25">
      <c r="B66" s="295"/>
      <c r="C66" s="296"/>
      <c r="D66" s="296"/>
      <c r="E66" s="296"/>
      <c r="F66" s="297"/>
    </row>
    <row r="67" spans="2:6" x14ac:dyDescent="0.25">
      <c r="B67" s="295"/>
      <c r="C67" s="296"/>
      <c r="D67" s="296"/>
      <c r="E67" s="296"/>
      <c r="F67" s="297"/>
    </row>
    <row r="68" spans="2:6" x14ac:dyDescent="0.25">
      <c r="B68" s="295"/>
      <c r="C68" s="296"/>
      <c r="D68" s="296"/>
      <c r="E68" s="296"/>
      <c r="F68" s="297"/>
    </row>
    <row r="69" spans="2:6" x14ac:dyDescent="0.25">
      <c r="B69" s="295"/>
      <c r="C69" s="296"/>
      <c r="D69" s="296"/>
      <c r="E69" s="296"/>
      <c r="F69" s="297"/>
    </row>
    <row r="70" spans="2:6" x14ac:dyDescent="0.25">
      <c r="B70" s="295"/>
      <c r="C70" s="296"/>
      <c r="D70" s="296"/>
      <c r="E70" s="296"/>
      <c r="F70" s="297"/>
    </row>
    <row r="71" spans="2:6" x14ac:dyDescent="0.25">
      <c r="B71" s="295"/>
      <c r="C71" s="296"/>
      <c r="D71" s="296"/>
      <c r="E71" s="296"/>
      <c r="F71" s="297"/>
    </row>
    <row r="72" spans="2:6" x14ac:dyDescent="0.25">
      <c r="B72" s="295"/>
      <c r="C72" s="296"/>
      <c r="D72" s="296"/>
      <c r="E72" s="296"/>
      <c r="F72" s="297"/>
    </row>
    <row r="73" spans="2:6" x14ac:dyDescent="0.25">
      <c r="B73" s="295"/>
      <c r="C73" s="296"/>
      <c r="D73" s="296"/>
      <c r="E73" s="296"/>
      <c r="F73" s="297"/>
    </row>
    <row r="74" spans="2:6" x14ac:dyDescent="0.25">
      <c r="B74" s="295"/>
      <c r="C74" s="296"/>
      <c r="D74" s="296"/>
      <c r="E74" s="296"/>
      <c r="F74" s="297"/>
    </row>
    <row r="75" spans="2:6" x14ac:dyDescent="0.25">
      <c r="B75" s="295"/>
      <c r="C75" s="296"/>
      <c r="D75" s="296"/>
      <c r="E75" s="296"/>
      <c r="F75" s="297"/>
    </row>
    <row r="76" spans="2:6" x14ac:dyDescent="0.25">
      <c r="B76" s="295"/>
      <c r="C76" s="296"/>
      <c r="D76" s="296"/>
      <c r="E76" s="296"/>
      <c r="F76" s="297"/>
    </row>
    <row r="77" spans="2:6" x14ac:dyDescent="0.25">
      <c r="B77" s="295"/>
      <c r="C77" s="296"/>
      <c r="D77" s="296"/>
      <c r="E77" s="296"/>
      <c r="F77" s="297"/>
    </row>
    <row r="78" spans="2:6" x14ac:dyDescent="0.25">
      <c r="B78" s="295"/>
      <c r="C78" s="296"/>
      <c r="D78" s="296"/>
      <c r="E78" s="296"/>
      <c r="F78" s="297"/>
    </row>
    <row r="79" spans="2:6" x14ac:dyDescent="0.25">
      <c r="B79" s="295"/>
      <c r="C79" s="296"/>
      <c r="D79" s="296"/>
      <c r="E79" s="296"/>
      <c r="F79" s="297"/>
    </row>
    <row r="80" spans="2:6" x14ac:dyDescent="0.25">
      <c r="B80" s="295"/>
      <c r="C80" s="296"/>
      <c r="D80" s="296"/>
      <c r="E80" s="296"/>
      <c r="F80" s="297"/>
    </row>
    <row r="81" spans="2:6" x14ac:dyDescent="0.25">
      <c r="B81" s="295"/>
      <c r="C81" s="296"/>
      <c r="D81" s="296"/>
      <c r="E81" s="296"/>
      <c r="F81" s="297"/>
    </row>
    <row r="82" spans="2:6" x14ac:dyDescent="0.25">
      <c r="B82" s="295"/>
      <c r="C82" s="296"/>
      <c r="D82" s="296"/>
      <c r="E82" s="296"/>
      <c r="F82" s="297"/>
    </row>
    <row r="83" spans="2:6" x14ac:dyDescent="0.25">
      <c r="B83" s="295"/>
      <c r="C83" s="296"/>
      <c r="D83" s="296"/>
      <c r="E83" s="296"/>
      <c r="F83" s="297"/>
    </row>
    <row r="84" spans="2:6" ht="15.75" thickBot="1" x14ac:dyDescent="0.3">
      <c r="B84" s="298"/>
      <c r="C84" s="299"/>
      <c r="D84" s="299"/>
      <c r="E84" s="299"/>
      <c r="F84" s="300"/>
    </row>
  </sheetData>
  <sheetProtection algorithmName="SHA-512" hashValue="XA1DNIS10UoUDhdXSs8zK84HSNICSGuKCwMfM9bWCwbHr2lQpGW4wRQJH18lcF8X/0OIi7yvr0JF4nSMLyoWvA==" saltValue="1FRgo96H22eCeuyic2a2OQ==" spinCount="100000" sheet="1" formatCells="0" formatColumns="0" formatRows="0"/>
  <mergeCells count="19">
    <mergeCell ref="B41:F41"/>
    <mergeCell ref="B16:C16"/>
    <mergeCell ref="B24:C24"/>
    <mergeCell ref="E18:F21"/>
    <mergeCell ref="E26:F33"/>
    <mergeCell ref="D13:E13"/>
    <mergeCell ref="B35:C35"/>
    <mergeCell ref="I5:M6"/>
    <mergeCell ref="I7:M21"/>
    <mergeCell ref="C1:F1"/>
    <mergeCell ref="C2:F2"/>
    <mergeCell ref="D10:E10"/>
    <mergeCell ref="B9:G9"/>
    <mergeCell ref="D11:E11"/>
    <mergeCell ref="D14:E14"/>
    <mergeCell ref="D12:E12"/>
    <mergeCell ref="C7:G7"/>
    <mergeCell ref="C6:G6"/>
    <mergeCell ref="B5:G5"/>
  </mergeCells>
  <conditionalFormatting sqref="I1:I2">
    <cfRule type="cellIs" dxfId="5" priority="1" operator="equal">
      <formula>"VALID for a VDoC"</formula>
    </cfRule>
    <cfRule type="cellIs" dxfId="4" priority="2" operator="equal">
      <formula>"INVALID"</formula>
    </cfRule>
    <cfRule type="cellIs" dxfId="3"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list" allowBlank="1" showInputMessage="1" showErrorMessage="1" sqref="F11:F14" xr:uid="{4FE22C63-C697-427B-933E-D7B06A8575B2}">
      <formula1>"Inbound,Outbound"</formula1>
    </dataValidation>
    <dataValidation type="list" allowBlank="1" showInputMessage="1" showErrorMessage="1" sqref="G11:G14" xr:uid="{76645844-F91A-408B-9921-226793379286}">
      <formula1>"Yes,No"</formula1>
    </dataValidation>
    <dataValidation type="whole" allowBlank="1" showInputMessage="1" showErrorMessage="1" sqref="D11:E14" xr:uid="{7C801466-E297-4C8C-A269-AD315F7AB275}">
      <formula1>1</formula1>
      <formula2>65535</formula2>
    </dataValidation>
  </dataValidations>
  <pageMargins left="0.7" right="0.7" top="0.75" bottom="0.75" header="0.3" footer="0.3"/>
  <pageSetup scale="77" orientation="portrait" r:id="rId1"/>
  <headerFoot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E20F-42E2-4227-A501-20151466AAB9}">
  <dimension ref="B1:N45"/>
  <sheetViews>
    <sheetView showGridLines="0" zoomScaleNormal="100" workbookViewId="0">
      <selection activeCell="D10" sqref="D10"/>
    </sheetView>
  </sheetViews>
  <sheetFormatPr defaultColWidth="8.625" defaultRowHeight="15.75" x14ac:dyDescent="0.25"/>
  <cols>
    <col min="1" max="1" width="9.625" customWidth="1"/>
    <col min="2" max="2" width="14" customWidth="1"/>
    <col min="3" max="3" width="38.125" bestFit="1" customWidth="1"/>
    <col min="4" max="4" width="47.625" customWidth="1"/>
    <col min="5" max="5" width="3.125" customWidth="1"/>
    <col min="6" max="12" width="25.625" customWidth="1"/>
    <col min="13" max="13" width="16.125" customWidth="1"/>
    <col min="14" max="14" width="2.125" customWidth="1"/>
    <col min="15" max="15" width="28.125" customWidth="1"/>
    <col min="16" max="16" width="1.625" customWidth="1"/>
    <col min="17" max="17" width="20.625" bestFit="1" customWidth="1"/>
    <col min="18" max="18" width="21.125" bestFit="1" customWidth="1"/>
    <col min="19" max="19" width="20.125" bestFit="1" customWidth="1"/>
    <col min="20" max="20" width="21.125" customWidth="1"/>
    <col min="21" max="21" width="21.125" bestFit="1" customWidth="1"/>
    <col min="22" max="22" width="2.125" customWidth="1"/>
    <col min="23" max="24" width="22.125" customWidth="1"/>
  </cols>
  <sheetData>
    <row r="1" spans="2:13" ht="39" customHeight="1" x14ac:dyDescent="0.35">
      <c r="B1" s="344" t="s">
        <v>1033</v>
      </c>
      <c r="C1" s="344"/>
      <c r="I1" s="301"/>
      <c r="J1" s="301"/>
      <c r="L1" s="302" t="str">
        <f>IF(AND('Hardware Feature set'!D15="Yes",'Hardware Feature set'!D16="Yes"),"INVALID", IF(OR(AND(COUNTA(F7:F33) &lt;&gt; 18, COUNTA(F7:F33) &lt;&gt; 1), AND(COUNTA(G7:G33) &lt;&gt; 18, COUNTA(G7:G33) &lt;&gt; 1), AND(COUNTA(H7:H33) &lt;&gt; 18, COUNTA(H7:H33) &lt;&gt; 1), AND(COUNTA(I7:I33) &lt;&gt; 18, COUNTA(I7:I33) &lt;&gt; 1), AND(COUNTA(J7:J33) &lt;&gt; 18, COUNTA(J7:J33) &lt;&gt; 1), AND(COUNTA(K7:K33) &lt;&gt; 18, COUNTA(K7:K33) &lt;&gt; 1), AND(COUNTA(L7:L33) &lt;&gt; 18, COUNTA(L7:L33) &lt;&gt; 1)), "INVALID", IF('Hardware Feature set'!D5&lt;&gt;"Charging Station","INVALID",IF(OR(_xlfn.CONCAT(M5:M33)&lt;&gt;"", _xlfn.CONCAT(G40:G45)&lt;&gt;""),"INVALID",IF(OR(D10="", FIND("&lt;", D10)=1 ), "INVALID", "VALID")))))</f>
        <v>INVALID</v>
      </c>
    </row>
    <row r="3" spans="2:13" x14ac:dyDescent="0.25">
      <c r="B3" t="s">
        <v>1034</v>
      </c>
    </row>
    <row r="5" spans="2:13" ht="15.75" customHeight="1" x14ac:dyDescent="0.25">
      <c r="B5" s="420" t="s">
        <v>1035</v>
      </c>
      <c r="C5" s="421"/>
      <c r="D5" s="422"/>
      <c r="F5" s="420" t="s">
        <v>1036</v>
      </c>
      <c r="G5" s="421"/>
      <c r="H5" s="421"/>
      <c r="I5" s="421"/>
      <c r="J5" s="421"/>
      <c r="K5" s="421"/>
      <c r="L5" s="422"/>
      <c r="M5" s="303"/>
    </row>
    <row r="6" spans="2:13" ht="15.75" customHeight="1" x14ac:dyDescent="0.25">
      <c r="B6" s="304"/>
      <c r="C6" s="305"/>
    </row>
    <row r="7" spans="2:13" x14ac:dyDescent="0.25">
      <c r="B7" s="306" t="s">
        <v>216</v>
      </c>
      <c r="C7" s="307" t="s">
        <v>1037</v>
      </c>
      <c r="D7" s="308" t="str">
        <f>'Hardware Feature set'!D7</f>
        <v>&lt;type name and / or model number&gt; </v>
      </c>
      <c r="F7" s="193" t="s">
        <v>1171</v>
      </c>
      <c r="G7" s="139"/>
      <c r="H7" s="140"/>
      <c r="I7" s="139"/>
      <c r="J7" s="141"/>
      <c r="K7" s="139"/>
      <c r="L7" s="142"/>
    </row>
    <row r="8" spans="2:13" x14ac:dyDescent="0.25">
      <c r="D8" s="6"/>
      <c r="E8" s="6"/>
      <c r="F8" s="123"/>
      <c r="G8" s="6"/>
      <c r="H8" s="6"/>
      <c r="I8" s="6"/>
      <c r="J8" s="6"/>
      <c r="K8" s="6"/>
      <c r="L8" s="186"/>
    </row>
    <row r="9" spans="2:13" x14ac:dyDescent="0.25">
      <c r="B9" s="309" t="s">
        <v>1112</v>
      </c>
      <c r="C9" s="307" t="s">
        <v>1038</v>
      </c>
      <c r="D9" s="310" t="str">
        <f>VLOOKUP("ConfigID",'HIDDEN calc sheet'!A:B,2,FALSE)</f>
        <v>5DD41547-EB64F08D</v>
      </c>
      <c r="E9" s="311"/>
      <c r="F9" s="312" t="str">
        <f>IF(_xlfn.CONCAT(F13:F31)="","",VLOOKUP("FamilyMember_1_ConfigID",'HIDDEN calc sheet'!A:B,2,FALSE))</f>
        <v/>
      </c>
      <c r="G9" s="313" t="str">
        <f>IF(_xlfn.CONCAT(G13:G31)="","",VLOOKUP("FamilyMember_2_ConfigID",'HIDDEN calc sheet'!A:B,2,FALSE))</f>
        <v/>
      </c>
      <c r="H9" s="314" t="str">
        <f>IF(_xlfn.CONCAT(H13:H31)="","",VLOOKUP("FamilyMember_3_ConfigID",'HIDDEN calc sheet'!A:B,2,FALSE))</f>
        <v/>
      </c>
      <c r="I9" s="313" t="str">
        <f>IF(_xlfn.CONCAT(I13:I31)="","",VLOOKUP("FamilyMember_4_ConfigID",'HIDDEN calc sheet'!A:B,2,FALSE))</f>
        <v/>
      </c>
      <c r="J9" s="314" t="str">
        <f>IF(_xlfn.CONCAT(J13:J31)="","",VLOOKUP("FamilyMember_5_ConfigID",'HIDDEN calc sheet'!A:B,2,FALSE))</f>
        <v/>
      </c>
      <c r="K9" s="315" t="str">
        <f>IF(_xlfn.CONCAT(K13:K31)="","",VLOOKUP("FamilyMember_6_ConfigID",'HIDDEN calc sheet'!A:B,2,FALSE))</f>
        <v/>
      </c>
      <c r="L9" s="316" t="str">
        <f>IF(_xlfn.CONCAT(L13:L31)="","",VLOOKUP("FamilyMember_7_ConfigID",'HIDDEN calc sheet'!A:B,2,FALSE))</f>
        <v/>
      </c>
    </row>
    <row r="10" spans="2:13" ht="57.75" customHeight="1" x14ac:dyDescent="0.25">
      <c r="B10" s="317" t="s">
        <v>135</v>
      </c>
      <c r="C10" s="307" t="s">
        <v>1075</v>
      </c>
      <c r="D10" s="156" t="s">
        <v>1136</v>
      </c>
      <c r="E10" s="311"/>
      <c r="F10" s="187" t="s">
        <v>1137</v>
      </c>
      <c r="G10" s="33"/>
      <c r="H10" s="144"/>
      <c r="I10" s="33"/>
      <c r="J10" s="144"/>
      <c r="K10" s="145"/>
      <c r="L10" s="146"/>
    </row>
    <row r="11" spans="2:13" x14ac:dyDescent="0.25">
      <c r="F11" s="321"/>
      <c r="G11" s="322"/>
      <c r="H11" s="323"/>
      <c r="I11" s="322"/>
      <c r="J11" s="323"/>
      <c r="K11" s="324"/>
      <c r="L11" s="325"/>
      <c r="M11" s="91"/>
    </row>
    <row r="12" spans="2:13" x14ac:dyDescent="0.25">
      <c r="B12" s="326" t="s">
        <v>13</v>
      </c>
      <c r="C12" s="327" t="s">
        <v>10</v>
      </c>
      <c r="D12" s="328"/>
      <c r="F12" s="329"/>
      <c r="H12" s="318"/>
      <c r="J12" s="318"/>
      <c r="K12" s="319"/>
      <c r="L12" s="320"/>
      <c r="M12" s="91"/>
    </row>
    <row r="13" spans="2:13" x14ac:dyDescent="0.25">
      <c r="B13" s="330" t="str">
        <f>'Hardware Feature set'!B20</f>
        <v>HFS-8</v>
      </c>
      <c r="C13" s="308" t="str">
        <f>VLOOKUP(B13,'Hardware Feature set'!$B$13:$D$27,2,FALSE)</f>
        <v>No. EVSEs</v>
      </c>
      <c r="D13" s="310">
        <f>VLOOKUP(B13,'Hardware Feature set'!$B$13:$D$27,3,FALSE)</f>
        <v>1</v>
      </c>
      <c r="E13" s="311"/>
      <c r="F13" s="147"/>
      <c r="G13" s="167"/>
      <c r="H13" s="148"/>
      <c r="I13" s="167"/>
      <c r="J13" s="148"/>
      <c r="K13" s="149"/>
      <c r="L13" s="150"/>
      <c r="M13" s="91" t="str">
        <f>IF(AND(D13=1,COUNTIF(F13:L13,"&gt;1")&gt;0),"&lt;-- Family member cannot have &gt;1 EVSEs if representative product only has 1","")</f>
        <v/>
      </c>
    </row>
    <row r="14" spans="2:13" x14ac:dyDescent="0.25">
      <c r="B14" s="331" t="str">
        <f>'Hardware Feature set'!B21</f>
        <v>HFS-9</v>
      </c>
      <c r="C14" s="308" t="str">
        <f>VLOOKUP(B14,'Hardware Feature set'!$B$13:$D$27,2,FALSE)</f>
        <v>Communication technology  </v>
      </c>
      <c r="D14" s="310" t="str">
        <f>VLOOKUP(B14,'Hardware Feature set'!$B$13:$D$27,3,FALSE)</f>
        <v>&lt;specify supported communication technology/ies&gt;</v>
      </c>
      <c r="E14" s="311"/>
      <c r="F14" s="143"/>
      <c r="G14" s="33"/>
      <c r="H14" s="144"/>
      <c r="I14" s="33"/>
      <c r="J14" s="144"/>
      <c r="K14" s="145"/>
      <c r="L14" s="146"/>
      <c r="M14" s="91"/>
    </row>
    <row r="15" spans="2:13" x14ac:dyDescent="0.25">
      <c r="B15" s="331" t="str">
        <f>'Hardware Feature set'!B22</f>
        <v>HFS-10</v>
      </c>
      <c r="C15" s="308" t="str">
        <f>VLOOKUP(B15,'Hardware Feature set'!$B$13:$D$27,2,FALSE)</f>
        <v>RFID readers </v>
      </c>
      <c r="D15" s="310" t="str">
        <f>VLOOKUP(B15,'Hardware Feature set'!$B$13:$D$27,3,FALSE)</f>
        <v>&lt;select RFID Reader configuration&gt;</v>
      </c>
      <c r="E15" s="311"/>
      <c r="F15" s="147"/>
      <c r="G15" s="167"/>
      <c r="H15" s="148"/>
      <c r="I15" s="167"/>
      <c r="J15" s="148"/>
      <c r="K15" s="149"/>
      <c r="L15" s="150"/>
      <c r="M15" s="91" t="str">
        <f>IF(NOT((COUNTIF(F15:L15,D15)+COUNTIF(F15:L15, AND(NOT(D15), "None")))=COUNTA(F7:L7)),"&lt;-- Family members must have the same no. RFID readers or None",IF(OR(AND(ISERROR(MATCH(F15, MD!$L$1:$L$2, 0)), NOT(ISBLANK(F7))), AND(ISERROR(MATCH(G15, MD!$L$1:$L$2, 0)), NOT(ISBLANK(G7)), AND(ISERROR(MATCH(H15, MD!$L$1:$L$2, 0)), NOT(ISBLANK(H7))), AND(ISERROR(MATCH(I15, MD!$L$1:$L$2, 0)), NOT(ISBLANK(I7))), AND(ISERROR(MATCH(J15, MD!$L$1:$L$2, 0)), NOT(ISBLANK(J7))), AND(ISERROR(MATCH(K15, MD!$L$1:$L$2, 0)), NOT(ISBLANK(K7))), AND(ISERROR(MATCH(L15, MD!$L$1:$L$2, 0)), NOT(ISBLANK(L7))))), "&lt;---- This field must be filled from the drop-down menu", ""))</f>
        <v>&lt;-- Family members must have the same no. RFID readers or None</v>
      </c>
    </row>
    <row r="16" spans="2:13" x14ac:dyDescent="0.25">
      <c r="B16" s="331" t="str">
        <f>'Hardware Feature set'!B24</f>
        <v>HFS-12</v>
      </c>
      <c r="C16" s="308" t="str">
        <f>VLOOKUP(B16,'Hardware Feature set'!$B$13:$D$27,2,FALSE)</f>
        <v>Number of displays</v>
      </c>
      <c r="D16" s="310" t="str">
        <f>VLOOKUP(B16,'Hardware Feature set'!$B$13:$D$27,3,FALSE)</f>
        <v>&lt;specify the number of displays on your product&gt;</v>
      </c>
      <c r="E16" s="311"/>
      <c r="F16" s="143"/>
      <c r="G16" s="33"/>
      <c r="H16" s="144"/>
      <c r="I16" s="33"/>
      <c r="J16" s="144"/>
      <c r="K16" s="145"/>
      <c r="L16" s="146"/>
      <c r="M16" s="91" t="str">
        <f>IF(AND(D16=1,COUNTIF(F16:L16,"&gt;1")&gt;0),"&lt;-- Family member cannot have &gt;1 displays if representative product only has 1","")</f>
        <v/>
      </c>
    </row>
    <row r="17" spans="2:13" x14ac:dyDescent="0.25">
      <c r="B17" s="331" t="str">
        <f>'Hardware Feature set'!B23</f>
        <v>HFS-11</v>
      </c>
      <c r="C17" s="308" t="str">
        <f>VLOOKUP(B17,'Hardware Feature set'!$B$13:$D$27,2,FALSE)</f>
        <v>DC power level (kW)</v>
      </c>
      <c r="D17" s="310" t="str">
        <f>VLOOKUP(B17,'Hardware Feature set'!$B$13:$D$27,3,FALSE)&amp;""</f>
        <v>&lt;specify DC power level&gt;</v>
      </c>
      <c r="E17" s="311"/>
      <c r="F17" s="147"/>
      <c r="G17" s="167"/>
      <c r="H17" s="148"/>
      <c r="I17" s="167"/>
      <c r="J17" s="148"/>
      <c r="K17" s="149"/>
      <c r="L17" s="150"/>
      <c r="M17" s="91" t="str">
        <f>IF(AND(D17&gt;=50,COUNTIF(F17:L17,"&lt;50")&gt;0),"&lt;-- Family member cannot have power level below 50 kW if representative product is above 50 kW",IF(AND(D17&lt;50,COUNTIF(F17:L17,"&gt;=50")&gt;0),"&lt;-- Family member cannot have power level above 50 kW if representative product is below 50 kW",""))</f>
        <v/>
      </c>
    </row>
    <row r="18" spans="2:13" x14ac:dyDescent="0.25">
      <c r="B18" s="264"/>
      <c r="D18" s="311"/>
      <c r="E18" s="311"/>
      <c r="F18" s="329"/>
      <c r="H18" s="318"/>
      <c r="J18" s="318"/>
      <c r="K18" s="319"/>
      <c r="L18" s="320"/>
      <c r="M18" s="91"/>
    </row>
    <row r="19" spans="2:13" x14ac:dyDescent="0.25">
      <c r="B19" s="326" t="s">
        <v>13</v>
      </c>
      <c r="C19" s="327" t="s">
        <v>1072</v>
      </c>
      <c r="D19" s="332"/>
      <c r="F19" s="321"/>
      <c r="G19" s="322"/>
      <c r="H19" s="323"/>
      <c r="I19" s="322"/>
      <c r="J19" s="323"/>
      <c r="K19" s="324"/>
      <c r="L19" s="325"/>
      <c r="M19" s="91"/>
    </row>
    <row r="20" spans="2:13" ht="42.75" x14ac:dyDescent="0.25">
      <c r="B20" s="331" t="s">
        <v>163</v>
      </c>
      <c r="C20" s="308" t="str">
        <f>VLOOKUP(B20,'Additional questions'!$B$4:$D$16,2,FALSE)</f>
        <v>Does your Charging Station enforce a selection of EVSE (by design) prior to authorization?</v>
      </c>
      <c r="D20" s="310" t="str">
        <f>VLOOKUP(B20,'Additional questions'!$B$4:$D$16,3,FALSE)</f>
        <v>No</v>
      </c>
      <c r="E20" s="311"/>
      <c r="F20" s="143"/>
      <c r="G20" s="33"/>
      <c r="H20" s="144"/>
      <c r="I20" s="33"/>
      <c r="J20" s="144"/>
      <c r="K20" s="145"/>
      <c r="L20" s="146"/>
      <c r="M20" s="91"/>
    </row>
    <row r="21" spans="2:13" x14ac:dyDescent="0.25">
      <c r="B21" s="264"/>
      <c r="D21" s="311"/>
      <c r="E21" s="311"/>
      <c r="F21" s="321"/>
      <c r="G21" s="322"/>
      <c r="H21" s="323"/>
      <c r="I21" s="322"/>
      <c r="J21" s="323"/>
      <c r="K21" s="324"/>
      <c r="L21" s="325"/>
      <c r="M21" s="91"/>
    </row>
    <row r="22" spans="2:13" x14ac:dyDescent="0.25">
      <c r="B22" s="326" t="s">
        <v>13</v>
      </c>
      <c r="C22" s="327" t="s">
        <v>1073</v>
      </c>
      <c r="D22" s="328"/>
      <c r="F22" s="329"/>
      <c r="H22" s="318"/>
      <c r="J22" s="318"/>
      <c r="K22" s="319"/>
      <c r="L22" s="320"/>
      <c r="M22" s="91"/>
    </row>
    <row r="23" spans="2:13" x14ac:dyDescent="0.25">
      <c r="B23" s="331" t="s">
        <v>877</v>
      </c>
      <c r="C23" s="308" t="str">
        <f>VLOOKUP(B23,'Optional features'!$B$70:$D$75,2,FALSE)</f>
        <v>SampledTxStarted Measurands</v>
      </c>
      <c r="D23" s="333" t="str">
        <f>VLOOKUP(B23,'Optional features'!$B$70:$D$75,3,FALSE)</f>
        <v>&lt;will be filled in by testlab&gt;</v>
      </c>
      <c r="E23" s="334"/>
      <c r="F23" s="147"/>
      <c r="G23" s="167"/>
      <c r="H23" s="148"/>
      <c r="I23" s="167"/>
      <c r="J23" s="148"/>
      <c r="K23" s="149"/>
      <c r="L23" s="150"/>
      <c r="M23" s="91"/>
    </row>
    <row r="24" spans="2:13" x14ac:dyDescent="0.25">
      <c r="B24" s="331" t="s">
        <v>878</v>
      </c>
      <c r="C24" s="308" t="str">
        <f>VLOOKUP(B24,'Optional features'!$B$70:$D$75,2,FALSE)</f>
        <v>SampledTxUpdated Measurands</v>
      </c>
      <c r="D24" s="333" t="str">
        <f>VLOOKUP(B24,'Optional features'!$B$70:$D$75,3,FALSE)</f>
        <v>&lt;will be filled in by testlab&gt;</v>
      </c>
      <c r="E24" s="334"/>
      <c r="F24" s="143"/>
      <c r="G24" s="33"/>
      <c r="H24" s="144"/>
      <c r="I24" s="33"/>
      <c r="J24" s="144"/>
      <c r="K24" s="145"/>
      <c r="L24" s="146"/>
      <c r="M24" s="91"/>
    </row>
    <row r="25" spans="2:13" x14ac:dyDescent="0.25">
      <c r="B25" s="331" t="s">
        <v>879</v>
      </c>
      <c r="C25" s="308" t="str">
        <f>VLOOKUP(B25,'Optional features'!$B$70:$D$75,2,FALSE)</f>
        <v>SampledTxEnded Measurands</v>
      </c>
      <c r="D25" s="333" t="str">
        <f>VLOOKUP(B25,'Optional features'!$B$70:$D$75,3,FALSE)</f>
        <v>&lt;will be filled in by testlab&gt;</v>
      </c>
      <c r="E25" s="334"/>
      <c r="F25" s="147"/>
      <c r="G25" s="167"/>
      <c r="H25" s="148"/>
      <c r="I25" s="167"/>
      <c r="J25" s="148"/>
      <c r="K25" s="149"/>
      <c r="L25" s="150"/>
      <c r="M25" s="91"/>
    </row>
    <row r="26" spans="2:13" x14ac:dyDescent="0.25">
      <c r="B26" s="331" t="s">
        <v>880</v>
      </c>
      <c r="C26" s="308" t="str">
        <f>VLOOKUP(B26,'Optional features'!$B$70:$D$75,2,FALSE)</f>
        <v>AlignedData Measurands</v>
      </c>
      <c r="D26" s="333" t="str">
        <f>VLOOKUP(B26,'Optional features'!$B$70:$D$75,3,FALSE)</f>
        <v>&lt;will be filled in by testlab&gt;</v>
      </c>
      <c r="E26" s="334"/>
      <c r="F26" s="143"/>
      <c r="G26" s="33"/>
      <c r="H26" s="144"/>
      <c r="I26" s="33"/>
      <c r="J26" s="144"/>
      <c r="K26" s="145"/>
      <c r="L26" s="146"/>
      <c r="M26" s="91"/>
    </row>
    <row r="27" spans="2:13" x14ac:dyDescent="0.25">
      <c r="B27" s="331" t="s">
        <v>881</v>
      </c>
      <c r="C27" s="308" t="str">
        <f>VLOOKUP(B27,'Optional features'!$B$70:$D$75,2,FALSE)</f>
        <v>AlignedDataTxEnded Measurands</v>
      </c>
      <c r="D27" s="333" t="str">
        <f>VLOOKUP(B27,'Optional features'!$B$70:$D$75,3,FALSE)</f>
        <v>&lt;will be filled in by testlab&gt;</v>
      </c>
      <c r="E27" s="334"/>
      <c r="F27" s="147"/>
      <c r="G27" s="167"/>
      <c r="H27" s="148"/>
      <c r="I27" s="167"/>
      <c r="J27" s="148"/>
      <c r="K27" s="149"/>
      <c r="L27" s="150"/>
      <c r="M27" s="91"/>
    </row>
    <row r="28" spans="2:13" x14ac:dyDescent="0.25">
      <c r="B28" s="264"/>
      <c r="D28" s="334"/>
      <c r="E28" s="334"/>
      <c r="F28" s="329"/>
      <c r="H28" s="318"/>
      <c r="J28" s="318"/>
      <c r="K28" s="319"/>
      <c r="L28" s="320"/>
      <c r="M28" s="91"/>
    </row>
    <row r="29" spans="2:13" x14ac:dyDescent="0.25">
      <c r="B29" s="326" t="s">
        <v>13</v>
      </c>
      <c r="C29" s="327" t="s">
        <v>1039</v>
      </c>
      <c r="D29" s="328"/>
      <c r="F29" s="321"/>
      <c r="G29" s="322"/>
      <c r="H29" s="323"/>
      <c r="I29" s="322"/>
      <c r="J29" s="323"/>
      <c r="K29" s="324"/>
      <c r="L29" s="325"/>
      <c r="M29" s="91"/>
    </row>
    <row r="30" spans="2:13" x14ac:dyDescent="0.25">
      <c r="B30" s="331" t="s">
        <v>80</v>
      </c>
      <c r="C30" s="308" t="str">
        <f>VLOOKUP(B30,'Optional features'!$B$39:$D$55,2,FALSE)</f>
        <v>Authorization - using RFID ISO14443</v>
      </c>
      <c r="D30" s="310" t="str">
        <f>VLOOKUP(B30,'Optional features'!$B$39:$D$55,3,FALSE)</f>
        <v>No</v>
      </c>
      <c r="E30" s="311"/>
      <c r="F30" s="143"/>
      <c r="G30" s="33"/>
      <c r="H30" s="144"/>
      <c r="I30" s="33"/>
      <c r="J30" s="144"/>
      <c r="K30" s="145"/>
      <c r="L30" s="146"/>
      <c r="M30" s="91"/>
    </row>
    <row r="31" spans="2:13" x14ac:dyDescent="0.25">
      <c r="B31" s="331" t="s">
        <v>81</v>
      </c>
      <c r="C31" s="308" t="str">
        <f>VLOOKUP(B31,'Optional features'!$B$39:$D$55,2,FALSE)</f>
        <v>Authorization - using RFID ISO15693</v>
      </c>
      <c r="D31" s="310" t="str">
        <f>VLOOKUP(B31,'Optional features'!$B$39:$D$55,3,FALSE)</f>
        <v>No</v>
      </c>
      <c r="E31" s="311"/>
      <c r="F31" s="147"/>
      <c r="G31" s="167"/>
      <c r="H31" s="148"/>
      <c r="I31" s="167"/>
      <c r="J31" s="148"/>
      <c r="K31" s="149"/>
      <c r="L31" s="150"/>
      <c r="M31" s="91"/>
    </row>
    <row r="32" spans="2:13" x14ac:dyDescent="0.25">
      <c r="B32" s="331" t="s">
        <v>1282</v>
      </c>
      <c r="C32" s="308" t="str">
        <f>VLOOKUP(B32,'Optional features'!$B$58:$D$61,2,FALSE)</f>
        <v>Authorization - using RFID ISO14443</v>
      </c>
      <c r="D32" s="310" t="str">
        <f>VLOOKUP(B32,'Optional features'!$B$58:$D$61,3,FALSE)</f>
        <v>No</v>
      </c>
      <c r="F32" s="143"/>
      <c r="G32" s="33"/>
      <c r="H32" s="144"/>
      <c r="I32" s="33"/>
      <c r="J32" s="144"/>
      <c r="K32" s="145"/>
      <c r="L32" s="146"/>
    </row>
    <row r="33" spans="2:14" x14ac:dyDescent="0.25">
      <c r="B33" s="331" t="s">
        <v>1284</v>
      </c>
      <c r="C33" s="308" t="str">
        <f>VLOOKUP(B33,'Optional features'!$B$58:$D$61,2,FALSE)</f>
        <v>Authorization - using RFID ISO15693</v>
      </c>
      <c r="D33" s="310" t="str">
        <f>VLOOKUP(B33,'Optional features'!$B$58:$D$61,3,FALSE)</f>
        <v>No</v>
      </c>
      <c r="F33" s="151"/>
      <c r="G33" s="152"/>
      <c r="H33" s="153"/>
      <c r="I33" s="152"/>
      <c r="J33" s="153"/>
      <c r="K33" s="154"/>
      <c r="L33" s="155"/>
    </row>
    <row r="35" spans="2:14" ht="147" customHeight="1" x14ac:dyDescent="0.25">
      <c r="B35" s="335" t="s">
        <v>1074</v>
      </c>
      <c r="C35" s="336"/>
      <c r="D35" s="328"/>
      <c r="F35" s="188"/>
      <c r="G35" s="189"/>
      <c r="H35" s="189"/>
      <c r="I35" s="189"/>
      <c r="J35" s="189"/>
      <c r="K35" s="189"/>
      <c r="L35" s="189"/>
    </row>
    <row r="38" spans="2:14" ht="41.25" customHeight="1" x14ac:dyDescent="0.25">
      <c r="B38" s="417" t="s">
        <v>1040</v>
      </c>
      <c r="C38" s="417"/>
      <c r="D38" s="207"/>
      <c r="E38" s="207"/>
      <c r="F38" s="207"/>
      <c r="G38" s="207"/>
      <c r="H38" s="207"/>
      <c r="I38" s="207"/>
      <c r="J38" s="207"/>
      <c r="K38" s="207"/>
      <c r="L38" s="207"/>
      <c r="M38" s="207"/>
      <c r="N38" s="337"/>
    </row>
    <row r="39" spans="2:14" ht="16.5" thickBot="1" x14ac:dyDescent="0.3">
      <c r="B39" s="338"/>
      <c r="C39" s="338"/>
      <c r="D39" s="338"/>
      <c r="E39" s="338"/>
      <c r="F39" s="338"/>
      <c r="G39" s="338"/>
      <c r="H39" s="338"/>
      <c r="I39" s="338"/>
      <c r="J39" s="338"/>
      <c r="K39" s="338"/>
      <c r="L39" s="338"/>
      <c r="M39" s="338"/>
      <c r="N39" s="338"/>
    </row>
    <row r="40" spans="2:14" ht="19.5" thickBot="1" x14ac:dyDescent="0.3">
      <c r="B40" s="418" t="s">
        <v>886</v>
      </c>
      <c r="C40" s="419"/>
      <c r="D40" s="423" t="s">
        <v>893</v>
      </c>
      <c r="E40" s="424"/>
      <c r="F40" s="135" t="s">
        <v>946</v>
      </c>
      <c r="G40" s="91" t="str">
        <f>IF(ISBLANK(F40),"&lt;---- This field cannot be left empty!",IF(NOT(ISERROR(FIND("&lt;",F40))),"&lt;---- Please enter a valid date",""))</f>
        <v>&lt;---- Please enter a valid date</v>
      </c>
    </row>
    <row r="41" spans="2:14" ht="24.75" customHeight="1" x14ac:dyDescent="0.25">
      <c r="B41" s="339" t="s">
        <v>216</v>
      </c>
      <c r="C41" s="136" t="s">
        <v>947</v>
      </c>
      <c r="D41" s="415" t="s">
        <v>894</v>
      </c>
      <c r="E41" s="416"/>
      <c r="F41" s="340"/>
      <c r="G41" s="91" t="str">
        <f>IF(ISBLANK(C41),"&lt;---- This field cannot be left empty!",IF(NOT(ISERROR(FIND("&lt;",C41))),"&lt;---- Please enter a valid value",""))</f>
        <v>&lt;---- Please enter a valid value</v>
      </c>
    </row>
    <row r="42" spans="2:14" ht="24.75" customHeight="1" x14ac:dyDescent="0.25">
      <c r="B42" s="341" t="s">
        <v>887</v>
      </c>
      <c r="C42" s="342" t="str">
        <f>'Statement of Approval'!C18</f>
        <v>&lt;vendor company name&gt; </v>
      </c>
      <c r="D42" s="409"/>
      <c r="E42" s="410"/>
      <c r="F42" s="411"/>
      <c r="G42" s="91" t="str">
        <f>IF(ISBLANK(C42),"&lt;---- This field cannot be left empty!",IF(NOT(ISERROR(FIND("&lt;",C42))),"&lt;---- Please enter a valid value",""))</f>
        <v>&lt;---- Please enter a valid value</v>
      </c>
    </row>
    <row r="43" spans="2:14" ht="24.75" customHeight="1" x14ac:dyDescent="0.25">
      <c r="B43" s="341" t="s">
        <v>888</v>
      </c>
      <c r="C43" s="137" t="s">
        <v>945</v>
      </c>
      <c r="D43" s="409"/>
      <c r="E43" s="410"/>
      <c r="F43" s="411"/>
      <c r="G43" s="91" t="str">
        <f>IF(ISBLANK(C43),"&lt;---- This field cannot be left empty!",IF(NOT(ISERROR(FIND("&lt;",C43))),"&lt;---- Please enter a valid value",""))</f>
        <v>&lt;---- Please enter a valid value</v>
      </c>
    </row>
    <row r="44" spans="2:14" ht="24.75" customHeight="1" x14ac:dyDescent="0.25">
      <c r="B44" s="341" t="s">
        <v>889</v>
      </c>
      <c r="C44" s="137" t="s">
        <v>948</v>
      </c>
      <c r="D44" s="409"/>
      <c r="E44" s="410"/>
      <c r="F44" s="411"/>
      <c r="G44" s="91" t="str">
        <f>IF(ISBLANK(C44),"&lt;---- This field cannot be left empty!",IF(NOT(ISERROR(FIND("&lt;",C44))),"&lt;---- Please enter a valid value",""))</f>
        <v>&lt;---- Please enter a valid value</v>
      </c>
    </row>
    <row r="45" spans="2:14" ht="24.75" customHeight="1" thickBot="1" x14ac:dyDescent="0.3">
      <c r="B45" s="343" t="s">
        <v>890</v>
      </c>
      <c r="C45" s="138" t="s">
        <v>942</v>
      </c>
      <c r="D45" s="412"/>
      <c r="E45" s="413"/>
      <c r="F45" s="414"/>
      <c r="G45" s="91" t="str">
        <f>IF(ISBLANK(C45),"&lt;---- This field cannot be left empty!",IF(NOT(ISERROR(FIND("&lt;",C45))),"&lt;---- Please enter a valid value",""))</f>
        <v>&lt;---- Please enter a valid value</v>
      </c>
    </row>
  </sheetData>
  <sheetProtection algorithmName="SHA-512" hashValue="Dpo/ll8Pg9Wg63tGkSCYh/wkhziuFJAFTLODz2Vt7Xr48QvvZ/vYAYHXDUnyWOTEQAWaznwsVKArHhSfZlSQCw==" saltValue="eR75whSsgQ7/TOYsdxnZ7w==" spinCount="100000" sheet="1" scenarios="1"/>
  <mergeCells count="8">
    <mergeCell ref="D42:F45"/>
    <mergeCell ref="D41:E41"/>
    <mergeCell ref="B38:C38"/>
    <mergeCell ref="B40:C40"/>
    <mergeCell ref="B1:C1"/>
    <mergeCell ref="F5:L5"/>
    <mergeCell ref="B5:D5"/>
    <mergeCell ref="D40:E40"/>
  </mergeCells>
  <conditionalFormatting sqref="L1">
    <cfRule type="cellIs" dxfId="2" priority="1" operator="equal">
      <formula>"USER INPUT VALID"</formula>
    </cfRule>
    <cfRule type="cellIs" dxfId="1" priority="2" operator="equal">
      <formula>"INVALID"</formula>
    </cfRule>
    <cfRule type="cellIs" dxfId="0" priority="3" operator="equal">
      <formula>"VALID"</formula>
    </cfRule>
  </conditionalFormatting>
  <dataValidations count="3">
    <dataValidation type="date" operator="greaterThan" allowBlank="1" showInputMessage="1" showErrorMessage="1" sqref="F40" xr:uid="{DCA09FA8-A3D8-4902-B850-A8D4D9AE9F5B}">
      <formula1>45108</formula1>
    </dataValidation>
    <dataValidation type="list" allowBlank="1" showInputMessage="1" showErrorMessage="1" sqref="F20:L20" xr:uid="{C80B5D0A-088D-43C7-9CC7-E9D55315F1A5}">
      <formula1>"Yes,No"</formula1>
    </dataValidation>
    <dataValidation type="whole" allowBlank="1" showInputMessage="1" showErrorMessage="1" sqref="F13:L13" xr:uid="{C81CD60B-7A2F-9246-8005-D7F51B243FE8}">
      <formula1>1</formula1>
      <formula2>$D13</formula2>
    </dataValidation>
  </dataValidations>
  <pageMargins left="0.7" right="0.7" top="0.75" bottom="0.75" header="0.3" footer="0.3"/>
  <pageSetup orientation="portrait" r:id="rId1"/>
  <ignoredErrors>
    <ignoredError sqref="F9:L9"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9F3B263-3F4F-5545-AFFF-99F4B315A2EB}">
          <x14:formula1>
            <xm:f>IF($D15="One per EVSE",MD!$T$1:$T$2,IF($D15="Single",MD!$S$1:$S$2,MD!$S$1))</xm:f>
          </x14:formula1>
          <xm:sqref>F15:L15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1"/>
  <sheetViews>
    <sheetView workbookViewId="0">
      <selection activeCell="A2" sqref="A2"/>
    </sheetView>
  </sheetViews>
  <sheetFormatPr defaultColWidth="11" defaultRowHeight="15.75" x14ac:dyDescent="0.25"/>
  <cols>
    <col min="1" max="1" width="2.625" bestFit="1" customWidth="1"/>
    <col min="2" max="2" width="5.625" bestFit="1" customWidth="1"/>
  </cols>
  <sheetData>
    <row r="1" spans="1:2" x14ac:dyDescent="0.25">
      <c r="A1" t="s">
        <v>13</v>
      </c>
      <c r="B1" t="s">
        <v>892</v>
      </c>
    </row>
  </sheetData>
  <pageMargins left="0.7" right="0.7" top="0.75" bottom="0.75" header="0.3" footer="0.3"/>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185"/>
  <sheetViews>
    <sheetView zoomScale="85" zoomScaleNormal="85" workbookViewId="0"/>
  </sheetViews>
  <sheetFormatPr defaultColWidth="8.625" defaultRowHeight="15.75" x14ac:dyDescent="0.25"/>
  <cols>
    <col min="1" max="1" width="200.5" customWidth="1"/>
    <col min="2" max="2" width="29.125" style="6" customWidth="1"/>
    <col min="3" max="3" width="29.125" customWidth="1"/>
    <col min="4" max="5" width="10.125" customWidth="1"/>
    <col min="6" max="6" width="25.5" bestFit="1" customWidth="1"/>
    <col min="7" max="7" width="11.125" bestFit="1" customWidth="1"/>
  </cols>
  <sheetData>
    <row r="1" spans="1:9" x14ac:dyDescent="0.25">
      <c r="A1" s="1" t="s">
        <v>234</v>
      </c>
      <c r="B1" s="12" t="s">
        <v>235</v>
      </c>
      <c r="C1" s="1" t="s">
        <v>236</v>
      </c>
      <c r="D1" s="1" t="s">
        <v>237</v>
      </c>
      <c r="E1" s="1"/>
      <c r="I1" t="s">
        <v>238</v>
      </c>
    </row>
    <row r="2" spans="1:9" x14ac:dyDescent="0.25">
      <c r="A2" t="s">
        <v>239</v>
      </c>
      <c r="B2" s="6" t="b">
        <f>VLOOKUP("C-56",'Optional features'!B:D,3,FALSE)="No"</f>
        <v>1</v>
      </c>
      <c r="C2" t="b">
        <v>1</v>
      </c>
      <c r="D2" t="b">
        <f>NOT(ISERROR(VLOOKUP(A2,'Charging Station Testcases'!E:E,1,FALSE)=A2))</f>
        <v>1</v>
      </c>
      <c r="F2" t="s">
        <v>30</v>
      </c>
      <c r="G2" s="6">
        <f>VLOOKUP(F2,'Hardware Feature set'!B:D,3,FALSE)</f>
        <v>1</v>
      </c>
    </row>
    <row r="3" spans="1:9" x14ac:dyDescent="0.25">
      <c r="A3" t="s">
        <v>240</v>
      </c>
      <c r="B3" s="6" t="b">
        <f>VLOOKUP("C-42",'Optional features'!B:D,3,FALSE)="Yes"</f>
        <v>0</v>
      </c>
      <c r="C3" t="b">
        <v>1</v>
      </c>
      <c r="D3" t="b">
        <f>NOT(ISERROR(VLOOKUP(A3,'Charging Station Testcases'!E:E,1,FALSE)=A3))</f>
        <v>0</v>
      </c>
      <c r="F3" t="s">
        <v>908</v>
      </c>
      <c r="G3" s="6" t="str">
        <f>TRIM(VLOOKUP(F3,'Hardware Feature set'!B:D,3,FALSE))</f>
        <v>&lt;specify supported communication technology/ies&gt;</v>
      </c>
    </row>
    <row r="4" spans="1:9" x14ac:dyDescent="0.25">
      <c r="A4" t="s">
        <v>241</v>
      </c>
      <c r="B4" s="6" t="b">
        <f>AND(VLOOKUP("AS-2",'Optional features'!B:D,3,FALSE)="Yes",VLOOKUP("C-47",'Optional features'!B:D,3,FALSE)="Yes")</f>
        <v>0</v>
      </c>
      <c r="C4" t="b">
        <v>1</v>
      </c>
      <c r="D4" t="b">
        <f>NOT(ISERROR(VLOOKUP(A4,'Charging Station Testcases'!E:E,1,FALSE)=A4))</f>
        <v>1</v>
      </c>
      <c r="F4" t="s">
        <v>909</v>
      </c>
      <c r="G4" s="6" t="str">
        <f>VLOOKUP(F4,'Hardware Feature set'!B:D,3,FALSE)</f>
        <v>&lt;select RFID Reader configuration&gt;</v>
      </c>
    </row>
    <row r="5" spans="1:9" x14ac:dyDescent="0.25">
      <c r="A5" t="s">
        <v>176</v>
      </c>
      <c r="B5" s="6" t="b">
        <f>ISNUMBER(VLOOKUP("ORS-5",'Other relevant settings'!B:D,3,FALSE))</f>
        <v>0</v>
      </c>
      <c r="C5" t="b">
        <v>0</v>
      </c>
      <c r="D5" t="b">
        <f>NOT(ISERROR(VLOOKUP(A5,'Charging Station Testcases'!E:E,1,FALSE)=A5))</f>
        <v>0</v>
      </c>
      <c r="F5" t="s">
        <v>1042</v>
      </c>
      <c r="G5" s="6" t="str">
        <f>VLOOKUP(F5,'Hardware Feature set'!B:D,3,FALSE)</f>
        <v>&lt;specify the number of displays on your product&gt;</v>
      </c>
    </row>
    <row r="6" spans="1:9" x14ac:dyDescent="0.25">
      <c r="A6" t="s">
        <v>242</v>
      </c>
      <c r="B6" s="6" t="b">
        <f>VLOOKUP("C-13",'Optional features'!B:D,3,FALSE)="No"</f>
        <v>1</v>
      </c>
      <c r="C6" t="b">
        <v>1</v>
      </c>
      <c r="D6" t="b">
        <f>NOT(ISERROR(VLOOKUP(A6,'Charging Station Testcases'!E:E,1,FALSE)=A6))</f>
        <v>1</v>
      </c>
      <c r="F6" t="s">
        <v>1041</v>
      </c>
      <c r="G6" s="6" t="str">
        <f>VLOOKUP(F6,'Hardware Feature set'!B:D,3,FALSE) &amp; ""</f>
        <v>&lt;specify DC power level&gt;</v>
      </c>
    </row>
    <row r="7" spans="1:9" x14ac:dyDescent="0.25">
      <c r="A7" t="s">
        <v>243</v>
      </c>
      <c r="B7" s="6" t="b">
        <f>AND(OR(VLOOKUP("C-30",'Optional features'!B:D,3,FALSE)="Yes",VLOOKUP("C-31",'Optional features'!B:D,3,FALSE)="Yes",VLOOKUP("C-32",'Optional features'!B:D,3,FALSE)="Yes",VLOOKUP("C-35",'Optional features'!B:D,3,FALSE)="Yes"),VLOOKUP("AQ-2",'Additional questions'!B:D,3,FALSE)="No")</f>
        <v>0</v>
      </c>
      <c r="C7" t="b">
        <v>1</v>
      </c>
      <c r="D7" t="b">
        <f>NOT(ISERROR(VLOOKUP(A7,'Charging Station Testcases'!E:E,1,FALSE)=A7))</f>
        <v>0</v>
      </c>
      <c r="F7" t="s">
        <v>163</v>
      </c>
      <c r="G7" s="6" t="str">
        <f>VLOOKUP(F7,'Additional questions'!B:D,3,FALSE)</f>
        <v>No</v>
      </c>
    </row>
    <row r="8" spans="1:9" x14ac:dyDescent="0.25">
      <c r="A8" t="s">
        <v>244</v>
      </c>
      <c r="B8" s="6" t="b">
        <f>OR(VLOOKUP("C-30",'Optional features'!B:D,3,FALSE)="Yes",VLOOKUP("C-31",'Optional features'!B:D,3,FALSE)="Yes",VLOOKUP("C-32",'Optional features'!B:D,3,FALSE)="Yes")</f>
        <v>0</v>
      </c>
      <c r="C8" t="b">
        <v>1</v>
      </c>
      <c r="D8" t="b">
        <f>NOT(ISERROR(VLOOKUP(A8,'Charging Station Testcases'!E:E,1,FALSE)=A8))</f>
        <v>0</v>
      </c>
      <c r="F8" t="s">
        <v>877</v>
      </c>
      <c r="G8" s="6" t="str">
        <f>VLOOKUP(F8,'Optional features'!B:D,3,FALSE)</f>
        <v>&lt;will be filled in by testlab&gt;</v>
      </c>
    </row>
    <row r="9" spans="1:9" x14ac:dyDescent="0.25">
      <c r="A9" t="s">
        <v>245</v>
      </c>
      <c r="B9" s="6" t="b">
        <f>AND(OR(VLOOKUP("C-30",'Optional features'!B:D,3,FALSE)="Yes",VLOOKUP("C-31",'Optional features'!B:D,3,FALSE)="Yes",VLOOKUP("C-32",'Optional features'!B:D,3,FALSE)="Yes",VLOOKUP("C-35",'Optional features'!B:D,3,FALSE)="Yes"),VLOOKUP("AQ-2",'Additional questions'!B:D,3,FALSE)="Yes")</f>
        <v>0</v>
      </c>
      <c r="C9" t="b">
        <v>1</v>
      </c>
      <c r="D9" t="b">
        <f>NOT(ISERROR(VLOOKUP(A9,'Charging Station Testcases'!E:E,1,FALSE)=A9))</f>
        <v>0</v>
      </c>
      <c r="F9" t="s">
        <v>878</v>
      </c>
      <c r="G9" s="6" t="str">
        <f>VLOOKUP(F9,'Optional features'!B:D,3,FALSE)</f>
        <v>&lt;will be filled in by testlab&gt;</v>
      </c>
    </row>
    <row r="10" spans="1:9" x14ac:dyDescent="0.25">
      <c r="A10" t="s">
        <v>246</v>
      </c>
      <c r="B10" s="6" t="b">
        <f>AND(OR(VLOOKUP("C-30",'Optional features'!B:D,3,FALSE)="Yes",VLOOKUP("C-31",'Optional features'!B:D,3,FALSE)="Yes",VLOOKUP("C-32",'Optional features'!B:D,3,FALSE)="Yes"),VLOOKUP("AQ-2",'Additional questions'!B:D,3,FALSE)="No")</f>
        <v>0</v>
      </c>
      <c r="C10" t="b">
        <v>1</v>
      </c>
      <c r="D10" t="b">
        <f>NOT(ISERROR(VLOOKUP(A10,'Charging Station Testcases'!E:E,1,FALSE)=A10))</f>
        <v>1</v>
      </c>
      <c r="F10" t="s">
        <v>879</v>
      </c>
      <c r="G10" s="6" t="str">
        <f>VLOOKUP(F10,'Optional features'!B:D,3,FALSE)</f>
        <v>&lt;will be filled in by testlab&gt;</v>
      </c>
    </row>
    <row r="11" spans="1:9" x14ac:dyDescent="0.25">
      <c r="A11" t="s">
        <v>247</v>
      </c>
      <c r="B11" s="6" t="b">
        <f>OR(VLOOKUP("C-30",'Optional features'!B:D,3,FALSE)="Yes",VLOOKUP("C-31",'Optional features'!B:D,3,FALSE)="Yes",VLOOKUP("C-32",'Optional features'!B:D,3,FALSE)="Yes",AND(VLOOKUP("C-48.1",'Optional features'!B:D,3,FALSE)="Yes",OR(VLOOKUP("C-36",'Optional features'!B:D,3,FALSE)="Yes",VLOOKUP("C-37",'Optional features'!B:D,3,FALSE)="Yes")))</f>
        <v>0</v>
      </c>
      <c r="C11" t="b">
        <v>1</v>
      </c>
      <c r="D11" t="b">
        <f>NOT(ISERROR(VLOOKUP(A11,'Charging Station Testcases'!E:E,1,FALSE)=A11))</f>
        <v>0</v>
      </c>
      <c r="F11" t="s">
        <v>880</v>
      </c>
      <c r="G11" s="6" t="str">
        <f>VLOOKUP(F11,'Optional features'!B:D,3,FALSE)</f>
        <v>&lt;will be filled in by testlab&gt;</v>
      </c>
    </row>
    <row r="12" spans="1:9" x14ac:dyDescent="0.25">
      <c r="A12" t="s">
        <v>248</v>
      </c>
      <c r="B12" s="6" t="b">
        <f>AND(VLOOKUP("C-49",'Optional features'!B:D,3,FALSE)="Yes",OR(VLOOKUP("C-07",'Optional features'!B:D,3,FALSE)="Yes",VLOOKUP("C-08",'Optional features'!B:D,3,FALSE)="Yes"))</f>
        <v>0</v>
      </c>
      <c r="C12" t="b">
        <v>1</v>
      </c>
      <c r="D12" t="b">
        <f>NOT(ISERROR(VLOOKUP(A12,'Charging Station Testcases'!E:E,1,FALSE)=A12))</f>
        <v>0</v>
      </c>
      <c r="F12" t="s">
        <v>881</v>
      </c>
      <c r="G12" s="6" t="str">
        <f>VLOOKUP(F12,'Optional features'!B:D,3,FALSE)</f>
        <v>&lt;will be filled in by testlab&gt;</v>
      </c>
    </row>
    <row r="13" spans="1:9" x14ac:dyDescent="0.25">
      <c r="A13" t="s">
        <v>249</v>
      </c>
      <c r="B13" s="6" t="b">
        <f>AND(VLOOKUP("C-49",'Optional features'!B:D,3,FALSE)="Yes",VLOOKUP("C-03",'Optional features'!B:D,3,FALSE)="Yes")</f>
        <v>0</v>
      </c>
      <c r="C13" t="b">
        <v>1</v>
      </c>
      <c r="D13" t="b">
        <f>NOT(ISERROR(VLOOKUP(A13,'Charging Station Testcases'!E:E,1,FALSE)=A13))</f>
        <v>0</v>
      </c>
      <c r="F13" t="s">
        <v>80</v>
      </c>
      <c r="G13" s="6" t="str">
        <f>VLOOKUP(F13,'Optional features'!B:D,3,FALSE)</f>
        <v>No</v>
      </c>
    </row>
    <row r="14" spans="1:9" x14ac:dyDescent="0.25">
      <c r="A14" t="s">
        <v>250</v>
      </c>
      <c r="B14"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selection'!B:C,2,FALSE)="Yes"),VLOOKUP("AQ-2",'Additional questions'!B:D,3,FALSE)="No")</f>
        <v>0</v>
      </c>
      <c r="C14" t="b">
        <v>1</v>
      </c>
      <c r="D14" t="b">
        <f>NOT(ISERROR(VLOOKUP(A14,'Charging Station Testcases'!E:E,1,FALSE)=A14))</f>
        <v>0</v>
      </c>
      <c r="F14" t="s">
        <v>81</v>
      </c>
      <c r="G14" s="6" t="str">
        <f>VLOOKUP(F14,'Optional features'!B:D,3,FALSE)</f>
        <v>No</v>
      </c>
    </row>
    <row r="15" spans="1:9" x14ac:dyDescent="0.25">
      <c r="A15" t="s">
        <v>251</v>
      </c>
      <c r="B15" s="6" t="b">
        <f>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15" t="b">
        <v>1</v>
      </c>
      <c r="D15" t="b">
        <f>NOT(ISERROR(VLOOKUP(A15,'Charging Station Testcases'!E:E,1,FALSE)=A15))</f>
        <v>0</v>
      </c>
      <c r="F15" t="s">
        <v>1214</v>
      </c>
      <c r="G15" s="6" t="str">
        <f>VLOOKUP(F15,'Optional features'!B:D,3,FALSE)</f>
        <v>No</v>
      </c>
    </row>
    <row r="16" spans="1:9" x14ac:dyDescent="0.25">
      <c r="A16" t="s">
        <v>1785</v>
      </c>
      <c r="B16" s="6" t="b">
        <f>AND(AND(VLOOKUP("C-09.1",'Optional features'!B:D,3,FALSE)="Yes",OR(VLOOKUP("C-51",'Optional features'!B:D,3,FALSE)="Yes",NOT(VLOOKUP("C-09.6",'Optional features'!B:D,3,FALSE)="Yes"))),VLOOKUP("AQ-2",'Additional questions'!B:D,3,FALSE)="No")</f>
        <v>0</v>
      </c>
      <c r="C16" t="b">
        <v>1</v>
      </c>
      <c r="D16" t="b">
        <f>NOT(ISERROR(VLOOKUP(A16,'Charging Station Testcases'!E:E,1,FALSE)=A16))</f>
        <v>1</v>
      </c>
      <c r="F16" t="s">
        <v>1282</v>
      </c>
      <c r="G16" s="6" t="str">
        <f>VLOOKUP(F16,'Optional features'!B:D,3,FALSE)</f>
        <v>No</v>
      </c>
    </row>
    <row r="17" spans="1:8" x14ac:dyDescent="0.25">
      <c r="A17" t="s">
        <v>252</v>
      </c>
      <c r="B17"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selection'!B:C,2,FALSE)="Yes"),VLOOKUP("C-09.2",'Optional features'!B:D,3,FALSE)="Yes")</f>
        <v>0</v>
      </c>
      <c r="C17" t="b">
        <v>1</v>
      </c>
      <c r="D17" t="b">
        <f>NOT(ISERROR(VLOOKUP(A17,'Charging Station Testcases'!E:E,1,FALSE)=A17))</f>
        <v>0</v>
      </c>
      <c r="F17" t="s">
        <v>1284</v>
      </c>
      <c r="G17" s="6" t="str">
        <f>VLOOKUP(F17,'Optional features'!B:D,3,FALSE)</f>
        <v>No</v>
      </c>
    </row>
    <row r="18" spans="1:8" x14ac:dyDescent="0.25">
      <c r="A18" t="s">
        <v>253</v>
      </c>
      <c r="B18" s="6" t="b">
        <f>AND(VLOOKUP("C-09.3",'Optional features'!B:D,3,FALSE)="Yes",OR(VLOOKUP("C-51",'Optional features'!B:D,3,FALSE)="Yes",NOT(OR(VLOOKUP("C-09.1",'Optional features'!B:D,3,FALSE)="Yes",VLOOKUP("C-09.2",'Optional features'!B:D,3,FALSE)="Yes",VLOOKUP("C-09.6",'Optional features'!B:D,3,FALSE)="Yes"))))</f>
        <v>0</v>
      </c>
      <c r="C18" t="b">
        <v>1</v>
      </c>
      <c r="D18" t="b">
        <f>NOT(ISERROR(VLOOKUP(A18,'Charging Station Testcases'!E:E,1,FALSE)=A18))</f>
        <v>1</v>
      </c>
      <c r="F18" t="s">
        <v>1279</v>
      </c>
      <c r="G18" s="6" t="str">
        <f>VLOOKUP(F18,'Additional questions'!B:D,3,FALSE)</f>
        <v>No</v>
      </c>
    </row>
    <row r="19" spans="1:8" x14ac:dyDescent="0.25">
      <c r="A19" t="s">
        <v>254</v>
      </c>
      <c r="B19" s="6" t="b">
        <f>AND(VLOOKUP("C-09.4",'Optional features'!B:D,3,FALSE)="Yes",OR(VLOOKUP("C-51",'Optional features'!B:D,3,FALSE)="Yes",NOT(OR(VLOOKUP("C-09.1",'Optional features'!B:D,3,FALSE)="Yes",VLOOKUP("C-09.2",'Optional features'!B:D,3,FALSE)="Yes",VLOOKUP("C-09.3",'Optional features'!B:D,3,FALSE)="Yes",VLOOKUP("C-09.6",'Optional features'!B:D,3,FALSE)="Yes"))))</f>
        <v>1</v>
      </c>
      <c r="C19" t="b">
        <v>1</v>
      </c>
      <c r="D19" t="b">
        <f>NOT(ISERROR(VLOOKUP(A19,'Charging Station Testcases'!E:E,1,FALSE)=A19))</f>
        <v>1</v>
      </c>
    </row>
    <row r="20" spans="1:8" x14ac:dyDescent="0.25">
      <c r="A20" t="s">
        <v>255</v>
      </c>
      <c r="B20" s="6" t="b">
        <f>AND(VLOOKUP("C-09.5",'Optional features'!B:D,3,FALSE)="Yes",OR(VLOOKUP("C-51",'Optional features'!B:D,3,FALSE)="Yes",NOT(OR(VLOOKUP("C-09.1",'Optional features'!B:D,3,FALSE)="Yes",VLOOKUP("C-09.2",'Optional features'!B:D,3,FALSE)="Yes",VLOOKUP("C-09.3",'Optional features'!B:D,3,FALSE)="Yes",VLOOKUP("C-09.4",'Optional features'!B:D,3,FALSE)="Yes",VLOOKUP("C-09.6",'Optional features'!B:D,3,FALSE)="Yes"))))</f>
        <v>0</v>
      </c>
      <c r="C20" t="b">
        <v>1</v>
      </c>
      <c r="D20" t="b">
        <f>NOT(ISERROR(VLOOKUP(A20,'Charging Station Testcases'!E:E,1,FALSE)=A20))</f>
        <v>1</v>
      </c>
    </row>
    <row r="21" spans="1:8" x14ac:dyDescent="0.25">
      <c r="A21" t="s">
        <v>256</v>
      </c>
      <c r="B21" s="6" t="b">
        <f>AND(VLOOKUP("HFS-1",'Hardware Feature set'!B:D,3,FALSE)="Yes",VLOOKUP("C-10.1",'Optional features'!B:D,3,FALSE)="Yes",OR(VLOOKUP("C-52",'Optional features'!B:D,3,FALSE)="Yes",NOT(OR(VLOOKUP("C-10.2",'Optional features'!B:D,3,FALSE)="Yes",VLOOKUP("C-10.3",'Optional features'!B:D,3,FALSE)="Yes",VLOOKUP("C-10.4",'Optional features'!B:D,3,FALSE)="Yes"))))</f>
        <v>0</v>
      </c>
      <c r="C21" t="b">
        <v>1</v>
      </c>
      <c r="D21" t="b">
        <f>NOT(ISERROR(VLOOKUP(A21,'Charging Station Testcases'!E:E,1,FALSE)=A21))</f>
        <v>1</v>
      </c>
    </row>
    <row r="22" spans="1:8" x14ac:dyDescent="0.25">
      <c r="A22" t="s">
        <v>257</v>
      </c>
      <c r="B22" s="6" t="b">
        <f>AND(VLOOKUP("C-10.1",'Optional features'!B:D,3,FALSE)="Yes",OR(VLOOKUP("C-52",'Optional features'!B:D,3,FALSE)="Yes",NOT(OR(VLOOKUP("C-10.3",'Optional features'!B:D,3,FALSE)="Yes",VLOOKUP("C-10.4",'Optional features'!B:D,3,FALSE)="Yes"))))</f>
        <v>1</v>
      </c>
      <c r="C22" t="b">
        <v>1</v>
      </c>
      <c r="D22" t="b">
        <f>NOT(ISERROR(VLOOKUP(A22,'Charging Station Testcases'!E:E,1,FALSE)=A22))</f>
        <v>0</v>
      </c>
    </row>
    <row r="23" spans="1:8" x14ac:dyDescent="0.25">
      <c r="A23" t="s">
        <v>258</v>
      </c>
      <c r="B23" s="6" t="b">
        <f>AND(VLOOKUP("C-10.2",'Optional features'!B:D,3,FALSE)="Yes",OR(VLOOKUP("C-30",'Optional features'!B:D,3,FALSE)="Yes",VLOOKUP("C-31",'Optional features'!B:D,3,FALSE)="Yes",VLOOKUP("C-32",'Optional features'!B:D,3,FALSE)="Yes",VLOOKUP("C-35",'Optional features'!B:D,3,FALSE)="Yes"))</f>
        <v>0</v>
      </c>
      <c r="C23" t="b">
        <v>1</v>
      </c>
      <c r="D23" t="b">
        <f>NOT(ISERROR(VLOOKUP(A23,'Charging Station Testcases'!E:E,1,FALSE)=A23))</f>
        <v>0</v>
      </c>
    </row>
    <row r="24" spans="1:8" x14ac:dyDescent="0.25">
      <c r="A24" t="s">
        <v>259</v>
      </c>
      <c r="B24" s="6" t="b">
        <f>AND(OR(VLOOKUP("C-10.2",'Optional features'!B:D,3,FALSE)="Yes",VLOOKUP("C-10.3",'Optional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selection'!B:C,2,FALSE)="Yes"),VLOOKUP("C-01",'Optional features'!B:D,3,FALSE)="Yes")</f>
        <v>0</v>
      </c>
      <c r="C24" t="b">
        <v>1</v>
      </c>
      <c r="D24" t="b">
        <f>NOT(ISERROR(VLOOKUP(A24,'Charging Station Testcases'!E:E,1,FALSE)=A24))</f>
        <v>0</v>
      </c>
      <c r="F24" t="s">
        <v>1113</v>
      </c>
      <c r="G24" s="197" cm="1">
        <f t="array" ref="G24">CalculateConfigID(H24)</f>
        <v>1574180167</v>
      </c>
      <c r="H24" t="str">
        <f>_xlfn.CONCAT(G25:G145)</f>
        <v>YesNoNoNoNoNoNoNoNoNoNoNoYesYesNoNoNoNoYesNoNoYesYesNoNoNoYesYesNoNoYesNo&lt;listofvalues,atleastHeartbeat&gt;NoNoNoNoNoNoNoNoNoNoNoNoNoYesNoNoNo{,list,of,cipher,suites,},-&gt;,at,least,one,of,TLS_ECDHE_ECDSA_WITH_AES_128_GCM_SHA256,TLS_ECDHE_ECDSA_WITH_AES_256_GCM_SHA384,OR,TLS_RSA_WITH_AES_128_GCM_SHA256,TLS_RSA_WITH_AES_256_GCM_SHA384NoNoNoNoYesNoNoNoNoNoNoNoNoNoNoNoNoNoNoNoNoNoNoNoNoNoNoNoNoNoNoNoNoNoNoNoNoNoNoNoNoNoNoNoNoNoNoNoNoNoNoNoNoNoNoNoNoNoNoNoYesYesYesYesYesYesYesYesYesYes</v>
      </c>
    </row>
    <row r="25" spans="1:8" x14ac:dyDescent="0.25">
      <c r="A25" t="s">
        <v>260</v>
      </c>
      <c r="B25" s="6" t="b">
        <f>AND(OR(VLOOKUP("C-10.2",'Optional features'!B:D,3,FALSE)="Yes",VLOOKUP("C-10.3",'Optional features'!B:D,3,FALSE)="Yes"
),VLOOKUP("C-06.2",'Optional features'!B:D,3,FALSE)="Yes")</f>
        <v>1</v>
      </c>
      <c r="C25" t="b">
        <v>1</v>
      </c>
      <c r="D25" t="b">
        <f>NOT(ISERROR(VLOOKUP(A25,'Charging Station Testcases'!E:E,1,FALSE)=A25))</f>
        <v>0</v>
      </c>
      <c r="F25" t="s">
        <v>136</v>
      </c>
      <c r="G25" s="6" t="s">
        <v>16</v>
      </c>
    </row>
    <row r="26" spans="1:8" x14ac:dyDescent="0.25">
      <c r="A26" t="s">
        <v>261</v>
      </c>
      <c r="B26" s="6" t="b">
        <f>AND(VLOOKUP("C-10.3",'Optional features'!B:D,3,FALSE)="Yes",OR(VLOOKUP("C-52",'Optional features'!B:D,3,FALSE)="Yes",NOT(VLOOKUP("C-10.2",'Optional features'!B:D,3,FALSE)="Yes")),OR(VLOOKUP("C-30",'Optional features'!B:D,3,FALSE)="Yes",VLOOKUP("C-31",'Optional features'!B:D,3,FALSE)="Yes",VLOOKUP("C-32",'Optional features'!B:D,3,FALSE)="Yes",VLOOKUP("C-35",'Optional features'!B:D,3,FALSE)="Yes"))</f>
        <v>0</v>
      </c>
      <c r="C26" t="b">
        <v>1</v>
      </c>
      <c r="D26" t="b">
        <f>NOT(ISERROR(VLOOKUP(A26,'Charging Station Testcases'!E:E,1,FALSE)=A26))</f>
        <v>0</v>
      </c>
      <c r="F26" t="s">
        <v>138</v>
      </c>
      <c r="G26" s="6" t="str">
        <f>VLOOKUP(F26,'Profile selection'!B:C,2,FALSE)</f>
        <v>No</v>
      </c>
    </row>
    <row r="27" spans="1:8" x14ac:dyDescent="0.25">
      <c r="A27" t="s">
        <v>262</v>
      </c>
      <c r="B27" s="6" t="b">
        <f>AND(VLOOKUP("C-10.3",'Optional features'!B:D,3,FALSE)="Yes",OR(VLOOKUP("C-52",'Optional features'!B:D,3,FALSE)="Yes",NOT(VLOOKUP("C-10.2",'Optional features'!B:D,3,FALSE)="Yes")))</f>
        <v>0</v>
      </c>
      <c r="C27" t="b">
        <v>1</v>
      </c>
      <c r="D27" t="b">
        <f>NOT(ISERROR(VLOOKUP(A27,'Charging Station Testcases'!E:E,1,FALSE)=A27))</f>
        <v>1</v>
      </c>
      <c r="F27" t="s">
        <v>1740</v>
      </c>
      <c r="G27" s="6" t="str">
        <f>VLOOKUP(F27,'Optional features'!B:D,3,FALSE)</f>
        <v>No</v>
      </c>
    </row>
    <row r="28" spans="1:8" x14ac:dyDescent="0.25">
      <c r="A28" t="s">
        <v>263</v>
      </c>
      <c r="B28" s="6" t="b">
        <f>AND(VLOOKUP("C-10.3",'Optional features'!B:D,3,FALSE)="Yes",OR(VLOOKUP("C-52",'Optional features'!B:D,3,FALSE)="Yes",NOT(OR(VLOOKUP("C-10.1",'Optional features'!B:D,3,FALSE)="Yes",VLOOKUP("C-10.4",'Optional features'!B:D,3,FALSE)="Yes"))))</f>
        <v>0</v>
      </c>
      <c r="C28" t="b">
        <v>1</v>
      </c>
      <c r="D28" t="b">
        <f>NOT(ISERROR(VLOOKUP(A28,'Charging Station Testcases'!E:E,1,FALSE)=A28))</f>
        <v>0</v>
      </c>
      <c r="F28" t="s">
        <v>141</v>
      </c>
      <c r="G28" s="6" t="str">
        <f>VLOOKUP(F28,'Profile selection'!B:C,2,FALSE)</f>
        <v>No</v>
      </c>
    </row>
    <row r="29" spans="1:8" x14ac:dyDescent="0.25">
      <c r="A29" t="s">
        <v>264</v>
      </c>
      <c r="B29" s="6" t="b">
        <f>AND(VLOOKUP("C-10.4",'Optional features'!B:D,3,FALSE)="Yes",OR(VLOOKUP("C-52",'Optional features'!B:D,3,FALSE)="Yes",NOT(OR(VLOOKUP("C-10.2",'Optional features'!B:D,3,FALSE)="Yes",VLOOKUP("C-10.3",'Optional features'!B:D,3,FALSE)="Yes"))))</f>
        <v>0</v>
      </c>
      <c r="C29" t="b">
        <v>1</v>
      </c>
      <c r="D29" t="b">
        <f>NOT(ISERROR(VLOOKUP(A29,'Charging Station Testcases'!E:E,1,FALSE)=A29))</f>
        <v>1</v>
      </c>
      <c r="F29" t="s">
        <v>1738</v>
      </c>
      <c r="G29" s="6" t="str">
        <f>VLOOKUP(F29,'Optional features'!B:D,3,FALSE)</f>
        <v>No</v>
      </c>
    </row>
    <row r="30" spans="1:8" x14ac:dyDescent="0.25">
      <c r="A30" t="s">
        <v>265</v>
      </c>
      <c r="B30" s="6" t="b">
        <f>AND(VLOOKUP("C-10.5",'Optional features'!B:D,3,FALSE)="Yes",OR(VLOOKUP("C-52",'Optional features'!B:D,3,FALSE)="Yes",NOT(OR(VLOOKUP("C-10.1",'Optional features'!B:D,3,FALSE)="Yes",VLOOKUP("C-10.2",'Optional features'!B:D,3,FALSE)="Yes",VLOOKUP("C-10.3",'Optional features'!B:D,3,FALSE)="Yes",VLOOKUP("C-10.4",'Optional features'!B:D,3,FALSE)="Yes"))))</f>
        <v>0</v>
      </c>
      <c r="C30" t="b">
        <v>1</v>
      </c>
      <c r="D30" t="b">
        <f>NOT(ISERROR(VLOOKUP(A30,'Charging Station Testcases'!E:E,1,FALSE)=A30))</f>
        <v>1</v>
      </c>
      <c r="F30" t="s">
        <v>1735</v>
      </c>
      <c r="G30" s="6" t="str">
        <f>VLOOKUP(F30,'Optional features'!B:D,3,FALSE)</f>
        <v>No</v>
      </c>
    </row>
    <row r="31" spans="1:8" x14ac:dyDescent="0.25">
      <c r="A31" t="s">
        <v>266</v>
      </c>
      <c r="B31" s="6" t="b">
        <f>OR(VLOOKUP("C-30",'Optional features'!B:D,3,FALSE)="Yes",VLOOKUP("C-31",'Optional features'!B:D,3,FALSE)="Yes",VLOOKUP("C-32",'Optional features'!B:D,3,FALSE)="Yes",VLOOKUP("C-35",'Optional features'!B:D,3,FALSE)="Yes")</f>
        <v>0</v>
      </c>
      <c r="C31" t="b">
        <v>1</v>
      </c>
      <c r="D31" t="b">
        <f>NOT(ISERROR(VLOOKUP(A31,'Charging Station Testcases'!E:E,1,FALSE)=A31))</f>
        <v>0</v>
      </c>
      <c r="F31" t="s">
        <v>1742</v>
      </c>
      <c r="G31" s="6" t="str">
        <f>VLOOKUP(F31,'Optional features'!B:D,3,FALSE)</f>
        <v>No</v>
      </c>
    </row>
    <row r="32" spans="1:8" x14ac:dyDescent="0.25">
      <c r="A32" t="s">
        <v>267</v>
      </c>
      <c r="B32" s="6" t="b">
        <f>AND(VLOOKUP("HFS-1",'Hardware Feature set'!B:D,3,FALSE)="Yes",VLOOKUP("C-06.2",'Optional features'!B:D,3,FALSE)="Yes",VLOOKUP("C-12.1",'Optional features'!B:D,3,FALSE)="Yes")</f>
        <v>0</v>
      </c>
      <c r="C32" t="b">
        <v>1</v>
      </c>
      <c r="D32" t="b">
        <f>NOT(ISERROR(VLOOKUP(A32,'Charging Station Testcases'!E:E,1,FALSE)=A32))</f>
        <v>0</v>
      </c>
      <c r="F32" t="s">
        <v>146</v>
      </c>
      <c r="G32" s="6" t="str">
        <f>VLOOKUP(F32,'Profile selection'!B:C,2,FALSE)</f>
        <v>No</v>
      </c>
    </row>
    <row r="33" spans="1:7" x14ac:dyDescent="0.25">
      <c r="A33" t="s">
        <v>268</v>
      </c>
      <c r="B33" s="6" t="b">
        <f>AND(VLOOKUP("C-06.2",'Optional features'!B:D,3,FALSE)="Yes",VLOOKUP("C-12.2",'Optional features'!B:D,3,FALSE)="Yes")</f>
        <v>1</v>
      </c>
      <c r="C33" t="b">
        <v>1</v>
      </c>
      <c r="D33" t="b">
        <f>NOT(ISERROR(VLOOKUP(A33,'Charging Station Testcases'!E:E,1,FALSE)=A33))</f>
        <v>0</v>
      </c>
      <c r="F33" t="s">
        <v>40</v>
      </c>
      <c r="G33" s="6" t="str">
        <f>VLOOKUP(F33,'Optional features'!B:D,3,FALSE)</f>
        <v>No</v>
      </c>
    </row>
    <row r="34" spans="1:7" x14ac:dyDescent="0.25">
      <c r="A34" t="s">
        <v>269</v>
      </c>
      <c r="B34"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f>
        <v>0</v>
      </c>
      <c r="C34" t="b">
        <v>1</v>
      </c>
      <c r="D34" t="b">
        <f>NOT(ISERROR(VLOOKUP(A34,'Charging Station Testcases'!E:E,1,FALSE)=A34))</f>
        <v>0</v>
      </c>
      <c r="F34" t="s">
        <v>41</v>
      </c>
      <c r="G34" s="6" t="str">
        <f>VLOOKUP(F34,'Optional features'!B:D,3,FALSE)</f>
        <v>No</v>
      </c>
    </row>
    <row r="35" spans="1:7" x14ac:dyDescent="0.25">
      <c r="A35" t="s">
        <v>270</v>
      </c>
      <c r="B35"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features'!B:D,3,FALSE)="Yes",VLOOKUP("HFS-2",'Hardware Feature set'!B:D,3,FALSE)="Yes")</f>
        <v>0</v>
      </c>
      <c r="C35" t="b">
        <v>1</v>
      </c>
      <c r="D35" t="b">
        <f>NOT(ISERROR(VLOOKUP(A35,'Charging Station Testcases'!E:E,1,FALSE)=A35))</f>
        <v>0</v>
      </c>
      <c r="F35" t="s">
        <v>42</v>
      </c>
      <c r="G35" s="6" t="str">
        <f>VLOOKUP(F35,'Optional features'!B:D,3,FALSE)</f>
        <v>No</v>
      </c>
    </row>
    <row r="36" spans="1:7" x14ac:dyDescent="0.25">
      <c r="A36" t="s">
        <v>271</v>
      </c>
      <c r="B36" s="6" t="b">
        <f>AND(VLOOKUP("C-01",'Optional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36" t="b">
        <v>1</v>
      </c>
      <c r="D36" t="b">
        <f>NOT(ISERROR(VLOOKUP(A36,'Charging Station Testcases'!E:E,1,FALSE)=A36))</f>
        <v>0</v>
      </c>
      <c r="F36" t="s">
        <v>44</v>
      </c>
      <c r="G36" s="6" t="str">
        <f>VLOOKUP(F36,'Optional features'!B:D,3,FALSE)</f>
        <v>No</v>
      </c>
    </row>
    <row r="37" spans="1:7" x14ac:dyDescent="0.25">
      <c r="A37" t="s">
        <v>272</v>
      </c>
      <c r="B37" s="6" t="b">
        <f>AND(VLOOKUP("AQ-2",'Additional questions'!B:D,3,FALSE)="Yes",OR(VLOOKUP("C-30",'Optional features'!B:D,3,FALSE)="Yes",VLOOKUP("C-36",'Optional features'!B:D,3,FALSE)="Yes",VLOOKUP("C-37",'Optional features'!B:D,3,FALSE)="Yes",VLOOKUP("C-38",'Optional features'!B:D,3,FALSE)="Yes",VLOOKUP("C-39",'Optional features'!B:D,3,FALSE)="Yes"))</f>
        <v>0</v>
      </c>
      <c r="C37" t="b">
        <v>1</v>
      </c>
      <c r="D37" t="b">
        <f>NOT(ISERROR(VLOOKUP(A37,'Charging Station Testcases'!E:E,1,FALSE)=A37))</f>
        <v>0</v>
      </c>
      <c r="F37" t="s">
        <v>45</v>
      </c>
      <c r="G37" s="6" t="str">
        <f>VLOOKUP(F37,'Optional features'!B:D,3,FALSE)</f>
        <v>Yes</v>
      </c>
    </row>
    <row r="38" spans="1:7" x14ac:dyDescent="0.25">
      <c r="A38" t="s">
        <v>273</v>
      </c>
      <c r="B38" s="6" t="b">
        <f>AND(VLOOKUP("C-48.1",'Optional features'!B:D,3,FALSE)="Yes",OR(VLOOKUP("C-30",'Optional features'!B:D,3,FALSE)="Yes",VLOOKUP("C-36",'Optional features'!B:D,3,FALSE)="Yes",VLOOKUP("C-37",'Optional features'!B:D,3,FALSE)="Yes",VLOOKUP("C-38",'Optional features'!B:D,3,FALSE)="Yes",VLOOKUP("C-39",'Optional features'!B:D,3,FALSE)="Yes"))</f>
        <v>0</v>
      </c>
      <c r="C38" t="b">
        <v>1</v>
      </c>
      <c r="D38" t="b">
        <f>NOT(ISERROR(VLOOKUP(A38,'Charging Station Testcases'!E:E,1,FALSE)=A38))</f>
        <v>0</v>
      </c>
      <c r="F38" t="s">
        <v>46</v>
      </c>
      <c r="G38" s="6" t="str">
        <f>VLOOKUP(F38,'Optional features'!B:D,3,FALSE)</f>
        <v>Yes</v>
      </c>
    </row>
    <row r="39" spans="1:7" x14ac:dyDescent="0.25">
      <c r="A39" t="s">
        <v>274</v>
      </c>
      <c r="B39" s="6" t="b">
        <f>AND(VLOOKUP("C-48.2",'Optional features'!B:D,3,FALSE)="Yes",OR(VLOOKUP("C-30",'Optional features'!B:D,3,FALSE)="Yes",VLOOKUP("C-36",'Optional features'!B:D,3,FALSE)="Yes",VLOOKUP("C-37",'Optional features'!B:D,3,FALSE)="Yes",VLOOKUP("C-38",'Optional features'!B:D,3,FALSE)="Yes",VLOOKUP("C-39",'Optional features'!B:D,3,FALSE)="Yes"))</f>
        <v>1</v>
      </c>
      <c r="C39" t="b">
        <v>1</v>
      </c>
      <c r="D39" t="b">
        <f>NOT(ISERROR(VLOOKUP(A39,'Charging Station Testcases'!E:E,1,FALSE)=A39))</f>
        <v>0</v>
      </c>
      <c r="F39" t="s">
        <v>47</v>
      </c>
      <c r="G39" s="6" t="str">
        <f>VLOOKUP(F39,'Optional features'!B:D,3,FALSE)</f>
        <v>No</v>
      </c>
    </row>
    <row r="40" spans="1:7" x14ac:dyDescent="0.25">
      <c r="A40" t="s">
        <v>866</v>
      </c>
      <c r="B40" s="6" t="b">
        <f>VLOOKUP("HFS-1",'Hardware Feature set'!B:D,3,FALSE)="Yes"</f>
        <v>0</v>
      </c>
      <c r="C40" t="b">
        <v>0</v>
      </c>
      <c r="D40" t="b">
        <f>NOT(ISERROR(VLOOKUP(A40,'Charging Station Testcases'!E:E,1,FALSE)=A40))</f>
        <v>0</v>
      </c>
      <c r="F40" t="s">
        <v>49</v>
      </c>
      <c r="G40" s="6" t="str">
        <f>VLOOKUP(F40,'Optional features'!B:D,3,FALSE)</f>
        <v>No</v>
      </c>
    </row>
    <row r="41" spans="1:7" x14ac:dyDescent="0.25">
      <c r="A41" t="s">
        <v>276</v>
      </c>
      <c r="B41" s="6" t="e">
        <f>VLOOKUP("ISO-3",'Optional features'!B:D,3,FALSE)="No"</f>
        <v>#N/A</v>
      </c>
      <c r="C41" t="b">
        <v>1</v>
      </c>
      <c r="D41" t="b">
        <f>NOT(ISERROR(VLOOKUP(A41,'Charging Station Testcases'!E:E,1,FALSE)=A41))</f>
        <v>0</v>
      </c>
      <c r="F41" t="s">
        <v>50</v>
      </c>
      <c r="G41" s="6" t="str">
        <f>VLOOKUP(F41,'Optional features'!B:D,3,FALSE)</f>
        <v>No</v>
      </c>
    </row>
    <row r="42" spans="1:7" x14ac:dyDescent="0.25">
      <c r="A42" t="s">
        <v>277</v>
      </c>
      <c r="B42" s="6" t="b">
        <f>VLOOKUP("Smart Charging",'Profile selection'!B:C,2,FALSE)="No"</f>
        <v>1</v>
      </c>
      <c r="C42" t="b">
        <v>1</v>
      </c>
      <c r="D42" t="b">
        <f>NOT(ISERROR(VLOOKUP(A42,'Charging Station Testcases'!E:E,1,FALSE)=A42))</f>
        <v>1</v>
      </c>
      <c r="F42" t="s">
        <v>51</v>
      </c>
      <c r="G42" s="6" t="str">
        <f>VLOOKUP(F42,'Optional features'!B:D,3,FALSE)</f>
        <v>No</v>
      </c>
    </row>
    <row r="43" spans="1:7" x14ac:dyDescent="0.25">
      <c r="A43" t="s">
        <v>278</v>
      </c>
      <c r="B43" s="6" t="b">
        <f>AND(VLOOKUP("C-20",'Optional features'!B:D,3,FALSE)="Yes",VLOOKUP("C-43",'Optional features'!B:D,3,FALSE)="No")</f>
        <v>1</v>
      </c>
      <c r="C43" t="b">
        <v>1</v>
      </c>
      <c r="D43" t="b">
        <f>NOT(ISERROR(VLOOKUP(A43,'Charging Station Testcases'!E:E,1,FALSE)=A43))</f>
        <v>0</v>
      </c>
      <c r="F43" t="s">
        <v>52</v>
      </c>
      <c r="G43" s="6" t="str">
        <f>VLOOKUP(F43,'Optional features'!B:D,3,FALSE)</f>
        <v>Yes</v>
      </c>
    </row>
    <row r="44" spans="1:7" x14ac:dyDescent="0.25">
      <c r="A44" t="s">
        <v>279</v>
      </c>
      <c r="B44" s="6" t="b">
        <f>AND(OR(VLOOKUP("C-30",'Optional features'!B:D,3,FALSE)="Yes",VLOOKUP("C-31",'Optional features'!B:D,3,FALSE)="Yes",VLOOKUP("C-34",'Optional features'!B:D,3,FALSE)="Yes"),OR(VLOOKUP("C-49",'Optional features'!B:D,3,FALSE)="Yes",VLOOKUP("LA-0",'Optional features'!B:D,3,FALSE)="Yes"))</f>
        <v>0</v>
      </c>
      <c r="C44" t="b">
        <v>1</v>
      </c>
      <c r="D44" t="b">
        <f>NOT(ISERROR(VLOOKUP(A44,'Charging Station Testcases'!E:E,1,FALSE)=A44))</f>
        <v>0</v>
      </c>
      <c r="F44" t="s">
        <v>53</v>
      </c>
      <c r="G44" s="6" t="str">
        <f>VLOOKUP(F44,'Optional features'!B:D,3,FALSE)</f>
        <v>No</v>
      </c>
    </row>
    <row r="45" spans="1:7" x14ac:dyDescent="0.25">
      <c r="A45" t="s">
        <v>280</v>
      </c>
      <c r="B45" s="6" t="b">
        <f>AND(OR(VLOOKUP("C-30",'Optional features'!B:D,3,FALSE)="Yes",VLOOKUP("C-31",'Optional features'!B:D,3,FALSE)="Yes",VLOOKUP("C-34",'Optional features'!B:D,3,FALSE)="Yes"),VLOOKUP("C-49",'Optional features'!B:D,3,FALSE)="Yes")</f>
        <v>0</v>
      </c>
      <c r="C45" t="b">
        <v>1</v>
      </c>
      <c r="D45" t="b">
        <f>NOT(ISERROR(VLOOKUP(A45,'Charging Station Testcases'!E:E,1,FALSE)=A45))</f>
        <v>0</v>
      </c>
      <c r="F45" t="s">
        <v>54</v>
      </c>
      <c r="G45" s="6" t="str">
        <f>VLOOKUP(F45,'Optional features'!B:D,3,FALSE)</f>
        <v>No</v>
      </c>
    </row>
    <row r="46" spans="1:7" x14ac:dyDescent="0.25">
      <c r="A46" t="s">
        <v>281</v>
      </c>
      <c r="B46" s="6" t="b">
        <f>NOT(AND(VLOOKUP("UI-1.1",'Optional features'!B:D,3,FALSE)="Yes",VLOOKUP("UI-1.2",'Optional features'!B:D,3,FALSE)="Yes",VLOOKUP("UI-1.3",'Optional features'!B:D,3,FALSE)="Yes"))</f>
        <v>1</v>
      </c>
      <c r="C46" t="b">
        <v>1</v>
      </c>
      <c r="D46" t="b">
        <f>NOT(ISERROR(VLOOKUP(A46,'Charging Station Testcases'!E:E,1,FALSE)=A46))</f>
        <v>0</v>
      </c>
      <c r="F46" t="s">
        <v>56</v>
      </c>
      <c r="G46" s="6" t="str">
        <f>VLOOKUP(F46,'Optional features'!B:D,3,FALSE)</f>
        <v>Yes</v>
      </c>
    </row>
    <row r="47" spans="1:7" x14ac:dyDescent="0.25">
      <c r="A47" t="s">
        <v>282</v>
      </c>
      <c r="B47" s="6" t="b">
        <f>NOT(AND(VLOOKUP("UI-2.1",'Optional features'!B:D,3,FALSE)="Yes",VLOOKUP("UI-2.2",'Optional features'!B:D,3,FALSE)="Yes",VLOOKUP("UI-2.3",'Optional features'!B:D,3,FALSE)="Yes",VLOOKUP("UI-2.4",'Optional features'!B:D,3,FALSE)="Yes"))</f>
        <v>1</v>
      </c>
      <c r="C47" t="b">
        <v>1</v>
      </c>
      <c r="D47" t="b">
        <f>NOT(ISERROR(VLOOKUP(A47,'Charging Station Testcases'!E:E,1,FALSE)=A47))</f>
        <v>0</v>
      </c>
      <c r="F47" t="s">
        <v>57</v>
      </c>
      <c r="G47" s="6" t="str">
        <f>VLOOKUP(F47,'Optional features'!B:D,3,FALSE)</f>
        <v>Yes</v>
      </c>
    </row>
    <row r="48" spans="1:7" x14ac:dyDescent="0.25">
      <c r="A48" t="s">
        <v>283</v>
      </c>
      <c r="B48" s="6" t="b">
        <f>OR(AND(VLOOKUP("UI-1.1",'Optional features'!B:D,3,FALSE)="Yes",VLOOKUP("UI-1.2",'Optional features'!B:D,3,FALSE)="Yes"),AND(VLOOKUP("UI-1.2",'Optional features'!B:D,3,FALSE)="Yes",VLOOKUP("UI-1.3",'Optional features'!B:D,3,FALSE)="Yes"),AND(VLOOKUP("UI-1.3",'Optional features'!B:D,3,FALSE)="Yes",VLOOKUP("UI-1.1",'Optional features'!B:D,3,FALSE)="Yes"))</f>
        <v>0</v>
      </c>
      <c r="C48" t="b">
        <v>1</v>
      </c>
      <c r="D48" t="b">
        <f>NOT(ISERROR(VLOOKUP(A48,'Charging Station Testcases'!E:E,1,FALSE)=A48))</f>
        <v>0</v>
      </c>
      <c r="F48" t="s">
        <v>58</v>
      </c>
      <c r="G48" s="6" t="str">
        <f>VLOOKUP(F48,'Optional features'!B:D,3,FALSE)</f>
        <v>No</v>
      </c>
    </row>
    <row r="49" spans="1:7" x14ac:dyDescent="0.25">
      <c r="A49" t="s">
        <v>284</v>
      </c>
      <c r="B49" s="6" t="b">
        <f>NOT(AND(VLOOKUP("HFS-5",'Hardware Feature set'!B:D,3,FALSE)="Yes",VLOOKUP("HFS-6",'Hardware Feature set'!B:D,3,FALSE)="Yes",VLOOKUP("HFS-7",'Hardware Feature set'!B:D,3,FALSE)="Yes"))</f>
        <v>1</v>
      </c>
      <c r="C49" t="b">
        <v>1</v>
      </c>
      <c r="D49" t="b">
        <f>NOT(ISERROR(VLOOKUP(A49,'Charging Station Testcases'!E:E,1,FALSE)=A49))</f>
        <v>0</v>
      </c>
      <c r="F49" t="s">
        <v>59</v>
      </c>
      <c r="G49" s="6" t="str">
        <f>VLOOKUP(F49,'Optional features'!B:D,3,FALSE)</f>
        <v>No</v>
      </c>
    </row>
    <row r="50" spans="1:7" x14ac:dyDescent="0.25">
      <c r="A50" t="s">
        <v>285</v>
      </c>
      <c r="B50" s="6" t="b">
        <f>NOT(AND(VLOOKUP("SC-2.1",'Optional features'!B:D,3,FALSE)="Yes",VLOOKUP("SC-2.2",'Optional features'!B:D,3,FALSE)="Yes"))</f>
        <v>1</v>
      </c>
      <c r="C50" t="b">
        <v>1</v>
      </c>
      <c r="D50" t="b">
        <f>NOT(ISERROR(VLOOKUP(A50,'Charging Station Testcases'!E:E,1,FALSE)=A50))</f>
        <v>1</v>
      </c>
      <c r="F50" t="s">
        <v>60</v>
      </c>
      <c r="G50" s="6" t="str">
        <f>VLOOKUP(F50,'Optional features'!B:D,3,FALSE)</f>
        <v>No</v>
      </c>
    </row>
    <row r="51" spans="1:7" x14ac:dyDescent="0.25">
      <c r="A51" t="s">
        <v>286</v>
      </c>
      <c r="B51" s="6" t="b">
        <f>VLOOKUP("HFS-8",'Hardware Feature set'!B:D,3,FALSE)&gt;1</f>
        <v>0</v>
      </c>
      <c r="C51" t="b">
        <v>0</v>
      </c>
      <c r="D51" t="b">
        <f>NOT(ISERROR(VLOOKUP(A51,'Charging Station Testcases'!E:E,1,FALSE)=A51))</f>
        <v>1</v>
      </c>
      <c r="F51" t="s">
        <v>62</v>
      </c>
      <c r="G51" s="6" t="str">
        <f>VLOOKUP(F51,'Optional features'!B:D,3,FALSE)</f>
        <v>Yes</v>
      </c>
    </row>
    <row r="52" spans="1:7" x14ac:dyDescent="0.25">
      <c r="A52" t="s">
        <v>287</v>
      </c>
      <c r="B52" s="6" t="b">
        <f>AND(OR(VLOOKUP("C-30",'Optional features'!B:D,3,FALSE)="Yes",VLOOKUP("C-31",'Optional features'!B:D,3,FALSE)="Yes",VLOOKUP("C-32",'Optional features'!B:D,3,FALSE)="Yes"),VLOOKUP("C-49",'Optional features'!B:D,3,FALSE)="Yes")</f>
        <v>0</v>
      </c>
      <c r="C52" t="b">
        <v>1</v>
      </c>
      <c r="D52" t="b">
        <f>NOT(ISERROR(VLOOKUP(A52,'Charging Station Testcases'!E:E,1,FALSE)=A52))</f>
        <v>0</v>
      </c>
      <c r="F52" t="s">
        <v>63</v>
      </c>
      <c r="G52" s="6" t="str">
        <f>VLOOKUP(F52,'Optional features'!B:D,3,FALSE)</f>
        <v>Yes</v>
      </c>
    </row>
    <row r="53" spans="1:7" x14ac:dyDescent="0.25">
      <c r="A53" t="s">
        <v>288</v>
      </c>
      <c r="B53" s="6" t="b">
        <f>AND(OR(VLOOKUP("C-30",'Optional features'!B:D,3,FALSE)="Yes",VLOOKUP("C-31",'Optional features'!B:D,3,FALSE)="Yes",VLOOKUP("C-32",'Optional features'!B:D,3,FALSE)="Yes"),VLOOKUP("C-02",'Optional features'!B:D,3,FALSE)="Yes")</f>
        <v>0</v>
      </c>
      <c r="C53" t="b">
        <v>1</v>
      </c>
      <c r="D53" t="b">
        <f>NOT(ISERROR(VLOOKUP(A53,'Charging Station Testcases'!E:E,1,FALSE)=A53))</f>
        <v>0</v>
      </c>
      <c r="F53" t="s">
        <v>64</v>
      </c>
      <c r="G53" s="6" t="str">
        <f>VLOOKUP(F53,'Optional features'!B:D,3,FALSE)</f>
        <v>No</v>
      </c>
    </row>
    <row r="54" spans="1:7" x14ac:dyDescent="0.25">
      <c r="A54" t="s">
        <v>289</v>
      </c>
      <c r="B54" s="6" t="b">
        <f>AND(OR(VLOOKUP("C-30",'Optional features'!B:D,3,FALSE)="Yes",VLOOKUP("C-31",'Optional features'!B:D,3,FALSE)="Yes",VLOOKUP("C-32",'Optional features'!B:D,3,FALSE)="Yes"),VLOOKUP("C-07",'Optional features'!B:D,3,FALSE)="Yes")</f>
        <v>0</v>
      </c>
      <c r="C54" t="b">
        <v>1</v>
      </c>
      <c r="D54" t="b">
        <f>NOT(ISERROR(VLOOKUP(A54,'Charging Station Testcases'!E:E,1,FALSE)=A54))</f>
        <v>0</v>
      </c>
      <c r="F54" t="s">
        <v>65</v>
      </c>
      <c r="G54" s="6" t="str">
        <f>VLOOKUP(F54,'Optional features'!B:D,3,FALSE)</f>
        <v>No</v>
      </c>
    </row>
    <row r="55" spans="1:7" x14ac:dyDescent="0.25">
      <c r="A55" t="s">
        <v>290</v>
      </c>
      <c r="B55" s="6" t="b">
        <f>AND(OR(VLOOKUP("C-30",'Optional features'!B:D,3,FALSE)="Yes",VLOOKUP("C-31",'Optional features'!B:D,3,FALSE)="Yes",VLOOKUP("C-32",'Optional features'!B:D,3,FALSE)="Yes"),VLOOKUP("C-08",'Optional features'!B:D,3,FALSE)="Yes")</f>
        <v>0</v>
      </c>
      <c r="C55" t="b">
        <v>1</v>
      </c>
      <c r="D55" t="b">
        <f>NOT(ISERROR(VLOOKUP(A55,'Charging Station Testcases'!E:E,1,FALSE)=A55))</f>
        <v>0</v>
      </c>
      <c r="F55" t="s">
        <v>66</v>
      </c>
      <c r="G55" s="6" t="str">
        <f>VLOOKUP(F55,'Optional features'!B:D,3,FALSE)</f>
        <v>Yes</v>
      </c>
    </row>
    <row r="56" spans="1:7" x14ac:dyDescent="0.25">
      <c r="A56" t="s">
        <v>291</v>
      </c>
      <c r="B56" s="6" t="b">
        <f>AND(OR(VLOOKUP("C-30",'Optional features'!B:D,3,FALSE)="Yes",VLOOKUP("C-31",'Optional features'!B:D,3,FALSE)="Yes",VLOOKUP("C-32",'Optional features'!B:D,3,FALSE)="Yes"),VLOOKUP("C-53",'Optional features'!B:D,3,FALSE)="Yes")</f>
        <v>0</v>
      </c>
      <c r="C56" t="b">
        <v>1</v>
      </c>
      <c r="D56" t="b">
        <f>NOT(ISERROR(VLOOKUP(A56,'Charging Station Testcases'!E:E,1,FALSE)=A56))</f>
        <v>0</v>
      </c>
      <c r="F56" t="s">
        <v>67</v>
      </c>
      <c r="G56" s="6" t="str">
        <f>VLOOKUP(F56,'Optional features'!B:D,3,FALSE)</f>
        <v>No</v>
      </c>
    </row>
    <row r="57" spans="1:7" x14ac:dyDescent="0.25">
      <c r="A57" t="s">
        <v>292</v>
      </c>
      <c r="B57" s="6" t="b">
        <f>AND(OR(VLOOKUP("C-30",'Optional features'!B:D,3,FALSE)="Yes",VLOOKUP("C-31",'Optional features'!B:D,3,FALSE)="Yes",VLOOKUP("C-32",'Optional features'!B:D,3,FALSE)="Yes"),VLOOKUP("C-49",'Optional features'!B:D,3,FALSE)="Yes",OR(VLOOKUP("C-07",'Optional features'!B:D,3,FALSE)="Yes",VLOOKUP("C-08",'Optional features'!B:D,3,FALSE)="Yes"))</f>
        <v>0</v>
      </c>
      <c r="C57" t="b">
        <v>1</v>
      </c>
      <c r="D57" t="b">
        <f>NOT(ISERROR(VLOOKUP(A57,'Charging Station Testcases'!E:E,1,FALSE)=A57))</f>
        <v>0</v>
      </c>
      <c r="F57" t="s">
        <v>69</v>
      </c>
      <c r="G57" s="6" t="str">
        <f>SUBSTITUTE(TRIM(CLEAN((SUBSTITUTE(SUBSTITUTE(VLOOKUP(F57,'Optional features'!B:D,3,FALSE),CHAR(160)," "),"+",""))))," ", "")</f>
        <v>&lt;listofvalues,atleastHeartbeat&gt;</v>
      </c>
    </row>
    <row r="58" spans="1:7" x14ac:dyDescent="0.25">
      <c r="A58" t="s">
        <v>293</v>
      </c>
      <c r="B58" s="6" t="b">
        <f>AND(OR(VLOOKUP("C-30",'Optional features'!B:D,3,FALSE)="Yes",VLOOKUP("C-31",'Optional features'!B:D,3,FALSE)="Yes",VLOOKUP("C-32",'Optional features'!B:D,3,FALSE)="Yes"),VLOOKUP("C-03",'Optional features'!B:D,3,FALSE)="Yes",VLOOKUP("C-49",'Optional features'!B:D,3,FALSE)="Yes")</f>
        <v>0</v>
      </c>
      <c r="C58" t="b">
        <v>1</v>
      </c>
      <c r="D58" t="b">
        <f>NOT(ISERROR(VLOOKUP(A58,'Charging Station Testcases'!E:E,1,FALSE)=A58))</f>
        <v>0</v>
      </c>
      <c r="F58" t="s">
        <v>70</v>
      </c>
      <c r="G58" s="6" t="str">
        <f>VLOOKUP(F58,'Optional features'!B:D,3,FALSE)</f>
        <v>No</v>
      </c>
    </row>
    <row r="59" spans="1:7" x14ac:dyDescent="0.25">
      <c r="A59" t="s">
        <v>294</v>
      </c>
      <c r="B59" s="6" t="b">
        <f>AND(OR(VLOOKUP("C-30",'Optional features'!B:D,3,FALSE)="Yes",VLOOKUP("C-31",'Optional features'!B:D,3,FALSE)="Yes",VLOOKUP("C-32",'Optional features'!B:D,3,FALSE)="Yes"),VLOOKUP("C-59",'Optional features'!B:D,3,FALSE)="Yes",VLOOKUP("C-49",'Optional features'!B:D,3,FALSE)="Yes")</f>
        <v>0</v>
      </c>
      <c r="C59" t="b">
        <v>1</v>
      </c>
      <c r="D59" t="b">
        <f>NOT(ISERROR(VLOOKUP(A59,'Charging Station Testcases'!E:E,1,FALSE)=A59))</f>
        <v>0</v>
      </c>
      <c r="F59" t="s">
        <v>71</v>
      </c>
      <c r="G59" s="6" t="str">
        <f>VLOOKUP(F59,'Optional features'!B:D,3,FALSE)</f>
        <v>No</v>
      </c>
    </row>
    <row r="60" spans="1:7" x14ac:dyDescent="0.25">
      <c r="A60" t="s">
        <v>295</v>
      </c>
      <c r="B60" s="6" t="b">
        <f>AND(OR(VLOOKUP("LA-3",'Optional features'!B:D,3,FALSE)="Yes",VLOOKUP("C-31",'Optional features'!B:D,3,FALSE)="Yes",VLOOKUP("C-32",'Optional features'!B:D,3,FALSE)="Yes"),VLOOKUP("C-30",'Optional features'!B:D,3,FALSE)="Yes")</f>
        <v>0</v>
      </c>
      <c r="C60" t="b">
        <v>1</v>
      </c>
      <c r="D60" t="b">
        <f>NOT(ISERROR(VLOOKUP(A60,'Charging Station Testcases'!E:E,1,FALSE)=A60))</f>
        <v>0</v>
      </c>
      <c r="F60" t="s">
        <v>72</v>
      </c>
      <c r="G60" s="6" t="str">
        <f>VLOOKUP(F60,'Optional features'!B:D,3,FALSE)</f>
        <v>No</v>
      </c>
    </row>
    <row r="61" spans="1:7" x14ac:dyDescent="0.25">
      <c r="A61" t="s">
        <v>296</v>
      </c>
      <c r="B61" s="6" t="b">
        <f>AND(VLOOKUP("C-20",'Optional features'!B:D,3,FALSE)="Yes",VLOOKUP("C-43",'Optional features'!B:D,3,FALSE)="No",VLOOKUP("AQ-7",'Additional questions'!B:D,3,FALSE)="Yes")</f>
        <v>0</v>
      </c>
      <c r="C61" t="b">
        <v>1</v>
      </c>
      <c r="D61" t="b">
        <f>NOT(ISERROR(VLOOKUP(A61,'Charging Station Testcases'!E:E,1,FALSE)=A61))</f>
        <v>0</v>
      </c>
      <c r="F61" t="s">
        <v>74</v>
      </c>
      <c r="G61" s="6" t="str">
        <f>VLOOKUP(F61,'Optional features'!B:D,3,FALSE)</f>
        <v>No</v>
      </c>
    </row>
    <row r="62" spans="1:7" x14ac:dyDescent="0.25">
      <c r="A62" t="s">
        <v>297</v>
      </c>
      <c r="B62" s="6" t="b">
        <f>AND(VLOOKUP("C-20",'Optional features'!B:D,3,FALSE)="Yes",VLOOKUP("C-43",'Optional features'!B:D,3,FALSE)="No",VLOOKUP("AQ-7",'Additional questions'!B:D,3,FALSE)="No")</f>
        <v>1</v>
      </c>
      <c r="C62" t="b">
        <v>1</v>
      </c>
      <c r="D62" t="b">
        <f>NOT(ISERROR(VLOOKUP(A62,'Charging Station Testcases'!E:E,1,FALSE)=A62))</f>
        <v>0</v>
      </c>
      <c r="F62" t="s">
        <v>75</v>
      </c>
      <c r="G62" s="6" t="str">
        <f>VLOOKUP(F62,'Optional features'!B:D,3,FALSE)</f>
        <v>No</v>
      </c>
    </row>
    <row r="63" spans="1:7" x14ac:dyDescent="0.25">
      <c r="A63" t="s">
        <v>298</v>
      </c>
      <c r="B63" s="6" t="b">
        <f>AND(VLOOKUP("AQ-8",'Additional questions'!B:D,3,FALSE)="No")</f>
        <v>1</v>
      </c>
      <c r="C63" t="b">
        <v>0</v>
      </c>
      <c r="D63" t="b">
        <f>NOT(ISERROR(VLOOKUP(A63,'Charging Station Testcases'!E:E,1,FALSE)=A63))</f>
        <v>0</v>
      </c>
      <c r="F63" t="s">
        <v>76</v>
      </c>
      <c r="G63" s="6" t="str">
        <f>VLOOKUP(F63,'Optional features'!B:D,3,FALSE)</f>
        <v>No</v>
      </c>
    </row>
    <row r="64" spans="1:7" x14ac:dyDescent="0.25">
      <c r="A64" t="s">
        <v>299</v>
      </c>
      <c r="B64" s="6" t="b">
        <f>VLOOKUP("C-60",'Optional features'!B:D,3,FALSE)="No"</f>
        <v>1</v>
      </c>
      <c r="C64" t="b">
        <v>1</v>
      </c>
      <c r="D64" t="b">
        <f>NOT(ISERROR(VLOOKUP(A64,'Charging Station Testcases'!E:E,1,FALSE)=A64))</f>
        <v>1</v>
      </c>
      <c r="F64" t="s">
        <v>77</v>
      </c>
      <c r="G64" s="6" t="str">
        <f>VLOOKUP(F64,'Optional features'!B:D,3,FALSE)</f>
        <v>No</v>
      </c>
    </row>
    <row r="65" spans="1:7" x14ac:dyDescent="0.25">
      <c r="A65" t="s">
        <v>843</v>
      </c>
      <c r="B65" s="6" t="b">
        <f>AND(VLOOKUP("C-10.1",'Optional features'!B:D,3,FALSE)="Yes",OR(VLOOKUP("C-52",'Optional features'!B:D,3,FALSE)="Yes", NOT(OR(VLOOKUP("C-10.3",'Optional features'!B:D,3,FALSE)="Yes", VLOOKUP("C-10.4",'Optional features'!B:D,3,FALSE)="Yes"))),NOT(AND(VLOOKUP("C-10.2",'Optional features'!B:D,3,FALSE)="Yes", NOT(VLOOKUP("C-52",'Optional features'!B:D,3,FALSE)="Yes"), NOT(VLOOKUP("C-06.1",'Optional features'!B:D,3,FALSE)="Yes"))))</f>
        <v>0</v>
      </c>
      <c r="C65" t="b">
        <v>1</v>
      </c>
      <c r="D65" t="b">
        <f>NOT(ISERROR(VLOOKUP(A65,'Charging Station Testcases'!E:E,1,FALSE)=A65))</f>
        <v>0</v>
      </c>
      <c r="F65" t="s">
        <v>78</v>
      </c>
      <c r="G65" s="6" t="str">
        <f>VLOOKUP(F65,'Optional features'!B:D,3,FALSE)</f>
        <v>No</v>
      </c>
    </row>
    <row r="66" spans="1:7" x14ac:dyDescent="0.25">
      <c r="A66" t="s">
        <v>844</v>
      </c>
      <c r="B66" s="6" t="b">
        <f>AND(VLOOKUP("AQ-8",'Additional questions'!B:D,3,FALSE)="No",OR(VLOOKUP("C-09.2",'Optional features'!B:D,3,FALSE)="Yes",VLOOKUP("C-09.6",'Optional features'!B:D,3,FALSE)="Yes"))</f>
        <v>0</v>
      </c>
      <c r="C66" t="b">
        <v>0</v>
      </c>
      <c r="D66" t="b">
        <f>NOT(ISERROR(VLOOKUP(A66,'Charging Station Testcases'!E:E,1,FALSE)=A66))</f>
        <v>1</v>
      </c>
      <c r="F66" t="s">
        <v>79</v>
      </c>
      <c r="G66" s="6" t="str">
        <f>VLOOKUP(F66,'Optional features'!B:D,3,FALSE)</f>
        <v>No</v>
      </c>
    </row>
    <row r="67" spans="1:7" x14ac:dyDescent="0.25">
      <c r="A67" t="s">
        <v>845</v>
      </c>
      <c r="B67" s="6" t="b">
        <f>AND(OR(VLOOKUP("C-30",'Optional features'!B:D,3,FALSE)="Yes",VLOOKUP("C-31",'Optional features'!B:D,3,FALSE)="Yes",VLOOKUP("C-32",'Optional features'!B:D,3,FALSE)="Yes"),OR(VLOOKUP("C-07",'Optional features'!B:D,3,FALSE)="Yes",VLOOKUP("C-08",'Optional features'!B:D,3,FALSE)="Yes"))</f>
        <v>0</v>
      </c>
      <c r="C67" t="b">
        <v>1</v>
      </c>
      <c r="D67" t="b">
        <f>NOT(ISERROR(VLOOKUP(A67,'Charging Station Testcases'!E:E,1,FALSE)=A67))</f>
        <v>0</v>
      </c>
      <c r="F67" t="s">
        <v>82</v>
      </c>
      <c r="G67" s="6" t="str">
        <f>VLOOKUP(F67,'Optional features'!B:D,3,FALSE)</f>
        <v>No</v>
      </c>
    </row>
    <row r="68" spans="1:7" x14ac:dyDescent="0.25">
      <c r="A68" t="s">
        <v>846</v>
      </c>
      <c r="B68" s="6" t="b">
        <f>VLOOKUP("C-09.5",'Optional features'!B:D,3,FALSE)="No"</f>
        <v>1</v>
      </c>
      <c r="C68" t="b">
        <v>1</v>
      </c>
      <c r="D68" t="b">
        <f>NOT(ISERROR(VLOOKUP(A68,'Charging Station Testcases'!E:E,1,FALSE)=A68))</f>
        <v>0</v>
      </c>
      <c r="F68" t="s">
        <v>83</v>
      </c>
      <c r="G68" s="6" t="str">
        <f>VLOOKUP(F68,'Optional features'!B:D,3,FALSE)</f>
        <v>No</v>
      </c>
    </row>
    <row r="69" spans="1:7" x14ac:dyDescent="0.25">
      <c r="A69" t="s">
        <v>847</v>
      </c>
      <c r="B69" s="6" t="b">
        <f>AND(OR(VLOOKUP("C-30",'Optional features'!B:D,3,FALSE)="Yes",VLOOKUP("C-31",'Optional features'!B:D,3,FALSE)="Yes",VLOOKUP("C-32",'Optional features'!B:D,3,FALSE)="Yes"),OR(VLOOKUP("C-49",'Optional features'!B:D,3,FALSE)="Yes", VLOOKUP("LA-0",'Optional features'!B:D,3,FALSE)="Yes"))</f>
        <v>0</v>
      </c>
      <c r="C69" t="b">
        <v>1</v>
      </c>
      <c r="D69" t="b">
        <f>NOT(ISERROR(VLOOKUP(A69,'Charging Station Testcases'!E:E,1,FALSE)=A69))</f>
        <v>0</v>
      </c>
      <c r="F69" t="s">
        <v>84</v>
      </c>
      <c r="G69" s="6" t="str">
        <f>VLOOKUP(F69,'Optional features'!B:D,3,FALSE)</f>
        <v>No</v>
      </c>
    </row>
    <row r="70" spans="1:7" x14ac:dyDescent="0.25">
      <c r="A70" t="s">
        <v>848</v>
      </c>
      <c r="B70" s="6" t="b">
        <f>AND(VLOOKUP("C-43",'Optional features'!B:D,3,FALSE)="No",VLOOKUP("AQ-7",'Additional questions'!B:D,3,FALSE)="No")</f>
        <v>1</v>
      </c>
      <c r="C70" t="b">
        <v>1</v>
      </c>
      <c r="D70" t="b">
        <f>NOT(ISERROR(VLOOKUP(A70,'Charging Station Testcases'!E:E,1,FALSE)=A70))</f>
        <v>1</v>
      </c>
      <c r="F70" t="s">
        <v>85</v>
      </c>
      <c r="G70" s="6" t="str">
        <f>VLOOKUP(F70,'Optional features'!B:D,3,FALSE)</f>
        <v>No</v>
      </c>
    </row>
    <row r="71" spans="1:7" x14ac:dyDescent="0.25">
      <c r="A71" t="s">
        <v>849</v>
      </c>
      <c r="B71" s="6" t="b">
        <f>AND(VLOOKUP("C-43",'Optional features'!B:D,3,FALSE)="No",VLOOKUP("AQ-7",'Additional questions'!B:D,3,FALSE)="Yes")</f>
        <v>0</v>
      </c>
      <c r="C71" t="b">
        <v>1</v>
      </c>
      <c r="D71" t="b">
        <f>NOT(ISERROR(VLOOKUP(A71,'Charging Station Testcases'!E:E,1,FALSE)=A71))</f>
        <v>1</v>
      </c>
      <c r="F71" t="s">
        <v>88</v>
      </c>
      <c r="G71" s="6" t="str">
        <f>VLOOKUP(F71,'Optional features'!B:D,3,FALSE)</f>
        <v>Yes</v>
      </c>
    </row>
    <row r="72" spans="1:7" x14ac:dyDescent="0.25">
      <c r="A72" t="s">
        <v>851</v>
      </c>
      <c r="B72" s="6" t="b">
        <f>AND(VLOOKUP("C-10.1",'Optional features'!B:D,3,FALSE)="Yes",OR(VLOOKUP("C-52",'Optional features'!B:D,3,FALSE)="Yes", NOT(OR(VLOOKUP("C-10.3",'Optional features'!B:D,3,FALSE)="Yes", VLOOKUP("C-10.4",'Optional features'!B:D,3,FALSE)="Yes"))),NOT(AND(VLOOKUP("C-10.2",'Optional features'!B:D,3,FALSE)="Yes", NOT(VLOOKUP("C-52",'Optional features'!B:D,3,FALSE)="Yes"),OR(NOT(VLOOKUP("C-06.1",'Optional features'!B:D,3,FALSE)="Yes"),NOT(VLOOKUP("AQ-9",'Additional questions'!B:D,3,FALSE)="Yes")))))</f>
        <v>0</v>
      </c>
      <c r="C72" t="b">
        <v>1</v>
      </c>
      <c r="D72" t="b">
        <f>NOT(ISERROR(VLOOKUP(A72,'Charging Station Testcases'!E:E,1,FALSE)=A72))</f>
        <v>0</v>
      </c>
      <c r="F72" t="s">
        <v>89</v>
      </c>
      <c r="G72" s="6" t="str">
        <f>VLOOKUP(F72,'Optional features'!B:D,3,FALSE)</f>
        <v>No</v>
      </c>
    </row>
    <row r="73" spans="1:7" x14ac:dyDescent="0.25">
      <c r="A73" t="s">
        <v>852</v>
      </c>
      <c r="B73" s="6" t="b">
        <f>AND(OR(VLOOKUP("C-10.2",'Optional features'!B:D,3,FALSE)="Yes",VLOOKUP("C-10.3",'Optional features'!B:D,3,FALSE)="Yes"
),VLOOKUP("C-06.2",'Optional features'!B:D,3,FALSE)="Yes",VLOOKUP("AQ-9",'Additional questions'!B:D,3,FALSE)="Yes")</f>
        <v>0</v>
      </c>
      <c r="C73" t="b">
        <v>1</v>
      </c>
      <c r="D73" t="b">
        <f>NOT(ISERROR(VLOOKUP(A73,'Charging Station Testcases'!E:E,1,FALSE)=A73))</f>
        <v>0</v>
      </c>
      <c r="F73" t="s">
        <v>90</v>
      </c>
      <c r="G73" s="6" t="str">
        <f>VLOOKUP(F73,'Optional features'!B:D,3,FALSE)</f>
        <v>No</v>
      </c>
    </row>
    <row r="74" spans="1:7" x14ac:dyDescent="0.25">
      <c r="A74" t="s">
        <v>853</v>
      </c>
      <c r="B74" s="6" t="b">
        <f>AND(VLOOKUP("HFS-1",'Hardware Feature set'!B:D,3,FALSE)="Yes",VLOOKUP("C-06.2",'Optional features'!B:D,3,FALSE)="Yes",VLOOKUP("C-12.1",'Optional features'!B:D,3,FALSE)="Yes",VLOOKUP("AQ-9",'Additional questions'!B:D,3,FALSE)="Yes")</f>
        <v>0</v>
      </c>
      <c r="C74" t="b">
        <v>1</v>
      </c>
      <c r="D74" t="b">
        <f>NOT(ISERROR(VLOOKUP(A74,'Charging Station Testcases'!E:E,1,FALSE)=A74))</f>
        <v>0</v>
      </c>
      <c r="F74" t="s">
        <v>91</v>
      </c>
      <c r="G74" s="6" t="str">
        <f>VLOOKUP(F74,'Optional features'!B:D,3,FALSE)</f>
        <v>No</v>
      </c>
    </row>
    <row r="75" spans="1:7" x14ac:dyDescent="0.25">
      <c r="A75" t="s">
        <v>854</v>
      </c>
      <c r="B75" s="6" t="b">
        <f>AND(VLOOKUP("C-06.2",'Optional features'!B:D,3,FALSE)="Yes",VLOOKUP("C-12.2",'Optional features'!B:D,3,FALSE)="Yes",VLOOKUP("AQ-9",'Additional questions'!B:D,3,FALSE)="Yes")</f>
        <v>0</v>
      </c>
      <c r="C75" t="b">
        <v>1</v>
      </c>
      <c r="D75" t="b">
        <f>NOT(ISERROR(VLOOKUP(A75,'Charging Station Testcases'!E:E,1,FALSE)=A75))</f>
        <v>0</v>
      </c>
      <c r="F75" t="s">
        <v>95</v>
      </c>
      <c r="G75" s="6" t="str">
        <f>SUBSTITUTE(TRIM(CLEAN((SUBSTITUTE(SUBSTITUTE(VLOOKUP($F75,'Optional features'!B:D,3,FALSE),CHAR(160)," "),"+",""))))," ", ",")</f>
        <v>{,list,of,cipher,suites,},-&gt;,at,least,one,of,TLS_ECDHE_ECDSA_WITH_AES_128_GCM_SHA256,TLS_ECDHE_ECDSA_WITH_AES_256_GCM_SHA384,OR,TLS_RSA_WITH_AES_128_GCM_SHA256,TLS_RSA_WITH_AES_256_GCM_SHA384</v>
      </c>
    </row>
    <row r="76" spans="1:7" x14ac:dyDescent="0.25">
      <c r="A76" t="s">
        <v>855</v>
      </c>
      <c r="B76"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features'!B:D,3,FALSE)="Yes",VLOOKUP("AQ-9",'Additional questions'!B:D,3,FALSE)="Yes")</f>
        <v>0</v>
      </c>
      <c r="C76" t="b">
        <v>1</v>
      </c>
      <c r="D76" t="b">
        <f>NOT(ISERROR(VLOOKUP(A76,'Charging Station Testcases'!E:E,1,FALSE)=A76))</f>
        <v>0</v>
      </c>
      <c r="F76" t="s">
        <v>96</v>
      </c>
      <c r="G76" s="6" t="str">
        <f>VLOOKUP(F76,'Optional features'!B:D,3,FALSE)</f>
        <v>No</v>
      </c>
    </row>
    <row r="77" spans="1:7" x14ac:dyDescent="0.25">
      <c r="A77" t="s">
        <v>856</v>
      </c>
      <c r="B77"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set'!B:D,3,FALSE)="Yes",VLOOKUP("AQ-9",'Additional questions'!B:D,3,FALSE)="Yes")</f>
        <v>0</v>
      </c>
      <c r="C77" t="b">
        <v>1</v>
      </c>
      <c r="D77" t="b">
        <f>NOT(ISERROR(VLOOKUP(A77,'Charging Station Testcases'!E:E,1,FALSE)=A77))</f>
        <v>0</v>
      </c>
      <c r="F77" t="s">
        <v>97</v>
      </c>
      <c r="G77" s="6" t="str">
        <f>VLOOKUP(F77,'Optional features'!B:D,3,FALSE)</f>
        <v>No</v>
      </c>
    </row>
    <row r="78" spans="1:7" x14ac:dyDescent="0.25">
      <c r="A78" t="s">
        <v>859</v>
      </c>
      <c r="B78"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features'!B:D,3,FALSE)="Yes"))),VLOOKUP("AQ-9",'Additional questions'!B:D,3,FALSE)="Yes")</f>
        <v>0</v>
      </c>
      <c r="C78" t="b">
        <v>1</v>
      </c>
      <c r="D78" t="b">
        <f>NOT(ISERROR(VLOOKUP(A78,'Charging Station Testcases'!E:E,1,FALSE)=A78))</f>
        <v>0</v>
      </c>
      <c r="F78" t="s">
        <v>98</v>
      </c>
      <c r="G78" s="6" t="str">
        <f>VLOOKUP(F78,'Optional features'!B:D,3,FALSE)</f>
        <v>No</v>
      </c>
    </row>
    <row r="79" spans="1:7" x14ac:dyDescent="0.25">
      <c r="A79" t="s">
        <v>860</v>
      </c>
      <c r="B79"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f>
        <v>0</v>
      </c>
      <c r="C79" t="b">
        <v>1</v>
      </c>
      <c r="D79" t="b">
        <f>NOT(ISERROR(VLOOKUP(A79,'Charging Station Testcases'!E:E,1,FALSE)=A79))</f>
        <v>0</v>
      </c>
      <c r="F79" t="s">
        <v>100</v>
      </c>
      <c r="G79" s="6" t="str">
        <f>VLOOKUP(F79,'Optional features'!B:D,3,FALSE)</f>
        <v>No</v>
      </c>
    </row>
    <row r="80" spans="1:7" x14ac:dyDescent="0.25">
      <c r="A80" t="s">
        <v>861</v>
      </c>
      <c r="B80" s="6" t="b">
        <f>AND(VLOOKUP("AQ-2",'Additional questions'!B:D,3,FALSE)="No",OR(VLOOKUP("C-36",'Optional features'!B:D,3,FALSE)="Yes",VLOOKUP("C-37",'Optional features'!B:D,3,FALSE)="Yes",VLOOKUP("C-38",'Optional features'!B:D,3,FALSE)="Yes",VLOOKUP("C-39",'Optional features'!B:D,3,FALSE)="Yes"))</f>
        <v>1</v>
      </c>
      <c r="C80" t="b">
        <v>1</v>
      </c>
      <c r="D80" t="b">
        <f>NOT(ISERROR(VLOOKUP(A80,'Charging Station Testcases'!E:E,1,FALSE)=A80))</f>
        <v>0</v>
      </c>
      <c r="F80" t="s">
        <v>101</v>
      </c>
      <c r="G80" s="6" t="str">
        <f>VLOOKUP(F80,'Optional features'!B:D,3,FALSE)</f>
        <v>Yes</v>
      </c>
    </row>
    <row r="81" spans="1:7" x14ac:dyDescent="0.25">
      <c r="A81" t="s">
        <v>862</v>
      </c>
      <c r="B81"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features'!B:D,3,FALSE)="Yes"))),OR(VLOOKUP("AQ-9",'Additional questions'!B:D,3,FALSE)="Yes",VLOOKUP("Product Subtype",'Hardware Feature set'!C:D,2,FALSE)="Mode 1/2-only Charging Station"))</f>
        <v>0</v>
      </c>
      <c r="C81" t="b">
        <v>1</v>
      </c>
      <c r="D81" t="b">
        <f>NOT(ISERROR(VLOOKUP(A81,'Charging Station Testcases'!E:E,1,FALSE)=A81))</f>
        <v>0</v>
      </c>
      <c r="F81" t="s">
        <v>102</v>
      </c>
      <c r="G81" s="6" t="str">
        <f>VLOOKUP(F81,'Optional features'!B:D,3,FALSE)</f>
        <v>No</v>
      </c>
    </row>
    <row r="82" spans="1:7" x14ac:dyDescent="0.25">
      <c r="A82" t="s">
        <v>1722</v>
      </c>
      <c r="B82" s="6" t="b">
        <f>AND(VLOOKUP("HFS-1",'Hardware Feature set'!B:D,3,FALSE)="Yes",VLOOKUP("C-06.2",'Optional features'!B:D,3,FALSE)="Yes",VLOOKUP("C-12.1",'Optional features'!B:D,3,FALSE)="Yes",VLOOKUP("AQ-18",'Additional questions'!B:D,3,FALSE)="Yes",NOT(OR(VLOOKUP("HFS-4",'Hardware Feature set'!B:D,3,FALSE)="Yes", AND(VLOOKUP("ISO 15118 Support",'Profile selection'!B:C,2,FALSE)="Yes", VLOOKUP("AQ-9",'Additional questions'!B:D,3,FALSE)="No"))))</f>
        <v>0</v>
      </c>
      <c r="C82" t="b">
        <v>1</v>
      </c>
      <c r="D82" t="b">
        <f>NOT(ISERROR(VLOOKUP(A82,'Charging Station Testcases'!E:E,1,FALSE)=A82))</f>
        <v>1</v>
      </c>
      <c r="F82" t="s">
        <v>103</v>
      </c>
      <c r="G82" s="6" t="str">
        <f>VLOOKUP(F82,'Optional features'!B:D,3,FALSE)</f>
        <v>No</v>
      </c>
    </row>
    <row r="83" spans="1:7" x14ac:dyDescent="0.25">
      <c r="A83" t="s">
        <v>1723</v>
      </c>
      <c r="B83" s="6" t="b">
        <f>AND(VLOOKUP("C-06.2",'Optional features'!B:D,3,FALSE)="Yes",VLOOKUP("C-12.2",'Optional features'!B:D,3,FALSE)="Yes", VLOOKUP("AQ-18",'Additional questions'!B:D,3,FALSE)="Yes", NOT(OR(VLOOKUP("HFS-4",'Hardware Feature set'!B:D,3,FALSE)="Yes", AND(VLOOKUP("ISO 15118 Support",'Profile selection'!B:C,2,FALSE)="Yes", VLOOKUP("AQ-9",'Additional questions'!B:D,3,FALSE)="No"))))</f>
        <v>0</v>
      </c>
      <c r="C83" t="b">
        <v>1</v>
      </c>
      <c r="D83" t="b">
        <f>NOT(ISERROR(VLOOKUP(A83,'Charging Station Testcases'!E:E,1,FALSE)=A83))</f>
        <v>1</v>
      </c>
      <c r="F83" t="s">
        <v>104</v>
      </c>
      <c r="G83" s="6" t="str">
        <f>VLOOKUP(F83,'Optional features'!B:D,3,FALSE)</f>
        <v>No</v>
      </c>
    </row>
    <row r="84" spans="1:7" x14ac:dyDescent="0.25">
      <c r="A84" t="s">
        <v>1724</v>
      </c>
      <c r="B84"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features'!B:D,3,FALSE)="Yes",NOT(OR(VLOOKUP("HFS-4",'Hardware Feature set'!B:D,3,FALSE)="Yes", AND(VLOOKUP("ISO 15118 Support",'Profile selection'!B:C,2,FALSE)="Yes", VLOOKUP("AQ-9",'Additional questions'!B:D,3,FALSE)="No"))), NOT(VLOOKUP("Product Subtype",'Hardware Feature set'!C:D,2,FALSE)="Mode 1/2-only Charging Station"))</f>
        <v>0</v>
      </c>
      <c r="C84" t="b">
        <v>1</v>
      </c>
      <c r="D84" t="b">
        <f>NOT(ISERROR(VLOOKUP(A84,'Charging Station Testcases'!E:E,1,FALSE)=A84))</f>
        <v>1</v>
      </c>
      <c r="F84" t="s">
        <v>105</v>
      </c>
      <c r="G84" s="6" t="str">
        <f>VLOOKUP(F84,'Optional features'!B:D,3,FALSE)</f>
        <v>No</v>
      </c>
    </row>
    <row r="85" spans="1:7" x14ac:dyDescent="0.25">
      <c r="A85" t="s">
        <v>1725</v>
      </c>
      <c r="B85"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set'!B:D,3,FALSE)="Yes",NOT(OR(VLOOKUP("HFS-4",'Hardware Feature set'!B:D,3,FALSE)="Yes", AND(VLOOKUP("ISO 15118 Support",'Profile selection'!B:C,2,FALSE)="Yes", VLOOKUP("AQ-9",'Additional questions'!B:D,3,FALSE)="No"))),NOT(VLOOKUP("Product Subtype",'Hardware Feature set'!C:D,2,FALSE)="Mode 1/2-only Charging Station"))</f>
        <v>0</v>
      </c>
      <c r="C85" t="b">
        <v>1</v>
      </c>
      <c r="D85" t="b">
        <f>NOT(ISERROR(VLOOKUP(A85,'Charging Station Testcases'!E:E,1,FALSE)=A85))</f>
        <v>1</v>
      </c>
      <c r="F85" t="s">
        <v>106</v>
      </c>
      <c r="G85" s="6" t="str">
        <f>VLOOKUP(F85,'Optional features'!B:D,3,FALSE)</f>
        <v>No</v>
      </c>
    </row>
    <row r="86" spans="1:7" x14ac:dyDescent="0.25">
      <c r="A86" t="s">
        <v>863</v>
      </c>
      <c r="B86" s="6" t="b">
        <f>AND(VLOOKUP("C-09.5",'Optional features'!B:D,3,FALSE)="No",NOT(VLOOKUP("Product Subtype",'Hardware Feature set'!C:D,2,FALSE)="Mode 1/2-only Charging Station"))</f>
        <v>1</v>
      </c>
      <c r="C86" t="b">
        <v>1</v>
      </c>
      <c r="D86" t="b">
        <f>NOT(ISERROR(VLOOKUP(A86,'Charging Station Testcases'!E:E,1,FALSE)=A86))</f>
        <v>1</v>
      </c>
      <c r="F86" t="s">
        <v>107</v>
      </c>
      <c r="G86" s="6" t="str">
        <f>VLOOKUP(F86,'Optional features'!B:D,3,FALSE)</f>
        <v>No</v>
      </c>
    </row>
    <row r="87" spans="1:7" x14ac:dyDescent="0.25">
      <c r="A87" t="s">
        <v>864</v>
      </c>
      <c r="B87"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selection'!B:C,2,FALSE)="Yes"),NOT(VLOOKUP("Product Subtype",'Hardware Feature set'!C:D,2,FALSE)="Mode 1/2-only Charging Station"))</f>
        <v>0</v>
      </c>
      <c r="C87" t="b">
        <v>1</v>
      </c>
      <c r="D87" t="b">
        <f>NOT(ISERROR(VLOOKUP(A87,'Charging Station Testcases'!E:E,1,FALSE)=A87))</f>
        <v>0</v>
      </c>
      <c r="F87" t="s">
        <v>108</v>
      </c>
      <c r="G87" s="6" t="str">
        <f>VLOOKUP(F87,'Optional features'!B:D,3,FALSE)</f>
        <v>No</v>
      </c>
    </row>
    <row r="88" spans="1:7" x14ac:dyDescent="0.25">
      <c r="A88" t="s">
        <v>1726</v>
      </c>
      <c r="B88" s="6" t="b">
        <f>AND(VLOOKUP("HFS-1",'Hardware Feature set'!B:D,3,FALSE)="Yes",VLOOKUP("AQ-18",'Additional questions'!B:D,3,FALSE)="Yes")</f>
        <v>0</v>
      </c>
      <c r="C88" t="b">
        <v>1</v>
      </c>
      <c r="D88" t="b">
        <f>NOT(ISERROR(VLOOKUP(A88,'Charging Station Testcases'!E:E,1,FALSE)=A88))</f>
        <v>1</v>
      </c>
      <c r="F88" t="s">
        <v>109</v>
      </c>
      <c r="G88" s="6" t="str">
        <f>VLOOKUP(F88,'Optional features'!B:D,3,FALSE)</f>
        <v>No</v>
      </c>
    </row>
    <row r="89" spans="1:7" x14ac:dyDescent="0.25">
      <c r="A89" t="s">
        <v>275</v>
      </c>
      <c r="B89" s="6" t="b">
        <f>AND(VLOOKUP("HFS-1",'Hardware Feature set'!B:D,3,FALSE)="Yes",NOT(VLOOKUP("Product Subtype",'Hardware Feature set'!C:D,2,FALSE)="Mode 1/2-only Charging Station"))</f>
        <v>0</v>
      </c>
      <c r="C89" t="b">
        <v>1</v>
      </c>
      <c r="D89" t="b">
        <f>NOT(ISERROR(VLOOKUP(A89,'Charging Station Testcases'!E:E,1,FALSE)=A89))</f>
        <v>0</v>
      </c>
      <c r="F89" t="s">
        <v>110</v>
      </c>
      <c r="G89" s="6" t="str">
        <f>VLOOKUP(F89,'Optional features'!B:D,3,FALSE)</f>
        <v>No</v>
      </c>
    </row>
    <row r="90" spans="1:7" x14ac:dyDescent="0.25">
      <c r="A90" t="s">
        <v>1721</v>
      </c>
      <c r="B90" s="6" t="b">
        <f>AND(VLOOKUP("C-10.3",'Optional features'!B:D,3,FALSE)="Yes",OR(VLOOKUP("C-52",'Optional features'!B:D,3,FALSE)="Yes",NOT(OR(VLOOKUP("C-10.1",'Optional features'!B:D,3,FALSE)="Yes",VLOOKUP("C-10.4",'Optional features'!B:D,3,FALSE)="Yes"))),OR(VLOOKUP("AQ-9",'Additional questions'!B:D,3,FALSE)="Yes",VLOOKUP("Product Subtype",'Hardware Feature set'!C:D,2,FALSE)="Mode 1/2-only Charging Station", VLOOKUP("Product Subtype",'Hardware Feature set'!C:D,2,FALSE)="Wireless Charging Station"))</f>
        <v>0</v>
      </c>
      <c r="C90" t="b">
        <v>1</v>
      </c>
      <c r="D90" t="b">
        <f>NOT(ISERROR(VLOOKUP(A90,'Charging Station Testcases'!E:E,1,FALSE)=A90))</f>
        <v>1</v>
      </c>
      <c r="F90" t="s">
        <v>111</v>
      </c>
      <c r="G90" s="6" t="str">
        <f>VLOOKUP(F90,'Optional features'!B:D,3,FALSE)</f>
        <v>No</v>
      </c>
    </row>
    <row r="91" spans="1:7" x14ac:dyDescent="0.25">
      <c r="A91" t="s">
        <v>868</v>
      </c>
      <c r="B91" s="6" t="b">
        <f>AND(VLOOKUP("C-20",'Optional features'!B:D,3,FALSE)="Yes",VLOOKUP("C-43",'Optional features'!B:D,3,FALSE)="No",VLOOKUP("AQ-7",'Additional questions'!B:D,3,FALSE)="Yes",VLOOKUP("HFS-8",'Hardware Feature set'!B:D,3,FALSE)&gt;1)</f>
        <v>0</v>
      </c>
      <c r="C91" t="b">
        <v>1</v>
      </c>
      <c r="D91" t="b">
        <f>NOT(ISERROR(VLOOKUP(A91,'Charging Station Testcases'!E:E,1,FALSE)=A91))</f>
        <v>1</v>
      </c>
      <c r="F91" t="s">
        <v>114</v>
      </c>
      <c r="G91" s="6" t="str">
        <f>VLOOKUP(F91,'Optional features'!B:D,3,FALSE)</f>
        <v>No</v>
      </c>
    </row>
    <row r="92" spans="1:7" x14ac:dyDescent="0.25">
      <c r="A92" t="s">
        <v>869</v>
      </c>
      <c r="B92" s="6" t="b">
        <f>AND(VLOOKUP("C-20",'Optional features'!B:D,3,FALSE)="Yes",VLOOKUP("C-43",'Optional features'!B:D,3,FALSE)="No",VLOOKUP("AQ-7",'Additional questions'!B:D,3,FALSE)="No",VLOOKUP("HFS-8",'Hardware Feature set'!B:D,3,FALSE)&gt;1)</f>
        <v>0</v>
      </c>
      <c r="C92" t="b">
        <v>1</v>
      </c>
      <c r="D92" t="b">
        <f>NOT(ISERROR(VLOOKUP(A92,'Charging Station Testcases'!E:E,1,FALSE)=A92))</f>
        <v>1</v>
      </c>
      <c r="F92" t="s">
        <v>115</v>
      </c>
      <c r="G92" s="6" t="str">
        <f>VLOOKUP(F92,'Optional features'!B:D,3,FALSE)</f>
        <v>No</v>
      </c>
    </row>
    <row r="93" spans="1:7" x14ac:dyDescent="0.25">
      <c r="A93" t="s">
        <v>897</v>
      </c>
      <c r="B93" s="6" t="b">
        <f>AND(VLOOKUP("C-10.1",'Optional features'!B:D,3,FALSE)="Yes",OR(VLOOKUP("C-52",'Optional features'!B:D,3,FALSE)="Yes", NOT(OR(VLOOKUP("C-10.2",'Optional features'!B:D,3,FALSE)="Yes",VLOOKUP("C-10.3",'Optional features'!B:D,3,FALSE)="Yes",VLOOKUP("C-10.4",'Optional features'!B:D,3,FALSE)="Yes"))),NOT(VLOOKUP("C-06.1",'Optional features'!B:D,3,FALSE)="Yes"),OR(VLOOKUP("AQ-9",'Additional questions'!B:D,3,FALSE)="Yes",VLOOKUP("Product Subtype",'Hardware Feature set'!C:D,2,FALSE)="Mode 1/2-only Charging Station"))</f>
        <v>0</v>
      </c>
      <c r="C93" t="b">
        <v>1</v>
      </c>
      <c r="D93" t="b">
        <f>NOT(ISERROR(VLOOKUP(A93,'Charging Station Testcases'!E:E,1,FALSE)=A93))</f>
        <v>0</v>
      </c>
      <c r="F93" t="s">
        <v>116</v>
      </c>
      <c r="G93" s="6" t="str">
        <f>VLOOKUP(F93,'Optional features'!B:D,3,FALSE)</f>
        <v>No</v>
      </c>
    </row>
    <row r="94" spans="1:7" x14ac:dyDescent="0.25">
      <c r="A94" t="s">
        <v>898</v>
      </c>
      <c r="B94" s="6" t="b">
        <f>AND(VLOOKUP("C-10.1",'Optional features'!B:D,3,FALSE)="Yes",OR(VLOOKUP("C-52",'Optional features'!B:D,3,FALSE)="Yes", NOT(OR(VLOOKUP("C-10.2",'Optional features'!B:D,3,FALSE)="Yes",VLOOKUP("C-10.3",'Optional features'!B:D,3,FALSE)="Yes",VLOOKUP("C-10.4",'Optional features'!B:D,3,FALSE)="Yes"))),OR(VLOOKUP("HFS-4",'Hardware Feature set'!B:D,3,FALSE)="Yes",VLOOKUP("ISO 15118 Support",'Profile selection'!B:C,2,FALSE)="Yes"),NOT(VLOOKUP("Product Subtype",'Hardware Feature set'!C:D,2,FALSE)="Mode 1/2-only Charging Station"))</f>
        <v>0</v>
      </c>
      <c r="C94" t="b">
        <v>1</v>
      </c>
      <c r="D94" t="b">
        <f>NOT(ISERROR(VLOOKUP(A94,'Charging Station Testcases'!E:E,1,FALSE)=A94))</f>
        <v>0</v>
      </c>
      <c r="F94" t="s">
        <v>117</v>
      </c>
      <c r="G94" s="6" t="str">
        <f>VLOOKUP(F94,'Optional features'!B:D,3,FALSE)</f>
        <v>No</v>
      </c>
    </row>
    <row r="95" spans="1:7" x14ac:dyDescent="0.25">
      <c r="A95" t="s">
        <v>923</v>
      </c>
      <c r="B95" s="6" t="b">
        <f>AND(VLOOKUP("C-10.1",'Optional features'!B:D,3,FALSE)="Yes",OR(VLOOKUP("C-52",'Optional features'!B:D,3,FALSE)="Yes", NOT(OR(VLOOKUP("C-10.3",'Optional features'!B:D,3,FALSE)="Yes", VLOOKUP("C-10.4",'Optional features'!B:D,3,FALSE)="Yes"))),AND(VLOOKUP("C-10.2",'Optional features'!B:D,3,FALSE)="Yes", NOT(VLOOKUP("C-52",'Optional features'!B:D,3,FALSE)="Yes"),NOT(VLOOKUP("C-06.1",'Optional features'!B:D,3,FALSE)="Yes")),OR(VLOOKUP("AQ-9",'Additional questions'!B:D,3,FALSE)="Yes",VLOOKUP("Product Subtype",'Hardware Feature set'!C:D,2,FALSE)="Mode 1/2-only Charging Station"))</f>
        <v>0</v>
      </c>
      <c r="C95" t="b">
        <v>1</v>
      </c>
      <c r="D95" t="b">
        <f>NOT(ISERROR(VLOOKUP(A95,'Charging Station Testcases'!E:E,1,FALSE)=A95))</f>
        <v>0</v>
      </c>
      <c r="F95" t="s">
        <v>118</v>
      </c>
      <c r="G95" s="6" t="str">
        <f>VLOOKUP(F95,'Optional features'!B:D,3,FALSE)</f>
        <v>No</v>
      </c>
    </row>
    <row r="96" spans="1:7" x14ac:dyDescent="0.25">
      <c r="A96" t="s">
        <v>1756</v>
      </c>
      <c r="B96" s="6" t="b">
        <f>AND(AND(VLOOKUP("C-10.1",'Optional features'!B:D,3,FALSE)="Yes",NOT(AND(NOT(VLOOKUP("C-52",'Optional features'!B:D,3,FALSE)="Yes"),OR(VLOOKUP("C-10.3",'Optional features'!B:D,3,FALSE)="Yes",VLOOKUP("C-10.4",'Optional features'!B:D,3,FALSE)="Yes"))),NOT(AND(NOT(VLOOKUP("C-06.1",'Optional features'!B:D,3,FALSE)="Yes"),NOT(VLOOKUP("C-52",'Optional features'!B:D,3,FALSE)="Yes"),VLOOKUP("C-10.2",'Optional features'!B:D,3,FALSE)="Yes"))),OR(VLOOKUP("AQ-9",'Additional questions'!B:D,3,FALSE)="Yes",VLOOKUP("Product Subtype",'Hardware Feature set'!C:D,2,FALSE)="Mode 1/2-only Charging Station"), NOT(VLOOKUP("Product Subtype",'Hardware Feature set'!C:D,2,FALSE)="Wireless Charging Station"))</f>
        <v>0</v>
      </c>
      <c r="C96" t="b">
        <v>1</v>
      </c>
      <c r="D96" t="b">
        <f>NOT(ISERROR(VLOOKUP(A96,'Charging Station Testcases'!E:E,1,FALSE)=A96))</f>
        <v>1</v>
      </c>
      <c r="F96" t="s">
        <v>119</v>
      </c>
      <c r="G96" s="6" t="str">
        <f>VLOOKUP(F96,'Optional features'!B:D,3,FALSE)</f>
        <v>No</v>
      </c>
    </row>
    <row r="97" spans="1:7" x14ac:dyDescent="0.25">
      <c r="A97" t="s">
        <v>1720</v>
      </c>
      <c r="B97" s="6" t="b">
        <f>AND(VLOOKUP("C-10.1",'Optional features'!B:D,3,FALSE)="Yes",NOT(AND(NOT(VLOOKUP("C-52",'Optional features'!B:D,3,FALSE)="Yes"),OR(VLOOKUP("C-10.2",'Optional features'!B:D,3,FALSE)="Yes",VLOOKUP("C-10.3",'Optional features'!B:D,3,FALSE)="Yes",VLOOKUP("C-10.4",'Optional features'!B:D,3,FALSE)="Yes"))),OR(VLOOKUP("HFS-4",'Hardware Feature set'!B:D,3,FALSE)="Yes",VLOOKUP("ISO 15118 Support",'Profile selection'!B:C,2,FALSE)="Yes", VLOOKUP("Product Subtype",'Hardware Feature set'!C:D,2,FALSE)="Wireless Charging Station"),NOT(VLOOKUP("Product Subtype",'Hardware Feature set'!C:D,2,FALSE)="Mode 1/2-only Charging Station"))</f>
        <v>0</v>
      </c>
      <c r="C97" t="b">
        <v>1</v>
      </c>
      <c r="D97" t="b">
        <f>NOT(ISERROR(VLOOKUP(A97,'Charging Station Testcases'!E:E,1,FALSE)=A97))</f>
        <v>1</v>
      </c>
      <c r="F97" t="s">
        <v>120</v>
      </c>
      <c r="G97" s="6" t="str">
        <f>VLOOKUP(F97,'Optional features'!B:D,3,FALSE)</f>
        <v>No</v>
      </c>
    </row>
    <row r="98" spans="1:7" x14ac:dyDescent="0.25">
      <c r="A98" t="s">
        <v>998</v>
      </c>
      <c r="B98" s="6" t="b">
        <f>OR(VLOOKUP("C-09.2",'Optional features'!B:D,3,FALSE)="Yes",VLOOKUP("C-09.6",'Optional features'!B:D,3,FALSE)="Yes")</f>
        <v>0</v>
      </c>
      <c r="C98" t="b">
        <v>1</v>
      </c>
      <c r="D98" t="b">
        <f>NOT(ISERROR(VLOOKUP(A98,'Charging Station Testcases'!E:E,1,FALSE)=A98))</f>
        <v>0</v>
      </c>
      <c r="F98" t="s">
        <v>121</v>
      </c>
      <c r="G98" s="6" t="str">
        <f>VLOOKUP(F98,'Optional features'!B:D,3,FALSE)</f>
        <v>No</v>
      </c>
    </row>
    <row r="99" spans="1:7" x14ac:dyDescent="0.25">
      <c r="A99" t="s">
        <v>1000</v>
      </c>
      <c r="B99" s="6" t="b">
        <f>AND(OR(VLOOKUP("C-30",'Optional features'!B:D,3,FALSE)="Yes",VLOOKUP("C-31",'Optional features'!B:D,3,FALSE)="Yes",VLOOKUP("C-32",'Optional features'!B:D,3,FALSE)="Yes"),VLOOKUP("AQ-2",'Additional questions'!B:D,3,FALSE)="No")</f>
        <v>0</v>
      </c>
      <c r="C99" t="b">
        <v>1</v>
      </c>
      <c r="D99" t="b">
        <f>NOT(ISERROR(VLOOKUP(A99,'Charging Station Testcases'!E:E,1,FALSE)=A99))</f>
        <v>1</v>
      </c>
      <c r="F99" t="s">
        <v>1009</v>
      </c>
      <c r="G99" s="6" t="str">
        <f>VLOOKUP(F99,'Optional features'!B:D,3,FALSE)</f>
        <v>No</v>
      </c>
    </row>
    <row r="100" spans="1:7" x14ac:dyDescent="0.25">
      <c r="A100" t="s">
        <v>1001</v>
      </c>
      <c r="B100" s="6" t="b">
        <f>AND(OR(VLOOKUP("C-30",'Optional features'!B:D,3,FALSE)="Yes",VLOOKUP("C-31",'Optional features'!B:D,3,FALSE)="Yes",VLOOKUP("C-32",'Optional features'!B:D,3,FALSE)="Yes"),VLOOKUP("AQ-2",'Additional questions'!B:D,3,FALSE)="Yes")</f>
        <v>0</v>
      </c>
      <c r="C100" t="b">
        <v>1</v>
      </c>
      <c r="D100" t="b">
        <f>NOT(ISERROR(VLOOKUP(A100,'Charging Station Testcases'!E:E,1,FALSE)=A100))</f>
        <v>1</v>
      </c>
      <c r="F100" t="s">
        <v>122</v>
      </c>
      <c r="G100" s="6" t="str">
        <f>VLOOKUP(F100,'Optional features'!B:D,3,FALSE)</f>
        <v>No</v>
      </c>
    </row>
    <row r="101" spans="1:7" x14ac:dyDescent="0.25">
      <c r="A101" t="s">
        <v>1002</v>
      </c>
      <c r="B101" s="6" t="b">
        <f>AND(VLOOKUP("C-58",'Optional features'!B:D,3,FALSE)="Yes",OR(VLOOKUP("C-30",'Optional features'!B:D,3,FALSE)="Yes",VLOOKUP("C-31",'Optional features'!B:D,3,FALSE)="Yes",VLOOKUP("C-32",'Optional features'!B:D,3,FALSE)="Yes"),OR(VLOOKUP("C-49",'Optional features'!B:D,3,FALSE)="Yes",VLOOKUP("LA-0",'Optional features'!B:D,3,FALSE)="Yes"))</f>
        <v>0</v>
      </c>
      <c r="C101" t="b">
        <v>1</v>
      </c>
      <c r="D101" t="b">
        <f>NOT(ISERROR(VLOOKUP(A101,'Charging Station Testcases'!E:E,1,FALSE)=A101))</f>
        <v>1</v>
      </c>
      <c r="F101" t="s">
        <v>123</v>
      </c>
      <c r="G101" s="6" t="str">
        <f>VLOOKUP(F101,'Optional features'!B:D,3,FALSE)</f>
        <v>No</v>
      </c>
    </row>
    <row r="102" spans="1:7" x14ac:dyDescent="0.25">
      <c r="A102" t="s">
        <v>1003</v>
      </c>
      <c r="B102" s="6" t="b">
        <f>AND(OR(VLOOKUP("C-10.2",'Optional features'!B:D,3,FALSE)="Yes",VLOOKUP("C-10.3",'Optional features'!B:D,3,FALSE)="Yes"),OR(VLOOKUP("C-30",'Optional features'!B:D,3,FALSE)="Yes",VLOOKUP("C-31",'Optional features'!B:D,3,FALSE)="Yes",VLOOKUP("C-32",'Optional features'!B:D,3,FALSE)="Yes",VLOOKUP("ISO 15118 Support",'Profile selection'!B:C,2,FALSE)="Yes"),VLOOKUP("C-01",'Optional features'!B:D,3,FALSE)="Yes")</f>
        <v>0</v>
      </c>
      <c r="C102" t="b">
        <v>1</v>
      </c>
      <c r="D102" t="b">
        <f>NOT(ISERROR(VLOOKUP(A102,'Charging Station Testcases'!E:E,1,FALSE)=A102))</f>
        <v>0</v>
      </c>
      <c r="F102" t="s">
        <v>125</v>
      </c>
      <c r="G102" s="6" t="str">
        <f>VLOOKUP(F102,'Optional features'!B:D,3,FALSE)</f>
        <v>No</v>
      </c>
    </row>
    <row r="103" spans="1:7" x14ac:dyDescent="0.25">
      <c r="A103" t="s">
        <v>1004</v>
      </c>
      <c r="B103" s="6" t="b">
        <f>OR(AND(VLOOKUP("C-01",'Optional features'!B:D,3,FALSE)="Yes",OR(VLOOKUP("C-30",'Optional features'!B:D,3,FALSE)="Yes",VLOOKUP("C-31",'Optional features'!B:D,3,FALSE)="Yes",VLOOKUP("C-32",'Optional features'!B:D,3,FALSE)="Yes",VLOOKUP("C-33",'Optional features'!B:D,3,FALSE)="Yes",VLOOKUP("C-34",'Optional features'!B:D,3,FALSE)="Yes",VLOOKUP("ISO 15118 Support",'Profile selection'!B:C,2,FALSE)="Yes")),VLOOKUP("C-35",'Optional features'!B:D,3,FALSE)="Yes")</f>
        <v>0</v>
      </c>
      <c r="C103" t="b">
        <v>1</v>
      </c>
      <c r="D103" t="b">
        <f>NOT(ISERROR(VLOOKUP(A103,'Charging Station Testcases'!E:E,1,FALSE)=A103))</f>
        <v>0</v>
      </c>
      <c r="F103" t="s">
        <v>126</v>
      </c>
      <c r="G103" s="6" t="str">
        <f>VLOOKUP(F103,'Optional features'!B:D,3,FALSE)</f>
        <v>No</v>
      </c>
    </row>
    <row r="104" spans="1:7" x14ac:dyDescent="0.25">
      <c r="A104" t="s">
        <v>1011</v>
      </c>
      <c r="B104" s="6" t="b">
        <f>NOT(AND(AND(VLOOKUP("C-30",'Optional features'!B:D,3,FALSE)="No",VLOOKUP("C-31",'Optional features'!B:D,3,FALSE)="No",VLOOKUP("C-32",'Optional features'!B:D,3,FALSE)="No",VLOOKUP("C-33",'Optional features'!B:D,3,FALSE)="No",VLOOKUP("C-34",'Optional features'!B:D,3,FALSE)="No",VLOOKUP("C-35",'Optional features'!B:D,3,FALSE)="No"),AND(VLOOKUP("C-10.1",'Optional features'!B:D,3,FALSE)="No",VLOOKUP("C-10.3",'Optional features'!B:D,3,FALSE)="No",VLOOKUP("C-10.4",'Optional features'!B:D,3,FALSE)="No",VLOOKUP("C-10.5",'Optional features'!B:D,3,FALSE)="No"),VLOOKUP("C-06.2",'Optional features'!B:D,3,FALSE)="No"))</f>
        <v>1</v>
      </c>
      <c r="C104" t="b">
        <v>1</v>
      </c>
      <c r="D104" t="b">
        <f>NOT(ISERROR(VLOOKUP(A104,'Charging Station Testcases'!E:E,1,FALSE)=A104))</f>
        <v>0</v>
      </c>
      <c r="F104" t="s">
        <v>127</v>
      </c>
      <c r="G104" s="6" t="str">
        <f>VLOOKUP(F104,'Optional features'!B:D,3,FALSE)</f>
        <v>No</v>
      </c>
    </row>
    <row r="105" spans="1:7" x14ac:dyDescent="0.25">
      <c r="A105" t="s">
        <v>1023</v>
      </c>
      <c r="B105" s="6" t="b">
        <f>OR(VLOOKUP("C-30",'Optional features'!B:D,3,FALSE)="Yes",VLOOKUP("C-31",'Optional features'!B:D,3,FALSE)="Yes",VLOOKUP("C-32",'Optional features'!B:D,3,FALSE)="Yes",VLOOKUP("C-33",'Optional features'!B:D,3,FALSE)="Yes",VLOOKUP("C-35",'Optional features'!B:D,3,FALSE)="Yes")</f>
        <v>0</v>
      </c>
      <c r="C105" t="b">
        <v>1</v>
      </c>
      <c r="D105" t="b">
        <f>NOT(ISERROR(VLOOKUP(A105,'Charging Station Testcases'!E:E,1,FALSE)=A105))</f>
        <v>0</v>
      </c>
      <c r="F105" t="s">
        <v>129</v>
      </c>
      <c r="G105" s="6" t="str">
        <f>VLOOKUP(F105,'Optional features'!B:D,3,FALSE)</f>
        <v>No</v>
      </c>
    </row>
    <row r="106" spans="1:7" x14ac:dyDescent="0.25">
      <c r="A106" t="s">
        <v>1024</v>
      </c>
      <c r="B106" s="6" t="b">
        <f>AND(VLOOKUP("C-10.2",'Optional features'!B:D,3,FALSE)="Yes",VLOOKUP("C-06.2",'Optional features'!B:D,3,FALSE)="Yes",VLOOKUP("AQ-9",'Additional questions'!B:D,3,FALSE)="Yes",NOT(AND(NOT(VLOOKUP("C-52",'Optional features'!B:D,3,FALSE)="Yes"),OR(VLOOKUP("C-10.1",'Optional features'!B:D,3,FALSE)="Yes",VLOOKUP("C-10.3",'Optional features'!B:D,3,FALSE)="Yes",VLOOKUP("C-10.4",'Optional features'!B:D,3,FALSE)="Yes"))))</f>
        <v>0</v>
      </c>
      <c r="C106" t="b">
        <v>1</v>
      </c>
      <c r="D106" t="b">
        <f>NOT(ISERROR(VLOOKUP(A106,'Charging Station Testcases'!E:E,1,FALSE)=A106))</f>
        <v>0</v>
      </c>
      <c r="F106" t="s">
        <v>130</v>
      </c>
      <c r="G106" s="6" t="str">
        <f>VLOOKUP(F106,'Optional features'!B:D,3,FALSE)</f>
        <v>No</v>
      </c>
    </row>
    <row r="107" spans="1:7" x14ac:dyDescent="0.25">
      <c r="A107" t="s">
        <v>1031</v>
      </c>
      <c r="B107" s="6" t="b">
        <f>VLOOKUP("R-2",'Optional features'!B:D,3,FALSE)="No"</f>
        <v>1</v>
      </c>
      <c r="C107" t="b">
        <v>1</v>
      </c>
      <c r="D107" t="b">
        <f>NOT(ISERROR(VLOOKUP(A107,'Charging Station Testcases'!E:E,1,FALSE)=A107))</f>
        <v>0</v>
      </c>
      <c r="F107" t="s">
        <v>131</v>
      </c>
      <c r="G107" s="6" t="str">
        <f>VLOOKUP(F107,'Optional features'!B:D,3,FALSE)</f>
        <v>No</v>
      </c>
    </row>
    <row r="108" spans="1:7" x14ac:dyDescent="0.25">
      <c r="A108" t="s">
        <v>1049</v>
      </c>
      <c r="B108" s="6" t="b">
        <f>AND(VLOOKUP("C-49",'Optional features'!B:D,3,FALSE)="Yes",VLOOKUP("C-53",'Optional features'!B:D,3,FALSE)="Yes")</f>
        <v>0</v>
      </c>
      <c r="C108" t="b">
        <v>1</v>
      </c>
      <c r="D108" t="b">
        <f>NOT(ISERROR(VLOOKUP(A108,'Charging Station Testcases'!E:E,1,FALSE)=A108))</f>
        <v>0</v>
      </c>
      <c r="F108" t="s">
        <v>132</v>
      </c>
      <c r="G108" s="6" t="str">
        <f>VLOOKUP(F108,'Optional features'!B:D,3,FALSE)</f>
        <v>No</v>
      </c>
    </row>
    <row r="109" spans="1:7" x14ac:dyDescent="0.25">
      <c r="A109" t="s">
        <v>1445</v>
      </c>
      <c r="B109" s="6" t="b">
        <f>AND(VLOOKUP("C-49",'Optional features'!B:D,3,FALSE)="Yes",
OR(VLOOKUP("C-30",'Optional features'!B:D,3,FALSE)="Yes",
VLOOKUP("C-31",'Optional features'!B:D,3,FALSE)="Yes",
AND(VLOOKUP("C-32",'Optional features'!B:D,3,FALSE)="Yes",
VLOOKUP("C-72",'Optional features'!B:D,3,FALSE)="Yes")))</f>
        <v>0</v>
      </c>
      <c r="C109" t="b">
        <v>1</v>
      </c>
      <c r="D109" t="b">
        <f>NOT(ISERROR(VLOOKUP(A109,'Charging Station Testcases'!E:E,1,FALSE)=A109))</f>
        <v>0</v>
      </c>
      <c r="F109" t="s">
        <v>150</v>
      </c>
      <c r="G109" s="6" t="str">
        <f>VLOOKUP(F109,'Additional questions'!B:D,3,FALSE)</f>
        <v>No</v>
      </c>
    </row>
    <row r="110" spans="1:7" x14ac:dyDescent="0.25">
      <c r="A110" t="s">
        <v>1051</v>
      </c>
      <c r="B110" s="6" t="b">
        <f>AND(VLOOKUP("C-49",'Optional features'!B:D,3,FALSE)="Yes",
VLOOKUP("C-03",'Optional features'!B:D,3,FALSE)="Yes",
OR(VLOOKUP("C-30",'Optional features'!B:D,3,FALSE)="Yes",
VLOOKUP("C-31",'Optional features'!B:D,3,FALSE)="Yes",
VLOOKUP("C-32",'Optional features'!B:D,3,FALSE)="Yes",
VLOOKUP("C-34",'Optional features'!B:D,3,FALSE)="Yes"))</f>
        <v>0</v>
      </c>
      <c r="C110" t="b">
        <v>1</v>
      </c>
      <c r="D110" t="b">
        <f>NOT(ISERROR(VLOOKUP(A110,'Charging Station Testcases'!E:E,1,FALSE)=A110))</f>
        <v>0</v>
      </c>
      <c r="F110" t="s">
        <v>151</v>
      </c>
      <c r="G110" s="6" t="str">
        <f>VLOOKUP(F110,'Additional questions'!B:D,3,FALSE)</f>
        <v>No</v>
      </c>
    </row>
    <row r="111" spans="1:7" x14ac:dyDescent="0.25">
      <c r="A111" t="s">
        <v>1052</v>
      </c>
      <c r="B111" s="6" t="b">
        <f>AND(VLOOKUP("C-59",'Optional features'!B:D,3,FALSE)="Yes",VLOOKUP("C-49",'Optional features'!B:D,3,FALSE)="Yes")</f>
        <v>0</v>
      </c>
      <c r="C111" t="b">
        <v>1</v>
      </c>
      <c r="D111" t="b">
        <f>NOT(ISERROR(VLOOKUP(A111,'Charging Station Testcases'!E:E,1,FALSE)=A111))</f>
        <v>0</v>
      </c>
      <c r="F111" t="s">
        <v>153</v>
      </c>
      <c r="G111" s="6" t="str">
        <f>VLOOKUP(F111,'Additional questions'!B:D,3,FALSE)</f>
        <v>No</v>
      </c>
    </row>
    <row r="112" spans="1:7" x14ac:dyDescent="0.25">
      <c r="A112" t="s">
        <v>1053</v>
      </c>
      <c r="B112" s="6" t="b">
        <f>AND(VLOOKUP("C-58",'Optional features'!B:D,3,FALSE)="Yes",
OR(VLOOKUP("C-30",'Optional features'!B:D,3,FALSE)="Yes",
VLOOKUP("C-31",'Optional features'!B:D,3,FALSE)="Yes",
VLOOKUP("C-32",'Optional features'!B:D,3,FALSE)="Yes",
VLOOKUP("C-34",'Optional features'!B:D,3,FALSE)="Yes"),OR(VLOOKUP("C-49",'Optional features'!B:D,3,FALSE)="Yes",
VLOOKUP("LA-0",'Optional features'!B:D,3,FALSE)="Yes"))</f>
        <v>0</v>
      </c>
      <c r="C112" t="b">
        <v>1</v>
      </c>
      <c r="D112" t="b">
        <f>NOT(ISERROR(VLOOKUP(A112,'Charging Station Testcases'!E:E,1,FALSE)=A112))</f>
        <v>0</v>
      </c>
      <c r="F112" t="s">
        <v>155</v>
      </c>
      <c r="G112" s="6" t="str">
        <f>VLOOKUP(F112,'Additional questions'!B:D,3,FALSE)</f>
        <v>No</v>
      </c>
    </row>
    <row r="113" spans="1:7" x14ac:dyDescent="0.25">
      <c r="A113" t="s">
        <v>1054</v>
      </c>
      <c r="B113" s="6" t="b">
        <f>AND(OR(VLOOKUP("C-30",'Optional features'!B:D,3,FALSE)="Yes",
VLOOKUP("C-31",'Optional features'!B:D,3,FALSE)="Yes",
VLOOKUP("C-32",'Optional features'!B:D,3,FALSE)="Yes",
VLOOKUP("C-34",'Optional features'!B:D,3,FALSE)="Yes"),OR(VLOOKUP("C-49",'Optional features'!B:D,3,FALSE)="Yes",
VLOOKUP("LA-0",'Optional features'!B:D,3,FALSE)="Yes"))</f>
        <v>0</v>
      </c>
      <c r="C113" t="b">
        <v>1</v>
      </c>
      <c r="D113" t="b">
        <f>NOT(ISERROR(VLOOKUP(A113,'Charging Station Testcases'!E:E,1,FALSE)=A113))</f>
        <v>0</v>
      </c>
      <c r="F113" t="s">
        <v>157</v>
      </c>
      <c r="G113" s="6" t="str">
        <f>VLOOKUP(F113,'Additional questions'!B:D,3,FALSE)</f>
        <v>No</v>
      </c>
    </row>
    <row r="114" spans="1:7" x14ac:dyDescent="0.25">
      <c r="A114" t="s">
        <v>1055</v>
      </c>
      <c r="B114" s="6" t="b">
        <f>OR(VLOOKUP("C-30",'Optional features'!B:D,3,FALSE)="Yes",
VLOOKUP("C-31",'Optional features'!B:D,3,FALSE)="Yes",
VLOOKUP("C-32",'Optional features'!B:D,3,FALSE)="Yes",
VLOOKUP("C-34",'Optional features'!B:D,3,FALSE)="Yes")</f>
        <v>0</v>
      </c>
      <c r="C114" t="b">
        <v>1</v>
      </c>
      <c r="D114" t="b">
        <f>NOT(ISERROR(VLOOKUP(A114,'Charging Station Testcases'!E:E,1,FALSE)=A114))</f>
        <v>0</v>
      </c>
      <c r="F114" t="s">
        <v>159</v>
      </c>
      <c r="G114" s="6" t="str">
        <f>VLOOKUP(F114,'Additional questions'!B:D,3,FALSE)</f>
        <v>No</v>
      </c>
    </row>
    <row r="115" spans="1:7" x14ac:dyDescent="0.25">
      <c r="A115" t="s">
        <v>1103</v>
      </c>
      <c r="B115" s="6" t="b">
        <f>AND(VLOOKUP("C-49",'Optional features'!B:D,3,FALSE)="Yes",
VLOOKUP("C-53",'Optional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5" t="b">
        <v>1</v>
      </c>
      <c r="D115" t="b">
        <f>NOT(ISERROR(VLOOKUP(A115,'Charging Station Testcases'!E:E,1,FALSE)=A115))</f>
        <v>0</v>
      </c>
      <c r="F115" t="s">
        <v>161</v>
      </c>
      <c r="G115" s="6" t="str">
        <f>VLOOKUP(F115,'Additional questions'!B:D,3,FALSE)</f>
        <v>No</v>
      </c>
    </row>
    <row r="116" spans="1:7" x14ac:dyDescent="0.25">
      <c r="A116" t="s">
        <v>1102</v>
      </c>
      <c r="B116" s="6" t="b">
        <f>AND(VLOOKUP("C-49",'Optional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6" t="b">
        <v>1</v>
      </c>
      <c r="D116" t="b">
        <f>NOT(ISERROR(VLOOKUP(A116,'Charging Station Testcases'!E:E,1,FALSE)=A116))</f>
        <v>0</v>
      </c>
      <c r="F116" t="s">
        <v>850</v>
      </c>
      <c r="G116" s="6" t="str">
        <f>VLOOKUP(F116,'Additional questions'!B:D,3,FALSE)</f>
        <v>No</v>
      </c>
    </row>
    <row r="117" spans="1:7" x14ac:dyDescent="0.25">
      <c r="A117" t="s">
        <v>1104</v>
      </c>
      <c r="B117" s="6" t="b">
        <f>AND(VLOOKUP("C-59",'Optional features'!B:D,3,FALSE)="Yes",
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7" t="b">
        <v>1</v>
      </c>
      <c r="D117" t="b">
        <f>NOT(ISERROR(VLOOKUP(A117,'Charging Station Testcases'!E:E,1,FALSE)=A117))</f>
        <v>0</v>
      </c>
      <c r="F117" t="s">
        <v>1105</v>
      </c>
      <c r="G117" s="6" t="str">
        <f>VLOOKUP(F117,'Additional questions'!B:D,3,FALSE)</f>
        <v>No</v>
      </c>
    </row>
    <row r="118" spans="1:7" x14ac:dyDescent="0.25">
      <c r="A118" t="s">
        <v>1110</v>
      </c>
      <c r="B118" s="6" t="b">
        <f>VLOOKUP("AQ-11",'Additional questions'!B:D,3,FALSE)="No"</f>
        <v>1</v>
      </c>
      <c r="C118" t="b">
        <v>1</v>
      </c>
      <c r="D118" t="b">
        <f>NOT(ISERROR(VLOOKUP(A118,'Charging Station Testcases'!E:E,1,FALSE)=A118))</f>
        <v>1</v>
      </c>
      <c r="F118" t="s">
        <v>1108</v>
      </c>
      <c r="G118" s="6" t="str">
        <f>VLOOKUP(F118,'Additional questions'!B:D,3,FALSE)</f>
        <v>No</v>
      </c>
    </row>
    <row r="119" spans="1:7" x14ac:dyDescent="0.25">
      <c r="A119" t="s">
        <v>1237</v>
      </c>
      <c r="B119" s="6" t="b">
        <f>AND(VLOOKUP("AQ-1",'Additional questions'!B:D,3,FALSE)="Yes",VLOOKUP("C-61",'Optional features'!B:D,3,FALSE)="Yes")</f>
        <v>0</v>
      </c>
      <c r="C119" t="b">
        <v>1</v>
      </c>
      <c r="D119" t="b">
        <f>NOT(ISERROR(VLOOKUP(A119,'Charging Station Testcases'!E:E,1,FALSE)=A119))</f>
        <v>1</v>
      </c>
      <c r="F119" t="s">
        <v>14</v>
      </c>
      <c r="G119" s="6" t="str">
        <f>VLOOKUP(F119,'Hardware Feature set'!B:D,3,FALSE)</f>
        <v>No</v>
      </c>
    </row>
    <row r="120" spans="1:7" x14ac:dyDescent="0.25">
      <c r="F120" t="s">
        <v>17</v>
      </c>
      <c r="G120" s="6" t="str">
        <f>VLOOKUP(F120,'Hardware Feature set'!B:D,3,FALSE)</f>
        <v>No</v>
      </c>
    </row>
    <row r="121" spans="1:7" x14ac:dyDescent="0.25">
      <c r="F121" t="s">
        <v>19</v>
      </c>
      <c r="G121" s="6" t="str">
        <f>VLOOKUP(F121,'Hardware Feature set'!B:D,3,FALSE)</f>
        <v>No</v>
      </c>
    </row>
    <row r="122" spans="1:7" x14ac:dyDescent="0.25">
      <c r="F122" t="s">
        <v>22</v>
      </c>
      <c r="G122" s="6" t="str">
        <f>VLOOKUP(F122,'Hardware Feature set'!B:D,3,FALSE)</f>
        <v>No</v>
      </c>
    </row>
    <row r="123" spans="1:7" x14ac:dyDescent="0.25">
      <c r="F123" t="s">
        <v>1212</v>
      </c>
      <c r="G123" s="6" t="str">
        <f>VLOOKUP(F123,'Optional features'!B:D,3,FALSE)</f>
        <v>No</v>
      </c>
    </row>
    <row r="124" spans="1:7" x14ac:dyDescent="0.25">
      <c r="A124" t="s">
        <v>1115</v>
      </c>
      <c r="B124" s="6" t="str">
        <f>DEC2HEX(G24)&amp;"-"&amp;DEC2HEX(B133)</f>
        <v>5DD41547-EB64F08D</v>
      </c>
      <c r="F124" t="s">
        <v>1285</v>
      </c>
      <c r="G124" s="6" t="str">
        <f>VLOOKUP(F124,'Optional features'!B:D,3,FALSE)</f>
        <v>No</v>
      </c>
    </row>
    <row r="125" spans="1:7" x14ac:dyDescent="0.25">
      <c r="A125" t="s">
        <v>1116</v>
      </c>
      <c r="B125" s="6" t="e" cm="1" vm="1">
        <f t="array" ref="B125">DEC2HEX(G24)&amp;"-"&amp;DEC2HEX(CalculateConfigID(C125))</f>
        <v>#VALUE!</v>
      </c>
      <c r="C125" t="str">
        <f>_xlfn.CONCAT('OCPP family members'!F13:F33)</f>
        <v/>
      </c>
      <c r="F125" t="s">
        <v>1286</v>
      </c>
      <c r="G125" s="6" t="str">
        <f>VLOOKUP(F125,'Optional features'!B:D,3,FALSE)</f>
        <v>No</v>
      </c>
    </row>
    <row r="126" spans="1:7" x14ac:dyDescent="0.25">
      <c r="A126" t="s">
        <v>1117</v>
      </c>
      <c r="B126" s="6" t="e" cm="1" vm="1">
        <f t="array" ref="B126">DEC2HEX(G24)&amp;"-"&amp;DEC2HEX(CalculateConfigID(C126))</f>
        <v>#VALUE!</v>
      </c>
      <c r="C126" t="str">
        <f>_xlfn.CONCAT('OCPP family members'!G13:G33)</f>
        <v/>
      </c>
      <c r="F126" t="s">
        <v>1248</v>
      </c>
      <c r="G126" s="6" t="s">
        <v>21</v>
      </c>
    </row>
    <row r="127" spans="1:7" x14ac:dyDescent="0.25">
      <c r="A127" t="s">
        <v>1118</v>
      </c>
      <c r="B127" s="6" t="e" cm="1" vm="1">
        <f t="array" ref="B127">DEC2HEX(G24)&amp;"-"&amp;DEC2HEX(CalculateConfigID(C127))</f>
        <v>#VALUE!</v>
      </c>
      <c r="C127" t="str">
        <f>_xlfn.CONCAT('OCPP family members'!H13:H33)</f>
        <v/>
      </c>
      <c r="F127" t="s">
        <v>1262</v>
      </c>
      <c r="G127" s="6" t="s">
        <v>21</v>
      </c>
    </row>
    <row r="128" spans="1:7" x14ac:dyDescent="0.25">
      <c r="A128" t="s">
        <v>1119</v>
      </c>
      <c r="B128" s="6" t="e" cm="1" vm="1">
        <f t="array" ref="B128">DEC2HEX(G24)&amp;"-"&amp;DEC2HEX(CalculateConfigID(C128))</f>
        <v>#VALUE!</v>
      </c>
      <c r="C128" t="str">
        <f>_xlfn.CONCAT('OCPP family members'!I13:I33)</f>
        <v/>
      </c>
      <c r="F128" t="s">
        <v>1263</v>
      </c>
      <c r="G128" s="6" t="s">
        <v>21</v>
      </c>
    </row>
    <row r="129" spans="1:7" x14ac:dyDescent="0.25">
      <c r="A129" t="s">
        <v>1120</v>
      </c>
      <c r="B129" s="6" t="e" cm="1" vm="1">
        <f t="array" ref="B129">DEC2HEX(G24)&amp;"-"&amp;DEC2HEX(CalculateConfigID(C129))</f>
        <v>#VALUE!</v>
      </c>
      <c r="C129" t="str">
        <f>_xlfn.CONCAT('OCPP family members'!J13:J33)</f>
        <v/>
      </c>
      <c r="F129" t="s">
        <v>1264</v>
      </c>
      <c r="G129" s="6" t="s">
        <v>21</v>
      </c>
    </row>
    <row r="130" spans="1:7" x14ac:dyDescent="0.25">
      <c r="A130" t="s">
        <v>1121</v>
      </c>
      <c r="B130" s="6" t="e" cm="1" vm="1">
        <f t="array" ref="B130">DEC2HEX(G24)&amp;"-"&amp;DEC2HEX(CalculateConfigID(C130))</f>
        <v>#VALUE!</v>
      </c>
      <c r="C130" t="str">
        <f>_xlfn.CONCAT('OCPP family members'!K13:K33)</f>
        <v/>
      </c>
      <c r="F130" t="s">
        <v>1265</v>
      </c>
      <c r="G130" s="6" t="s">
        <v>21</v>
      </c>
    </row>
    <row r="131" spans="1:7" x14ac:dyDescent="0.25">
      <c r="A131" t="s">
        <v>1122</v>
      </c>
      <c r="B131" s="6" t="e" cm="1" vm="1">
        <f t="array" ref="B131">DEC2HEX(G24)&amp;"-"&amp;DEC2HEX(CalculateConfigID(C131))</f>
        <v>#VALUE!</v>
      </c>
      <c r="C131" t="str">
        <f>_xlfn.CONCAT('OCPP family members'!L13:L33)</f>
        <v/>
      </c>
      <c r="F131" t="s">
        <v>1266</v>
      </c>
      <c r="G131" s="6" t="s">
        <v>21</v>
      </c>
    </row>
    <row r="132" spans="1:7" x14ac:dyDescent="0.25">
      <c r="F132" t="s">
        <v>1267</v>
      </c>
      <c r="G132" s="6" t="s">
        <v>21</v>
      </c>
    </row>
    <row r="133" spans="1:7" x14ac:dyDescent="0.25">
      <c r="A133" t="s">
        <v>1114</v>
      </c>
      <c r="B133" s="6" cm="1">
        <f t="array" ref="B133">CalculateConfigID(C133)</f>
        <v>3949260941</v>
      </c>
      <c r="C133" t="str" cm="1">
        <f t="array" ref="C133">SUBSTITUTE(_xlfn.CONCAT(TRIM(_xlfn.REGEXREPLACE(G2:G18, "\n", " ", 0) &amp; "")), " ", "")</f>
        <v>1&lt;specifysupportedcommunicationtechnology/ies&gt;&lt;selectRFIDReaderconfiguration&gt;&lt;specifythenumberofdisplaysonyourproduct&gt;&lt;specifyDCpowerlevel&gt;No&lt;willbefilledinbytestlab&gt;&lt;willbefilledinbytestlab&gt;&lt;willbefilledinbytestlab&gt;&lt;willbefilledinbytestlab&gt;&lt;willbefilledinbytestlab&gt;NoNoNoNoNoNo</v>
      </c>
      <c r="F133" t="s">
        <v>1261</v>
      </c>
      <c r="G133" s="6" t="s">
        <v>21</v>
      </c>
    </row>
    <row r="134" spans="1:7" x14ac:dyDescent="0.25">
      <c r="F134" t="s">
        <v>1260</v>
      </c>
      <c r="G134" s="6" t="s">
        <v>21</v>
      </c>
    </row>
    <row r="135" spans="1:7" x14ac:dyDescent="0.25">
      <c r="F135" t="s">
        <v>1259</v>
      </c>
      <c r="G135" s="6" t="s">
        <v>21</v>
      </c>
    </row>
    <row r="136" spans="1:7" x14ac:dyDescent="0.25">
      <c r="F136" t="s">
        <v>1258</v>
      </c>
      <c r="G136" s="6" t="s">
        <v>16</v>
      </c>
    </row>
    <row r="137" spans="1:7" x14ac:dyDescent="0.25">
      <c r="F137" t="s">
        <v>1257</v>
      </c>
      <c r="G137" s="6" t="s">
        <v>16</v>
      </c>
    </row>
    <row r="138" spans="1:7" x14ac:dyDescent="0.25">
      <c r="A138" t="s">
        <v>1311</v>
      </c>
      <c r="B138" s="6" t="b">
        <f xml:space="preserve"> OR(VLOOKUP("C-70",'Optional features'!B:D,3,FALSE)="Yes", VLOOKUP("C-71",'Optional features'!B:D,3,FALSE)="Yes", VLOOKUP("C-72",'Optional features'!B:D,3,FALSE)="Yes")</f>
        <v>0</v>
      </c>
      <c r="C138" t="b">
        <v>1</v>
      </c>
      <c r="D138" t="b">
        <f>NOT(ISERROR(VLOOKUP(A138,'Charging Station Testcases'!E:E,1,FALSE)=A138))</f>
        <v>1</v>
      </c>
      <c r="F138" t="s">
        <v>1256</v>
      </c>
      <c r="G138" s="6" t="s">
        <v>16</v>
      </c>
    </row>
    <row r="139" spans="1:7" x14ac:dyDescent="0.25">
      <c r="A139" t="s">
        <v>1313</v>
      </c>
      <c r="B139" s="6" t="b">
        <f>OR(VLOOKUP("C-70",'Optional features'!B:D,3,FALSE)="Yes", VLOOKUP("C-71",'Optional features'!B:D,3,FALSE)="Yes", VLOOKUP("C-72",'Optional features'!B:D,3,FALSE)="Yes", VLOOKUP("C-75",'Optional features'!B:D,3,FALSE)="Yes")</f>
        <v>0</v>
      </c>
      <c r="C139" t="b">
        <v>1</v>
      </c>
      <c r="D139" t="b">
        <f>NOT(ISERROR(VLOOKUP(A139,'Charging Station Testcases'!E:E,1,FALSE)=A139))</f>
        <v>1</v>
      </c>
      <c r="F139" t="s">
        <v>1255</v>
      </c>
      <c r="G139" s="6" t="s">
        <v>16</v>
      </c>
    </row>
    <row r="140" spans="1:7" x14ac:dyDescent="0.25">
      <c r="A140" t="s">
        <v>1315</v>
      </c>
      <c r="B140" s="6" t="b">
        <f>OR(AND(VLOOKUP("C-30",'Optional features'!B:D,3,FALSE)="Yes", VLOOKUP("C-70",'Optional features'!B:D,3,FALSE)="Yes"), AND(VLOOKUP("C-31",'Optional features'!B:D,3,FALSE)="Yes", VLOOKUP("C-71",'Optional features'!B:D,3,FALSE)="Yes"), AND(VLOOKUP("C-32",'Optional features'!B:D,3,FALSE)="Yes", VLOOKUP("C-72",'Optional features'!B:D,3,FALSE)="Yes"))</f>
        <v>0</v>
      </c>
      <c r="C140" t="b">
        <v>1</v>
      </c>
      <c r="D140" t="b">
        <f>NOT(ISERROR(VLOOKUP(A140,'Charging Station Testcases'!E:E,1,FALSE)=A140))</f>
        <v>1</v>
      </c>
      <c r="F140" t="s">
        <v>1254</v>
      </c>
      <c r="G140" s="6" t="s">
        <v>16</v>
      </c>
    </row>
    <row r="141" spans="1:7" x14ac:dyDescent="0.25">
      <c r="A141" t="s">
        <v>1716</v>
      </c>
      <c r="B141" s="6" t="b">
        <f>AND(OR(AND(VLOOKUP("C-30",'Optional features'!B:D,3,FALSE)="Yes", VLOOKUP("C-70",'Optional features'!B:D,3,FALSE)="Yes"), AND(VLOOKUP("C-31",'Optional features'!B:D,3,FALSE)="Yes", VLOOKUP("C-71",'Optional features'!B:D,3,FALSE)="Yes"), AND(VLOOKUP("C-32",'Optional features'!B:D,3,FALSE)="Yes", VLOOKUP("C-72",'Optional features'!B:D,3,FALSE)="Yes")), OR(VLOOKUP("C-07",'Optional features'!B:D,3,FALSE)="Yes", VLOOKUP("C-08",'Optional features'!B:D,3,FALSE)="Yes"))</f>
        <v>0</v>
      </c>
      <c r="C141" t="b">
        <v>1</v>
      </c>
      <c r="D141" t="b">
        <f>NOT(ISERROR(VLOOKUP(A141,'Charging Station Testcases'!E:E,1,FALSE)=A141))</f>
        <v>1</v>
      </c>
      <c r="F141" t="s">
        <v>1253</v>
      </c>
      <c r="G141" s="6" t="s">
        <v>16</v>
      </c>
    </row>
    <row r="142" spans="1:7" x14ac:dyDescent="0.25">
      <c r="A142" t="s">
        <v>1319</v>
      </c>
      <c r="B142" s="6" t="b">
        <f>AND(VLOOKUP("C-02",'Optional features'!B:D,3,FALSE)="Yes", OR(VLOOKUP("C-30",'Optional features'!B:D,3,FALSE)="Yes", VLOOKUP("C-31",'Optional features'!B:D,3,FALSE)="Yes", VLOOKUP("C-32",'Optional features'!B:D,3,FALSE)="Yes", VLOOKUP("C-33",'Optional features'!B:D,3,FALSE)="Yes", VLOOKUP("C-34",'Optional features'!B:D,3,FALSE)="Yes"))</f>
        <v>0</v>
      </c>
      <c r="C142" t="b">
        <v>1</v>
      </c>
      <c r="D142" t="b">
        <f>NOT(ISERROR(VLOOKUP(A142,'Charging Station Testcases'!E:E,1,FALSE)=A142))</f>
        <v>1</v>
      </c>
      <c r="F142" t="s">
        <v>1252</v>
      </c>
      <c r="G142" s="6" t="s">
        <v>16</v>
      </c>
    </row>
    <row r="143" spans="1:7" x14ac:dyDescent="0.25">
      <c r="A143" t="s">
        <v>1321</v>
      </c>
      <c r="B143" s="6" t="b">
        <f>AND(VLOOKUP("C-07",'Optional features'!B:D,3,FALSE)="Yes", OR(VLOOKUP("C-70",'Optional features'!B:D,3,FALSE)="Yes", VLOOKUP("C-71",'Optional features'!B:D,3,FALSE)="Yes", VLOOKUP("C-72",'Optional features'!B:D,3,FALSE)="Yes"))</f>
        <v>0</v>
      </c>
      <c r="C143" t="b">
        <v>1</v>
      </c>
      <c r="D143" t="b">
        <f>NOT(ISERROR(VLOOKUP(A143,'Charging Station Testcases'!E:E,1,FALSE)=A143))</f>
        <v>1</v>
      </c>
      <c r="F143" t="s">
        <v>1251</v>
      </c>
      <c r="G143" s="6" t="s">
        <v>16</v>
      </c>
    </row>
    <row r="144" spans="1:7" x14ac:dyDescent="0.25">
      <c r="A144" t="s">
        <v>1324</v>
      </c>
      <c r="B144" s="6" t="b">
        <f>AND(VLOOKUP("C-08",'Optional features'!B:D,3,FALSE)="Yes", OR(VLOOKUP("C-70",'Optional features'!B:D,3,FALSE)="Yes", VLOOKUP("C-71",'Optional features'!B:D,3,FALSE)="Yes", VLOOKUP("C-72",'Optional features'!B:D,3,FALSE)="Yes"))</f>
        <v>0</v>
      </c>
      <c r="C144" t="b">
        <v>1</v>
      </c>
      <c r="D144" t="b">
        <f>NOT(ISERROR(VLOOKUP(A144,'Charging Station Testcases'!E:E,1,FALSE)=A144))</f>
        <v>1</v>
      </c>
      <c r="F144" t="s">
        <v>1250</v>
      </c>
      <c r="G144" s="6" t="s">
        <v>16</v>
      </c>
    </row>
    <row r="145" spans="1:7" x14ac:dyDescent="0.25">
      <c r="A145" t="s">
        <v>1714</v>
      </c>
      <c r="B145"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5" t="b">
        <v>1</v>
      </c>
      <c r="D145" t="b">
        <f>NOT(ISERROR(VLOOKUP(A145,'Charging Station Testcases'!E:E,1,FALSE)=A145))</f>
        <v>1</v>
      </c>
      <c r="F145" t="s">
        <v>1249</v>
      </c>
      <c r="G145" s="6" t="s">
        <v>16</v>
      </c>
    </row>
    <row r="146" spans="1:7" x14ac:dyDescent="0.25">
      <c r="A146" t="s">
        <v>1715</v>
      </c>
      <c r="B146" s="6" t="b">
        <f>AND(VLOOKUP("C-49",'Optional features'!B:D,3,FALSE)="Yes",VLOOKUP("C-53",'Optional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6" t="b">
        <v>1</v>
      </c>
      <c r="D146" t="b">
        <f>NOT(ISERROR(VLOOKUP(A146,'Charging Station Testcases'!E:E,1,FALSE)=A146))</f>
        <v>1</v>
      </c>
    </row>
    <row r="147" spans="1:7" x14ac:dyDescent="0.25">
      <c r="A147" t="s">
        <v>1713</v>
      </c>
      <c r="B147"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7" t="b">
        <v>1</v>
      </c>
      <c r="D147" t="b">
        <f>NOT(ISERROR(VLOOKUP(A147,'Charging Station Testcases'!E:E,1,FALSE)=A147))</f>
        <v>1</v>
      </c>
    </row>
    <row r="148" spans="1:7" x14ac:dyDescent="0.25">
      <c r="A148" t="s">
        <v>1711</v>
      </c>
      <c r="B148" s="6" t="b">
        <f>AND(VLOOKUP("C-49",'Optional features'!B:D,3,FALSE)="Yes", VLOOKUP("C-03",'Optional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8" t="b">
        <v>1</v>
      </c>
      <c r="D148" t="b">
        <f>NOT(ISERROR(VLOOKUP(A148,'Charging Station Testcases'!E:E,1,FALSE)=A148))</f>
        <v>1</v>
      </c>
    </row>
    <row r="149" spans="1:7" x14ac:dyDescent="0.25">
      <c r="A149" t="s">
        <v>1712</v>
      </c>
      <c r="B149" s="6" t="b">
        <f>AND(VLOOKUP("C-59",'Optional features'!B:D,3,FALSE)="Yes",VLOOKUP("C-49",'Optional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9" t="b">
        <v>1</v>
      </c>
      <c r="D149" t="b">
        <f>NOT(ISERROR(VLOOKUP(A149,'Charging Station Testcases'!E:E,1,FALSE)=A149))</f>
        <v>1</v>
      </c>
    </row>
    <row r="150" spans="1:7" x14ac:dyDescent="0.25">
      <c r="A150" t="s">
        <v>1347</v>
      </c>
      <c r="B150" s="6" t="b">
        <f>AND(NOT(VLOOKUP("AQ-2",'Additional questions'!B:D,3,FALSE)="Yes"),OR(VLOOKUP("C-30",'Optional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0" t="b">
        <v>1</v>
      </c>
      <c r="D150" t="b">
        <f>NOT(ISERROR(VLOOKUP(A150,'Charging Station Testcases'!E:E,1,FALSE)=A150))</f>
        <v>1</v>
      </c>
    </row>
    <row r="151" spans="1:7" x14ac:dyDescent="0.25">
      <c r="A151" t="s">
        <v>1349</v>
      </c>
      <c r="B151" s="6" t="b">
        <f>OR(VLOOKUP("C-30",'Optional features'!B:D,3,FALSE)="Yes", VLOOKUP("C-31",'Optional features'!B:D,3,FALSE)="Yes", VLOOKUP("C-32",'Optional features'!B:D,3,FALSE)="Yes", VLOOKUP("C-33",'Optional features'!B:D,3,FALSE)="Yes", VLOOKUP("C-35",'Optional features'!B:D,3,FALSE)="Yes")</f>
        <v>0</v>
      </c>
      <c r="C151" t="b">
        <v>1</v>
      </c>
      <c r="D151" t="b">
        <f>NOT(ISERROR(VLOOKUP(A151,'Charging Station Testcases'!E:E,1,FALSE)=A151))</f>
        <v>1</v>
      </c>
    </row>
    <row r="152" spans="1:7" x14ac:dyDescent="0.25">
      <c r="A152" t="s">
        <v>1354</v>
      </c>
      <c r="B152" s="6" t="b">
        <f>AND(VLOOKUP("C-09.2",'Optional features'!B:D,3,FALSE)="Yes",OR(VLOOKUP("C-30",'Optional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2" t="b">
        <v>1</v>
      </c>
      <c r="D152" t="b">
        <f>NOT(ISERROR(VLOOKUP(A152,'Charging Station Testcases'!E:E,1,FALSE)=A152))</f>
        <v>1</v>
      </c>
    </row>
    <row r="153" spans="1:7" x14ac:dyDescent="0.25">
      <c r="A153" t="s">
        <v>1365</v>
      </c>
      <c r="B153" s="6" t="b">
        <f>AND(VLOOKUP("C-10.2",'Optional features'!B:D,3,FALSE)="Yes",OR(VLOOKUP("C-70",'Optional features'!B:D,3,FALSE)="Yes", VLOOKUP("C-71",'Optional features'!B:D,3,FALSE)="Yes", VLOOKUP("C-72",'Optional features'!B:D,3,FALSE)="Yes", VLOOKUP("C-75",'Optional features'!B:D,3,FALSE)="Yes"))</f>
        <v>0</v>
      </c>
      <c r="C153" t="b">
        <v>1</v>
      </c>
      <c r="D153" t="b">
        <f>NOT(ISERROR(VLOOKUP(A153,'Charging Station Testcases'!E:E,1,FALSE)=A153))</f>
        <v>1</v>
      </c>
    </row>
    <row r="154" spans="1:7" x14ac:dyDescent="0.25">
      <c r="A154" t="s">
        <v>1368</v>
      </c>
      <c r="B154" s="6" t="b">
        <f xml:space="preserve"> AND(OR(VLOOKUP("C-10.2",'Optional features'!B:D,3,FALSE)="Yes", VLOOKUP("C-10.3",'Optional features'!B:D,3,FALSE)="Yes"), VLOOKUP("C-01",'Optional features'!B:D,3,FALSE)="Yes", NOT(VLOOKUP("C-35",'Optional features'!B:D,3,FALSE)="Yes"))</f>
        <v>0</v>
      </c>
      <c r="C154" t="b">
        <v>1</v>
      </c>
      <c r="D154" t="b">
        <f>NOT(ISERROR(VLOOKUP(A154,'Charging Station Testcases'!E:E,1,FALSE)=A154))</f>
        <v>1</v>
      </c>
    </row>
    <row r="155" spans="1:7" x14ac:dyDescent="0.25">
      <c r="A155" t="s">
        <v>1371</v>
      </c>
      <c r="B155" s="6" t="b">
        <f>AND(VLOOKUP("C-10.3",'Optional features'!B:D,3,FALSE)="Yes", OR(VLOOKUP("C-52",'Optional features'!B:D,3,FALSE)="Yes", NOT(VLOOKUP("C-10.2",'Optional features'!B:D,3,FALSE)="Yes")), OR(VLOOKUP("C-70",'Optional features'!B:D,3,FALSE)="Yes", VLOOKUP("C-71",'Optional features'!B:D,3,FALSE)="Yes", VLOOKUP("C-72",'Optional features'!B:D,3,FALSE)="Yes", VLOOKUP("C-75",'Optional features'!B:D,3,FALSE)="Yes"))</f>
        <v>0</v>
      </c>
      <c r="C155" t="b">
        <v>1</v>
      </c>
      <c r="D155" t="b">
        <f>NOT(ISERROR(VLOOKUP(A155,'Charging Station Testcases'!E:E,1,FALSE)=A155))</f>
        <v>1</v>
      </c>
    </row>
    <row r="156" spans="1:7" x14ac:dyDescent="0.25">
      <c r="A156" t="s">
        <v>1385</v>
      </c>
      <c r="B156" s="6" t="b">
        <f>OR(VLOOKUP("C-70",'Optional features'!B:D,3,FALSE)="Yes", VLOOKUP("C-71",'Optional features'!B:D,3,FALSE)="Yes", VLOOKUP("C-72",'Optional features'!B:D,3,FALSE)="Yes", VLOOKUP("C-75",'Optional features'!B:D,3,FALSE)="Yes", VLOOKUP("ISO 15118 Support",'Profile selection'!B:C,2,FALSE)="Yes")</f>
        <v>0</v>
      </c>
      <c r="C156" t="b">
        <v>1</v>
      </c>
      <c r="D156" t="b">
        <f>NOT(ISERROR(VLOOKUP(A156,'Charging Station Testcases'!E:E,1,FALSE)=A156))</f>
        <v>1</v>
      </c>
    </row>
    <row r="157" spans="1:7" x14ac:dyDescent="0.25">
      <c r="A157" t="s">
        <v>1387</v>
      </c>
      <c r="B157" s="6" t="b">
        <f>AND(OR(VLOOKUP("C-70",'Optional features'!B:D,3,FALSE)="Yes", VLOOKUP("C-71",'Optional features'!B:D,3,FALSE)="Yes", VLOOKUP("C-72",'Optional features'!B:D,3,FALSE)="Yes"), OR(VLOOKUP("LA-0",'Optional features'!B:D,3,FALSE)="Yes", VLOOKUP("C-49",'Optional features'!B:D,3,FALSE)="Yes"))</f>
        <v>0</v>
      </c>
      <c r="C157" t="b">
        <v>1</v>
      </c>
      <c r="D157" t="b">
        <f>NOT(ISERROR(VLOOKUP(A157,'Charging Station Testcases'!E:E,1,FALSE)=A157))</f>
        <v>1</v>
      </c>
    </row>
    <row r="158" spans="1:7" x14ac:dyDescent="0.25">
      <c r="A158" t="s">
        <v>1775</v>
      </c>
      <c r="B158" s="6" t="b">
        <f>NOT(AND(NOT(OR(AND(VLOOKUP("C-30",'Optional features'!B:D,3,FALSE)="Yes", VLOOKUP("C-70",'Optional features'!B:D,3,FALSE)="Yes"), AND(VLOOKUP("C-31",'Optional features'!B:D,3,FALSE)="Yes", VLOOKUP("C-71",'Optional features'!B:D,3,FALSE)="Yes"), AND(VLOOKUP("C-32",'Optional features'!B:D,3,FALSE)="Yes", VLOOKUP("C-72",'Optional features'!B:D,3,FALSE)="Yes"), AND(VLOOKUP("C-35",'Optional features'!B:D,3,FALSE)="Yes", VLOOKUP("C-75",'Optional features'!B:D,3,FALSE)="Yes"))), AND(NOT(VLOOKUP("C-10.1",'Optional features'!B:D,3,FALSE)="Yes"), NOT(VLOOKUP("C-10.3",'Optional features'!B:D,3,FALSE)="Yes"), NOT(VLOOKUP("C-10.4",'Optional features'!B:D,3,FALSE)="Yes"), NOT(VLOOKUP("C-10.5",'Optional features'!B:D,3,FALSE)="Yes")), NOT(VLOOKUP("C-06.2",'Optional features'!B:D,3,FALSE)="Yes")))</f>
        <v>1</v>
      </c>
      <c r="C158" t="b">
        <v>1</v>
      </c>
      <c r="D158" t="b">
        <f>NOT(ISERROR(VLOOKUP(A158,'Charging Station Testcases'!E:E,1,FALSE)=A158))</f>
        <v>1</v>
      </c>
    </row>
    <row r="159" spans="1:7" x14ac:dyDescent="0.25">
      <c r="A159" t="s">
        <v>1710</v>
      </c>
      <c r="B159" s="6" t="b">
        <f>AND(OR(AND(VLOOKUP("C-30",'Optional features'!B:D,3,FALSE)="Yes", VLOOKUP("C-70",'Optional features'!B:D,3,FALSE)="Yes"), AND(VLOOKUP("C-31",'Optional features'!B:D,3,FALSE)="Yes", VLOOKUP("C-71",'Optional features'!B:D,3,FALSE)="Yes")), OR(VLOOKUP("LA-0",'Optional features'!B:D,3,FALSE)="Yes", VLOOKUP("C-49",'Optional features'!B:D,3,FALSE)="Yes"))</f>
        <v>0</v>
      </c>
      <c r="C159" t="b">
        <v>1</v>
      </c>
      <c r="D159" t="b">
        <f>NOT(ISERROR(VLOOKUP(A159,'Charging Station Testcases'!E:E,1,FALSE)=A159))</f>
        <v>1</v>
      </c>
    </row>
    <row r="160" spans="1:7" x14ac:dyDescent="0.25">
      <c r="A160" t="s">
        <v>1754</v>
      </c>
      <c r="B160" s="6" t="b">
        <f>OR(VLOOKUP("C-56",'Optional features'!B:D,3,FALSE)="Yes",VLOOKUP("DM-0",'Optional features'!B:D,3,FALSE)="Yes")</f>
        <v>0</v>
      </c>
      <c r="C160" t="b">
        <v>1</v>
      </c>
      <c r="D160" t="b">
        <f>NOT(ISERROR(VLOOKUP(A160,'Charging Station Testcases'!E:E,1,FALSE)=A160))</f>
        <v>1</v>
      </c>
    </row>
    <row r="161" spans="1:4" x14ac:dyDescent="0.25">
      <c r="A161" t="s">
        <v>1757</v>
      </c>
      <c r="B161" s="6" t="b">
        <f>AND(VLOOKUP("C-10.2",'Optional features'!B:D,3,FALSE)="Yes",VLOOKUP("C-06.2",'Optional features'!B:D,3,FALSE)="Yes",VLOOKUP("AQ-9",'Additional questions'!B:D,3,FALSE)="Yes",NOT(AND(VLOOKUP("C-52",'Optional features'!B:D,3,FALSE)="No", OR(VLOOKUP("C-10.1",'Optional features'!B:D,3,FALSE)="Yes", VLOOKUP("C-10.3",'Optional features'!B:D,3,FALSE)="Yes", VLOOKUP("C-10.4",'Optional features'!B:D,3,FALSE)="Yes"))))</f>
        <v>0</v>
      </c>
      <c r="C161" t="b">
        <v>1</v>
      </c>
      <c r="D161" t="b">
        <f>NOT(ISERROR(VLOOKUP(A161,'Charging Station Testcases'!E:E,1,FALSE)=A161))</f>
        <v>1</v>
      </c>
    </row>
    <row r="162" spans="1:4" x14ac:dyDescent="0.25">
      <c r="A162" s="198" t="s">
        <v>1758</v>
      </c>
      <c r="B162" s="6" t="b">
        <f>AND(NOT(VLOOKUP("AQ-2",'Additional questions'!B:D,3,FALSE)="Yes"), OR(VLOOKUP("C-36",'Optional features'!B:D,3,FALSE)="Yes", VLOOKUP("C-37",'Optional features'!B:D,3,FALSE)="Yes", VLOOKUP("C-38",'Optional features'!B:D,3,FALSE)="Yes", VLOOKUP("C-39",'Optional features'!B:D,3,FALSE)="Yes"))</f>
        <v>1</v>
      </c>
      <c r="C162" t="b">
        <v>1</v>
      </c>
      <c r="D162" t="b">
        <f>NOT(ISERROR(VLOOKUP(A162,'Charging Station Testcases'!E:E,1,FALSE)=A162))</f>
        <v>1</v>
      </c>
    </row>
    <row r="163" spans="1:4" x14ac:dyDescent="0.25">
      <c r="A163" s="198" t="s">
        <v>1759</v>
      </c>
      <c r="B163" s="6" t="b">
        <f>AND(VLOOKUP("C-48.1",'Optional features'!B:D,3,FALSE)="Yes", OR(VLOOKUP("C-36",'Optional features'!B:D,3,FALSE)="Yes", VLOOKUP("C-37",'Optional features'!B:D,3,FALSE)="Yes", VLOOKUP("C-38",'Optional features'!B:D,3,FALSE)="Yes", VLOOKUP("C-39",'Optional features'!B:D,3,FALSE)="Yes"))</f>
        <v>0</v>
      </c>
      <c r="C163" t="b">
        <v>1</v>
      </c>
      <c r="D163" t="b">
        <f>NOT(ISERROR(VLOOKUP(A163,'Charging Station Testcases'!E:E,1,FALSE)=A163))</f>
        <v>1</v>
      </c>
    </row>
    <row r="164" spans="1:4" x14ac:dyDescent="0.25">
      <c r="A164" s="198" t="s">
        <v>1760</v>
      </c>
      <c r="B164" s="6" t="b">
        <f>AND(VLOOKUP("C-48.2",'Optional features'!B:D,3,FALSE)="Yes", OR(VLOOKUP("C-36",'Optional features'!B:D,3,FALSE)="Yes", VLOOKUP("C-37",'Optional features'!B:D,3,FALSE)="Yes", VLOOKUP("C-38",'Optional features'!B:D,3,FALSE)="Yes", VLOOKUP("C-39",'Optional features'!B:D,3,FALSE)="Yes"))</f>
        <v>1</v>
      </c>
      <c r="C164" t="b">
        <v>1</v>
      </c>
      <c r="D164" t="b">
        <f>NOT(ISERROR(VLOOKUP(A164,'Charging Station Testcases'!E:E,1,FALSE)=A164))</f>
        <v>1</v>
      </c>
    </row>
    <row r="165" spans="1:4" x14ac:dyDescent="0.25">
      <c r="A165" s="198" t="s">
        <v>1761</v>
      </c>
      <c r="B165" s="6" t="b">
        <f>AND(VLOOKUP("LA-0",'Optional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65" t="b">
        <v>1</v>
      </c>
      <c r="D165" t="b">
        <f>NOT(ISERROR(VLOOKUP(A165,'Charging Station Testcases'!E:E,1,FALSE)=A165))</f>
        <v>1</v>
      </c>
    </row>
    <row r="166" spans="1:4" x14ac:dyDescent="0.25">
      <c r="A166" s="198" t="s">
        <v>1762</v>
      </c>
      <c r="B166" s="6" t="b">
        <f>AND(VLOOKUP("LA-0",'Optional features'!B:D,3,FALSE)="Yes", OR(VLOOKUP("C-30",'Optional features'!B:D,3,FALSE)="Yes", VLOOKUP("C-31",'Optional features'!B:D,3,FALSE)="Yes", VLOOKUP("C-32",'Optional features'!B:D,3,FALSE)="Yes"))</f>
        <v>0</v>
      </c>
      <c r="C166" t="b">
        <v>1</v>
      </c>
      <c r="D166" t="b">
        <f>NOT(ISERROR(VLOOKUP(A166,'Charging Station Testcases'!E:E,1,FALSE)=A166))</f>
        <v>1</v>
      </c>
    </row>
    <row r="167" spans="1:4" x14ac:dyDescent="0.25">
      <c r="A167" s="198" t="s">
        <v>1763</v>
      </c>
      <c r="B167" s="6" t="b">
        <f>AND(VLOOKUP("LA-0",'Optional features'!B:D,3,FALSE)="Yes", VLOOKUP("C-49",'Optional features'!B:D,3,FALSE)="Yes", OR(VLOOKUP("C-30",'Optional features'!B:D,3,FALSE)="Yes", VLOOKUP("C-31",'Optional features'!B:D,3,FALSE)="Yes", AND(VLOOKUP("C-32",'Optional features'!B:D,3,FALSE)="Yes", VLOOKUP("C-72",'Optional features'!B:D,3,FALSE)="Yes")))</f>
        <v>0</v>
      </c>
      <c r="C167" t="b">
        <v>1</v>
      </c>
      <c r="D167" t="b">
        <f>NOT(ISERROR(VLOOKUP(A167,'Charging Station Testcases'!E:E,1,FALSE)=A167))</f>
        <v>1</v>
      </c>
    </row>
    <row r="168" spans="1:4" x14ac:dyDescent="0.25">
      <c r="A168" s="198" t="s">
        <v>1740</v>
      </c>
      <c r="B168" s="6" t="b">
        <f>VLOOKUP("LA-0",'Optional features'!B:D,3,FALSE)="Yes"</f>
        <v>0</v>
      </c>
      <c r="C168" t="b">
        <v>1</v>
      </c>
      <c r="D168" t="b">
        <f>NOT(ISERROR(VLOOKUP(A168,'Charging Station Testcases'!E:E,1,FALSE)=A168))</f>
        <v>1</v>
      </c>
    </row>
    <row r="169" spans="1:4" x14ac:dyDescent="0.25">
      <c r="A169" s="198" t="s">
        <v>1764</v>
      </c>
      <c r="B169" s="6" t="b">
        <f>AND(VLOOKUP("LA-0",'Optional features'!B:D,3,FALSE)="Yes", VLOOKUP("LA-3",'Optional features'!B:D,3,FALSE)="Yes")</f>
        <v>0</v>
      </c>
      <c r="C169" t="b">
        <v>1</v>
      </c>
      <c r="D169" t="b">
        <f>NOT(ISERROR(VLOOKUP(A169,'Charging Station Testcases'!E:E,1,FALSE)=A169))</f>
        <v>1</v>
      </c>
    </row>
    <row r="170" spans="1:4" x14ac:dyDescent="0.25">
      <c r="A170" s="198" t="s">
        <v>1735</v>
      </c>
      <c r="B170" s="6" t="b">
        <f>VLOOKUP("R-0",'Optional features'!B:D,3,FALSE)="Yes"</f>
        <v>0</v>
      </c>
      <c r="C170" t="b">
        <v>1</v>
      </c>
      <c r="D170" t="b">
        <f>NOT(ISERROR(VLOOKUP(A170,'Charging Station Testcases'!E:E,1,FALSE)=A170))</f>
        <v>1</v>
      </c>
    </row>
    <row r="171" spans="1:4" x14ac:dyDescent="0.25">
      <c r="A171" s="198" t="s">
        <v>1776</v>
      </c>
      <c r="B171" s="6" t="b">
        <f>AND(VLOOKUP("R-0",'Optional features'!B:D,3,FALSE)="Yes", VLOOKUP("R-3",'Optional features'!B:D,3,FALSE)="Yes")</f>
        <v>0</v>
      </c>
      <c r="C171" t="b">
        <v>1</v>
      </c>
      <c r="D171" t="b">
        <f>NOT(ISERROR(VLOOKUP(A171,'Charging Station Testcases'!E:E,1,FALSE)=A171))</f>
        <v>1</v>
      </c>
    </row>
    <row r="172" spans="1:4" x14ac:dyDescent="0.25">
      <c r="A172" s="198" t="s">
        <v>1765</v>
      </c>
      <c r="B172" s="6" t="b">
        <f>AND(VLOOKUP("R-0",'Optional features'!B:D,3,FALSE)="Yes", VLOOKUP("R-2",'Optional features'!B:D,3,FALSE)="Yes")</f>
        <v>0</v>
      </c>
      <c r="C172" t="b">
        <v>1</v>
      </c>
      <c r="D172" t="b">
        <f>NOT(ISERROR(VLOOKUP(A172,'Charging Station Testcases'!E:E,1,FALSE)=A172))</f>
        <v>1</v>
      </c>
    </row>
    <row r="173" spans="1:4" x14ac:dyDescent="0.25">
      <c r="A173" s="198" t="s">
        <v>1766</v>
      </c>
      <c r="B173" s="6" t="b">
        <f>AND(VLOOKUP("R-0",'Optional features'!B:D,3,FALSE)="Yes", VLOOKUP("R-2",'Optional features'!B:D,3,FALSE)="No")</f>
        <v>0</v>
      </c>
      <c r="C173" t="b">
        <v>1</v>
      </c>
      <c r="D173" t="b">
        <f>NOT(ISERROR(VLOOKUP(A173,'Charging Station Testcases'!E:E,1,FALSE)=A173))</f>
        <v>1</v>
      </c>
    </row>
    <row r="174" spans="1:4" x14ac:dyDescent="0.25">
      <c r="A174" s="198" t="s">
        <v>1767</v>
      </c>
      <c r="B174" s="6" t="b">
        <f>AND(VLOOKUP("R-0",'Optional features'!B:D,3,FALSE)="Yes", VLOOKUP("R-1",'Optional features'!B:D,3,FALSE)="Yes")</f>
        <v>0</v>
      </c>
      <c r="C174" t="b">
        <v>1</v>
      </c>
      <c r="D174" t="b">
        <f>NOT(ISERROR(VLOOKUP(A174,'Charging Station Testcases'!E:E,1,FALSE)=A174))</f>
        <v>1</v>
      </c>
    </row>
    <row r="175" spans="1:4" x14ac:dyDescent="0.25">
      <c r="A175" s="198" t="s">
        <v>1738</v>
      </c>
      <c r="B175" s="6" t="b">
        <f>VLOOKUP("DM-0",'Optional features'!B:D,3,FALSE)="Yes"</f>
        <v>0</v>
      </c>
      <c r="C175" t="b">
        <v>1</v>
      </c>
      <c r="D175" t="b">
        <f>NOT(ISERROR(VLOOKUP(A175,'Charging Station Testcases'!E:E,1,FALSE)=A175))</f>
        <v>1</v>
      </c>
    </row>
    <row r="176" spans="1:4" x14ac:dyDescent="0.25">
      <c r="A176" s="198" t="s">
        <v>1777</v>
      </c>
      <c r="B176" s="6" t="b">
        <f>AND(VLOOKUP("DM-0",'Optional features'!B:D,3,FALSE)="Yes", VLOOKUP("AQ-5",'Additional questions'!B:D,3,FALSE)="Yes")</f>
        <v>0</v>
      </c>
      <c r="C176" t="b">
        <v>1</v>
      </c>
      <c r="D176" t="b">
        <f>NOT(ISERROR(VLOOKUP(A176,'Charging Station Testcases'!E:E,1,FALSE)=A176))</f>
        <v>1</v>
      </c>
    </row>
    <row r="177" spans="1:4" x14ac:dyDescent="0.25">
      <c r="A177" s="198" t="s">
        <v>1768</v>
      </c>
      <c r="B177" s="6" t="b">
        <f>AND(VLOOKUP("DM-0",'Optional features'!B:D,3,FALSE)="Yes", VLOOKUP("AQ-10",'Additional questions'!B:D,3,FALSE)="Yes")</f>
        <v>0</v>
      </c>
      <c r="C177" t="b">
        <v>1</v>
      </c>
      <c r="D177" t="b">
        <f>NOT(ISERROR(VLOOKUP(A177,'Charging Station Testcases'!E:E,1,FALSE)=A177))</f>
        <v>1</v>
      </c>
    </row>
    <row r="178" spans="1:4" x14ac:dyDescent="0.25">
      <c r="A178" s="198" t="s">
        <v>1769</v>
      </c>
      <c r="B178" s="6" t="b">
        <f>AND(VLOOKUP("DM-0",'Optional features'!B:D,3,FALSE)="Yes", VLOOKUP("DM-3",'Optional features'!B:D,3,FALSE)="Yes")</f>
        <v>0</v>
      </c>
      <c r="C178" t="b">
        <v>1</v>
      </c>
      <c r="D178" t="b">
        <f>NOT(ISERROR(VLOOKUP(A178,'Charging Station Testcases'!E:E,1,FALSE)=A178))</f>
        <v>1</v>
      </c>
    </row>
    <row r="179" spans="1:4" x14ac:dyDescent="0.25">
      <c r="A179" s="198" t="s">
        <v>1742</v>
      </c>
      <c r="B179" s="6" t="b">
        <f>VLOOKUP("UI-0",'Optional features'!B:D,3,FALSE)="Yes"</f>
        <v>0</v>
      </c>
      <c r="C179" t="b">
        <v>1</v>
      </c>
      <c r="D179" t="b">
        <f>NOT(ISERROR(VLOOKUP(A179,'Charging Station Testcases'!E:E,1,FALSE)=A179))</f>
        <v>1</v>
      </c>
    </row>
    <row r="180" spans="1:4" x14ac:dyDescent="0.25">
      <c r="A180" t="s">
        <v>1778</v>
      </c>
      <c r="B180" s="6" t="b">
        <f>AND(VLOOKUP("UI-0",'Optional features'!B:D,3,FALSE)="Yes", NOT(AND(VLOOKUP("UI-1.1",'Optional features'!B:D,3,FALSE)="Yes", VLOOKUP("UI-1.2",'Optional features'!B:D,3,FALSE)="Yes", VLOOKUP("UI-1.3",'Optional features'!B:D,3,FALSE)="Yes")))</f>
        <v>0</v>
      </c>
      <c r="C180" t="b">
        <v>1</v>
      </c>
      <c r="D180" t="b">
        <f>NOT(ISERROR(VLOOKUP(A180,'Charging Station Testcases'!E:E,1,FALSE)=A180))</f>
        <v>1</v>
      </c>
    </row>
    <row r="181" spans="1:4" x14ac:dyDescent="0.25">
      <c r="A181" t="s">
        <v>1779</v>
      </c>
      <c r="B181" s="6" t="b">
        <f>AND(VLOOKUP("UI-0",'Optional features'!B:D,3,FALSE)="Yes", NOT(AND(VLOOKUP("UI-2.1",'Optional features'!B:D,3,FALSE)="Yes", VLOOKUP("UI-2.2",'Optional features'!B:D,3,FALSE)="Yes", VLOOKUP("UI-2.3",'Optional features'!B:D,3,FALSE)="Yes", VLOOKUP("UI-2.4",'Optional features'!B:D,3,FALSE)="Yes")))</f>
        <v>0</v>
      </c>
      <c r="C181" t="b">
        <v>1</v>
      </c>
      <c r="D181" t="b">
        <f>NOT(ISERROR(VLOOKUP(A181,'Charging Station Testcases'!E:E,1,FALSE)=A181))</f>
        <v>1</v>
      </c>
    </row>
    <row r="182" spans="1:4" x14ac:dyDescent="0.25">
      <c r="A182" s="198" t="s">
        <v>1771</v>
      </c>
      <c r="B182" s="6" t="b">
        <f>AND(VLOOKUP("UI-0",'Optional features'!B:D,3,FALSE)="Yes", VLOOKUP("UI-1.2",'Optional features'!B:D,3,FALSE)="Yes")</f>
        <v>0</v>
      </c>
      <c r="C182" t="b">
        <v>1</v>
      </c>
      <c r="D182" t="b">
        <f>NOT(ISERROR(VLOOKUP(A182,'Charging Station Testcases'!E:E,1,FALSE)=A182))</f>
        <v>1</v>
      </c>
    </row>
    <row r="183" spans="1:4" x14ac:dyDescent="0.25">
      <c r="A183" s="198" t="s">
        <v>1772</v>
      </c>
      <c r="B183" s="6" t="b">
        <f>AND(VLOOKUP("UI-0",'Optional features'!B:D,3,FALSE)="Yes", VLOOKUP("UI-1.1",'Optional features'!B:D,3,FALSE)="Yes")</f>
        <v>0</v>
      </c>
      <c r="C183" t="b">
        <v>1</v>
      </c>
      <c r="D183" t="b">
        <f>NOT(ISERROR(VLOOKUP(A183,'Charging Station Testcases'!E:E,1,FALSE)=A183))</f>
        <v>1</v>
      </c>
    </row>
    <row r="184" spans="1:4" x14ac:dyDescent="0.25">
      <c r="A184" t="s">
        <v>1774</v>
      </c>
      <c r="B184" s="6" t="b">
        <f>AND(VLOOKUP("UI-0",'Optional features'!B:D,3,FALSE)="Yes", OR(AND(VLOOKUP("UI-1.1",'Optional features'!B:D,3,FALSE)="Yes", VLOOKUP("UI-1.2",'Optional features'!B:D,3,FALSE)="Yes"), AND(VLOOKUP("UI-1.2",'Optional features'!B:D,3,FALSE)="Yes", VLOOKUP("UI-1.3",'Optional features'!B:D,3,FALSE)="Yes"), AND(VLOOKUP("UI-1.3",'Optional features'!B:D,3,FALSE)="Yes", VLOOKUP("UI-1.1",'Optional features'!B:D,3,FALSE)="Yes")))</f>
        <v>0</v>
      </c>
      <c r="C184" t="b">
        <v>1</v>
      </c>
      <c r="D184" t="b">
        <f>NOT(ISERROR(VLOOKUP(A184,'Charging Station Testcases'!E:E,1,FALSE)=A184))</f>
        <v>1</v>
      </c>
    </row>
    <row r="185" spans="1:4" x14ac:dyDescent="0.25">
      <c r="A185" t="s">
        <v>1780</v>
      </c>
      <c r="B185" s="6" t="b">
        <f>OR(VLOOKUP("C-61",'Optional features'!B:D,3,FALSE)="Yes", VLOOKUP("Advanced Security",'Profile selection'!B:D,2,FALSE)="Yes")</f>
        <v>0</v>
      </c>
      <c r="C185" t="b">
        <v>1</v>
      </c>
      <c r="D185" t="b">
        <f>NOT(ISERROR(VLOOKUP(A185,'Charging Station Testcases'!E:E,1,FALSE)=A185))</f>
        <v>1</v>
      </c>
    </row>
  </sheetData>
  <autoFilter ref="A1:F131" xr:uid="{A46B0863-728A-4947-9CAE-18DFD3654F03}"/>
  <pageMargins left="0.7" right="0.7" top="0.75" bottom="0.75" header="0.3" footer="0.3"/>
  <pageSetup orientation="portrait" r:id="rId1"/>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E108"/>
  <sheetViews>
    <sheetView workbookViewId="0"/>
  </sheetViews>
  <sheetFormatPr defaultColWidth="11.125" defaultRowHeight="15.75" x14ac:dyDescent="0.25"/>
  <cols>
    <col min="1" max="1" width="7.5" bestFit="1" customWidth="1"/>
    <col min="2" max="2" width="72.625" bestFit="1" customWidth="1"/>
    <col min="3" max="4" width="80.625" bestFit="1" customWidth="1"/>
    <col min="5" max="5" width="8.125" bestFit="1" customWidth="1"/>
  </cols>
  <sheetData>
    <row r="1" spans="1:4" x14ac:dyDescent="0.25">
      <c r="A1" t="s">
        <v>38</v>
      </c>
      <c r="B1" t="s">
        <v>134</v>
      </c>
      <c r="C1" t="s">
        <v>300</v>
      </c>
      <c r="D1" t="s">
        <v>301</v>
      </c>
    </row>
    <row r="2" spans="1:4" x14ac:dyDescent="0.25">
      <c r="A2" t="s">
        <v>39</v>
      </c>
      <c r="B2" t="s">
        <v>136</v>
      </c>
      <c r="C2" t="s">
        <v>305</v>
      </c>
      <c r="D2" t="s">
        <v>1733</v>
      </c>
    </row>
    <row r="3" spans="1:4" x14ac:dyDescent="0.25">
      <c r="A3" t="s">
        <v>40</v>
      </c>
      <c r="B3" t="s">
        <v>136</v>
      </c>
      <c r="C3" t="s">
        <v>306</v>
      </c>
      <c r="D3" t="s">
        <v>303</v>
      </c>
    </row>
    <row r="4" spans="1:4" x14ac:dyDescent="0.25">
      <c r="A4" t="s">
        <v>41</v>
      </c>
      <c r="B4" t="s">
        <v>136</v>
      </c>
      <c r="C4" t="s">
        <v>307</v>
      </c>
      <c r="D4" t="s">
        <v>303</v>
      </c>
    </row>
    <row r="5" spans="1:4" x14ac:dyDescent="0.25">
      <c r="A5" t="s">
        <v>42</v>
      </c>
      <c r="B5" t="s">
        <v>136</v>
      </c>
      <c r="C5" t="s">
        <v>308</v>
      </c>
      <c r="D5" t="s">
        <v>303</v>
      </c>
    </row>
    <row r="6" spans="1:4" x14ac:dyDescent="0.25">
      <c r="A6" t="s">
        <v>43</v>
      </c>
      <c r="B6" t="s">
        <v>136</v>
      </c>
      <c r="C6" t="s">
        <v>309</v>
      </c>
      <c r="D6" t="s">
        <v>901</v>
      </c>
    </row>
    <row r="7" spans="1:4" x14ac:dyDescent="0.25">
      <c r="A7" t="s">
        <v>44</v>
      </c>
      <c r="B7" t="s">
        <v>136</v>
      </c>
      <c r="C7" t="s">
        <v>310</v>
      </c>
      <c r="D7" t="s">
        <v>303</v>
      </c>
    </row>
    <row r="8" spans="1:4" x14ac:dyDescent="0.25">
      <c r="A8" t="s">
        <v>45</v>
      </c>
      <c r="B8" t="s">
        <v>136</v>
      </c>
      <c r="C8" t="s">
        <v>311</v>
      </c>
      <c r="D8" t="s">
        <v>303</v>
      </c>
    </row>
    <row r="9" spans="1:4" x14ac:dyDescent="0.25">
      <c r="A9" t="s">
        <v>46</v>
      </c>
      <c r="B9" t="s">
        <v>136</v>
      </c>
      <c r="C9" t="s">
        <v>312</v>
      </c>
      <c r="D9" t="s">
        <v>303</v>
      </c>
    </row>
    <row r="10" spans="1:4" x14ac:dyDescent="0.25">
      <c r="A10" t="s">
        <v>47</v>
      </c>
      <c r="B10" t="s">
        <v>136</v>
      </c>
      <c r="C10" t="s">
        <v>313</v>
      </c>
      <c r="D10" t="s">
        <v>303</v>
      </c>
    </row>
    <row r="11" spans="1:4" x14ac:dyDescent="0.25">
      <c r="A11" t="s">
        <v>48</v>
      </c>
      <c r="B11" t="s">
        <v>136</v>
      </c>
      <c r="C11" t="s">
        <v>314</v>
      </c>
      <c r="D11" t="s">
        <v>901</v>
      </c>
    </row>
    <row r="12" spans="1:4" x14ac:dyDescent="0.25">
      <c r="A12" t="s">
        <v>49</v>
      </c>
      <c r="B12" t="s">
        <v>136</v>
      </c>
      <c r="C12" t="s">
        <v>315</v>
      </c>
      <c r="D12" t="s">
        <v>303</v>
      </c>
    </row>
    <row r="13" spans="1:4" x14ac:dyDescent="0.25">
      <c r="A13" t="s">
        <v>50</v>
      </c>
      <c r="B13" t="s">
        <v>136</v>
      </c>
      <c r="C13" t="s">
        <v>316</v>
      </c>
      <c r="D13" t="s">
        <v>303</v>
      </c>
    </row>
    <row r="14" spans="1:4" x14ac:dyDescent="0.25">
      <c r="A14" t="s">
        <v>51</v>
      </c>
      <c r="B14" t="s">
        <v>136</v>
      </c>
      <c r="C14" t="s">
        <v>317</v>
      </c>
      <c r="D14" t="s">
        <v>303</v>
      </c>
    </row>
    <row r="15" spans="1:4" x14ac:dyDescent="0.25">
      <c r="A15" t="s">
        <v>52</v>
      </c>
      <c r="B15" t="s">
        <v>136</v>
      </c>
      <c r="C15" t="s">
        <v>318</v>
      </c>
      <c r="D15" t="s">
        <v>303</v>
      </c>
    </row>
    <row r="16" spans="1:4" x14ac:dyDescent="0.25">
      <c r="A16" t="s">
        <v>53</v>
      </c>
      <c r="B16" t="s">
        <v>136</v>
      </c>
      <c r="C16" t="s">
        <v>319</v>
      </c>
      <c r="D16" t="s">
        <v>303</v>
      </c>
    </row>
    <row r="17" spans="1:4" x14ac:dyDescent="0.25">
      <c r="A17" t="s">
        <v>54</v>
      </c>
      <c r="B17" t="s">
        <v>136</v>
      </c>
      <c r="C17" t="s">
        <v>320</v>
      </c>
      <c r="D17" t="s">
        <v>303</v>
      </c>
    </row>
    <row r="18" spans="1:4" x14ac:dyDescent="0.25">
      <c r="A18" t="s">
        <v>55</v>
      </c>
      <c r="B18" t="s">
        <v>136</v>
      </c>
      <c r="C18" t="s">
        <v>321</v>
      </c>
      <c r="D18" t="s">
        <v>901</v>
      </c>
    </row>
    <row r="19" spans="1:4" x14ac:dyDescent="0.25">
      <c r="A19" t="s">
        <v>56</v>
      </c>
      <c r="B19" t="s">
        <v>136</v>
      </c>
      <c r="C19" t="s">
        <v>322</v>
      </c>
      <c r="D19" t="s">
        <v>303</v>
      </c>
    </row>
    <row r="20" spans="1:4" x14ac:dyDescent="0.25">
      <c r="A20" t="s">
        <v>57</v>
      </c>
      <c r="B20" t="s">
        <v>136</v>
      </c>
      <c r="C20" t="s">
        <v>323</v>
      </c>
      <c r="D20" t="s">
        <v>303</v>
      </c>
    </row>
    <row r="21" spans="1:4" x14ac:dyDescent="0.25">
      <c r="A21" t="s">
        <v>58</v>
      </c>
      <c r="B21" t="s">
        <v>136</v>
      </c>
      <c r="C21" t="s">
        <v>324</v>
      </c>
      <c r="D21" t="s">
        <v>303</v>
      </c>
    </row>
    <row r="22" spans="1:4" x14ac:dyDescent="0.25">
      <c r="A22" t="s">
        <v>59</v>
      </c>
      <c r="B22" t="s">
        <v>136</v>
      </c>
      <c r="C22" t="s">
        <v>325</v>
      </c>
      <c r="D22" t="s">
        <v>303</v>
      </c>
    </row>
    <row r="23" spans="1:4" x14ac:dyDescent="0.25">
      <c r="A23" t="s">
        <v>60</v>
      </c>
      <c r="B23" t="s">
        <v>136</v>
      </c>
      <c r="C23" t="s">
        <v>326</v>
      </c>
      <c r="D23" t="s">
        <v>303</v>
      </c>
    </row>
    <row r="24" spans="1:4" x14ac:dyDescent="0.25">
      <c r="A24" t="s">
        <v>61</v>
      </c>
      <c r="B24" t="s">
        <v>136</v>
      </c>
      <c r="C24" t="s">
        <v>327</v>
      </c>
      <c r="D24" t="s">
        <v>901</v>
      </c>
    </row>
    <row r="25" spans="1:4" x14ac:dyDescent="0.25">
      <c r="A25" t="s">
        <v>62</v>
      </c>
      <c r="B25" t="s">
        <v>136</v>
      </c>
      <c r="C25" t="s">
        <v>328</v>
      </c>
      <c r="D25" t="s">
        <v>303</v>
      </c>
    </row>
    <row r="26" spans="1:4" x14ac:dyDescent="0.25">
      <c r="A26" t="s">
        <v>63</v>
      </c>
      <c r="B26" t="s">
        <v>136</v>
      </c>
      <c r="C26" t="s">
        <v>329</v>
      </c>
      <c r="D26" t="s">
        <v>303</v>
      </c>
    </row>
    <row r="27" spans="1:4" x14ac:dyDescent="0.25">
      <c r="A27" t="s">
        <v>64</v>
      </c>
      <c r="B27" t="s">
        <v>136</v>
      </c>
      <c r="C27" t="s">
        <v>330</v>
      </c>
      <c r="D27" t="s">
        <v>303</v>
      </c>
    </row>
    <row r="28" spans="1:4" x14ac:dyDescent="0.25">
      <c r="A28" t="s">
        <v>65</v>
      </c>
      <c r="B28" t="s">
        <v>136</v>
      </c>
      <c r="C28" t="s">
        <v>331</v>
      </c>
      <c r="D28" t="s">
        <v>303</v>
      </c>
    </row>
    <row r="29" spans="1:4" x14ac:dyDescent="0.25">
      <c r="A29" t="s">
        <v>66</v>
      </c>
      <c r="B29" t="s">
        <v>136</v>
      </c>
      <c r="C29" t="s">
        <v>332</v>
      </c>
      <c r="D29" t="s">
        <v>303</v>
      </c>
    </row>
    <row r="30" spans="1:4" x14ac:dyDescent="0.25">
      <c r="A30" t="s">
        <v>67</v>
      </c>
      <c r="B30" t="s">
        <v>136</v>
      </c>
      <c r="C30" t="s">
        <v>333</v>
      </c>
      <c r="D30" t="s">
        <v>303</v>
      </c>
    </row>
    <row r="31" spans="1:4" x14ac:dyDescent="0.25">
      <c r="A31" t="s">
        <v>69</v>
      </c>
      <c r="B31" t="s">
        <v>334</v>
      </c>
      <c r="C31" t="s">
        <v>335</v>
      </c>
      <c r="D31" t="s">
        <v>336</v>
      </c>
    </row>
    <row r="32" spans="1:4" x14ac:dyDescent="0.25">
      <c r="A32" t="s">
        <v>70</v>
      </c>
      <c r="B32" t="s">
        <v>334</v>
      </c>
      <c r="C32" t="s">
        <v>337</v>
      </c>
      <c r="D32" t="s">
        <v>303</v>
      </c>
    </row>
    <row r="33" spans="1:4" x14ac:dyDescent="0.25">
      <c r="A33" t="s">
        <v>71</v>
      </c>
      <c r="B33" t="s">
        <v>334</v>
      </c>
      <c r="C33" t="s">
        <v>338</v>
      </c>
      <c r="D33" t="s">
        <v>303</v>
      </c>
    </row>
    <row r="34" spans="1:4" x14ac:dyDescent="0.25">
      <c r="A34" t="s">
        <v>72</v>
      </c>
      <c r="B34" t="s">
        <v>334</v>
      </c>
      <c r="C34" t="s">
        <v>339</v>
      </c>
      <c r="D34" t="s">
        <v>303</v>
      </c>
    </row>
    <row r="35" spans="1:4" x14ac:dyDescent="0.25">
      <c r="A35" t="s">
        <v>73</v>
      </c>
      <c r="B35" t="s">
        <v>334</v>
      </c>
      <c r="C35" t="s">
        <v>340</v>
      </c>
      <c r="D35" t="s">
        <v>1014</v>
      </c>
    </row>
    <row r="36" spans="1:4" x14ac:dyDescent="0.25">
      <c r="A36" t="s">
        <v>74</v>
      </c>
      <c r="B36" t="s">
        <v>334</v>
      </c>
      <c r="C36" t="s">
        <v>341</v>
      </c>
      <c r="D36" t="s">
        <v>303</v>
      </c>
    </row>
    <row r="37" spans="1:4" x14ac:dyDescent="0.25">
      <c r="A37" t="s">
        <v>75</v>
      </c>
      <c r="B37" t="s">
        <v>334</v>
      </c>
      <c r="C37" t="s">
        <v>342</v>
      </c>
      <c r="D37" t="s">
        <v>303</v>
      </c>
    </row>
    <row r="38" spans="1:4" x14ac:dyDescent="0.25">
      <c r="A38" t="s">
        <v>76</v>
      </c>
      <c r="B38" t="s">
        <v>334</v>
      </c>
      <c r="C38" t="s">
        <v>343</v>
      </c>
      <c r="D38" t="s">
        <v>303</v>
      </c>
    </row>
    <row r="39" spans="1:4" x14ac:dyDescent="0.25">
      <c r="A39" t="s">
        <v>77</v>
      </c>
      <c r="B39" t="s">
        <v>334</v>
      </c>
      <c r="C39" t="s">
        <v>344</v>
      </c>
      <c r="D39" t="s">
        <v>303</v>
      </c>
    </row>
    <row r="40" spans="1:4" x14ac:dyDescent="0.25">
      <c r="A40" t="s">
        <v>78</v>
      </c>
      <c r="B40" t="s">
        <v>334</v>
      </c>
      <c r="C40" t="s">
        <v>345</v>
      </c>
      <c r="D40" t="s">
        <v>303</v>
      </c>
    </row>
    <row r="41" spans="1:4" x14ac:dyDescent="0.25">
      <c r="A41" t="s">
        <v>79</v>
      </c>
      <c r="B41" t="s">
        <v>334</v>
      </c>
      <c r="C41" t="s">
        <v>346</v>
      </c>
      <c r="D41" t="s">
        <v>303</v>
      </c>
    </row>
    <row r="42" spans="1:4" x14ac:dyDescent="0.25">
      <c r="A42" t="s">
        <v>80</v>
      </c>
      <c r="B42" t="s">
        <v>347</v>
      </c>
      <c r="C42" t="s">
        <v>348</v>
      </c>
      <c r="D42" t="s">
        <v>303</v>
      </c>
    </row>
    <row r="43" spans="1:4" x14ac:dyDescent="0.25">
      <c r="A43" t="s">
        <v>81</v>
      </c>
      <c r="B43" t="s">
        <v>347</v>
      </c>
      <c r="C43" t="s">
        <v>349</v>
      </c>
      <c r="D43" t="s">
        <v>303</v>
      </c>
    </row>
    <row r="44" spans="1:4" x14ac:dyDescent="0.25">
      <c r="A44" t="s">
        <v>82</v>
      </c>
      <c r="B44" t="s">
        <v>347</v>
      </c>
      <c r="C44" t="s">
        <v>350</v>
      </c>
      <c r="D44" t="s">
        <v>303</v>
      </c>
    </row>
    <row r="45" spans="1:4" x14ac:dyDescent="0.25">
      <c r="A45" t="s">
        <v>83</v>
      </c>
      <c r="B45" t="s">
        <v>347</v>
      </c>
      <c r="C45" t="s">
        <v>351</v>
      </c>
      <c r="D45" t="s">
        <v>303</v>
      </c>
    </row>
    <row r="46" spans="1:4" x14ac:dyDescent="0.25">
      <c r="A46" t="s">
        <v>84</v>
      </c>
      <c r="B46" t="s">
        <v>347</v>
      </c>
      <c r="C46" t="s">
        <v>352</v>
      </c>
      <c r="D46" t="s">
        <v>303</v>
      </c>
    </row>
    <row r="47" spans="1:4" x14ac:dyDescent="0.25">
      <c r="A47" t="s">
        <v>85</v>
      </c>
      <c r="B47" t="s">
        <v>347</v>
      </c>
      <c r="C47" t="s">
        <v>353</v>
      </c>
      <c r="D47" t="s">
        <v>303</v>
      </c>
    </row>
    <row r="48" spans="1:4" x14ac:dyDescent="0.25">
      <c r="A48" t="s">
        <v>88</v>
      </c>
      <c r="B48" t="s">
        <v>354</v>
      </c>
      <c r="C48" t="s">
        <v>348</v>
      </c>
      <c r="D48" t="s">
        <v>303</v>
      </c>
    </row>
    <row r="49" spans="1:5" x14ac:dyDescent="0.25">
      <c r="A49" t="s">
        <v>89</v>
      </c>
      <c r="B49" t="s">
        <v>354</v>
      </c>
      <c r="C49" t="s">
        <v>349</v>
      </c>
      <c r="D49" t="s">
        <v>303</v>
      </c>
    </row>
    <row r="50" spans="1:5" x14ac:dyDescent="0.25">
      <c r="A50" t="s">
        <v>90</v>
      </c>
      <c r="B50" t="s">
        <v>354</v>
      </c>
      <c r="C50" t="s">
        <v>355</v>
      </c>
      <c r="D50" t="s">
        <v>303</v>
      </c>
    </row>
    <row r="51" spans="1:5" x14ac:dyDescent="0.25">
      <c r="A51" t="s">
        <v>91</v>
      </c>
      <c r="B51" t="s">
        <v>354</v>
      </c>
      <c r="C51" t="s">
        <v>353</v>
      </c>
      <c r="D51" t="s">
        <v>303</v>
      </c>
    </row>
    <row r="52" spans="1:5" x14ac:dyDescent="0.25">
      <c r="A52" t="s">
        <v>92</v>
      </c>
      <c r="B52" t="s">
        <v>354</v>
      </c>
      <c r="C52" t="s">
        <v>660</v>
      </c>
      <c r="D52" t="s">
        <v>1176</v>
      </c>
    </row>
    <row r="53" spans="1:5" x14ac:dyDescent="0.25">
      <c r="A53" t="s">
        <v>877</v>
      </c>
      <c r="B53" t="s">
        <v>354</v>
      </c>
      <c r="C53" t="s">
        <v>872</v>
      </c>
      <c r="D53" t="s">
        <v>93</v>
      </c>
    </row>
    <row r="54" spans="1:5" x14ac:dyDescent="0.25">
      <c r="A54" t="s">
        <v>878</v>
      </c>
      <c r="B54" t="s">
        <v>354</v>
      </c>
      <c r="C54" t="s">
        <v>873</v>
      </c>
      <c r="D54" t="s">
        <v>93</v>
      </c>
    </row>
    <row r="55" spans="1:5" x14ac:dyDescent="0.25">
      <c r="A55" t="s">
        <v>879</v>
      </c>
      <c r="B55" t="s">
        <v>354</v>
      </c>
      <c r="C55" t="s">
        <v>874</v>
      </c>
      <c r="D55" t="s">
        <v>93</v>
      </c>
    </row>
    <row r="56" spans="1:5" x14ac:dyDescent="0.25">
      <c r="A56" t="s">
        <v>880</v>
      </c>
      <c r="B56" t="s">
        <v>354</v>
      </c>
      <c r="C56" t="s">
        <v>875</v>
      </c>
      <c r="D56" t="s">
        <v>93</v>
      </c>
    </row>
    <row r="57" spans="1:5" x14ac:dyDescent="0.25">
      <c r="A57" t="s">
        <v>881</v>
      </c>
      <c r="B57" t="s">
        <v>354</v>
      </c>
      <c r="C57" t="s">
        <v>876</v>
      </c>
      <c r="D57" t="s">
        <v>93</v>
      </c>
    </row>
    <row r="58" spans="1:5" x14ac:dyDescent="0.25">
      <c r="A58" t="s">
        <v>95</v>
      </c>
      <c r="B58" t="s">
        <v>354</v>
      </c>
      <c r="C58" t="s">
        <v>356</v>
      </c>
      <c r="D58" t="s">
        <v>1734</v>
      </c>
    </row>
    <row r="59" spans="1:5" x14ac:dyDescent="0.25">
      <c r="A59" t="s">
        <v>96</v>
      </c>
      <c r="B59" t="s">
        <v>354</v>
      </c>
      <c r="C59" t="s">
        <v>357</v>
      </c>
      <c r="D59" t="s">
        <v>303</v>
      </c>
    </row>
    <row r="60" spans="1:5" x14ac:dyDescent="0.25">
      <c r="A60" t="s">
        <v>97</v>
      </c>
      <c r="B60" t="s">
        <v>354</v>
      </c>
      <c r="C60" t="s">
        <v>735</v>
      </c>
      <c r="D60" t="s">
        <v>303</v>
      </c>
    </row>
    <row r="61" spans="1:5" x14ac:dyDescent="0.25">
      <c r="A61" t="s">
        <v>98</v>
      </c>
      <c r="B61" t="s">
        <v>354</v>
      </c>
      <c r="C61" t="s">
        <v>358</v>
      </c>
      <c r="D61" t="s">
        <v>303</v>
      </c>
    </row>
    <row r="62" spans="1:5" x14ac:dyDescent="0.25">
      <c r="A62" t="s">
        <v>99</v>
      </c>
      <c r="B62" t="s">
        <v>354</v>
      </c>
      <c r="C62" t="s">
        <v>359</v>
      </c>
      <c r="D62" t="s">
        <v>901</v>
      </c>
    </row>
    <row r="63" spans="1:5" x14ac:dyDescent="0.25">
      <c r="A63" t="s">
        <v>100</v>
      </c>
      <c r="B63" t="s">
        <v>354</v>
      </c>
      <c r="C63" t="s">
        <v>360</v>
      </c>
      <c r="D63" t="s">
        <v>303</v>
      </c>
    </row>
    <row r="64" spans="1:5" x14ac:dyDescent="0.25">
      <c r="A64" t="s">
        <v>101</v>
      </c>
      <c r="B64" t="s">
        <v>354</v>
      </c>
      <c r="C64" t="s">
        <v>361</v>
      </c>
      <c r="D64" t="s">
        <v>303</v>
      </c>
      <c r="E64" t="s">
        <v>303</v>
      </c>
    </row>
    <row r="65" spans="1:4" x14ac:dyDescent="0.25">
      <c r="A65" t="s">
        <v>102</v>
      </c>
      <c r="B65" t="s">
        <v>354</v>
      </c>
      <c r="C65" t="s">
        <v>1281</v>
      </c>
      <c r="D65" t="s">
        <v>303</v>
      </c>
    </row>
    <row r="66" spans="1:4" x14ac:dyDescent="0.25">
      <c r="A66" t="s">
        <v>103</v>
      </c>
      <c r="B66" t="s">
        <v>354</v>
      </c>
      <c r="C66" t="s">
        <v>362</v>
      </c>
      <c r="D66" t="s">
        <v>303</v>
      </c>
    </row>
    <row r="67" spans="1:4" x14ac:dyDescent="0.25">
      <c r="A67" t="s">
        <v>104</v>
      </c>
      <c r="B67" t="s">
        <v>354</v>
      </c>
      <c r="C67" t="s">
        <v>369</v>
      </c>
      <c r="D67" t="s">
        <v>303</v>
      </c>
    </row>
    <row r="68" spans="1:4" x14ac:dyDescent="0.25">
      <c r="A68" t="s">
        <v>105</v>
      </c>
      <c r="B68" t="s">
        <v>354</v>
      </c>
      <c r="C68" t="s">
        <v>363</v>
      </c>
      <c r="D68" t="s">
        <v>303</v>
      </c>
    </row>
    <row r="69" spans="1:4" x14ac:dyDescent="0.25">
      <c r="A69" t="s">
        <v>106</v>
      </c>
      <c r="B69" t="s">
        <v>354</v>
      </c>
      <c r="C69" t="s">
        <v>364</v>
      </c>
      <c r="D69" t="s">
        <v>303</v>
      </c>
    </row>
    <row r="70" spans="1:4" x14ac:dyDescent="0.25">
      <c r="A70" t="s">
        <v>107</v>
      </c>
      <c r="B70" t="s">
        <v>354</v>
      </c>
      <c r="C70" t="s">
        <v>365</v>
      </c>
      <c r="D70" t="s">
        <v>303</v>
      </c>
    </row>
    <row r="71" spans="1:4" x14ac:dyDescent="0.25">
      <c r="A71" t="s">
        <v>108</v>
      </c>
      <c r="B71" t="s">
        <v>354</v>
      </c>
      <c r="C71" t="s">
        <v>366</v>
      </c>
      <c r="D71" t="s">
        <v>93</v>
      </c>
    </row>
    <row r="72" spans="1:4" x14ac:dyDescent="0.25">
      <c r="A72" t="s">
        <v>109</v>
      </c>
      <c r="B72" t="s">
        <v>354</v>
      </c>
      <c r="C72" t="s">
        <v>367</v>
      </c>
      <c r="D72" t="s">
        <v>303</v>
      </c>
    </row>
    <row r="73" spans="1:4" x14ac:dyDescent="0.25">
      <c r="A73" t="s">
        <v>110</v>
      </c>
      <c r="B73" t="s">
        <v>354</v>
      </c>
      <c r="C73" t="s">
        <v>368</v>
      </c>
      <c r="D73" t="s">
        <v>303</v>
      </c>
    </row>
    <row r="74" spans="1:4" x14ac:dyDescent="0.25">
      <c r="A74" t="s">
        <v>111</v>
      </c>
      <c r="B74" t="s">
        <v>354</v>
      </c>
      <c r="C74" t="s">
        <v>370</v>
      </c>
      <c r="D74" t="s">
        <v>303</v>
      </c>
    </row>
    <row r="75" spans="1:4" x14ac:dyDescent="0.25">
      <c r="A75" t="s">
        <v>1212</v>
      </c>
      <c r="B75" t="s">
        <v>354</v>
      </c>
      <c r="C75" t="s">
        <v>1213</v>
      </c>
      <c r="D75" t="s">
        <v>303</v>
      </c>
    </row>
    <row r="76" spans="1:4" x14ac:dyDescent="0.25">
      <c r="A76" t="s">
        <v>1282</v>
      </c>
      <c r="B76" t="s">
        <v>1283</v>
      </c>
      <c r="C76" t="s">
        <v>348</v>
      </c>
      <c r="D76" t="s">
        <v>303</v>
      </c>
    </row>
    <row r="77" spans="1:4" x14ac:dyDescent="0.25">
      <c r="A77" t="s">
        <v>1284</v>
      </c>
      <c r="B77" t="s">
        <v>1283</v>
      </c>
      <c r="C77" t="s">
        <v>349</v>
      </c>
      <c r="D77" t="s">
        <v>303</v>
      </c>
    </row>
    <row r="78" spans="1:4" x14ac:dyDescent="0.25">
      <c r="A78" t="s">
        <v>1285</v>
      </c>
      <c r="B78" t="s">
        <v>1283</v>
      </c>
      <c r="C78" t="s">
        <v>350</v>
      </c>
      <c r="D78" t="s">
        <v>303</v>
      </c>
    </row>
    <row r="79" spans="1:4" x14ac:dyDescent="0.25">
      <c r="A79" t="s">
        <v>1286</v>
      </c>
      <c r="B79" t="s">
        <v>1283</v>
      </c>
      <c r="C79" t="s">
        <v>353</v>
      </c>
      <c r="D79" t="s">
        <v>303</v>
      </c>
    </row>
    <row r="80" spans="1:4" x14ac:dyDescent="0.25">
      <c r="A80" t="s">
        <v>1735</v>
      </c>
      <c r="B80" t="s">
        <v>144</v>
      </c>
      <c r="C80" t="s">
        <v>1736</v>
      </c>
      <c r="D80" t="s">
        <v>303</v>
      </c>
    </row>
    <row r="81" spans="1:4" x14ac:dyDescent="0.25">
      <c r="A81" t="s">
        <v>1214</v>
      </c>
      <c r="B81" t="s">
        <v>144</v>
      </c>
      <c r="C81" t="s">
        <v>1215</v>
      </c>
      <c r="D81" t="s">
        <v>1737</v>
      </c>
    </row>
    <row r="82" spans="1:4" x14ac:dyDescent="0.25">
      <c r="A82" t="s">
        <v>118</v>
      </c>
      <c r="B82" t="s">
        <v>144</v>
      </c>
      <c r="C82" t="s">
        <v>376</v>
      </c>
      <c r="D82" t="s">
        <v>303</v>
      </c>
    </row>
    <row r="83" spans="1:4" x14ac:dyDescent="0.25">
      <c r="A83" t="s">
        <v>119</v>
      </c>
      <c r="B83" t="s">
        <v>144</v>
      </c>
      <c r="C83" t="s">
        <v>1106</v>
      </c>
      <c r="D83" t="s">
        <v>303</v>
      </c>
    </row>
    <row r="84" spans="1:4" x14ac:dyDescent="0.25">
      <c r="A84" t="s">
        <v>1738</v>
      </c>
      <c r="B84" t="s">
        <v>143</v>
      </c>
      <c r="C84" t="s">
        <v>1739</v>
      </c>
      <c r="D84" t="s">
        <v>303</v>
      </c>
    </row>
    <row r="85" spans="1:4" x14ac:dyDescent="0.25">
      <c r="A85" t="s">
        <v>120</v>
      </c>
      <c r="B85" t="s">
        <v>143</v>
      </c>
      <c r="C85" t="s">
        <v>371</v>
      </c>
      <c r="D85" t="s">
        <v>303</v>
      </c>
    </row>
    <row r="86" spans="1:4" x14ac:dyDescent="0.25">
      <c r="A86" t="s">
        <v>1740</v>
      </c>
      <c r="B86" t="s">
        <v>140</v>
      </c>
      <c r="C86" t="s">
        <v>1741</v>
      </c>
      <c r="D86" t="s">
        <v>303</v>
      </c>
    </row>
    <row r="87" spans="1:4" x14ac:dyDescent="0.25">
      <c r="A87" t="s">
        <v>122</v>
      </c>
      <c r="B87" t="s">
        <v>140</v>
      </c>
      <c r="C87" t="s">
        <v>374</v>
      </c>
      <c r="D87" t="s">
        <v>303</v>
      </c>
    </row>
    <row r="88" spans="1:4" x14ac:dyDescent="0.25">
      <c r="A88" t="s">
        <v>123</v>
      </c>
      <c r="B88" t="s">
        <v>140</v>
      </c>
      <c r="C88" t="s">
        <v>375</v>
      </c>
      <c r="D88" t="s">
        <v>303</v>
      </c>
    </row>
    <row r="89" spans="1:4" x14ac:dyDescent="0.25">
      <c r="A89" t="s">
        <v>1742</v>
      </c>
      <c r="B89" t="s">
        <v>145</v>
      </c>
      <c r="C89" t="s">
        <v>1743</v>
      </c>
      <c r="D89" t="s">
        <v>303</v>
      </c>
    </row>
    <row r="90" spans="1:4" x14ac:dyDescent="0.25">
      <c r="A90" t="s">
        <v>124</v>
      </c>
      <c r="B90" t="s">
        <v>145</v>
      </c>
      <c r="C90" t="s">
        <v>380</v>
      </c>
      <c r="D90" t="s">
        <v>1744</v>
      </c>
    </row>
    <row r="91" spans="1:4" x14ac:dyDescent="0.25">
      <c r="A91" t="s">
        <v>125</v>
      </c>
      <c r="B91" t="s">
        <v>145</v>
      </c>
      <c r="C91" t="s">
        <v>381</v>
      </c>
      <c r="D91" t="s">
        <v>303</v>
      </c>
    </row>
    <row r="92" spans="1:4" x14ac:dyDescent="0.25">
      <c r="A92" t="s">
        <v>126</v>
      </c>
      <c r="B92" t="s">
        <v>145</v>
      </c>
      <c r="C92" t="s">
        <v>382</v>
      </c>
      <c r="D92" t="s">
        <v>303</v>
      </c>
    </row>
    <row r="93" spans="1:4" x14ac:dyDescent="0.25">
      <c r="A93" t="s">
        <v>127</v>
      </c>
      <c r="B93" t="s">
        <v>145</v>
      </c>
      <c r="C93" t="s">
        <v>383</v>
      </c>
      <c r="D93" t="s">
        <v>303</v>
      </c>
    </row>
    <row r="94" spans="1:4" x14ac:dyDescent="0.25">
      <c r="A94" t="s">
        <v>128</v>
      </c>
      <c r="B94" t="s">
        <v>145</v>
      </c>
      <c r="C94" t="s">
        <v>384</v>
      </c>
      <c r="D94" t="s">
        <v>1744</v>
      </c>
    </row>
    <row r="95" spans="1:4" x14ac:dyDescent="0.25">
      <c r="A95" t="s">
        <v>129</v>
      </c>
      <c r="B95" t="s">
        <v>145</v>
      </c>
      <c r="C95" t="s">
        <v>385</v>
      </c>
      <c r="D95" t="s">
        <v>303</v>
      </c>
    </row>
    <row r="96" spans="1:4" x14ac:dyDescent="0.25">
      <c r="A96" t="s">
        <v>130</v>
      </c>
      <c r="B96" t="s">
        <v>145</v>
      </c>
      <c r="C96" t="s">
        <v>386</v>
      </c>
      <c r="D96" t="s">
        <v>303</v>
      </c>
    </row>
    <row r="97" spans="1:4" x14ac:dyDescent="0.25">
      <c r="A97" t="s">
        <v>131</v>
      </c>
      <c r="B97" t="s">
        <v>145</v>
      </c>
      <c r="C97" t="s">
        <v>387</v>
      </c>
      <c r="D97" t="s">
        <v>303</v>
      </c>
    </row>
    <row r="98" spans="1:4" x14ac:dyDescent="0.25">
      <c r="A98" t="s">
        <v>132</v>
      </c>
      <c r="B98" t="s">
        <v>145</v>
      </c>
      <c r="C98" t="s">
        <v>388</v>
      </c>
      <c r="D98" t="s">
        <v>303</v>
      </c>
    </row>
    <row r="99" spans="1:4" x14ac:dyDescent="0.25">
      <c r="A99" t="s">
        <v>116</v>
      </c>
      <c r="B99" t="s">
        <v>138</v>
      </c>
      <c r="C99" t="s">
        <v>302</v>
      </c>
      <c r="D99" t="s">
        <v>303</v>
      </c>
    </row>
    <row r="100" spans="1:4" x14ac:dyDescent="0.25">
      <c r="A100" t="s">
        <v>117</v>
      </c>
      <c r="B100" t="s">
        <v>138</v>
      </c>
      <c r="C100" t="s">
        <v>304</v>
      </c>
      <c r="D100" t="s">
        <v>303</v>
      </c>
    </row>
    <row r="101" spans="1:4" x14ac:dyDescent="0.25">
      <c r="A101" t="s">
        <v>1745</v>
      </c>
      <c r="B101" t="s">
        <v>138</v>
      </c>
      <c r="C101" t="s">
        <v>1746</v>
      </c>
      <c r="D101" t="s">
        <v>901</v>
      </c>
    </row>
    <row r="102" spans="1:4" x14ac:dyDescent="0.25">
      <c r="A102" t="s">
        <v>1747</v>
      </c>
      <c r="B102" t="s">
        <v>138</v>
      </c>
      <c r="C102" t="s">
        <v>1748</v>
      </c>
      <c r="D102" t="s">
        <v>303</v>
      </c>
    </row>
    <row r="103" spans="1:4" x14ac:dyDescent="0.25">
      <c r="A103" t="s">
        <v>1749</v>
      </c>
      <c r="B103" t="s">
        <v>138</v>
      </c>
      <c r="C103" t="s">
        <v>1750</v>
      </c>
      <c r="D103" t="s">
        <v>303</v>
      </c>
    </row>
    <row r="104" spans="1:4" x14ac:dyDescent="0.25">
      <c r="A104" t="s">
        <v>113</v>
      </c>
      <c r="B104" t="s">
        <v>141</v>
      </c>
      <c r="C104" t="s">
        <v>377</v>
      </c>
      <c r="D104" t="s">
        <v>1014</v>
      </c>
    </row>
    <row r="105" spans="1:4" x14ac:dyDescent="0.25">
      <c r="A105" t="s">
        <v>114</v>
      </c>
      <c r="B105" t="s">
        <v>141</v>
      </c>
      <c r="C105" t="s">
        <v>378</v>
      </c>
      <c r="D105" t="s">
        <v>303</v>
      </c>
    </row>
    <row r="106" spans="1:4" x14ac:dyDescent="0.25">
      <c r="A106" t="s">
        <v>115</v>
      </c>
      <c r="B106" t="s">
        <v>141</v>
      </c>
      <c r="C106" t="s">
        <v>379</v>
      </c>
      <c r="D106" t="s">
        <v>303</v>
      </c>
    </row>
    <row r="107" spans="1:4" x14ac:dyDescent="0.25">
      <c r="A107" t="s">
        <v>121</v>
      </c>
      <c r="B107" t="s">
        <v>372</v>
      </c>
      <c r="C107" t="s">
        <v>373</v>
      </c>
      <c r="D107" t="s">
        <v>303</v>
      </c>
    </row>
    <row r="108" spans="1:4" x14ac:dyDescent="0.25">
      <c r="A108" t="s">
        <v>1009</v>
      </c>
      <c r="B108" t="s">
        <v>372</v>
      </c>
      <c r="C108" t="s">
        <v>1010</v>
      </c>
      <c r="D108" t="s">
        <v>303</v>
      </c>
    </row>
  </sheetData>
  <pageMargins left="0.7" right="0.7" top="0.75" bottom="0.75" header="0.3" footer="0.3"/>
  <headerFoot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444"/>
  <sheetViews>
    <sheetView zoomScale="85" zoomScaleNormal="85" workbookViewId="0"/>
  </sheetViews>
  <sheetFormatPr defaultColWidth="8.625" defaultRowHeight="15.75" x14ac:dyDescent="0.25"/>
  <cols>
    <col min="1" max="1" width="43.625" bestFit="1" customWidth="1"/>
    <col min="2" max="2" width="11.625" customWidth="1"/>
    <col min="3" max="3" width="32.625" bestFit="1" customWidth="1"/>
    <col min="4" max="4" width="165.125" bestFit="1" customWidth="1"/>
    <col min="5" max="5" width="8.625" bestFit="1" customWidth="1"/>
    <col min="6" max="6" width="83.125" bestFit="1" customWidth="1"/>
    <col min="7" max="7" width="187.625" bestFit="1" customWidth="1"/>
  </cols>
  <sheetData>
    <row r="1" spans="1:7" x14ac:dyDescent="0.25">
      <c r="A1" s="1" t="s">
        <v>389</v>
      </c>
      <c r="B1" t="s">
        <v>215</v>
      </c>
      <c r="C1" t="s">
        <v>134</v>
      </c>
      <c r="D1" t="s">
        <v>216</v>
      </c>
      <c r="E1" t="s">
        <v>301</v>
      </c>
      <c r="F1" t="s">
        <v>218</v>
      </c>
      <c r="G1" t="s">
        <v>219</v>
      </c>
    </row>
    <row r="2" spans="1:7" x14ac:dyDescent="0.25">
      <c r="A2" t="str">
        <f>B2&amp;" "&amp;C2</f>
        <v>TC_A_01_CS Core</v>
      </c>
      <c r="B2" t="s">
        <v>390</v>
      </c>
      <c r="C2" t="s">
        <v>136</v>
      </c>
      <c r="D2" t="s">
        <v>1287</v>
      </c>
      <c r="E2" t="s">
        <v>391</v>
      </c>
    </row>
    <row r="3" spans="1:7" x14ac:dyDescent="0.25">
      <c r="A3" t="str">
        <f t="shared" ref="A3:A66" si="0">B3&amp;" "&amp;C3</f>
        <v>TC_A_09_CS Core</v>
      </c>
      <c r="B3" t="s">
        <v>396</v>
      </c>
      <c r="C3" t="s">
        <v>136</v>
      </c>
      <c r="D3" t="s">
        <v>1288</v>
      </c>
      <c r="E3" t="s">
        <v>391</v>
      </c>
    </row>
    <row r="4" spans="1:7" x14ac:dyDescent="0.25">
      <c r="A4" t="str">
        <f t="shared" si="0"/>
        <v>TC_A_10_CS Core</v>
      </c>
      <c r="B4" t="s">
        <v>397</v>
      </c>
      <c r="C4" t="s">
        <v>136</v>
      </c>
      <c r="D4" t="s">
        <v>1289</v>
      </c>
      <c r="E4" t="s">
        <v>391</v>
      </c>
    </row>
    <row r="5" spans="1:7" x14ac:dyDescent="0.25">
      <c r="A5" t="str">
        <f t="shared" si="0"/>
        <v>TC_A_04_CS Core</v>
      </c>
      <c r="B5" t="s">
        <v>392</v>
      </c>
      <c r="C5" t="s">
        <v>136</v>
      </c>
      <c r="D5" t="s">
        <v>1290</v>
      </c>
      <c r="E5" t="s">
        <v>391</v>
      </c>
    </row>
    <row r="6" spans="1:7" x14ac:dyDescent="0.25">
      <c r="A6" t="str">
        <f t="shared" si="0"/>
        <v>TC_A_05_CS Core</v>
      </c>
      <c r="B6" t="s">
        <v>393</v>
      </c>
      <c r="C6" t="s">
        <v>136</v>
      </c>
      <c r="D6" t="s">
        <v>1291</v>
      </c>
      <c r="E6" t="s">
        <v>391</v>
      </c>
    </row>
    <row r="7" spans="1:7" x14ac:dyDescent="0.25">
      <c r="A7" t="str">
        <f t="shared" si="0"/>
        <v>TC_A_06_CS Core</v>
      </c>
      <c r="B7" t="s">
        <v>394</v>
      </c>
      <c r="C7" t="s">
        <v>136</v>
      </c>
      <c r="D7" t="s">
        <v>1292</v>
      </c>
      <c r="E7" t="s">
        <v>391</v>
      </c>
    </row>
    <row r="8" spans="1:7" x14ac:dyDescent="0.25">
      <c r="A8" t="str">
        <f t="shared" si="0"/>
        <v>TC_A_19_CS Core</v>
      </c>
      <c r="B8" t="s">
        <v>403</v>
      </c>
      <c r="C8" t="s">
        <v>136</v>
      </c>
      <c r="D8" t="s">
        <v>1293</v>
      </c>
      <c r="E8" t="s">
        <v>400</v>
      </c>
      <c r="F8" t="s">
        <v>1784</v>
      </c>
    </row>
    <row r="9" spans="1:7" x14ac:dyDescent="0.25">
      <c r="A9" t="str">
        <f t="shared" si="0"/>
        <v>TC_A_20_CS Core</v>
      </c>
      <c r="B9" t="s">
        <v>404</v>
      </c>
      <c r="C9" t="s">
        <v>136</v>
      </c>
      <c r="D9" t="s">
        <v>1294</v>
      </c>
      <c r="E9" t="s">
        <v>400</v>
      </c>
      <c r="F9" t="s">
        <v>1237</v>
      </c>
      <c r="G9" t="s">
        <v>1751</v>
      </c>
    </row>
    <row r="10" spans="1:7" x14ac:dyDescent="0.25">
      <c r="A10" t="str">
        <f t="shared" si="0"/>
        <v>TC_A_22_CS Core</v>
      </c>
      <c r="B10" t="s">
        <v>406</v>
      </c>
      <c r="C10" t="s">
        <v>136</v>
      </c>
      <c r="D10" t="s">
        <v>1295</v>
      </c>
      <c r="E10" t="s">
        <v>391</v>
      </c>
    </row>
    <row r="11" spans="1:7" x14ac:dyDescent="0.25">
      <c r="A11" t="str">
        <f t="shared" si="0"/>
        <v>TC_B_01_CS Core</v>
      </c>
      <c r="B11" t="s">
        <v>408</v>
      </c>
      <c r="C11" t="s">
        <v>136</v>
      </c>
      <c r="D11" t="s">
        <v>1296</v>
      </c>
      <c r="E11" t="s">
        <v>391</v>
      </c>
    </row>
    <row r="12" spans="1:7" x14ac:dyDescent="0.25">
      <c r="A12" t="str">
        <f t="shared" si="0"/>
        <v>TC_B_02_CS Core</v>
      </c>
      <c r="B12" t="s">
        <v>409</v>
      </c>
      <c r="C12" t="s">
        <v>136</v>
      </c>
      <c r="D12" t="s">
        <v>1297</v>
      </c>
      <c r="E12" t="s">
        <v>391</v>
      </c>
      <c r="F12" t="s">
        <v>410</v>
      </c>
      <c r="G12" t="s">
        <v>411</v>
      </c>
    </row>
    <row r="13" spans="1:7" x14ac:dyDescent="0.25">
      <c r="A13" t="str">
        <f t="shared" si="0"/>
        <v>TC_B_03_CS Core</v>
      </c>
      <c r="B13" t="s">
        <v>412</v>
      </c>
      <c r="C13" t="s">
        <v>136</v>
      </c>
      <c r="D13" t="s">
        <v>1298</v>
      </c>
      <c r="E13" t="s">
        <v>391</v>
      </c>
    </row>
    <row r="14" spans="1:7" x14ac:dyDescent="0.25">
      <c r="A14" t="str">
        <f t="shared" si="0"/>
        <v>TC_B_30_CS Core</v>
      </c>
      <c r="B14" t="s">
        <v>442</v>
      </c>
      <c r="C14" t="s">
        <v>136</v>
      </c>
      <c r="D14" t="s">
        <v>1299</v>
      </c>
      <c r="E14" t="s">
        <v>391</v>
      </c>
      <c r="F14" t="s">
        <v>1238</v>
      </c>
      <c r="G14" t="s">
        <v>1752</v>
      </c>
    </row>
    <row r="15" spans="1:7" x14ac:dyDescent="0.25">
      <c r="A15" t="str">
        <f t="shared" si="0"/>
        <v>TC_B_51_CS Core</v>
      </c>
      <c r="B15" t="s">
        <v>459</v>
      </c>
      <c r="C15" t="s">
        <v>136</v>
      </c>
      <c r="D15" t="s">
        <v>1300</v>
      </c>
      <c r="E15" t="s">
        <v>391</v>
      </c>
    </row>
    <row r="16" spans="1:7" x14ac:dyDescent="0.25">
      <c r="A16" t="str">
        <f t="shared" si="0"/>
        <v>TC_B_52_CS Core</v>
      </c>
      <c r="B16" t="s">
        <v>460</v>
      </c>
      <c r="C16" t="s">
        <v>136</v>
      </c>
      <c r="D16" t="s">
        <v>1301</v>
      </c>
      <c r="E16" t="s">
        <v>391</v>
      </c>
    </row>
    <row r="17" spans="1:7" x14ac:dyDescent="0.25">
      <c r="A17" t="str">
        <f t="shared" si="0"/>
        <v>TC_B_06_CS Core</v>
      </c>
      <c r="B17" t="s">
        <v>413</v>
      </c>
      <c r="C17" t="s">
        <v>136</v>
      </c>
      <c r="D17" t="s">
        <v>1302</v>
      </c>
      <c r="E17" t="s">
        <v>391</v>
      </c>
    </row>
    <row r="18" spans="1:7" x14ac:dyDescent="0.25">
      <c r="A18" t="str">
        <f t="shared" si="0"/>
        <v>TC_B_07_CS Core</v>
      </c>
      <c r="B18" t="s">
        <v>414</v>
      </c>
      <c r="C18" t="s">
        <v>136</v>
      </c>
      <c r="D18" t="s">
        <v>1303</v>
      </c>
      <c r="E18" t="s">
        <v>391</v>
      </c>
      <c r="F18" t="s">
        <v>415</v>
      </c>
      <c r="G18" t="s">
        <v>895</v>
      </c>
    </row>
    <row r="19" spans="1:7" x14ac:dyDescent="0.25">
      <c r="A19" t="str">
        <f t="shared" si="0"/>
        <v>TC_B_32_CS Core</v>
      </c>
      <c r="B19" t="s">
        <v>443</v>
      </c>
      <c r="C19" t="s">
        <v>136</v>
      </c>
      <c r="D19" t="s">
        <v>1304</v>
      </c>
      <c r="E19" t="s">
        <v>391</v>
      </c>
    </row>
    <row r="20" spans="1:7" x14ac:dyDescent="0.25">
      <c r="A20" t="str">
        <f t="shared" si="0"/>
        <v>TC_B_33_CS Core</v>
      </c>
      <c r="B20" t="s">
        <v>444</v>
      </c>
      <c r="C20" t="s">
        <v>136</v>
      </c>
      <c r="D20" t="s">
        <v>1305</v>
      </c>
      <c r="E20" t="s">
        <v>391</v>
      </c>
    </row>
    <row r="21" spans="1:7" x14ac:dyDescent="0.25">
      <c r="A21" t="str">
        <f t="shared" si="0"/>
        <v>TC_B_34_CS Core</v>
      </c>
      <c r="B21" t="s">
        <v>445</v>
      </c>
      <c r="C21" t="s">
        <v>136</v>
      </c>
      <c r="D21" t="s">
        <v>1306</v>
      </c>
      <c r="E21" t="s">
        <v>391</v>
      </c>
    </row>
    <row r="22" spans="1:7" x14ac:dyDescent="0.25">
      <c r="A22" t="str">
        <f t="shared" si="0"/>
        <v>TC_B_09_CS Core</v>
      </c>
      <c r="B22" t="s">
        <v>416</v>
      </c>
      <c r="C22" t="s">
        <v>136</v>
      </c>
      <c r="D22" t="s">
        <v>1307</v>
      </c>
      <c r="E22" t="s">
        <v>391</v>
      </c>
    </row>
    <row r="23" spans="1:7" x14ac:dyDescent="0.25">
      <c r="A23" t="str">
        <f t="shared" si="0"/>
        <v>TC_B_10_CS Core</v>
      </c>
      <c r="B23" t="s">
        <v>417</v>
      </c>
      <c r="C23" t="s">
        <v>136</v>
      </c>
      <c r="D23" t="s">
        <v>1308</v>
      </c>
      <c r="E23" t="s">
        <v>391</v>
      </c>
      <c r="F23" t="s">
        <v>418</v>
      </c>
      <c r="G23" t="s">
        <v>896</v>
      </c>
    </row>
    <row r="24" spans="1:7" x14ac:dyDescent="0.25">
      <c r="A24" t="str">
        <f t="shared" si="0"/>
        <v>TC_B_35_CS Core</v>
      </c>
      <c r="B24" t="s">
        <v>446</v>
      </c>
      <c r="C24" t="s">
        <v>136</v>
      </c>
      <c r="D24" t="s">
        <v>1309</v>
      </c>
      <c r="E24" t="s">
        <v>391</v>
      </c>
    </row>
    <row r="25" spans="1:7" x14ac:dyDescent="0.25">
      <c r="A25" t="str">
        <f t="shared" si="0"/>
        <v>TC_B_36_CS Core</v>
      </c>
      <c r="B25" t="s">
        <v>447</v>
      </c>
      <c r="C25" t="s">
        <v>136</v>
      </c>
      <c r="D25" t="s">
        <v>1310</v>
      </c>
      <c r="E25" t="s">
        <v>391</v>
      </c>
    </row>
    <row r="26" spans="1:7" x14ac:dyDescent="0.25">
      <c r="A26" t="str">
        <f t="shared" si="0"/>
        <v>TC_B_37_CS Core</v>
      </c>
      <c r="B26" t="s">
        <v>448</v>
      </c>
      <c r="C26" t="s">
        <v>136</v>
      </c>
      <c r="D26" t="s">
        <v>1312</v>
      </c>
      <c r="E26" t="s">
        <v>391</v>
      </c>
    </row>
    <row r="27" spans="1:7" x14ac:dyDescent="0.25">
      <c r="A27" t="str">
        <f t="shared" si="0"/>
        <v>TC_B_11_CS Core</v>
      </c>
      <c r="B27" t="s">
        <v>419</v>
      </c>
      <c r="C27" t="s">
        <v>136</v>
      </c>
      <c r="D27" t="s">
        <v>1314</v>
      </c>
      <c r="E27" t="s">
        <v>391</v>
      </c>
    </row>
    <row r="28" spans="1:7" x14ac:dyDescent="0.25">
      <c r="A28" t="str">
        <f t="shared" si="0"/>
        <v>TC_B_39_CS Core</v>
      </c>
      <c r="B28" t="s">
        <v>449</v>
      </c>
      <c r="C28" t="s">
        <v>136</v>
      </c>
      <c r="D28" t="s">
        <v>1316</v>
      </c>
      <c r="E28" t="s">
        <v>391</v>
      </c>
    </row>
    <row r="29" spans="1:7" x14ac:dyDescent="0.25">
      <c r="A29" t="str">
        <f t="shared" si="0"/>
        <v>TC_B_12_CS Core</v>
      </c>
      <c r="B29" t="s">
        <v>420</v>
      </c>
      <c r="C29" t="s">
        <v>136</v>
      </c>
      <c r="D29" t="s">
        <v>1317</v>
      </c>
      <c r="E29" t="s">
        <v>391</v>
      </c>
      <c r="F29" t="s">
        <v>1753</v>
      </c>
      <c r="G29" t="s">
        <v>421</v>
      </c>
    </row>
    <row r="30" spans="1:7" x14ac:dyDescent="0.25">
      <c r="A30" t="str">
        <f t="shared" si="0"/>
        <v>TC_B_13_CS Core</v>
      </c>
      <c r="B30" t="s">
        <v>422</v>
      </c>
      <c r="C30" t="s">
        <v>136</v>
      </c>
      <c r="D30" t="s">
        <v>1318</v>
      </c>
      <c r="E30" t="s">
        <v>391</v>
      </c>
      <c r="F30" t="s">
        <v>423</v>
      </c>
      <c r="G30" t="s">
        <v>424</v>
      </c>
    </row>
    <row r="31" spans="1:7" x14ac:dyDescent="0.25">
      <c r="A31" t="str">
        <f t="shared" si="0"/>
        <v>TC_B_14_CS Core</v>
      </c>
      <c r="B31" t="s">
        <v>425</v>
      </c>
      <c r="C31" t="s">
        <v>136</v>
      </c>
      <c r="D31" t="s">
        <v>1320</v>
      </c>
      <c r="E31" t="s">
        <v>400</v>
      </c>
      <c r="F31" t="s">
        <v>1754</v>
      </c>
    </row>
    <row r="32" spans="1:7" x14ac:dyDescent="0.25">
      <c r="A32" t="str">
        <f t="shared" si="0"/>
        <v>TC_B_15_CS Core</v>
      </c>
      <c r="B32" t="s">
        <v>426</v>
      </c>
      <c r="C32" t="s">
        <v>136</v>
      </c>
      <c r="D32" t="s">
        <v>1322</v>
      </c>
      <c r="E32" t="s">
        <v>400</v>
      </c>
      <c r="F32" t="s">
        <v>427</v>
      </c>
    </row>
    <row r="33" spans="1:7" x14ac:dyDescent="0.25">
      <c r="A33" t="str">
        <f t="shared" si="0"/>
        <v>TC_B_53_CS Core</v>
      </c>
      <c r="B33" t="s">
        <v>461</v>
      </c>
      <c r="C33" t="s">
        <v>136</v>
      </c>
      <c r="D33" t="s">
        <v>1323</v>
      </c>
      <c r="E33" t="s">
        <v>391</v>
      </c>
    </row>
    <row r="34" spans="1:7" x14ac:dyDescent="0.25">
      <c r="A34" t="str">
        <f t="shared" si="0"/>
        <v>TC_B_20_CS Core</v>
      </c>
      <c r="B34" t="s">
        <v>431</v>
      </c>
      <c r="C34" t="s">
        <v>136</v>
      </c>
      <c r="D34" t="s">
        <v>1325</v>
      </c>
      <c r="E34" t="s">
        <v>391</v>
      </c>
    </row>
    <row r="35" spans="1:7" x14ac:dyDescent="0.25">
      <c r="A35" t="str">
        <f t="shared" si="0"/>
        <v>TC_B_21_CS Core</v>
      </c>
      <c r="B35" t="s">
        <v>432</v>
      </c>
      <c r="C35" t="s">
        <v>136</v>
      </c>
      <c r="D35" t="s">
        <v>1326</v>
      </c>
      <c r="E35" t="s">
        <v>391</v>
      </c>
    </row>
    <row r="36" spans="1:7" x14ac:dyDescent="0.25">
      <c r="A36" t="str">
        <f t="shared" si="0"/>
        <v>TC_B_22_CS Core</v>
      </c>
      <c r="B36" t="s">
        <v>433</v>
      </c>
      <c r="C36" t="s">
        <v>136</v>
      </c>
      <c r="D36" t="s">
        <v>1327</v>
      </c>
      <c r="E36" t="s">
        <v>391</v>
      </c>
    </row>
    <row r="37" spans="1:7" x14ac:dyDescent="0.25">
      <c r="A37" t="str">
        <f t="shared" si="0"/>
        <v>TC_B_23_CS Core</v>
      </c>
      <c r="B37" t="s">
        <v>434</v>
      </c>
      <c r="C37" t="s">
        <v>136</v>
      </c>
      <c r="D37" t="s">
        <v>1328</v>
      </c>
      <c r="E37" t="s">
        <v>391</v>
      </c>
    </row>
    <row r="38" spans="1:7" x14ac:dyDescent="0.25">
      <c r="A38" t="str">
        <f t="shared" si="0"/>
        <v>TC_B_41_CS Core</v>
      </c>
      <c r="B38" t="s">
        <v>450</v>
      </c>
      <c r="C38" t="s">
        <v>136</v>
      </c>
      <c r="D38" t="s">
        <v>1329</v>
      </c>
      <c r="E38" t="s">
        <v>400</v>
      </c>
      <c r="F38" t="s">
        <v>286</v>
      </c>
    </row>
    <row r="39" spans="1:7" x14ac:dyDescent="0.25">
      <c r="A39" t="str">
        <f t="shared" si="0"/>
        <v>TC_B_25_CS Core</v>
      </c>
      <c r="B39" t="s">
        <v>436</v>
      </c>
      <c r="C39" t="s">
        <v>136</v>
      </c>
      <c r="D39" t="s">
        <v>1330</v>
      </c>
      <c r="E39" t="s">
        <v>400</v>
      </c>
      <c r="F39" t="s">
        <v>64</v>
      </c>
      <c r="G39" t="s">
        <v>437</v>
      </c>
    </row>
    <row r="40" spans="1:7" x14ac:dyDescent="0.25">
      <c r="A40" t="str">
        <f t="shared" si="0"/>
        <v>TC_B_26_CS Core</v>
      </c>
      <c r="B40" t="s">
        <v>438</v>
      </c>
      <c r="C40" t="s">
        <v>136</v>
      </c>
      <c r="D40" t="s">
        <v>1331</v>
      </c>
      <c r="E40" t="s">
        <v>400</v>
      </c>
      <c r="F40" t="s">
        <v>64</v>
      </c>
      <c r="G40" t="s">
        <v>437</v>
      </c>
    </row>
    <row r="41" spans="1:7" x14ac:dyDescent="0.25">
      <c r="A41" t="str">
        <f t="shared" si="0"/>
        <v>TC_B_27_CS Core</v>
      </c>
      <c r="B41" t="s">
        <v>439</v>
      </c>
      <c r="C41" t="s">
        <v>136</v>
      </c>
      <c r="D41" t="s">
        <v>1332</v>
      </c>
      <c r="E41" t="s">
        <v>400</v>
      </c>
      <c r="F41" t="s">
        <v>64</v>
      </c>
      <c r="G41" t="s">
        <v>437</v>
      </c>
    </row>
    <row r="42" spans="1:7" x14ac:dyDescent="0.25">
      <c r="A42" t="str">
        <f t="shared" si="0"/>
        <v>TC_B_28_CS Core</v>
      </c>
      <c r="B42" t="s">
        <v>440</v>
      </c>
      <c r="C42" t="s">
        <v>136</v>
      </c>
      <c r="D42" t="s">
        <v>1333</v>
      </c>
      <c r="E42" t="s">
        <v>400</v>
      </c>
      <c r="F42" t="s">
        <v>242</v>
      </c>
      <c r="G42" t="s">
        <v>437</v>
      </c>
    </row>
    <row r="43" spans="1:7" x14ac:dyDescent="0.25">
      <c r="A43" t="str">
        <f t="shared" si="0"/>
        <v>TC_B_29_CS Core</v>
      </c>
      <c r="B43" t="s">
        <v>441</v>
      </c>
      <c r="C43" t="s">
        <v>136</v>
      </c>
      <c r="D43" t="s">
        <v>1334</v>
      </c>
      <c r="E43" t="s">
        <v>400</v>
      </c>
      <c r="F43" t="s">
        <v>242</v>
      </c>
      <c r="G43" t="s">
        <v>437</v>
      </c>
    </row>
    <row r="44" spans="1:7" x14ac:dyDescent="0.25">
      <c r="A44" t="str">
        <f t="shared" si="0"/>
        <v>TC_B_43_CS Core</v>
      </c>
      <c r="B44" t="s">
        <v>451</v>
      </c>
      <c r="C44" t="s">
        <v>136</v>
      </c>
      <c r="D44" t="s">
        <v>1335</v>
      </c>
      <c r="E44" t="s">
        <v>391</v>
      </c>
    </row>
    <row r="45" spans="1:7" x14ac:dyDescent="0.25">
      <c r="A45" t="str">
        <f t="shared" si="0"/>
        <v>TC_B_45_CS Core</v>
      </c>
      <c r="B45" t="s">
        <v>452</v>
      </c>
      <c r="C45" t="s">
        <v>136</v>
      </c>
      <c r="D45" t="s">
        <v>1336</v>
      </c>
      <c r="E45" t="s">
        <v>391</v>
      </c>
    </row>
    <row r="46" spans="1:7" x14ac:dyDescent="0.25">
      <c r="A46" t="str">
        <f t="shared" si="0"/>
        <v>TC_B_46_CS Core</v>
      </c>
      <c r="B46" t="s">
        <v>453</v>
      </c>
      <c r="C46" t="s">
        <v>136</v>
      </c>
      <c r="D46" t="s">
        <v>1337</v>
      </c>
      <c r="E46" t="s">
        <v>391</v>
      </c>
    </row>
    <row r="47" spans="1:7" x14ac:dyDescent="0.25">
      <c r="A47" t="str">
        <f t="shared" si="0"/>
        <v>TC_B_47_CS Core</v>
      </c>
      <c r="B47" t="s">
        <v>454</v>
      </c>
      <c r="C47" t="s">
        <v>136</v>
      </c>
      <c r="D47" t="s">
        <v>1338</v>
      </c>
      <c r="E47" t="s">
        <v>400</v>
      </c>
      <c r="F47" t="s">
        <v>241</v>
      </c>
      <c r="G47" t="s">
        <v>455</v>
      </c>
    </row>
    <row r="48" spans="1:7" x14ac:dyDescent="0.25">
      <c r="A48" t="str">
        <f t="shared" si="0"/>
        <v>TC_B_49_CS Core</v>
      </c>
      <c r="B48" t="s">
        <v>456</v>
      </c>
      <c r="C48" t="s">
        <v>136</v>
      </c>
      <c r="D48" t="s">
        <v>1339</v>
      </c>
      <c r="E48" t="s">
        <v>400</v>
      </c>
      <c r="F48" t="s">
        <v>98</v>
      </c>
      <c r="G48" t="s">
        <v>457</v>
      </c>
    </row>
    <row r="49" spans="1:7" x14ac:dyDescent="0.25">
      <c r="A49" t="str">
        <f t="shared" si="0"/>
        <v>TC_B_50_CS Core</v>
      </c>
      <c r="B49" t="s">
        <v>458</v>
      </c>
      <c r="C49" t="s">
        <v>136</v>
      </c>
      <c r="D49" t="s">
        <v>1340</v>
      </c>
      <c r="E49" t="s">
        <v>391</v>
      </c>
    </row>
    <row r="50" spans="1:7" x14ac:dyDescent="0.25">
      <c r="A50" t="str">
        <f t="shared" si="0"/>
        <v>TC_B_57_CS Core</v>
      </c>
      <c r="B50" t="s">
        <v>465</v>
      </c>
      <c r="C50" t="s">
        <v>136</v>
      </c>
      <c r="D50" t="s">
        <v>1341</v>
      </c>
      <c r="E50" t="s">
        <v>391</v>
      </c>
    </row>
    <row r="51" spans="1:7" x14ac:dyDescent="0.25">
      <c r="A51" t="str">
        <f t="shared" si="0"/>
        <v>TC_C_02_CS Core</v>
      </c>
      <c r="B51" t="s">
        <v>466</v>
      </c>
      <c r="C51" t="s">
        <v>136</v>
      </c>
      <c r="D51" t="s">
        <v>1342</v>
      </c>
      <c r="E51" t="s">
        <v>400</v>
      </c>
      <c r="F51" t="s">
        <v>1000</v>
      </c>
      <c r="G51" t="s">
        <v>1755</v>
      </c>
    </row>
    <row r="52" spans="1:7" x14ac:dyDescent="0.25">
      <c r="A52" t="str">
        <f t="shared" si="0"/>
        <v>TC_C_06_CS Core</v>
      </c>
      <c r="B52" t="s">
        <v>471</v>
      </c>
      <c r="C52" t="s">
        <v>136</v>
      </c>
      <c r="D52" t="s">
        <v>1343</v>
      </c>
      <c r="E52" t="s">
        <v>400</v>
      </c>
      <c r="F52" t="s">
        <v>246</v>
      </c>
      <c r="G52" t="s">
        <v>468</v>
      </c>
    </row>
    <row r="53" spans="1:7" x14ac:dyDescent="0.25">
      <c r="A53" t="str">
        <f t="shared" si="0"/>
        <v>TC_C_07_CS Core</v>
      </c>
      <c r="B53" t="s">
        <v>472</v>
      </c>
      <c r="C53" t="s">
        <v>136</v>
      </c>
      <c r="D53" t="s">
        <v>1344</v>
      </c>
      <c r="E53" t="s">
        <v>400</v>
      </c>
      <c r="F53" t="s">
        <v>246</v>
      </c>
      <c r="G53" t="s">
        <v>468</v>
      </c>
    </row>
    <row r="54" spans="1:7" x14ac:dyDescent="0.25">
      <c r="A54" t="str">
        <f t="shared" si="0"/>
        <v>TC_E_38_CS Core</v>
      </c>
      <c r="B54" t="s">
        <v>577</v>
      </c>
      <c r="C54" t="s">
        <v>136</v>
      </c>
      <c r="D54" t="s">
        <v>1346</v>
      </c>
      <c r="E54" t="s">
        <v>400</v>
      </c>
      <c r="F54" t="s">
        <v>863</v>
      </c>
      <c r="G54" t="s">
        <v>319</v>
      </c>
    </row>
    <row r="55" spans="1:7" x14ac:dyDescent="0.25">
      <c r="A55" t="str">
        <f t="shared" si="0"/>
        <v>TC_C_56_CS Core</v>
      </c>
      <c r="B55" t="s">
        <v>522</v>
      </c>
      <c r="C55" t="s">
        <v>136</v>
      </c>
      <c r="D55" t="s">
        <v>1348</v>
      </c>
      <c r="E55" t="s">
        <v>400</v>
      </c>
      <c r="F55" t="s">
        <v>1000</v>
      </c>
      <c r="G55" t="s">
        <v>468</v>
      </c>
    </row>
    <row r="56" spans="1:7" x14ac:dyDescent="0.25">
      <c r="A56" t="str">
        <f t="shared" si="0"/>
        <v>TC_C_05_CS Core</v>
      </c>
      <c r="B56" t="s">
        <v>469</v>
      </c>
      <c r="C56" t="s">
        <v>136</v>
      </c>
      <c r="D56" t="s">
        <v>1350</v>
      </c>
      <c r="E56" t="s">
        <v>400</v>
      </c>
      <c r="F56" t="s">
        <v>1001</v>
      </c>
      <c r="G56" t="s">
        <v>468</v>
      </c>
    </row>
    <row r="57" spans="1:7" x14ac:dyDescent="0.25">
      <c r="A57" t="str">
        <f t="shared" si="0"/>
        <v>TC_C_04_CS Core</v>
      </c>
      <c r="B57" t="s">
        <v>467</v>
      </c>
      <c r="C57" t="s">
        <v>136</v>
      </c>
      <c r="D57" t="s">
        <v>1351</v>
      </c>
      <c r="E57" t="s">
        <v>400</v>
      </c>
      <c r="F57" t="s">
        <v>1311</v>
      </c>
      <c r="G57" t="s">
        <v>468</v>
      </c>
    </row>
    <row r="58" spans="1:7" x14ac:dyDescent="0.25">
      <c r="A58" t="str">
        <f t="shared" si="0"/>
        <v>TC_E_06_CS Core</v>
      </c>
      <c r="B58" t="s">
        <v>541</v>
      </c>
      <c r="C58" t="s">
        <v>136</v>
      </c>
      <c r="D58" t="s">
        <v>1352</v>
      </c>
      <c r="E58" t="s">
        <v>400</v>
      </c>
      <c r="F58" t="s">
        <v>1313</v>
      </c>
      <c r="G58" t="s">
        <v>470</v>
      </c>
    </row>
    <row r="59" spans="1:7" x14ac:dyDescent="0.25">
      <c r="A59" t="str">
        <f t="shared" si="0"/>
        <v>TC_C_39_CS Core</v>
      </c>
      <c r="B59" t="s">
        <v>503</v>
      </c>
      <c r="C59" t="s">
        <v>136</v>
      </c>
      <c r="D59" t="s">
        <v>1353</v>
      </c>
      <c r="E59" t="s">
        <v>400</v>
      </c>
      <c r="F59" t="s">
        <v>1315</v>
      </c>
      <c r="G59" t="s">
        <v>468</v>
      </c>
    </row>
    <row r="60" spans="1:7" x14ac:dyDescent="0.25">
      <c r="A60" t="str">
        <f t="shared" si="0"/>
        <v>TC_C_45_CS Core</v>
      </c>
      <c r="B60" t="s">
        <v>509</v>
      </c>
      <c r="C60" t="s">
        <v>136</v>
      </c>
      <c r="D60" t="s">
        <v>1355</v>
      </c>
      <c r="E60" t="s">
        <v>400</v>
      </c>
      <c r="F60" t="s">
        <v>1716</v>
      </c>
      <c r="G60" t="s">
        <v>858</v>
      </c>
    </row>
    <row r="61" spans="1:7" x14ac:dyDescent="0.25">
      <c r="A61" t="str">
        <f t="shared" si="0"/>
        <v>TC_C_42_CS Core</v>
      </c>
      <c r="B61" t="s">
        <v>506</v>
      </c>
      <c r="C61" t="s">
        <v>136</v>
      </c>
      <c r="D61" t="s">
        <v>1356</v>
      </c>
      <c r="E61" t="s">
        <v>400</v>
      </c>
      <c r="F61" t="s">
        <v>1315</v>
      </c>
      <c r="G61" t="s">
        <v>468</v>
      </c>
    </row>
    <row r="62" spans="1:7" x14ac:dyDescent="0.25">
      <c r="A62" t="str">
        <f t="shared" si="0"/>
        <v>TC_C_26_CS Core</v>
      </c>
      <c r="B62" t="s">
        <v>490</v>
      </c>
      <c r="C62" t="s">
        <v>136</v>
      </c>
      <c r="D62" t="s">
        <v>1357</v>
      </c>
      <c r="E62" t="s">
        <v>400</v>
      </c>
      <c r="F62" t="s">
        <v>1319</v>
      </c>
      <c r="G62" t="s">
        <v>491</v>
      </c>
    </row>
    <row r="63" spans="1:7" x14ac:dyDescent="0.25">
      <c r="A63" t="str">
        <f t="shared" si="0"/>
        <v>TC_C_47_CS Core</v>
      </c>
      <c r="B63" t="s">
        <v>511</v>
      </c>
      <c r="C63" t="s">
        <v>136</v>
      </c>
      <c r="D63" t="s">
        <v>1358</v>
      </c>
      <c r="E63" t="s">
        <v>400</v>
      </c>
      <c r="F63" t="s">
        <v>1321</v>
      </c>
      <c r="G63" t="s">
        <v>512</v>
      </c>
    </row>
    <row r="64" spans="1:7" x14ac:dyDescent="0.25">
      <c r="A64" t="str">
        <f t="shared" si="0"/>
        <v>TC_C_48_CS Core</v>
      </c>
      <c r="B64" t="s">
        <v>513</v>
      </c>
      <c r="C64" t="s">
        <v>136</v>
      </c>
      <c r="D64" t="s">
        <v>1359</v>
      </c>
      <c r="E64" t="s">
        <v>400</v>
      </c>
      <c r="F64" t="s">
        <v>1321</v>
      </c>
      <c r="G64" t="s">
        <v>512</v>
      </c>
    </row>
    <row r="65" spans="1:7" x14ac:dyDescent="0.25">
      <c r="A65" t="str">
        <f t="shared" si="0"/>
        <v>TC_C_49_CS Core</v>
      </c>
      <c r="B65" t="s">
        <v>514</v>
      </c>
      <c r="C65" t="s">
        <v>136</v>
      </c>
      <c r="D65" t="s">
        <v>1360</v>
      </c>
      <c r="E65" t="s">
        <v>400</v>
      </c>
      <c r="F65" t="s">
        <v>1324</v>
      </c>
      <c r="G65" t="s">
        <v>515</v>
      </c>
    </row>
    <row r="66" spans="1:7" x14ac:dyDescent="0.25">
      <c r="A66" t="str">
        <f t="shared" si="0"/>
        <v>TC_C_32_CS Core</v>
      </c>
      <c r="B66" t="s">
        <v>497</v>
      </c>
      <c r="C66" t="s">
        <v>136</v>
      </c>
      <c r="D66" t="s">
        <v>1362</v>
      </c>
      <c r="E66" t="s">
        <v>400</v>
      </c>
      <c r="F66" t="s">
        <v>1714</v>
      </c>
      <c r="G66" t="s">
        <v>474</v>
      </c>
    </row>
    <row r="67" spans="1:7" x14ac:dyDescent="0.25">
      <c r="A67" t="str">
        <f t="shared" ref="A67:A130" si="1">B67&amp;" "&amp;C67</f>
        <v>TC_C_33_CS Core</v>
      </c>
      <c r="B67" t="s">
        <v>498</v>
      </c>
      <c r="C67" t="s">
        <v>136</v>
      </c>
      <c r="D67" t="s">
        <v>1363</v>
      </c>
      <c r="E67" t="s">
        <v>400</v>
      </c>
      <c r="F67" t="s">
        <v>1714</v>
      </c>
      <c r="G67" t="s">
        <v>474</v>
      </c>
    </row>
    <row r="68" spans="1:7" x14ac:dyDescent="0.25">
      <c r="A68" t="str">
        <f t="shared" si="1"/>
        <v>TC_C_34_CS Core</v>
      </c>
      <c r="B68" t="s">
        <v>499</v>
      </c>
      <c r="C68" t="s">
        <v>136</v>
      </c>
      <c r="D68" t="s">
        <v>1364</v>
      </c>
      <c r="E68" t="s">
        <v>400</v>
      </c>
      <c r="F68" t="s">
        <v>1714</v>
      </c>
      <c r="G68" t="s">
        <v>474</v>
      </c>
    </row>
    <row r="69" spans="1:7" x14ac:dyDescent="0.25">
      <c r="A69" t="str">
        <f t="shared" si="1"/>
        <v>TC_C_36_CS Core</v>
      </c>
      <c r="B69" t="s">
        <v>500</v>
      </c>
      <c r="C69" t="s">
        <v>136</v>
      </c>
      <c r="D69" t="s">
        <v>1366</v>
      </c>
      <c r="E69" t="s">
        <v>400</v>
      </c>
      <c r="F69" t="s">
        <v>1714</v>
      </c>
      <c r="G69" t="s">
        <v>474</v>
      </c>
    </row>
    <row r="70" spans="1:7" x14ac:dyDescent="0.25">
      <c r="A70" t="str">
        <f t="shared" si="1"/>
        <v>TC_C_46_CS Core</v>
      </c>
      <c r="B70" t="s">
        <v>510</v>
      </c>
      <c r="C70" t="s">
        <v>136</v>
      </c>
      <c r="D70" t="s">
        <v>1367</v>
      </c>
      <c r="E70" t="s">
        <v>400</v>
      </c>
      <c r="F70" t="s">
        <v>1715</v>
      </c>
      <c r="G70" t="s">
        <v>1050</v>
      </c>
    </row>
    <row r="71" spans="1:7" x14ac:dyDescent="0.25">
      <c r="A71" t="str">
        <f t="shared" si="1"/>
        <v>TC_C_37_CS Core</v>
      </c>
      <c r="B71" t="s">
        <v>501</v>
      </c>
      <c r="C71" t="s">
        <v>136</v>
      </c>
      <c r="D71" t="s">
        <v>1369</v>
      </c>
      <c r="E71" t="s">
        <v>400</v>
      </c>
      <c r="F71" t="s">
        <v>1714</v>
      </c>
      <c r="G71" t="s">
        <v>474</v>
      </c>
    </row>
    <row r="72" spans="1:7" x14ac:dyDescent="0.25">
      <c r="A72" t="str">
        <f t="shared" si="1"/>
        <v>TC_C_38_CS Core</v>
      </c>
      <c r="B72" t="s">
        <v>502</v>
      </c>
      <c r="C72" t="s">
        <v>136</v>
      </c>
      <c r="D72" t="s">
        <v>1370</v>
      </c>
      <c r="E72" t="s">
        <v>400</v>
      </c>
      <c r="F72" t="s">
        <v>1714</v>
      </c>
      <c r="G72" t="s">
        <v>474</v>
      </c>
    </row>
    <row r="73" spans="1:7" x14ac:dyDescent="0.25">
      <c r="A73" t="str">
        <f t="shared" si="1"/>
        <v>TC_C_41_CS Core</v>
      </c>
      <c r="B73" t="s">
        <v>505</v>
      </c>
      <c r="C73" t="s">
        <v>136</v>
      </c>
      <c r="D73" t="s">
        <v>1372</v>
      </c>
      <c r="E73" t="s">
        <v>400</v>
      </c>
      <c r="F73" t="s">
        <v>1713</v>
      </c>
      <c r="G73" t="s">
        <v>474</v>
      </c>
    </row>
    <row r="74" spans="1:7" x14ac:dyDescent="0.25">
      <c r="A74" t="str">
        <f t="shared" si="1"/>
        <v>TC_C_44_CS Core</v>
      </c>
      <c r="B74" t="s">
        <v>508</v>
      </c>
      <c r="C74" t="s">
        <v>136</v>
      </c>
      <c r="D74" t="s">
        <v>1373</v>
      </c>
      <c r="E74" t="s">
        <v>400</v>
      </c>
      <c r="F74" t="s">
        <v>1713</v>
      </c>
      <c r="G74" t="s">
        <v>474</v>
      </c>
    </row>
    <row r="75" spans="1:7" x14ac:dyDescent="0.25">
      <c r="A75" t="str">
        <f t="shared" si="1"/>
        <v>TC_C_08_CS Core</v>
      </c>
      <c r="B75" t="s">
        <v>473</v>
      </c>
      <c r="C75" t="s">
        <v>136</v>
      </c>
      <c r="D75" t="s">
        <v>1374</v>
      </c>
      <c r="E75" t="s">
        <v>400</v>
      </c>
      <c r="F75" t="s">
        <v>1714</v>
      </c>
      <c r="G75" t="s">
        <v>474</v>
      </c>
    </row>
    <row r="76" spans="1:7" x14ac:dyDescent="0.25">
      <c r="A76" t="str">
        <f t="shared" si="1"/>
        <v>TC_C_09_CS Core</v>
      </c>
      <c r="B76" t="s">
        <v>475</v>
      </c>
      <c r="C76" t="s">
        <v>136</v>
      </c>
      <c r="D76" t="s">
        <v>1376</v>
      </c>
      <c r="E76" t="s">
        <v>400</v>
      </c>
      <c r="F76" t="s">
        <v>1714</v>
      </c>
      <c r="G76" t="s">
        <v>474</v>
      </c>
    </row>
    <row r="77" spans="1:7" x14ac:dyDescent="0.25">
      <c r="A77" t="str">
        <f t="shared" si="1"/>
        <v>TC_C_12_CS Core</v>
      </c>
      <c r="B77" t="s">
        <v>478</v>
      </c>
      <c r="C77" t="s">
        <v>136</v>
      </c>
      <c r="D77" t="s">
        <v>1377</v>
      </c>
      <c r="E77" t="s">
        <v>400</v>
      </c>
      <c r="F77" t="s">
        <v>1714</v>
      </c>
      <c r="G77" t="s">
        <v>474</v>
      </c>
    </row>
    <row r="78" spans="1:7" x14ac:dyDescent="0.25">
      <c r="A78" t="str">
        <f t="shared" si="1"/>
        <v>TC_C_10_CS Core</v>
      </c>
      <c r="B78" t="s">
        <v>476</v>
      </c>
      <c r="C78" t="s">
        <v>136</v>
      </c>
      <c r="D78" t="s">
        <v>1379</v>
      </c>
      <c r="E78" t="s">
        <v>400</v>
      </c>
      <c r="F78" t="s">
        <v>1714</v>
      </c>
      <c r="G78" t="s">
        <v>474</v>
      </c>
    </row>
    <row r="79" spans="1:7" x14ac:dyDescent="0.25">
      <c r="A79" t="str">
        <f t="shared" si="1"/>
        <v>TC_C_11_CS Core</v>
      </c>
      <c r="B79" t="s">
        <v>477</v>
      </c>
      <c r="C79" t="s">
        <v>136</v>
      </c>
      <c r="D79" t="s">
        <v>1380</v>
      </c>
      <c r="E79" t="s">
        <v>400</v>
      </c>
      <c r="F79" t="s">
        <v>1714</v>
      </c>
      <c r="G79" t="s">
        <v>474</v>
      </c>
    </row>
    <row r="80" spans="1:7" x14ac:dyDescent="0.25">
      <c r="A80" t="str">
        <f t="shared" si="1"/>
        <v>TC_C_13_CS Core</v>
      </c>
      <c r="B80" t="s">
        <v>479</v>
      </c>
      <c r="C80" t="s">
        <v>136</v>
      </c>
      <c r="D80" t="s">
        <v>1381</v>
      </c>
      <c r="E80" t="s">
        <v>400</v>
      </c>
      <c r="F80" t="s">
        <v>1714</v>
      </c>
      <c r="G80" t="s">
        <v>474</v>
      </c>
    </row>
    <row r="81" spans="1:7" x14ac:dyDescent="0.25">
      <c r="A81" t="str">
        <f t="shared" si="1"/>
        <v>TC_C_15_CS Core</v>
      </c>
      <c r="B81" t="s">
        <v>480</v>
      </c>
      <c r="C81" t="s">
        <v>136</v>
      </c>
      <c r="D81" t="s">
        <v>1382</v>
      </c>
      <c r="E81" t="s">
        <v>400</v>
      </c>
      <c r="F81" t="s">
        <v>1711</v>
      </c>
      <c r="G81" t="s">
        <v>481</v>
      </c>
    </row>
    <row r="82" spans="1:7" x14ac:dyDescent="0.25">
      <c r="A82" t="str">
        <f t="shared" si="1"/>
        <v>TC_C_16_CS Core</v>
      </c>
      <c r="B82" t="s">
        <v>482</v>
      </c>
      <c r="C82" t="s">
        <v>136</v>
      </c>
      <c r="D82" t="s">
        <v>1383</v>
      </c>
      <c r="E82" t="s">
        <v>400</v>
      </c>
      <c r="F82" t="s">
        <v>1713</v>
      </c>
      <c r="G82" t="s">
        <v>474</v>
      </c>
    </row>
    <row r="83" spans="1:7" x14ac:dyDescent="0.25">
      <c r="A83" t="str">
        <f t="shared" si="1"/>
        <v>TC_C_17_CS Core</v>
      </c>
      <c r="B83" t="s">
        <v>483</v>
      </c>
      <c r="C83" t="s">
        <v>136</v>
      </c>
      <c r="D83" t="s">
        <v>1384</v>
      </c>
      <c r="E83" t="s">
        <v>400</v>
      </c>
      <c r="F83" t="s">
        <v>1713</v>
      </c>
      <c r="G83" t="s">
        <v>474</v>
      </c>
    </row>
    <row r="84" spans="1:7" x14ac:dyDescent="0.25">
      <c r="A84" t="str">
        <f t="shared" si="1"/>
        <v>TC_C_18_CS Core</v>
      </c>
      <c r="B84" t="s">
        <v>484</v>
      </c>
      <c r="C84" t="s">
        <v>136</v>
      </c>
      <c r="D84" t="s">
        <v>1386</v>
      </c>
      <c r="E84" t="s">
        <v>400</v>
      </c>
      <c r="F84" t="s">
        <v>1711</v>
      </c>
      <c r="G84" t="s">
        <v>481</v>
      </c>
    </row>
    <row r="85" spans="1:7" x14ac:dyDescent="0.25">
      <c r="A85" t="str">
        <f t="shared" si="1"/>
        <v>TC_C_57_CS Core</v>
      </c>
      <c r="B85" t="s">
        <v>523</v>
      </c>
      <c r="C85" t="s">
        <v>136</v>
      </c>
      <c r="D85" t="s">
        <v>1388</v>
      </c>
      <c r="E85" t="s">
        <v>400</v>
      </c>
      <c r="F85" t="s">
        <v>1712</v>
      </c>
    </row>
    <row r="86" spans="1:7" x14ac:dyDescent="0.25">
      <c r="A86" t="str">
        <f t="shared" si="1"/>
        <v>TC_E_03_CS Core</v>
      </c>
      <c r="B86" t="s">
        <v>538</v>
      </c>
      <c r="C86" t="s">
        <v>136</v>
      </c>
      <c r="D86" t="s">
        <v>1389</v>
      </c>
      <c r="E86" t="s">
        <v>400</v>
      </c>
      <c r="F86" t="s">
        <v>1347</v>
      </c>
      <c r="G86" t="s">
        <v>347</v>
      </c>
    </row>
    <row r="87" spans="1:7" x14ac:dyDescent="0.25">
      <c r="A87" t="str">
        <f t="shared" si="1"/>
        <v>TC_E_04_CS Core</v>
      </c>
      <c r="B87" t="s">
        <v>539</v>
      </c>
      <c r="C87" t="s">
        <v>136</v>
      </c>
      <c r="D87" t="s">
        <v>1390</v>
      </c>
      <c r="E87" t="s">
        <v>400</v>
      </c>
      <c r="F87" t="s">
        <v>1349</v>
      </c>
      <c r="G87" t="s">
        <v>347</v>
      </c>
    </row>
    <row r="88" spans="1:7" x14ac:dyDescent="0.25">
      <c r="A88" t="str">
        <f t="shared" si="1"/>
        <v>TC_E_05_CS Core</v>
      </c>
      <c r="B88" t="s">
        <v>540</v>
      </c>
      <c r="C88" t="s">
        <v>136</v>
      </c>
      <c r="D88" t="s">
        <v>1391</v>
      </c>
      <c r="E88" t="s">
        <v>400</v>
      </c>
      <c r="F88" t="s">
        <v>1349</v>
      </c>
      <c r="G88" t="s">
        <v>347</v>
      </c>
    </row>
    <row r="89" spans="1:7" x14ac:dyDescent="0.25">
      <c r="A89" t="str">
        <f t="shared" si="1"/>
        <v>TC_E_52_CS Core</v>
      </c>
      <c r="B89" t="s">
        <v>588</v>
      </c>
      <c r="C89" t="s">
        <v>136</v>
      </c>
      <c r="D89" t="s">
        <v>1392</v>
      </c>
      <c r="E89" t="s">
        <v>400</v>
      </c>
      <c r="F89" t="s">
        <v>1002</v>
      </c>
      <c r="G89" t="s">
        <v>1345</v>
      </c>
    </row>
    <row r="90" spans="1:7" x14ac:dyDescent="0.25">
      <c r="A90" t="str">
        <f t="shared" si="1"/>
        <v>TC_E_09_CS Core</v>
      </c>
      <c r="B90" t="s">
        <v>546</v>
      </c>
      <c r="C90" t="s">
        <v>136</v>
      </c>
      <c r="D90" t="s">
        <v>315</v>
      </c>
      <c r="E90" t="s">
        <v>400</v>
      </c>
      <c r="F90" t="s">
        <v>1785</v>
      </c>
    </row>
    <row r="91" spans="1:7" x14ac:dyDescent="0.25">
      <c r="A91" t="str">
        <f t="shared" si="1"/>
        <v>TC_E_10_CS Core</v>
      </c>
      <c r="B91" t="s">
        <v>547</v>
      </c>
      <c r="C91" t="s">
        <v>136</v>
      </c>
      <c r="D91" t="s">
        <v>1393</v>
      </c>
      <c r="E91" t="s">
        <v>400</v>
      </c>
      <c r="F91" t="s">
        <v>1354</v>
      </c>
      <c r="G91" t="s">
        <v>548</v>
      </c>
    </row>
    <row r="92" spans="1:7" x14ac:dyDescent="0.25">
      <c r="A92" t="str">
        <f t="shared" si="1"/>
        <v>TC_E_13_CS Core</v>
      </c>
      <c r="B92" t="s">
        <v>551</v>
      </c>
      <c r="C92" t="s">
        <v>136</v>
      </c>
      <c r="D92" t="s">
        <v>1394</v>
      </c>
      <c r="E92" t="s">
        <v>400</v>
      </c>
      <c r="F92" t="s">
        <v>50</v>
      </c>
      <c r="G92" t="s">
        <v>536</v>
      </c>
    </row>
    <row r="93" spans="1:7" x14ac:dyDescent="0.25">
      <c r="A93" t="str">
        <f t="shared" si="1"/>
        <v>TC_E_11_CS Core</v>
      </c>
      <c r="B93" t="s">
        <v>549</v>
      </c>
      <c r="C93" t="s">
        <v>136</v>
      </c>
      <c r="D93" t="s">
        <v>317</v>
      </c>
      <c r="E93" t="s">
        <v>400</v>
      </c>
      <c r="F93" t="s">
        <v>253</v>
      </c>
      <c r="G93" t="s">
        <v>536</v>
      </c>
    </row>
    <row r="94" spans="1:7" x14ac:dyDescent="0.25">
      <c r="A94" t="str">
        <f t="shared" si="1"/>
        <v>TC_E_01_CS Core</v>
      </c>
      <c r="B94" t="s">
        <v>535</v>
      </c>
      <c r="C94" t="s">
        <v>136</v>
      </c>
      <c r="D94" t="s">
        <v>318</v>
      </c>
      <c r="E94" t="s">
        <v>400</v>
      </c>
      <c r="F94" t="s">
        <v>254</v>
      </c>
      <c r="G94" t="s">
        <v>536</v>
      </c>
    </row>
    <row r="95" spans="1:7" x14ac:dyDescent="0.25">
      <c r="A95" t="str">
        <f t="shared" si="1"/>
        <v>TC_E_02_CS Core</v>
      </c>
      <c r="B95" t="s">
        <v>537</v>
      </c>
      <c r="C95" t="s">
        <v>136</v>
      </c>
      <c r="D95" t="s">
        <v>319</v>
      </c>
      <c r="E95" t="s">
        <v>400</v>
      </c>
      <c r="F95" t="s">
        <v>255</v>
      </c>
      <c r="G95" t="s">
        <v>536</v>
      </c>
    </row>
    <row r="96" spans="1:7" x14ac:dyDescent="0.25">
      <c r="A96" t="str">
        <f t="shared" si="1"/>
        <v>TC_E_12_CS Core</v>
      </c>
      <c r="B96" t="s">
        <v>550</v>
      </c>
      <c r="C96" t="s">
        <v>136</v>
      </c>
      <c r="D96" t="s">
        <v>1395</v>
      </c>
      <c r="E96" t="s">
        <v>400</v>
      </c>
      <c r="F96" t="s">
        <v>54</v>
      </c>
      <c r="G96" t="s">
        <v>536</v>
      </c>
    </row>
    <row r="97" spans="1:7" x14ac:dyDescent="0.25">
      <c r="A97" t="str">
        <f t="shared" si="1"/>
        <v>TC_E_14_CS Core</v>
      </c>
      <c r="B97" t="s">
        <v>552</v>
      </c>
      <c r="C97" t="s">
        <v>136</v>
      </c>
      <c r="D97" t="s">
        <v>1396</v>
      </c>
      <c r="E97" t="s">
        <v>400</v>
      </c>
      <c r="F97" t="s">
        <v>256</v>
      </c>
      <c r="G97" t="s">
        <v>545</v>
      </c>
    </row>
    <row r="98" spans="1:7" x14ac:dyDescent="0.25">
      <c r="A98" t="str">
        <f t="shared" si="1"/>
        <v>TC_E_20_CS Core</v>
      </c>
      <c r="B98" t="s">
        <v>557</v>
      </c>
      <c r="C98" t="s">
        <v>136</v>
      </c>
      <c r="D98" t="s">
        <v>1397</v>
      </c>
      <c r="E98" t="s">
        <v>400</v>
      </c>
      <c r="F98" t="s">
        <v>1756</v>
      </c>
      <c r="G98" t="s">
        <v>545</v>
      </c>
    </row>
    <row r="99" spans="1:7" x14ac:dyDescent="0.25">
      <c r="A99" t="str">
        <f t="shared" si="1"/>
        <v>TC_E_54_CS Core</v>
      </c>
      <c r="B99" t="s">
        <v>867</v>
      </c>
      <c r="C99" t="s">
        <v>136</v>
      </c>
      <c r="D99" t="s">
        <v>1398</v>
      </c>
      <c r="E99" t="s">
        <v>400</v>
      </c>
      <c r="F99" t="s">
        <v>1720</v>
      </c>
      <c r="G99" t="s">
        <v>545</v>
      </c>
    </row>
    <row r="100" spans="1:7" x14ac:dyDescent="0.25">
      <c r="A100" t="str">
        <f t="shared" si="1"/>
        <v>TC_E_15_CS Core</v>
      </c>
      <c r="B100" t="s">
        <v>553</v>
      </c>
      <c r="C100" t="s">
        <v>136</v>
      </c>
      <c r="D100" t="s">
        <v>1399</v>
      </c>
      <c r="E100" t="s">
        <v>400</v>
      </c>
      <c r="F100" t="s">
        <v>1365</v>
      </c>
      <c r="G100" t="s">
        <v>543</v>
      </c>
    </row>
    <row r="101" spans="1:7" x14ac:dyDescent="0.25">
      <c r="A101" t="str">
        <f t="shared" si="1"/>
        <v>TC_E_21_CS Core</v>
      </c>
      <c r="B101" t="s">
        <v>558</v>
      </c>
      <c r="C101" t="s">
        <v>136</v>
      </c>
      <c r="D101" t="s">
        <v>1400</v>
      </c>
      <c r="E101" t="s">
        <v>400</v>
      </c>
      <c r="F101" t="s">
        <v>57</v>
      </c>
      <c r="G101" t="s">
        <v>545</v>
      </c>
    </row>
    <row r="102" spans="1:7" x14ac:dyDescent="0.25">
      <c r="A102" t="str">
        <f t="shared" si="1"/>
        <v>TC_E_16_CS Core</v>
      </c>
      <c r="B102" t="s">
        <v>554</v>
      </c>
      <c r="C102" t="s">
        <v>136</v>
      </c>
      <c r="D102" t="s">
        <v>1401</v>
      </c>
      <c r="E102" t="s">
        <v>400</v>
      </c>
      <c r="F102" t="s">
        <v>1368</v>
      </c>
      <c r="G102" t="s">
        <v>1361</v>
      </c>
    </row>
    <row r="103" spans="1:7" x14ac:dyDescent="0.25">
      <c r="A103" t="str">
        <f t="shared" si="1"/>
        <v>TC_E_17_CS Core</v>
      </c>
      <c r="B103" t="s">
        <v>555</v>
      </c>
      <c r="C103" t="s">
        <v>136</v>
      </c>
      <c r="D103" t="s">
        <v>1402</v>
      </c>
      <c r="E103" t="s">
        <v>400</v>
      </c>
      <c r="F103" t="s">
        <v>1757</v>
      </c>
      <c r="G103" t="s">
        <v>545</v>
      </c>
    </row>
    <row r="104" spans="1:7" x14ac:dyDescent="0.25">
      <c r="A104" t="str">
        <f t="shared" si="1"/>
        <v>TC_E_39_CS Core</v>
      </c>
      <c r="B104" t="s">
        <v>578</v>
      </c>
      <c r="C104" t="s">
        <v>136</v>
      </c>
      <c r="D104" t="s">
        <v>1403</v>
      </c>
      <c r="E104" t="s">
        <v>391</v>
      </c>
    </row>
    <row r="105" spans="1:7" x14ac:dyDescent="0.25">
      <c r="A105" t="str">
        <f t="shared" si="1"/>
        <v>TC_E_07_CS Core</v>
      </c>
      <c r="B105" t="s">
        <v>542</v>
      </c>
      <c r="C105" t="s">
        <v>136</v>
      </c>
      <c r="D105" t="s">
        <v>1404</v>
      </c>
      <c r="E105" t="s">
        <v>400</v>
      </c>
      <c r="F105" t="s">
        <v>1371</v>
      </c>
      <c r="G105" t="s">
        <v>543</v>
      </c>
    </row>
    <row r="106" spans="1:7" x14ac:dyDescent="0.25">
      <c r="A106" t="str">
        <f t="shared" si="1"/>
        <v>TC_E_35_CS Core</v>
      </c>
      <c r="B106" t="s">
        <v>575</v>
      </c>
      <c r="C106" t="s">
        <v>136</v>
      </c>
      <c r="D106" t="s">
        <v>1405</v>
      </c>
      <c r="E106" t="s">
        <v>400</v>
      </c>
      <c r="F106" t="s">
        <v>262</v>
      </c>
      <c r="G106" t="s">
        <v>545</v>
      </c>
    </row>
    <row r="107" spans="1:7" x14ac:dyDescent="0.25">
      <c r="A107" t="str">
        <f t="shared" si="1"/>
        <v>TC_E_37_CS Core</v>
      </c>
      <c r="B107" t="s">
        <v>576</v>
      </c>
      <c r="C107" t="s">
        <v>136</v>
      </c>
      <c r="D107" t="s">
        <v>1406</v>
      </c>
      <c r="E107" t="s">
        <v>400</v>
      </c>
      <c r="F107" t="s">
        <v>1721</v>
      </c>
      <c r="G107" t="s">
        <v>545</v>
      </c>
    </row>
    <row r="108" spans="1:7" x14ac:dyDescent="0.25">
      <c r="A108" t="str">
        <f t="shared" si="1"/>
        <v>TC_E_08_CS Core</v>
      </c>
      <c r="B108" t="s">
        <v>544</v>
      </c>
      <c r="C108" t="s">
        <v>136</v>
      </c>
      <c r="D108" t="s">
        <v>1407</v>
      </c>
      <c r="E108" t="s">
        <v>400</v>
      </c>
      <c r="F108" t="s">
        <v>264</v>
      </c>
      <c r="G108" t="s">
        <v>545</v>
      </c>
    </row>
    <row r="109" spans="1:7" x14ac:dyDescent="0.25">
      <c r="A109" t="str">
        <f t="shared" si="1"/>
        <v>TC_E_22_CS Core</v>
      </c>
      <c r="B109" t="s">
        <v>559</v>
      </c>
      <c r="C109" t="s">
        <v>136</v>
      </c>
      <c r="D109" t="s">
        <v>1408</v>
      </c>
      <c r="E109" t="s">
        <v>400</v>
      </c>
      <c r="F109" t="s">
        <v>59</v>
      </c>
      <c r="G109" t="s">
        <v>545</v>
      </c>
    </row>
    <row r="110" spans="1:7" x14ac:dyDescent="0.25">
      <c r="A110" t="str">
        <f t="shared" si="1"/>
        <v>TC_E_19_CS Core</v>
      </c>
      <c r="B110" t="s">
        <v>556</v>
      </c>
      <c r="C110" t="s">
        <v>136</v>
      </c>
      <c r="D110" t="s">
        <v>1409</v>
      </c>
      <c r="E110" t="s">
        <v>400</v>
      </c>
      <c r="F110" t="s">
        <v>265</v>
      </c>
      <c r="G110" t="s">
        <v>545</v>
      </c>
    </row>
    <row r="111" spans="1:7" x14ac:dyDescent="0.25">
      <c r="A111" t="str">
        <f t="shared" si="1"/>
        <v>TC_E_24_CS Core</v>
      </c>
      <c r="B111" t="s">
        <v>560</v>
      </c>
      <c r="C111" t="s">
        <v>136</v>
      </c>
      <c r="D111" t="s">
        <v>1410</v>
      </c>
      <c r="E111" t="s">
        <v>400</v>
      </c>
      <c r="F111" t="s">
        <v>1722</v>
      </c>
      <c r="G111" t="s">
        <v>561</v>
      </c>
    </row>
    <row r="112" spans="1:7" x14ac:dyDescent="0.25">
      <c r="A112" t="str">
        <f t="shared" si="1"/>
        <v>TC_E_25_CS Core</v>
      </c>
      <c r="B112" t="s">
        <v>562</v>
      </c>
      <c r="C112" t="s">
        <v>136</v>
      </c>
      <c r="D112" t="s">
        <v>1411</v>
      </c>
      <c r="E112" t="s">
        <v>400</v>
      </c>
      <c r="F112" t="s">
        <v>1723</v>
      </c>
      <c r="G112" t="s">
        <v>563</v>
      </c>
    </row>
    <row r="113" spans="1:7" x14ac:dyDescent="0.25">
      <c r="A113" t="str">
        <f t="shared" si="1"/>
        <v>TC_E_26_CS Core</v>
      </c>
      <c r="B113" t="s">
        <v>564</v>
      </c>
      <c r="C113" t="s">
        <v>136</v>
      </c>
      <c r="D113" t="s">
        <v>1412</v>
      </c>
      <c r="E113" t="s">
        <v>400</v>
      </c>
      <c r="F113" t="s">
        <v>1724</v>
      </c>
    </row>
    <row r="114" spans="1:7" x14ac:dyDescent="0.25">
      <c r="A114" t="str">
        <f t="shared" si="1"/>
        <v>TC_E_27_CS Core</v>
      </c>
      <c r="B114" t="s">
        <v>565</v>
      </c>
      <c r="C114" t="s">
        <v>136</v>
      </c>
      <c r="D114" t="s">
        <v>1413</v>
      </c>
      <c r="E114" t="s">
        <v>400</v>
      </c>
      <c r="F114" t="s">
        <v>1725</v>
      </c>
    </row>
    <row r="115" spans="1:7" x14ac:dyDescent="0.25">
      <c r="A115" t="str">
        <f t="shared" si="1"/>
        <v>TC_E_41_CS Core</v>
      </c>
      <c r="B115" t="s">
        <v>580</v>
      </c>
      <c r="C115" t="s">
        <v>136</v>
      </c>
      <c r="D115" t="s">
        <v>1414</v>
      </c>
      <c r="E115" t="s">
        <v>391</v>
      </c>
    </row>
    <row r="116" spans="1:7" x14ac:dyDescent="0.25">
      <c r="A116" t="str">
        <f t="shared" si="1"/>
        <v>TC_E_42_CS Core</v>
      </c>
      <c r="B116" t="s">
        <v>581</v>
      </c>
      <c r="C116" t="s">
        <v>136</v>
      </c>
      <c r="D116" t="s">
        <v>1415</v>
      </c>
      <c r="E116" t="s">
        <v>391</v>
      </c>
    </row>
    <row r="117" spans="1:7" x14ac:dyDescent="0.25">
      <c r="A117" t="str">
        <f t="shared" si="1"/>
        <v>TC_E_50_CS Core</v>
      </c>
      <c r="B117" t="s">
        <v>586</v>
      </c>
      <c r="C117" t="s">
        <v>136</v>
      </c>
      <c r="D117" t="s">
        <v>1416</v>
      </c>
      <c r="E117" t="s">
        <v>391</v>
      </c>
    </row>
    <row r="118" spans="1:7" x14ac:dyDescent="0.25">
      <c r="A118" t="str">
        <f t="shared" si="1"/>
        <v>TC_E_51_CS Core</v>
      </c>
      <c r="B118" t="s">
        <v>587</v>
      </c>
      <c r="C118" t="s">
        <v>136</v>
      </c>
      <c r="D118" t="s">
        <v>1417</v>
      </c>
      <c r="E118" t="s">
        <v>391</v>
      </c>
    </row>
    <row r="119" spans="1:7" x14ac:dyDescent="0.25">
      <c r="A119" t="str">
        <f t="shared" si="1"/>
        <v>TC_E_40_CS Core</v>
      </c>
      <c r="B119" t="s">
        <v>579</v>
      </c>
      <c r="C119" t="s">
        <v>136</v>
      </c>
      <c r="D119" t="s">
        <v>1418</v>
      </c>
      <c r="E119" t="s">
        <v>391</v>
      </c>
    </row>
    <row r="120" spans="1:7" x14ac:dyDescent="0.25">
      <c r="A120" t="str">
        <f t="shared" si="1"/>
        <v>TC_E_43_CS Core</v>
      </c>
      <c r="B120" t="s">
        <v>582</v>
      </c>
      <c r="C120" t="s">
        <v>136</v>
      </c>
      <c r="D120" t="s">
        <v>1419</v>
      </c>
      <c r="E120" t="s">
        <v>400</v>
      </c>
      <c r="F120" t="s">
        <v>39</v>
      </c>
      <c r="G120" t="s">
        <v>1375</v>
      </c>
    </row>
    <row r="121" spans="1:7" x14ac:dyDescent="0.25">
      <c r="A121" t="str">
        <f t="shared" si="1"/>
        <v>TC_E_44_CS Core</v>
      </c>
      <c r="B121" t="s">
        <v>583</v>
      </c>
      <c r="C121" t="s">
        <v>136</v>
      </c>
      <c r="D121" t="s">
        <v>1420</v>
      </c>
      <c r="E121" t="s">
        <v>400</v>
      </c>
      <c r="F121" t="s">
        <v>1385</v>
      </c>
      <c r="G121" t="s">
        <v>1005</v>
      </c>
    </row>
    <row r="122" spans="1:7" x14ac:dyDescent="0.25">
      <c r="A122" t="str">
        <f t="shared" si="1"/>
        <v>TC_E_45_CS Core</v>
      </c>
      <c r="B122" t="s">
        <v>584</v>
      </c>
      <c r="C122" t="s">
        <v>136</v>
      </c>
      <c r="D122" t="s">
        <v>1421</v>
      </c>
      <c r="E122" t="s">
        <v>400</v>
      </c>
      <c r="F122" t="s">
        <v>1387</v>
      </c>
      <c r="G122" t="s">
        <v>1378</v>
      </c>
    </row>
    <row r="123" spans="1:7" x14ac:dyDescent="0.25">
      <c r="A123" t="str">
        <f t="shared" si="1"/>
        <v>TC_E_28_CS Core</v>
      </c>
      <c r="B123" t="s">
        <v>566</v>
      </c>
      <c r="C123" t="s">
        <v>136</v>
      </c>
      <c r="D123" t="s">
        <v>1422</v>
      </c>
      <c r="E123" t="s">
        <v>391</v>
      </c>
    </row>
    <row r="124" spans="1:7" x14ac:dyDescent="0.25">
      <c r="A124" t="str">
        <f t="shared" si="1"/>
        <v>TC_E_29_CS Core</v>
      </c>
      <c r="B124" t="s">
        <v>567</v>
      </c>
      <c r="C124" t="s">
        <v>136</v>
      </c>
      <c r="D124" t="s">
        <v>1423</v>
      </c>
      <c r="E124" t="s">
        <v>391</v>
      </c>
      <c r="F124" t="s">
        <v>568</v>
      </c>
      <c r="G124" t="s">
        <v>569</v>
      </c>
    </row>
    <row r="125" spans="1:7" x14ac:dyDescent="0.25">
      <c r="A125" t="str">
        <f t="shared" si="1"/>
        <v>TC_E_30_CS Core</v>
      </c>
      <c r="B125" t="s">
        <v>570</v>
      </c>
      <c r="C125" t="s">
        <v>136</v>
      </c>
      <c r="D125" t="s">
        <v>1424</v>
      </c>
      <c r="E125" t="s">
        <v>391</v>
      </c>
      <c r="F125" t="s">
        <v>568</v>
      </c>
      <c r="G125" t="s">
        <v>569</v>
      </c>
    </row>
    <row r="126" spans="1:7" x14ac:dyDescent="0.25">
      <c r="A126" t="str">
        <f t="shared" si="1"/>
        <v>TC_E_31_CS Core</v>
      </c>
      <c r="B126" t="s">
        <v>571</v>
      </c>
      <c r="C126" t="s">
        <v>136</v>
      </c>
      <c r="D126" t="s">
        <v>1425</v>
      </c>
      <c r="E126" t="s">
        <v>400</v>
      </c>
      <c r="F126" t="s">
        <v>1775</v>
      </c>
      <c r="G126" t="s">
        <v>569</v>
      </c>
    </row>
    <row r="127" spans="1:7" x14ac:dyDescent="0.25">
      <c r="A127" t="str">
        <f t="shared" si="1"/>
        <v>TC_E_32_CS Core</v>
      </c>
      <c r="B127" t="s">
        <v>572</v>
      </c>
      <c r="C127" t="s">
        <v>136</v>
      </c>
      <c r="D127" t="s">
        <v>1426</v>
      </c>
      <c r="E127" t="s">
        <v>391</v>
      </c>
    </row>
    <row r="128" spans="1:7" x14ac:dyDescent="0.25">
      <c r="A128" t="str">
        <f t="shared" si="1"/>
        <v>TC_E_33_CS Core</v>
      </c>
      <c r="B128" t="s">
        <v>573</v>
      </c>
      <c r="C128" t="s">
        <v>136</v>
      </c>
      <c r="D128" t="s">
        <v>1427</v>
      </c>
      <c r="E128" t="s">
        <v>391</v>
      </c>
      <c r="F128" t="s">
        <v>568</v>
      </c>
      <c r="G128" t="s">
        <v>569</v>
      </c>
    </row>
    <row r="129" spans="1:7" x14ac:dyDescent="0.25">
      <c r="A129" t="str">
        <f t="shared" si="1"/>
        <v>TC_E_34_CS Core</v>
      </c>
      <c r="B129" t="s">
        <v>574</v>
      </c>
      <c r="C129" t="s">
        <v>136</v>
      </c>
      <c r="D129" t="s">
        <v>1428</v>
      </c>
      <c r="E129" t="s">
        <v>391</v>
      </c>
      <c r="F129" t="s">
        <v>568</v>
      </c>
      <c r="G129" t="s">
        <v>569</v>
      </c>
    </row>
    <row r="130" spans="1:7" x14ac:dyDescent="0.25">
      <c r="A130" t="str">
        <f t="shared" si="1"/>
        <v>TC_F_01_CS Core</v>
      </c>
      <c r="B130" t="s">
        <v>589</v>
      </c>
      <c r="C130" t="s">
        <v>136</v>
      </c>
      <c r="D130" t="s">
        <v>1429</v>
      </c>
      <c r="E130" t="s">
        <v>400</v>
      </c>
      <c r="F130" t="s">
        <v>1758</v>
      </c>
      <c r="G130" t="s">
        <v>590</v>
      </c>
    </row>
    <row r="131" spans="1:7" x14ac:dyDescent="0.25">
      <c r="A131" t="str">
        <f t="shared" ref="A131:A194" si="2">B131&amp;" "&amp;C131</f>
        <v>TC_F_02_CS Core</v>
      </c>
      <c r="B131" t="s">
        <v>591</v>
      </c>
      <c r="C131" t="s">
        <v>136</v>
      </c>
      <c r="D131" t="s">
        <v>1430</v>
      </c>
      <c r="E131" t="s">
        <v>400</v>
      </c>
      <c r="F131" t="s">
        <v>1759</v>
      </c>
      <c r="G131" t="s">
        <v>590</v>
      </c>
    </row>
    <row r="132" spans="1:7" x14ac:dyDescent="0.25">
      <c r="A132" t="str">
        <f t="shared" si="2"/>
        <v>TC_F_03_CS Core</v>
      </c>
      <c r="B132" t="s">
        <v>592</v>
      </c>
      <c r="C132" t="s">
        <v>136</v>
      </c>
      <c r="D132" t="s">
        <v>1431</v>
      </c>
      <c r="E132" t="s">
        <v>400</v>
      </c>
      <c r="F132" t="s">
        <v>1760</v>
      </c>
      <c r="G132" t="s">
        <v>590</v>
      </c>
    </row>
    <row r="133" spans="1:7" x14ac:dyDescent="0.25">
      <c r="A133" t="str">
        <f t="shared" si="2"/>
        <v>TC_F_04_CS Core</v>
      </c>
      <c r="B133" t="s">
        <v>593</v>
      </c>
      <c r="C133" t="s">
        <v>136</v>
      </c>
      <c r="D133" t="s">
        <v>1432</v>
      </c>
      <c r="E133" t="s">
        <v>391</v>
      </c>
    </row>
    <row r="134" spans="1:7" x14ac:dyDescent="0.25">
      <c r="A134" t="str">
        <f t="shared" si="2"/>
        <v>TC_F_08_CS Core</v>
      </c>
      <c r="B134" t="s">
        <v>597</v>
      </c>
      <c r="C134" t="s">
        <v>136</v>
      </c>
      <c r="D134" t="s">
        <v>1433</v>
      </c>
      <c r="E134" t="s">
        <v>391</v>
      </c>
    </row>
    <row r="135" spans="1:7" x14ac:dyDescent="0.25">
      <c r="A135" t="str">
        <f t="shared" si="2"/>
        <v>TC_F_09_CS Core</v>
      </c>
      <c r="B135" t="s">
        <v>598</v>
      </c>
      <c r="C135" t="s">
        <v>136</v>
      </c>
      <c r="D135" t="s">
        <v>1434</v>
      </c>
      <c r="E135" t="s">
        <v>391</v>
      </c>
    </row>
    <row r="136" spans="1:7" x14ac:dyDescent="0.25">
      <c r="A136" t="str">
        <f t="shared" si="2"/>
        <v>TC_F_05_CS Core</v>
      </c>
      <c r="B136" t="s">
        <v>594</v>
      </c>
      <c r="C136" t="s">
        <v>136</v>
      </c>
      <c r="D136" t="s">
        <v>1435</v>
      </c>
      <c r="E136" t="s">
        <v>400</v>
      </c>
      <c r="F136" t="s">
        <v>1726</v>
      </c>
    </row>
    <row r="137" spans="1:7" x14ac:dyDescent="0.25">
      <c r="A137" t="str">
        <f t="shared" si="2"/>
        <v>TC_F_06_CS Core</v>
      </c>
      <c r="B137" t="s">
        <v>595</v>
      </c>
      <c r="C137" t="s">
        <v>136</v>
      </c>
      <c r="D137" t="s">
        <v>1436</v>
      </c>
      <c r="E137" t="s">
        <v>400</v>
      </c>
      <c r="F137" t="s">
        <v>1726</v>
      </c>
    </row>
    <row r="138" spans="1:7" x14ac:dyDescent="0.25">
      <c r="A138" t="str">
        <f t="shared" si="2"/>
        <v>TC_F_07_CS Core</v>
      </c>
      <c r="B138" t="s">
        <v>596</v>
      </c>
      <c r="C138" t="s">
        <v>136</v>
      </c>
      <c r="D138" t="s">
        <v>1437</v>
      </c>
      <c r="E138" t="s">
        <v>400</v>
      </c>
      <c r="F138" t="s">
        <v>1726</v>
      </c>
    </row>
    <row r="139" spans="1:7" x14ac:dyDescent="0.25">
      <c r="A139" t="str">
        <f t="shared" si="2"/>
        <v>TC_F_10_CS Core</v>
      </c>
      <c r="B139" t="s">
        <v>599</v>
      </c>
      <c r="C139" t="s">
        <v>136</v>
      </c>
      <c r="D139" t="s">
        <v>1438</v>
      </c>
      <c r="E139" t="s">
        <v>400</v>
      </c>
      <c r="F139" t="s">
        <v>1726</v>
      </c>
    </row>
    <row r="140" spans="1:7" x14ac:dyDescent="0.25">
      <c r="A140" t="str">
        <f t="shared" si="2"/>
        <v>TC_F_11_CS Core</v>
      </c>
      <c r="B140" t="s">
        <v>600</v>
      </c>
      <c r="C140" t="s">
        <v>136</v>
      </c>
      <c r="D140" t="s">
        <v>1439</v>
      </c>
      <c r="E140" t="s">
        <v>400</v>
      </c>
      <c r="F140" t="s">
        <v>74</v>
      </c>
      <c r="G140" t="s">
        <v>340</v>
      </c>
    </row>
    <row r="141" spans="1:7" x14ac:dyDescent="0.25">
      <c r="A141" t="str">
        <f t="shared" si="2"/>
        <v>TC_F_12_CS Core</v>
      </c>
      <c r="B141" t="s">
        <v>601</v>
      </c>
      <c r="C141" t="s">
        <v>136</v>
      </c>
      <c r="D141" t="s">
        <v>1440</v>
      </c>
      <c r="E141" t="s">
        <v>400</v>
      </c>
      <c r="F141" t="s">
        <v>74</v>
      </c>
      <c r="G141" t="s">
        <v>340</v>
      </c>
    </row>
    <row r="142" spans="1:7" x14ac:dyDescent="0.25">
      <c r="A142" t="str">
        <f t="shared" si="2"/>
        <v>TC_F_13_CS Core</v>
      </c>
      <c r="B142" t="s">
        <v>602</v>
      </c>
      <c r="C142" t="s">
        <v>136</v>
      </c>
      <c r="D142" t="s">
        <v>1441</v>
      </c>
      <c r="E142" t="s">
        <v>400</v>
      </c>
      <c r="F142" t="s">
        <v>75</v>
      </c>
      <c r="G142" t="s">
        <v>340</v>
      </c>
    </row>
    <row r="143" spans="1:7" x14ac:dyDescent="0.25">
      <c r="A143" t="str">
        <f t="shared" si="2"/>
        <v>TC_F_14_CS Core</v>
      </c>
      <c r="B143" t="s">
        <v>603</v>
      </c>
      <c r="C143" t="s">
        <v>136</v>
      </c>
      <c r="D143" t="s">
        <v>1442</v>
      </c>
      <c r="E143" t="s">
        <v>400</v>
      </c>
      <c r="F143" t="s">
        <v>75</v>
      </c>
      <c r="G143" t="s">
        <v>340</v>
      </c>
    </row>
    <row r="144" spans="1:7" x14ac:dyDescent="0.25">
      <c r="A144" t="str">
        <f t="shared" si="2"/>
        <v>TC_F_15_CS Core</v>
      </c>
      <c r="B144" t="s">
        <v>604</v>
      </c>
      <c r="C144" t="s">
        <v>136</v>
      </c>
      <c r="D144" t="s">
        <v>1443</v>
      </c>
      <c r="E144" t="s">
        <v>400</v>
      </c>
      <c r="F144" t="s">
        <v>76</v>
      </c>
      <c r="G144" t="s">
        <v>340</v>
      </c>
    </row>
    <row r="145" spans="1:7" x14ac:dyDescent="0.25">
      <c r="A145" t="str">
        <f t="shared" si="2"/>
        <v>TC_F_16_CS Core</v>
      </c>
      <c r="B145" t="s">
        <v>605</v>
      </c>
      <c r="C145" t="s">
        <v>136</v>
      </c>
      <c r="D145" t="s">
        <v>1444</v>
      </c>
      <c r="E145" t="s">
        <v>400</v>
      </c>
      <c r="F145" t="s">
        <v>76</v>
      </c>
      <c r="G145" t="s">
        <v>340</v>
      </c>
    </row>
    <row r="146" spans="1:7" x14ac:dyDescent="0.25">
      <c r="A146" t="str">
        <f t="shared" si="2"/>
        <v>TC_F_17_CS Core</v>
      </c>
      <c r="B146" t="s">
        <v>606</v>
      </c>
      <c r="C146" t="s">
        <v>136</v>
      </c>
      <c r="D146" t="s">
        <v>1446</v>
      </c>
      <c r="E146" t="s">
        <v>400</v>
      </c>
      <c r="F146" t="s">
        <v>77</v>
      </c>
      <c r="G146" t="s">
        <v>340</v>
      </c>
    </row>
    <row r="147" spans="1:7" x14ac:dyDescent="0.25">
      <c r="A147" t="str">
        <f t="shared" si="2"/>
        <v>TC_F_18_CS Core</v>
      </c>
      <c r="B147" t="s">
        <v>607</v>
      </c>
      <c r="C147" t="s">
        <v>136</v>
      </c>
      <c r="D147" t="s">
        <v>1447</v>
      </c>
      <c r="E147" t="s">
        <v>400</v>
      </c>
      <c r="F147" t="s">
        <v>77</v>
      </c>
      <c r="G147" t="s">
        <v>340</v>
      </c>
    </row>
    <row r="148" spans="1:7" x14ac:dyDescent="0.25">
      <c r="A148" t="str">
        <f t="shared" si="2"/>
        <v>TC_F_19_CS Core</v>
      </c>
      <c r="B148" t="s">
        <v>608</v>
      </c>
      <c r="C148" t="s">
        <v>136</v>
      </c>
      <c r="D148" t="s">
        <v>1448</v>
      </c>
      <c r="E148" t="s">
        <v>400</v>
      </c>
      <c r="F148" t="s">
        <v>77</v>
      </c>
      <c r="G148" t="s">
        <v>340</v>
      </c>
    </row>
    <row r="149" spans="1:7" x14ac:dyDescent="0.25">
      <c r="A149" t="str">
        <f t="shared" si="2"/>
        <v>TC_F_20_CS Core</v>
      </c>
      <c r="B149" t="s">
        <v>609</v>
      </c>
      <c r="C149" t="s">
        <v>136</v>
      </c>
      <c r="D149" t="s">
        <v>1449</v>
      </c>
      <c r="E149" t="s">
        <v>391</v>
      </c>
    </row>
    <row r="150" spans="1:7" x14ac:dyDescent="0.25">
      <c r="A150" t="str">
        <f t="shared" si="2"/>
        <v>TC_F_23_CS Core</v>
      </c>
      <c r="B150" t="s">
        <v>610</v>
      </c>
      <c r="C150" t="s">
        <v>136</v>
      </c>
      <c r="D150" t="s">
        <v>1450</v>
      </c>
      <c r="E150" t="s">
        <v>400</v>
      </c>
      <c r="F150" t="s">
        <v>78</v>
      </c>
      <c r="G150" t="s">
        <v>340</v>
      </c>
    </row>
    <row r="151" spans="1:7" x14ac:dyDescent="0.25">
      <c r="A151" t="str">
        <f t="shared" si="2"/>
        <v>TC_F_24_CS Core</v>
      </c>
      <c r="B151" t="s">
        <v>611</v>
      </c>
      <c r="C151" t="s">
        <v>136</v>
      </c>
      <c r="D151" t="s">
        <v>1451</v>
      </c>
      <c r="E151" t="s">
        <v>400</v>
      </c>
      <c r="F151" t="s">
        <v>78</v>
      </c>
      <c r="G151" t="s">
        <v>340</v>
      </c>
    </row>
    <row r="152" spans="1:7" x14ac:dyDescent="0.25">
      <c r="A152" t="str">
        <f t="shared" si="2"/>
        <v>TC_F_26_CS Core</v>
      </c>
      <c r="B152" t="s">
        <v>612</v>
      </c>
      <c r="C152" t="s">
        <v>136</v>
      </c>
      <c r="D152" t="s">
        <v>1452</v>
      </c>
      <c r="E152" t="s">
        <v>400</v>
      </c>
      <c r="F152" t="s">
        <v>79</v>
      </c>
      <c r="G152" t="s">
        <v>340</v>
      </c>
    </row>
    <row r="153" spans="1:7" x14ac:dyDescent="0.25">
      <c r="A153" t="str">
        <f t="shared" si="2"/>
        <v>TC_F_27_CS Core</v>
      </c>
      <c r="B153" t="s">
        <v>613</v>
      </c>
      <c r="C153" t="s">
        <v>136</v>
      </c>
      <c r="D153" t="s">
        <v>1453</v>
      </c>
      <c r="E153" t="s">
        <v>400</v>
      </c>
      <c r="F153" t="s">
        <v>1110</v>
      </c>
    </row>
    <row r="154" spans="1:7" x14ac:dyDescent="0.25">
      <c r="A154" t="str">
        <f t="shared" si="2"/>
        <v>TC_G_01_CS Core</v>
      </c>
      <c r="B154" t="s">
        <v>614</v>
      </c>
      <c r="C154" t="s">
        <v>136</v>
      </c>
      <c r="D154" t="s">
        <v>1454</v>
      </c>
      <c r="E154" t="s">
        <v>391</v>
      </c>
    </row>
    <row r="155" spans="1:7" x14ac:dyDescent="0.25">
      <c r="A155" t="str">
        <f t="shared" si="2"/>
        <v>TC_G_02_CS Core</v>
      </c>
      <c r="B155" t="s">
        <v>615</v>
      </c>
      <c r="C155" t="s">
        <v>136</v>
      </c>
      <c r="D155" t="s">
        <v>1455</v>
      </c>
      <c r="E155" t="s">
        <v>391</v>
      </c>
    </row>
    <row r="156" spans="1:7" x14ac:dyDescent="0.25">
      <c r="A156" t="str">
        <f t="shared" si="2"/>
        <v>TC_G_03_CS Core</v>
      </c>
      <c r="B156" t="s">
        <v>616</v>
      </c>
      <c r="C156" t="s">
        <v>136</v>
      </c>
      <c r="D156" t="s">
        <v>1456</v>
      </c>
      <c r="E156" t="s">
        <v>391</v>
      </c>
    </row>
    <row r="157" spans="1:7" x14ac:dyDescent="0.25">
      <c r="A157" t="str">
        <f t="shared" si="2"/>
        <v>TC_G_09_CS Core</v>
      </c>
      <c r="B157" t="s">
        <v>622</v>
      </c>
      <c r="C157" t="s">
        <v>136</v>
      </c>
      <c r="D157" t="s">
        <v>1457</v>
      </c>
      <c r="E157" t="s">
        <v>391</v>
      </c>
    </row>
    <row r="158" spans="1:7" x14ac:dyDescent="0.25">
      <c r="A158" t="str">
        <f t="shared" si="2"/>
        <v>TC_G_04_CS Core</v>
      </c>
      <c r="B158" t="s">
        <v>617</v>
      </c>
      <c r="C158" t="s">
        <v>136</v>
      </c>
      <c r="D158" t="s">
        <v>1458</v>
      </c>
      <c r="E158" t="s">
        <v>391</v>
      </c>
    </row>
    <row r="159" spans="1:7" x14ac:dyDescent="0.25">
      <c r="A159" t="str">
        <f t="shared" si="2"/>
        <v>TC_G_10_CS Core</v>
      </c>
      <c r="B159" t="s">
        <v>623</v>
      </c>
      <c r="C159" t="s">
        <v>136</v>
      </c>
      <c r="D159" t="s">
        <v>1459</v>
      </c>
      <c r="E159" t="s">
        <v>391</v>
      </c>
    </row>
    <row r="160" spans="1:7" x14ac:dyDescent="0.25">
      <c r="A160" t="str">
        <f t="shared" si="2"/>
        <v>TC_G_11_CS Core</v>
      </c>
      <c r="B160" t="s">
        <v>624</v>
      </c>
      <c r="C160" t="s">
        <v>136</v>
      </c>
      <c r="D160" t="s">
        <v>1460</v>
      </c>
      <c r="E160" t="s">
        <v>391</v>
      </c>
    </row>
    <row r="161" spans="1:7" x14ac:dyDescent="0.25">
      <c r="A161" t="str">
        <f t="shared" si="2"/>
        <v>TC_G_18_CS Core</v>
      </c>
      <c r="B161" t="s">
        <v>631</v>
      </c>
      <c r="C161" t="s">
        <v>136</v>
      </c>
      <c r="D161" t="s">
        <v>1461</v>
      </c>
      <c r="E161" t="s">
        <v>391</v>
      </c>
    </row>
    <row r="162" spans="1:7" x14ac:dyDescent="0.25">
      <c r="A162" t="str">
        <f t="shared" si="2"/>
        <v>TC_G_05_CS Core</v>
      </c>
      <c r="B162" t="s">
        <v>618</v>
      </c>
      <c r="C162" t="s">
        <v>136</v>
      </c>
      <c r="D162" t="s">
        <v>1462</v>
      </c>
      <c r="E162" t="s">
        <v>391</v>
      </c>
    </row>
    <row r="163" spans="1:7" x14ac:dyDescent="0.25">
      <c r="A163" t="str">
        <f t="shared" si="2"/>
        <v>TC_G_12_CS Core</v>
      </c>
      <c r="B163" t="s">
        <v>625</v>
      </c>
      <c r="C163" t="s">
        <v>136</v>
      </c>
      <c r="D163" t="s">
        <v>1463</v>
      </c>
      <c r="E163" t="s">
        <v>391</v>
      </c>
    </row>
    <row r="164" spans="1:7" x14ac:dyDescent="0.25">
      <c r="A164" t="str">
        <f t="shared" si="2"/>
        <v>TC_G_06_CS Core</v>
      </c>
      <c r="B164" t="s">
        <v>619</v>
      </c>
      <c r="C164" t="s">
        <v>136</v>
      </c>
      <c r="D164" t="s">
        <v>1464</v>
      </c>
      <c r="E164" t="s">
        <v>391</v>
      </c>
    </row>
    <row r="165" spans="1:7" x14ac:dyDescent="0.25">
      <c r="A165" t="str">
        <f t="shared" si="2"/>
        <v>TC_G_13_CS Core</v>
      </c>
      <c r="B165" t="s">
        <v>626</v>
      </c>
      <c r="C165" t="s">
        <v>136</v>
      </c>
      <c r="D165" t="s">
        <v>1465</v>
      </c>
      <c r="E165" t="s">
        <v>391</v>
      </c>
    </row>
    <row r="166" spans="1:7" x14ac:dyDescent="0.25">
      <c r="A166" t="str">
        <f t="shared" si="2"/>
        <v>TC_G_21_CS Core</v>
      </c>
      <c r="B166" t="s">
        <v>633</v>
      </c>
      <c r="C166" t="s">
        <v>136</v>
      </c>
      <c r="D166" t="s">
        <v>1466</v>
      </c>
      <c r="E166" t="s">
        <v>391</v>
      </c>
    </row>
    <row r="167" spans="1:7" x14ac:dyDescent="0.25">
      <c r="A167" t="str">
        <f t="shared" si="2"/>
        <v>TC_G_14_CS Core</v>
      </c>
      <c r="B167" t="s">
        <v>627</v>
      </c>
      <c r="C167" t="s">
        <v>136</v>
      </c>
      <c r="D167" t="s">
        <v>1467</v>
      </c>
      <c r="E167" t="s">
        <v>391</v>
      </c>
    </row>
    <row r="168" spans="1:7" x14ac:dyDescent="0.25">
      <c r="A168" t="str">
        <f t="shared" si="2"/>
        <v>TC_G_07_CS Core</v>
      </c>
      <c r="B168" t="s">
        <v>620</v>
      </c>
      <c r="C168" t="s">
        <v>136</v>
      </c>
      <c r="D168" t="s">
        <v>1468</v>
      </c>
      <c r="E168" t="s">
        <v>391</v>
      </c>
    </row>
    <row r="169" spans="1:7" x14ac:dyDescent="0.25">
      <c r="A169" t="str">
        <f t="shared" si="2"/>
        <v>TC_G_15_CS Core</v>
      </c>
      <c r="B169" t="s">
        <v>628</v>
      </c>
      <c r="C169" t="s">
        <v>136</v>
      </c>
      <c r="D169" t="s">
        <v>1469</v>
      </c>
      <c r="E169" t="s">
        <v>391</v>
      </c>
    </row>
    <row r="170" spans="1:7" x14ac:dyDescent="0.25">
      <c r="A170" t="str">
        <f t="shared" si="2"/>
        <v>TC_G_08_CS Core</v>
      </c>
      <c r="B170" t="s">
        <v>621</v>
      </c>
      <c r="C170" t="s">
        <v>136</v>
      </c>
      <c r="D170" t="s">
        <v>1470</v>
      </c>
      <c r="E170" t="s">
        <v>391</v>
      </c>
    </row>
    <row r="171" spans="1:7" x14ac:dyDescent="0.25">
      <c r="A171" t="str">
        <f t="shared" si="2"/>
        <v>TC_G_16_CS Core</v>
      </c>
      <c r="B171" t="s">
        <v>629</v>
      </c>
      <c r="C171" t="s">
        <v>136</v>
      </c>
      <c r="D171" t="s">
        <v>1471</v>
      </c>
      <c r="E171" t="s">
        <v>391</v>
      </c>
    </row>
    <row r="172" spans="1:7" x14ac:dyDescent="0.25">
      <c r="A172" t="str">
        <f t="shared" si="2"/>
        <v>TC_G_17_CS Core</v>
      </c>
      <c r="B172" t="s">
        <v>630</v>
      </c>
      <c r="C172" t="s">
        <v>136</v>
      </c>
      <c r="D172" t="s">
        <v>1472</v>
      </c>
      <c r="E172" t="s">
        <v>391</v>
      </c>
    </row>
    <row r="173" spans="1:7" x14ac:dyDescent="0.25">
      <c r="A173" t="str">
        <f t="shared" si="2"/>
        <v>TC_G_19_CS Core</v>
      </c>
      <c r="B173" t="s">
        <v>632</v>
      </c>
      <c r="C173" t="s">
        <v>136</v>
      </c>
      <c r="D173" t="s">
        <v>1473</v>
      </c>
      <c r="E173" t="s">
        <v>391</v>
      </c>
    </row>
    <row r="174" spans="1:7" x14ac:dyDescent="0.25">
      <c r="A174" t="str">
        <f t="shared" si="2"/>
        <v>TC_J_01_CS Core</v>
      </c>
      <c r="B174" t="s">
        <v>659</v>
      </c>
      <c r="C174" t="s">
        <v>136</v>
      </c>
      <c r="D174" t="s">
        <v>1474</v>
      </c>
      <c r="E174" t="s">
        <v>391</v>
      </c>
      <c r="F174" t="s">
        <v>92</v>
      </c>
      <c r="G174" t="s">
        <v>660</v>
      </c>
    </row>
    <row r="175" spans="1:7" x14ac:dyDescent="0.25">
      <c r="A175" t="str">
        <f t="shared" si="2"/>
        <v>TC_J_02_CS Core</v>
      </c>
      <c r="B175" t="s">
        <v>661</v>
      </c>
      <c r="C175" t="s">
        <v>136</v>
      </c>
      <c r="D175" t="s">
        <v>1475</v>
      </c>
      <c r="E175" t="s">
        <v>391</v>
      </c>
      <c r="F175" t="s">
        <v>92</v>
      </c>
      <c r="G175" t="s">
        <v>660</v>
      </c>
    </row>
    <row r="176" spans="1:7" x14ac:dyDescent="0.25">
      <c r="A176" t="str">
        <f t="shared" si="2"/>
        <v>TC_J_03_CS Core</v>
      </c>
      <c r="B176" t="s">
        <v>662</v>
      </c>
      <c r="C176" t="s">
        <v>136</v>
      </c>
      <c r="D176" t="s">
        <v>1476</v>
      </c>
      <c r="E176" t="s">
        <v>391</v>
      </c>
      <c r="F176" t="s">
        <v>92</v>
      </c>
      <c r="G176" t="s">
        <v>660</v>
      </c>
    </row>
    <row r="177" spans="1:7" x14ac:dyDescent="0.25">
      <c r="A177" t="str">
        <f t="shared" si="2"/>
        <v>TC_J_04_CS Core</v>
      </c>
      <c r="B177" t="s">
        <v>663</v>
      </c>
      <c r="C177" t="s">
        <v>136</v>
      </c>
      <c r="D177" t="s">
        <v>1477</v>
      </c>
      <c r="E177" t="s">
        <v>400</v>
      </c>
      <c r="F177" t="s">
        <v>96</v>
      </c>
      <c r="G177" t="s">
        <v>664</v>
      </c>
    </row>
    <row r="178" spans="1:7" x14ac:dyDescent="0.25">
      <c r="A178" t="str">
        <f t="shared" si="2"/>
        <v>TC_J_06_CS Core</v>
      </c>
      <c r="B178" t="s">
        <v>665</v>
      </c>
      <c r="C178" t="s">
        <v>136</v>
      </c>
      <c r="D178" t="s">
        <v>1478</v>
      </c>
      <c r="E178" t="s">
        <v>400</v>
      </c>
      <c r="F178" t="s">
        <v>72</v>
      </c>
      <c r="G178" t="s">
        <v>666</v>
      </c>
    </row>
    <row r="179" spans="1:7" x14ac:dyDescent="0.25">
      <c r="A179" t="str">
        <f t="shared" si="2"/>
        <v>TC_J_07_CS Core</v>
      </c>
      <c r="B179" t="s">
        <v>667</v>
      </c>
      <c r="C179" t="s">
        <v>136</v>
      </c>
      <c r="D179" t="s">
        <v>1479</v>
      </c>
      <c r="E179" t="s">
        <v>391</v>
      </c>
      <c r="F179" t="s">
        <v>92</v>
      </c>
      <c r="G179" t="s">
        <v>660</v>
      </c>
    </row>
    <row r="180" spans="1:7" x14ac:dyDescent="0.25">
      <c r="A180" t="str">
        <f t="shared" si="2"/>
        <v>TC_J_08_CS Core</v>
      </c>
      <c r="B180" t="s">
        <v>668</v>
      </c>
      <c r="C180" t="s">
        <v>136</v>
      </c>
      <c r="D180" t="s">
        <v>1480</v>
      </c>
      <c r="E180" t="s">
        <v>400</v>
      </c>
      <c r="F180" t="s">
        <v>844</v>
      </c>
      <c r="G180" t="s">
        <v>669</v>
      </c>
    </row>
    <row r="181" spans="1:7" x14ac:dyDescent="0.25">
      <c r="A181" t="str">
        <f t="shared" si="2"/>
        <v>TC_J_09_CS Core</v>
      </c>
      <c r="B181" t="s">
        <v>670</v>
      </c>
      <c r="C181" t="s">
        <v>136</v>
      </c>
      <c r="D181" t="s">
        <v>1481</v>
      </c>
      <c r="E181" t="s">
        <v>391</v>
      </c>
      <c r="F181" t="s">
        <v>92</v>
      </c>
      <c r="G181" t="s">
        <v>660</v>
      </c>
    </row>
    <row r="182" spans="1:7" x14ac:dyDescent="0.25">
      <c r="A182" t="str">
        <f t="shared" si="2"/>
        <v>TC_J_10_CS Core</v>
      </c>
      <c r="B182" t="s">
        <v>671</v>
      </c>
      <c r="C182" t="s">
        <v>136</v>
      </c>
      <c r="D182" t="s">
        <v>1482</v>
      </c>
      <c r="E182" t="s">
        <v>391</v>
      </c>
      <c r="F182" t="s">
        <v>92</v>
      </c>
      <c r="G182" t="s">
        <v>660</v>
      </c>
    </row>
    <row r="183" spans="1:7" x14ac:dyDescent="0.25">
      <c r="A183" t="str">
        <f t="shared" si="2"/>
        <v>TC_J_11_CS Core</v>
      </c>
      <c r="B183" t="s">
        <v>672</v>
      </c>
      <c r="C183" t="s">
        <v>136</v>
      </c>
      <c r="D183" t="s">
        <v>1483</v>
      </c>
      <c r="E183" t="s">
        <v>400</v>
      </c>
      <c r="F183" t="s">
        <v>96</v>
      </c>
      <c r="G183" t="s">
        <v>664</v>
      </c>
    </row>
    <row r="184" spans="1:7" x14ac:dyDescent="0.25">
      <c r="A184" t="str">
        <f t="shared" si="2"/>
        <v>TC_K_38_CS Core</v>
      </c>
      <c r="B184" t="s">
        <v>705</v>
      </c>
      <c r="C184" t="s">
        <v>136</v>
      </c>
      <c r="D184" t="s">
        <v>1484</v>
      </c>
      <c r="E184" t="s">
        <v>400</v>
      </c>
      <c r="F184" t="s">
        <v>277</v>
      </c>
    </row>
    <row r="185" spans="1:7" x14ac:dyDescent="0.25">
      <c r="A185" t="str">
        <f t="shared" si="2"/>
        <v>TC_L_01_CS Core</v>
      </c>
      <c r="B185" t="s">
        <v>718</v>
      </c>
      <c r="C185" t="s">
        <v>136</v>
      </c>
      <c r="D185" t="s">
        <v>1485</v>
      </c>
      <c r="E185" t="s">
        <v>391</v>
      </c>
    </row>
    <row r="186" spans="1:7" x14ac:dyDescent="0.25">
      <c r="A186" t="str">
        <f t="shared" si="2"/>
        <v>TC_L_02_CS Core</v>
      </c>
      <c r="B186" t="s">
        <v>719</v>
      </c>
      <c r="C186" t="s">
        <v>136</v>
      </c>
      <c r="D186" t="s">
        <v>1486</v>
      </c>
      <c r="E186" t="s">
        <v>391</v>
      </c>
      <c r="F186" t="s">
        <v>720</v>
      </c>
      <c r="G186" t="s">
        <v>721</v>
      </c>
    </row>
    <row r="187" spans="1:7" x14ac:dyDescent="0.25">
      <c r="A187" t="str">
        <f t="shared" si="2"/>
        <v>TC_L_03_CS Core</v>
      </c>
      <c r="B187" t="s">
        <v>722</v>
      </c>
      <c r="C187" t="s">
        <v>136</v>
      </c>
      <c r="D187" t="s">
        <v>1487</v>
      </c>
      <c r="E187" t="s">
        <v>391</v>
      </c>
      <c r="F187" t="s">
        <v>720</v>
      </c>
      <c r="G187" t="s">
        <v>721</v>
      </c>
    </row>
    <row r="188" spans="1:7" x14ac:dyDescent="0.25">
      <c r="A188" t="str">
        <f t="shared" si="2"/>
        <v>TC_L_05_CS Core</v>
      </c>
      <c r="B188" t="s">
        <v>723</v>
      </c>
      <c r="C188" t="s">
        <v>136</v>
      </c>
      <c r="D188" t="s">
        <v>1488</v>
      </c>
      <c r="E188" t="s">
        <v>391</v>
      </c>
    </row>
    <row r="189" spans="1:7" x14ac:dyDescent="0.25">
      <c r="A189" t="str">
        <f t="shared" si="2"/>
        <v>TC_L_06_CS Core</v>
      </c>
      <c r="B189" t="s">
        <v>724</v>
      </c>
      <c r="C189" t="s">
        <v>136</v>
      </c>
      <c r="D189" t="s">
        <v>1489</v>
      </c>
      <c r="E189" t="s">
        <v>391</v>
      </c>
    </row>
    <row r="190" spans="1:7" x14ac:dyDescent="0.25">
      <c r="A190" t="str">
        <f t="shared" si="2"/>
        <v>TC_L_07_CS Core</v>
      </c>
      <c r="B190" t="s">
        <v>725</v>
      </c>
      <c r="C190" t="s">
        <v>136</v>
      </c>
      <c r="D190" t="s">
        <v>1490</v>
      </c>
      <c r="E190" t="s">
        <v>391</v>
      </c>
    </row>
    <row r="191" spans="1:7" x14ac:dyDescent="0.25">
      <c r="A191" t="str">
        <f t="shared" si="2"/>
        <v>TC_L_08_CS Core</v>
      </c>
      <c r="B191" t="s">
        <v>726</v>
      </c>
      <c r="C191" t="s">
        <v>136</v>
      </c>
      <c r="D191" t="s">
        <v>1491</v>
      </c>
      <c r="E191" t="s">
        <v>391</v>
      </c>
    </row>
    <row r="192" spans="1:7" x14ac:dyDescent="0.25">
      <c r="A192" t="str">
        <f t="shared" si="2"/>
        <v>TC_L_10_CS Core</v>
      </c>
      <c r="B192" t="s">
        <v>727</v>
      </c>
      <c r="C192" t="s">
        <v>136</v>
      </c>
      <c r="D192" t="s">
        <v>1492</v>
      </c>
      <c r="E192" t="s">
        <v>400</v>
      </c>
      <c r="F192" t="s">
        <v>111</v>
      </c>
    </row>
    <row r="193" spans="1:7" x14ac:dyDescent="0.25">
      <c r="A193" t="str">
        <f t="shared" si="2"/>
        <v>TC_L_11_CS Core</v>
      </c>
      <c r="B193" t="s">
        <v>728</v>
      </c>
      <c r="C193" t="s">
        <v>136</v>
      </c>
      <c r="D193" t="s">
        <v>1493</v>
      </c>
      <c r="E193" t="s">
        <v>400</v>
      </c>
      <c r="F193" t="s">
        <v>299</v>
      </c>
    </row>
    <row r="194" spans="1:7" x14ac:dyDescent="0.25">
      <c r="A194" t="str">
        <f t="shared" si="2"/>
        <v>TC_L_18_CS Core</v>
      </c>
      <c r="B194" t="s">
        <v>736</v>
      </c>
      <c r="C194" t="s">
        <v>136</v>
      </c>
      <c r="D194" t="s">
        <v>1494</v>
      </c>
      <c r="E194" t="s">
        <v>391</v>
      </c>
    </row>
    <row r="195" spans="1:7" x14ac:dyDescent="0.25">
      <c r="A195" t="str">
        <f t="shared" ref="A195:A258" si="3">B195&amp;" "&amp;C195</f>
        <v>TC_L_12_CS Core</v>
      </c>
      <c r="B195" t="s">
        <v>729</v>
      </c>
      <c r="C195" t="s">
        <v>136</v>
      </c>
      <c r="D195" t="s">
        <v>1495</v>
      </c>
      <c r="E195" t="s">
        <v>400</v>
      </c>
      <c r="F195" t="s">
        <v>869</v>
      </c>
      <c r="G195" t="s">
        <v>730</v>
      </c>
    </row>
    <row r="196" spans="1:7" x14ac:dyDescent="0.25">
      <c r="A196" t="str">
        <f t="shared" si="3"/>
        <v>TC_L_13_CS Core</v>
      </c>
      <c r="B196" t="s">
        <v>731</v>
      </c>
      <c r="C196" t="s">
        <v>136</v>
      </c>
      <c r="D196" t="s">
        <v>1496</v>
      </c>
      <c r="E196" t="s">
        <v>400</v>
      </c>
      <c r="F196" t="s">
        <v>848</v>
      </c>
    </row>
    <row r="197" spans="1:7" x14ac:dyDescent="0.25">
      <c r="A197" t="str">
        <f t="shared" si="3"/>
        <v>TC_L_14_CS Core</v>
      </c>
      <c r="B197" t="s">
        <v>732</v>
      </c>
      <c r="C197" t="s">
        <v>136</v>
      </c>
      <c r="D197" t="s">
        <v>1497</v>
      </c>
      <c r="E197" t="s">
        <v>400</v>
      </c>
      <c r="F197" t="s">
        <v>868</v>
      </c>
      <c r="G197" t="s">
        <v>730</v>
      </c>
    </row>
    <row r="198" spans="1:7" x14ac:dyDescent="0.25">
      <c r="A198" t="str">
        <f t="shared" si="3"/>
        <v>TC_L_15_CS Core</v>
      </c>
      <c r="B198" t="s">
        <v>733</v>
      </c>
      <c r="C198" t="s">
        <v>136</v>
      </c>
      <c r="D198" t="s">
        <v>1498</v>
      </c>
      <c r="E198" t="s">
        <v>400</v>
      </c>
      <c r="F198" t="s">
        <v>849</v>
      </c>
    </row>
    <row r="199" spans="1:7" x14ac:dyDescent="0.25">
      <c r="A199" t="str">
        <f t="shared" si="3"/>
        <v>TC_L_16_CS Core</v>
      </c>
      <c r="B199" t="s">
        <v>734</v>
      </c>
      <c r="C199" t="s">
        <v>136</v>
      </c>
      <c r="D199" t="s">
        <v>1499</v>
      </c>
      <c r="E199" t="s">
        <v>400</v>
      </c>
      <c r="F199" t="s">
        <v>97</v>
      </c>
      <c r="G199" t="s">
        <v>735</v>
      </c>
    </row>
    <row r="200" spans="1:7" x14ac:dyDescent="0.25">
      <c r="A200" t="str">
        <f t="shared" si="3"/>
        <v>TC_M_12_CS Core</v>
      </c>
      <c r="B200" t="s">
        <v>744</v>
      </c>
      <c r="C200" t="s">
        <v>136</v>
      </c>
      <c r="D200" t="s">
        <v>1500</v>
      </c>
      <c r="E200" t="s">
        <v>391</v>
      </c>
    </row>
    <row r="201" spans="1:7" x14ac:dyDescent="0.25">
      <c r="A201" t="str">
        <f t="shared" si="3"/>
        <v>TC_M_13_CS Core</v>
      </c>
      <c r="B201" t="s">
        <v>745</v>
      </c>
      <c r="C201" t="s">
        <v>136</v>
      </c>
      <c r="D201" t="s">
        <v>1501</v>
      </c>
      <c r="E201" t="s">
        <v>391</v>
      </c>
    </row>
    <row r="202" spans="1:7" x14ac:dyDescent="0.25">
      <c r="A202" t="str">
        <f t="shared" si="3"/>
        <v>TC_M_17_CS Core</v>
      </c>
      <c r="B202" t="s">
        <v>749</v>
      </c>
      <c r="C202" t="s">
        <v>136</v>
      </c>
      <c r="D202" t="s">
        <v>1502</v>
      </c>
      <c r="E202" t="s">
        <v>391</v>
      </c>
    </row>
    <row r="203" spans="1:7" x14ac:dyDescent="0.25">
      <c r="A203" t="str">
        <f t="shared" si="3"/>
        <v>TC_M_18_CS Core</v>
      </c>
      <c r="B203" t="s">
        <v>750</v>
      </c>
      <c r="C203" t="s">
        <v>136</v>
      </c>
      <c r="D203" t="s">
        <v>1503</v>
      </c>
      <c r="E203" t="s">
        <v>391</v>
      </c>
    </row>
    <row r="204" spans="1:7" x14ac:dyDescent="0.25">
      <c r="A204" t="str">
        <f t="shared" si="3"/>
        <v>TC_M_19_CS Core</v>
      </c>
      <c r="B204" t="s">
        <v>751</v>
      </c>
      <c r="C204" t="s">
        <v>136</v>
      </c>
      <c r="D204" t="s">
        <v>1504</v>
      </c>
      <c r="E204" t="s">
        <v>391</v>
      </c>
    </row>
    <row r="205" spans="1:7" x14ac:dyDescent="0.25">
      <c r="A205" t="str">
        <f t="shared" si="3"/>
        <v>TC_M_20_CS Core</v>
      </c>
      <c r="B205" t="s">
        <v>752</v>
      </c>
      <c r="C205" t="s">
        <v>136</v>
      </c>
      <c r="D205" t="s">
        <v>1505</v>
      </c>
      <c r="E205" t="s">
        <v>391</v>
      </c>
    </row>
    <row r="206" spans="1:7" x14ac:dyDescent="0.25">
      <c r="A206" t="str">
        <f t="shared" si="3"/>
        <v>TC_M_22_CS Core</v>
      </c>
      <c r="B206" t="s">
        <v>753</v>
      </c>
      <c r="C206" t="s">
        <v>136</v>
      </c>
      <c r="D206" t="s">
        <v>1506</v>
      </c>
      <c r="E206" t="s">
        <v>391</v>
      </c>
    </row>
    <row r="207" spans="1:7" x14ac:dyDescent="0.25">
      <c r="A207" t="str">
        <f t="shared" si="3"/>
        <v>TC_M_01_CS Core</v>
      </c>
      <c r="B207" t="s">
        <v>737</v>
      </c>
      <c r="C207" t="s">
        <v>136</v>
      </c>
      <c r="D207" t="s">
        <v>1507</v>
      </c>
      <c r="E207" t="s">
        <v>391</v>
      </c>
    </row>
    <row r="208" spans="1:7" x14ac:dyDescent="0.25">
      <c r="A208" t="str">
        <f t="shared" si="3"/>
        <v>TC_M_02_CS Core</v>
      </c>
      <c r="B208" t="s">
        <v>738</v>
      </c>
      <c r="C208" t="s">
        <v>136</v>
      </c>
      <c r="D208" t="s">
        <v>1508</v>
      </c>
      <c r="E208" t="s">
        <v>391</v>
      </c>
    </row>
    <row r="209" spans="1:7" x14ac:dyDescent="0.25">
      <c r="A209" t="str">
        <f t="shared" si="3"/>
        <v>TC_M_07_CS Core</v>
      </c>
      <c r="B209" t="s">
        <v>741</v>
      </c>
      <c r="C209" t="s">
        <v>136</v>
      </c>
      <c r="D209" t="s">
        <v>1509</v>
      </c>
      <c r="E209" t="s">
        <v>391</v>
      </c>
    </row>
    <row r="210" spans="1:7" x14ac:dyDescent="0.25">
      <c r="A210" t="str">
        <f t="shared" si="3"/>
        <v>TC_M_09_CS Core</v>
      </c>
      <c r="B210" t="s">
        <v>742</v>
      </c>
      <c r="C210" t="s">
        <v>136</v>
      </c>
      <c r="D210" t="s">
        <v>1510</v>
      </c>
      <c r="E210" t="s">
        <v>400</v>
      </c>
      <c r="F210" t="s">
        <v>116</v>
      </c>
      <c r="G210" t="s">
        <v>743</v>
      </c>
    </row>
    <row r="211" spans="1:7" x14ac:dyDescent="0.25">
      <c r="A211" t="str">
        <f t="shared" si="3"/>
        <v>TC_M_30_CS Core</v>
      </c>
      <c r="B211" t="s">
        <v>761</v>
      </c>
      <c r="C211" t="s">
        <v>136</v>
      </c>
      <c r="D211" t="s">
        <v>1511</v>
      </c>
      <c r="E211" t="s">
        <v>400</v>
      </c>
      <c r="F211" t="s">
        <v>116</v>
      </c>
      <c r="G211" t="s">
        <v>743</v>
      </c>
    </row>
    <row r="212" spans="1:7" x14ac:dyDescent="0.25">
      <c r="A212" t="str">
        <f t="shared" si="3"/>
        <v>TC_M_31_CS Core</v>
      </c>
      <c r="B212" t="s">
        <v>762</v>
      </c>
      <c r="C212" t="s">
        <v>136</v>
      </c>
      <c r="D212" t="s">
        <v>1512</v>
      </c>
      <c r="E212" t="s">
        <v>400</v>
      </c>
      <c r="F212" t="s">
        <v>116</v>
      </c>
      <c r="G212" t="s">
        <v>743</v>
      </c>
    </row>
    <row r="213" spans="1:7" x14ac:dyDescent="0.25">
      <c r="A213" t="str">
        <f t="shared" si="3"/>
        <v>TC_N_25_CS Core</v>
      </c>
      <c r="B213" t="s">
        <v>785</v>
      </c>
      <c r="C213" t="s">
        <v>136</v>
      </c>
      <c r="D213" t="s">
        <v>1513</v>
      </c>
      <c r="E213" t="s">
        <v>391</v>
      </c>
    </row>
    <row r="214" spans="1:7" x14ac:dyDescent="0.25">
      <c r="A214" t="str">
        <f t="shared" si="3"/>
        <v>TC_N_26_CS Core</v>
      </c>
      <c r="B214" t="s">
        <v>786</v>
      </c>
      <c r="C214" t="s">
        <v>136</v>
      </c>
      <c r="D214" t="s">
        <v>1514</v>
      </c>
      <c r="E214" t="s">
        <v>391</v>
      </c>
    </row>
    <row r="215" spans="1:7" x14ac:dyDescent="0.25">
      <c r="A215" t="str">
        <f t="shared" si="3"/>
        <v>TC_N_35_CS Core</v>
      </c>
      <c r="B215" t="s">
        <v>792</v>
      </c>
      <c r="C215" t="s">
        <v>136</v>
      </c>
      <c r="D215" t="s">
        <v>1515</v>
      </c>
      <c r="E215" t="s">
        <v>391</v>
      </c>
    </row>
    <row r="216" spans="1:7" x14ac:dyDescent="0.25">
      <c r="A216" t="str">
        <f t="shared" si="3"/>
        <v>TC_N_36_CS Core</v>
      </c>
      <c r="B216" t="s">
        <v>793</v>
      </c>
      <c r="C216" t="s">
        <v>136</v>
      </c>
      <c r="D216" t="s">
        <v>1516</v>
      </c>
      <c r="E216" t="s">
        <v>400</v>
      </c>
      <c r="F216" t="s">
        <v>110</v>
      </c>
    </row>
    <row r="217" spans="1:7" x14ac:dyDescent="0.25">
      <c r="A217" t="str">
        <f t="shared" si="3"/>
        <v>TC_N_27_CS Core</v>
      </c>
      <c r="B217" t="s">
        <v>787</v>
      </c>
      <c r="C217" t="s">
        <v>136</v>
      </c>
      <c r="D217" t="s">
        <v>1517</v>
      </c>
      <c r="E217" t="s">
        <v>400</v>
      </c>
      <c r="F217" t="s">
        <v>1710</v>
      </c>
    </row>
    <row r="218" spans="1:7" x14ac:dyDescent="0.25">
      <c r="A218" t="str">
        <f t="shared" si="3"/>
        <v>TC_N_28_CS Core</v>
      </c>
      <c r="B218" t="s">
        <v>788</v>
      </c>
      <c r="C218" t="s">
        <v>136</v>
      </c>
      <c r="D218" t="s">
        <v>1518</v>
      </c>
      <c r="E218" t="s">
        <v>400</v>
      </c>
      <c r="F218" t="s">
        <v>1710</v>
      </c>
    </row>
    <row r="219" spans="1:7" x14ac:dyDescent="0.25">
      <c r="A219" t="str">
        <f t="shared" si="3"/>
        <v>TC_N_30_CS Core</v>
      </c>
      <c r="B219" t="s">
        <v>789</v>
      </c>
      <c r="C219" t="s">
        <v>136</v>
      </c>
      <c r="D219" t="s">
        <v>1519</v>
      </c>
      <c r="E219" t="s">
        <v>400</v>
      </c>
      <c r="F219" t="s">
        <v>1710</v>
      </c>
    </row>
    <row r="220" spans="1:7" x14ac:dyDescent="0.25">
      <c r="A220" t="str">
        <f t="shared" si="3"/>
        <v>TC_N_31_CS Core</v>
      </c>
      <c r="B220" t="s">
        <v>790</v>
      </c>
      <c r="C220" t="s">
        <v>136</v>
      </c>
      <c r="D220" t="s">
        <v>1520</v>
      </c>
      <c r="E220" t="s">
        <v>400</v>
      </c>
      <c r="F220" t="s">
        <v>1710</v>
      </c>
    </row>
    <row r="221" spans="1:7" x14ac:dyDescent="0.25">
      <c r="A221" t="str">
        <f t="shared" si="3"/>
        <v>TC_N_32_CS Core</v>
      </c>
      <c r="B221" t="s">
        <v>791</v>
      </c>
      <c r="C221" t="s">
        <v>136</v>
      </c>
      <c r="D221" t="s">
        <v>1521</v>
      </c>
      <c r="E221" t="s">
        <v>391</v>
      </c>
    </row>
    <row r="222" spans="1:7" x14ac:dyDescent="0.25">
      <c r="A222" t="str">
        <f t="shared" si="3"/>
        <v>TC_N_62_CS Core</v>
      </c>
      <c r="B222" t="s">
        <v>807</v>
      </c>
      <c r="C222" t="s">
        <v>136</v>
      </c>
      <c r="D222" t="s">
        <v>1522</v>
      </c>
      <c r="E222" t="s">
        <v>400</v>
      </c>
      <c r="F222" t="s">
        <v>65</v>
      </c>
    </row>
    <row r="223" spans="1:7" x14ac:dyDescent="0.25">
      <c r="A223" t="str">
        <f t="shared" si="3"/>
        <v>TC_P_01_CS Core</v>
      </c>
      <c r="B223" t="s">
        <v>841</v>
      </c>
      <c r="C223" t="s">
        <v>136</v>
      </c>
      <c r="D223" t="s">
        <v>1523</v>
      </c>
      <c r="E223" t="s">
        <v>391</v>
      </c>
    </row>
    <row r="224" spans="1:7" x14ac:dyDescent="0.25">
      <c r="A224" t="str">
        <f t="shared" si="3"/>
        <v>TC_P_03_CS Core</v>
      </c>
      <c r="B224" t="s">
        <v>842</v>
      </c>
      <c r="C224" t="s">
        <v>136</v>
      </c>
      <c r="D224" t="s">
        <v>1524</v>
      </c>
      <c r="E224" t="s">
        <v>391</v>
      </c>
    </row>
    <row r="225" spans="1:6" x14ac:dyDescent="0.25">
      <c r="A225" t="str">
        <f t="shared" si="3"/>
        <v>TC_C_21_CS Core</v>
      </c>
      <c r="B225" t="s">
        <v>485</v>
      </c>
      <c r="C225" t="s">
        <v>136</v>
      </c>
      <c r="D225" t="s">
        <v>1532</v>
      </c>
      <c r="E225" t="s">
        <v>400</v>
      </c>
      <c r="F225" t="s">
        <v>1761</v>
      </c>
    </row>
    <row r="226" spans="1:6" x14ac:dyDescent="0.25">
      <c r="A226" t="str">
        <f t="shared" si="3"/>
        <v>TC_C_22_CS Core</v>
      </c>
      <c r="B226" t="s">
        <v>486</v>
      </c>
      <c r="C226" t="s">
        <v>136</v>
      </c>
      <c r="D226" t="s">
        <v>1533</v>
      </c>
      <c r="E226" t="s">
        <v>400</v>
      </c>
      <c r="F226" t="s">
        <v>1762</v>
      </c>
    </row>
    <row r="227" spans="1:6" x14ac:dyDescent="0.25">
      <c r="A227" t="str">
        <f t="shared" si="3"/>
        <v>TC_C_23_CS Core</v>
      </c>
      <c r="B227" t="s">
        <v>487</v>
      </c>
      <c r="C227" t="s">
        <v>136</v>
      </c>
      <c r="D227" t="s">
        <v>1534</v>
      </c>
      <c r="E227" t="s">
        <v>400</v>
      </c>
      <c r="F227" t="s">
        <v>1762</v>
      </c>
    </row>
    <row r="228" spans="1:6" x14ac:dyDescent="0.25">
      <c r="A228" t="str">
        <f t="shared" si="3"/>
        <v>TC_C_24_CS Core</v>
      </c>
      <c r="B228" t="s">
        <v>488</v>
      </c>
      <c r="C228" t="s">
        <v>136</v>
      </c>
      <c r="D228" t="s">
        <v>1535</v>
      </c>
      <c r="E228" t="s">
        <v>400</v>
      </c>
      <c r="F228" t="s">
        <v>1762</v>
      </c>
    </row>
    <row r="229" spans="1:6" x14ac:dyDescent="0.25">
      <c r="A229" t="str">
        <f t="shared" si="3"/>
        <v>TC_C_25_CS Core</v>
      </c>
      <c r="B229" t="s">
        <v>489</v>
      </c>
      <c r="C229" t="s">
        <v>136</v>
      </c>
      <c r="D229" t="s">
        <v>1536</v>
      </c>
      <c r="E229" t="s">
        <v>400</v>
      </c>
      <c r="F229" t="s">
        <v>1763</v>
      </c>
    </row>
    <row r="230" spans="1:6" x14ac:dyDescent="0.25">
      <c r="A230" t="str">
        <f t="shared" si="3"/>
        <v>TC_C_27_CS Core</v>
      </c>
      <c r="B230" t="s">
        <v>492</v>
      </c>
      <c r="C230" t="s">
        <v>136</v>
      </c>
      <c r="D230" t="s">
        <v>1537</v>
      </c>
      <c r="E230" t="s">
        <v>400</v>
      </c>
      <c r="F230" t="s">
        <v>1740</v>
      </c>
    </row>
    <row r="231" spans="1:6" x14ac:dyDescent="0.25">
      <c r="A231" t="str">
        <f t="shared" si="3"/>
        <v>TC_C_28_CS Core</v>
      </c>
      <c r="B231" t="s">
        <v>493</v>
      </c>
      <c r="C231" t="s">
        <v>136</v>
      </c>
      <c r="D231" t="s">
        <v>1538</v>
      </c>
      <c r="E231" t="s">
        <v>400</v>
      </c>
      <c r="F231" t="s">
        <v>1740</v>
      </c>
    </row>
    <row r="232" spans="1:6" x14ac:dyDescent="0.25">
      <c r="A232" t="str">
        <f t="shared" si="3"/>
        <v>TC_C_31_CS Core</v>
      </c>
      <c r="B232" t="s">
        <v>496</v>
      </c>
      <c r="C232" t="s">
        <v>136</v>
      </c>
      <c r="D232" t="s">
        <v>1539</v>
      </c>
      <c r="E232" t="s">
        <v>400</v>
      </c>
      <c r="F232" t="s">
        <v>1740</v>
      </c>
    </row>
    <row r="233" spans="1:6" x14ac:dyDescent="0.25">
      <c r="A233" t="str">
        <f t="shared" si="3"/>
        <v>TC_C_29_CS Core</v>
      </c>
      <c r="B233" t="s">
        <v>494</v>
      </c>
      <c r="C233" t="s">
        <v>136</v>
      </c>
      <c r="D233" t="s">
        <v>1540</v>
      </c>
      <c r="E233" t="s">
        <v>400</v>
      </c>
      <c r="F233" t="s">
        <v>1740</v>
      </c>
    </row>
    <row r="234" spans="1:6" x14ac:dyDescent="0.25">
      <c r="A234" t="str">
        <f t="shared" si="3"/>
        <v>TC_C_30_CS Core</v>
      </c>
      <c r="B234" t="s">
        <v>495</v>
      </c>
      <c r="C234" t="s">
        <v>136</v>
      </c>
      <c r="D234" t="s">
        <v>1541</v>
      </c>
      <c r="E234" t="s">
        <v>400</v>
      </c>
      <c r="F234" t="s">
        <v>1740</v>
      </c>
    </row>
    <row r="235" spans="1:6" x14ac:dyDescent="0.25">
      <c r="A235" t="str">
        <f t="shared" si="3"/>
        <v>TC_C_58_CS Core</v>
      </c>
      <c r="B235" t="s">
        <v>524</v>
      </c>
      <c r="C235" t="s">
        <v>136</v>
      </c>
      <c r="D235" t="s">
        <v>1542</v>
      </c>
      <c r="E235" t="s">
        <v>400</v>
      </c>
      <c r="F235" t="s">
        <v>1764</v>
      </c>
    </row>
    <row r="236" spans="1:6" x14ac:dyDescent="0.25">
      <c r="A236" t="str">
        <f t="shared" si="3"/>
        <v>TC_C_40_CS Core</v>
      </c>
      <c r="B236" t="s">
        <v>504</v>
      </c>
      <c r="C236" t="s">
        <v>136</v>
      </c>
      <c r="D236" t="s">
        <v>1543</v>
      </c>
      <c r="E236" t="s">
        <v>400</v>
      </c>
      <c r="F236" t="s">
        <v>1761</v>
      </c>
    </row>
    <row r="237" spans="1:6" x14ac:dyDescent="0.25">
      <c r="A237" t="str">
        <f t="shared" si="3"/>
        <v>TC_C_43_CS Core</v>
      </c>
      <c r="B237" t="s">
        <v>507</v>
      </c>
      <c r="C237" t="s">
        <v>136</v>
      </c>
      <c r="D237" t="s">
        <v>1544</v>
      </c>
      <c r="E237" t="s">
        <v>400</v>
      </c>
      <c r="F237" t="s">
        <v>1761</v>
      </c>
    </row>
    <row r="238" spans="1:6" x14ac:dyDescent="0.25">
      <c r="A238" t="str">
        <f t="shared" si="3"/>
        <v>TC_D_01_CS Core</v>
      </c>
      <c r="B238" t="s">
        <v>525</v>
      </c>
      <c r="C238" t="s">
        <v>136</v>
      </c>
      <c r="D238" t="s">
        <v>1545</v>
      </c>
      <c r="E238" t="s">
        <v>400</v>
      </c>
      <c r="F238" t="s">
        <v>1740</v>
      </c>
    </row>
    <row r="239" spans="1:6" x14ac:dyDescent="0.25">
      <c r="A239" t="str">
        <f t="shared" si="3"/>
        <v>TC_D_02_CS Core</v>
      </c>
      <c r="B239" t="s">
        <v>526</v>
      </c>
      <c r="C239" t="s">
        <v>136</v>
      </c>
      <c r="D239" t="s">
        <v>1546</v>
      </c>
      <c r="E239" t="s">
        <v>400</v>
      </c>
      <c r="F239" t="s">
        <v>1740</v>
      </c>
    </row>
    <row r="240" spans="1:6" x14ac:dyDescent="0.25">
      <c r="A240" t="str">
        <f t="shared" si="3"/>
        <v>TC_D_03_CS Core</v>
      </c>
      <c r="B240" t="s">
        <v>527</v>
      </c>
      <c r="C240" t="s">
        <v>136</v>
      </c>
      <c r="D240" t="s">
        <v>1547</v>
      </c>
      <c r="E240" t="s">
        <v>400</v>
      </c>
      <c r="F240" t="s">
        <v>1740</v>
      </c>
    </row>
    <row r="241" spans="1:7" x14ac:dyDescent="0.25">
      <c r="A241" t="str">
        <f t="shared" si="3"/>
        <v>TC_D_04_CS Core</v>
      </c>
      <c r="B241" t="s">
        <v>528</v>
      </c>
      <c r="C241" t="s">
        <v>136</v>
      </c>
      <c r="D241" t="s">
        <v>1548</v>
      </c>
      <c r="E241" t="s">
        <v>400</v>
      </c>
      <c r="F241" t="s">
        <v>1740</v>
      </c>
    </row>
    <row r="242" spans="1:7" x14ac:dyDescent="0.25">
      <c r="A242" t="str">
        <f t="shared" si="3"/>
        <v>TC_D_05_CS Core</v>
      </c>
      <c r="B242" t="s">
        <v>529</v>
      </c>
      <c r="C242" t="s">
        <v>136</v>
      </c>
      <c r="D242" t="s">
        <v>1549</v>
      </c>
      <c r="E242" t="s">
        <v>400</v>
      </c>
      <c r="F242" t="s">
        <v>1740</v>
      </c>
    </row>
    <row r="243" spans="1:7" x14ac:dyDescent="0.25">
      <c r="A243" t="str">
        <f t="shared" si="3"/>
        <v>TC_D_06_CS Core</v>
      </c>
      <c r="B243" t="s">
        <v>530</v>
      </c>
      <c r="C243" t="s">
        <v>136</v>
      </c>
      <c r="D243" t="s">
        <v>1550</v>
      </c>
      <c r="E243" t="s">
        <v>400</v>
      </c>
      <c r="F243" t="s">
        <v>1740</v>
      </c>
    </row>
    <row r="244" spans="1:7" x14ac:dyDescent="0.25">
      <c r="A244" t="str">
        <f t="shared" si="3"/>
        <v>TC_D_07_CS Core</v>
      </c>
      <c r="B244" t="s">
        <v>531</v>
      </c>
      <c r="C244" t="s">
        <v>136</v>
      </c>
      <c r="D244" t="s">
        <v>1551</v>
      </c>
      <c r="E244" t="s">
        <v>400</v>
      </c>
      <c r="F244" t="s">
        <v>1740</v>
      </c>
    </row>
    <row r="245" spans="1:7" x14ac:dyDescent="0.25">
      <c r="A245" t="str">
        <f t="shared" si="3"/>
        <v>TC_D_08_CS Core</v>
      </c>
      <c r="B245" t="s">
        <v>532</v>
      </c>
      <c r="C245" t="s">
        <v>136</v>
      </c>
      <c r="D245" t="s">
        <v>1552</v>
      </c>
      <c r="E245" t="s">
        <v>400</v>
      </c>
      <c r="F245" t="s">
        <v>1740</v>
      </c>
      <c r="G245" t="s">
        <v>533</v>
      </c>
    </row>
    <row r="246" spans="1:7" x14ac:dyDescent="0.25">
      <c r="A246" t="str">
        <f t="shared" si="3"/>
        <v>TC_D_10_CS Core</v>
      </c>
      <c r="B246" t="s">
        <v>534</v>
      </c>
      <c r="C246" t="s">
        <v>136</v>
      </c>
      <c r="D246" t="s">
        <v>1553</v>
      </c>
      <c r="E246" t="s">
        <v>400</v>
      </c>
      <c r="F246" t="s">
        <v>1740</v>
      </c>
    </row>
    <row r="247" spans="1:7" x14ac:dyDescent="0.25">
      <c r="A247" t="str">
        <f t="shared" si="3"/>
        <v>TC_B_24_CS Core</v>
      </c>
      <c r="B247" t="s">
        <v>435</v>
      </c>
      <c r="C247" t="s">
        <v>136</v>
      </c>
      <c r="D247" t="s">
        <v>1630</v>
      </c>
      <c r="E247" t="s">
        <v>400</v>
      </c>
      <c r="F247" t="s">
        <v>1735</v>
      </c>
    </row>
    <row r="248" spans="1:7" x14ac:dyDescent="0.25">
      <c r="A248" t="str">
        <f t="shared" si="3"/>
        <v>TC_H_01_CS Core</v>
      </c>
      <c r="B248" t="s">
        <v>634</v>
      </c>
      <c r="C248" t="s">
        <v>136</v>
      </c>
      <c r="D248" t="s">
        <v>1631</v>
      </c>
      <c r="E248" t="s">
        <v>400</v>
      </c>
      <c r="F248" t="s">
        <v>1735</v>
      </c>
    </row>
    <row r="249" spans="1:7" x14ac:dyDescent="0.25">
      <c r="A249" t="str">
        <f t="shared" si="3"/>
        <v>TC_H_02_CS Core</v>
      </c>
      <c r="B249" t="s">
        <v>635</v>
      </c>
      <c r="C249" t="s">
        <v>136</v>
      </c>
      <c r="D249" t="s">
        <v>1632</v>
      </c>
      <c r="E249" t="s">
        <v>400</v>
      </c>
      <c r="F249" t="s">
        <v>1735</v>
      </c>
    </row>
    <row r="250" spans="1:7" x14ac:dyDescent="0.25">
      <c r="A250" t="str">
        <f t="shared" si="3"/>
        <v>TC_H_03_CS Core</v>
      </c>
      <c r="B250" t="s">
        <v>636</v>
      </c>
      <c r="C250" t="s">
        <v>136</v>
      </c>
      <c r="D250" t="s">
        <v>1633</v>
      </c>
      <c r="E250" t="s">
        <v>400</v>
      </c>
      <c r="F250" t="s">
        <v>1735</v>
      </c>
    </row>
    <row r="251" spans="1:7" x14ac:dyDescent="0.25">
      <c r="A251" t="str">
        <f t="shared" si="3"/>
        <v>TC_H_04_CS Core</v>
      </c>
      <c r="B251" t="s">
        <v>637</v>
      </c>
      <c r="C251" t="s">
        <v>136</v>
      </c>
      <c r="D251" t="s">
        <v>1634</v>
      </c>
      <c r="E251" t="s">
        <v>400</v>
      </c>
      <c r="F251" t="s">
        <v>1735</v>
      </c>
    </row>
    <row r="252" spans="1:7" x14ac:dyDescent="0.25">
      <c r="A252" t="str">
        <f t="shared" si="3"/>
        <v>TC_H_06_CS Core</v>
      </c>
      <c r="B252" t="s">
        <v>638</v>
      </c>
      <c r="C252" t="s">
        <v>136</v>
      </c>
      <c r="D252" t="s">
        <v>1635</v>
      </c>
      <c r="E252" t="s">
        <v>400</v>
      </c>
      <c r="F252" t="s">
        <v>1735</v>
      </c>
    </row>
    <row r="253" spans="1:7" x14ac:dyDescent="0.25">
      <c r="A253" t="str">
        <f t="shared" si="3"/>
        <v>TC_H_07_CS Core</v>
      </c>
      <c r="B253" t="s">
        <v>639</v>
      </c>
      <c r="C253" t="s">
        <v>136</v>
      </c>
      <c r="D253" t="s">
        <v>1636</v>
      </c>
      <c r="E253" t="s">
        <v>400</v>
      </c>
      <c r="F253" t="s">
        <v>1735</v>
      </c>
    </row>
    <row r="254" spans="1:7" x14ac:dyDescent="0.25">
      <c r="A254" t="str">
        <f t="shared" si="3"/>
        <v>TC_H_22_CS Core</v>
      </c>
      <c r="B254" t="s">
        <v>653</v>
      </c>
      <c r="C254" t="s">
        <v>136</v>
      </c>
      <c r="D254" t="s">
        <v>1637</v>
      </c>
      <c r="E254" t="s">
        <v>400</v>
      </c>
      <c r="F254" t="s">
        <v>1776</v>
      </c>
    </row>
    <row r="255" spans="1:7" x14ac:dyDescent="0.25">
      <c r="A255" t="str">
        <f t="shared" si="3"/>
        <v>TC_H_23_CS Core</v>
      </c>
      <c r="B255" t="s">
        <v>654</v>
      </c>
      <c r="C255" t="s">
        <v>136</v>
      </c>
      <c r="D255" t="s">
        <v>1638</v>
      </c>
      <c r="E255" t="s">
        <v>400</v>
      </c>
      <c r="F255" t="s">
        <v>1735</v>
      </c>
    </row>
    <row r="256" spans="1:7" x14ac:dyDescent="0.25">
      <c r="A256" t="str">
        <f t="shared" si="3"/>
        <v>TC_H_19_CS Core</v>
      </c>
      <c r="B256" t="s">
        <v>651</v>
      </c>
      <c r="C256" t="s">
        <v>136</v>
      </c>
      <c r="D256" t="s">
        <v>1639</v>
      </c>
      <c r="E256" t="s">
        <v>400</v>
      </c>
      <c r="F256" t="s">
        <v>1735</v>
      </c>
    </row>
    <row r="257" spans="1:7" x14ac:dyDescent="0.25">
      <c r="A257" t="str">
        <f t="shared" si="3"/>
        <v>TC_H_08_CS Core</v>
      </c>
      <c r="B257" t="s">
        <v>640</v>
      </c>
      <c r="C257" t="s">
        <v>136</v>
      </c>
      <c r="D257" t="s">
        <v>1640</v>
      </c>
      <c r="E257" t="s">
        <v>400</v>
      </c>
      <c r="F257" t="s">
        <v>1765</v>
      </c>
      <c r="G257" t="s">
        <v>641</v>
      </c>
    </row>
    <row r="258" spans="1:7" x14ac:dyDescent="0.25">
      <c r="A258" t="str">
        <f t="shared" si="3"/>
        <v>TC_H_09_CS Core</v>
      </c>
      <c r="B258" t="s">
        <v>642</v>
      </c>
      <c r="C258" t="s">
        <v>136</v>
      </c>
      <c r="D258" t="s">
        <v>1641</v>
      </c>
      <c r="E258" t="s">
        <v>400</v>
      </c>
      <c r="F258" t="s">
        <v>1765</v>
      </c>
      <c r="G258" t="s">
        <v>641</v>
      </c>
    </row>
    <row r="259" spans="1:7" x14ac:dyDescent="0.25">
      <c r="A259" t="str">
        <f t="shared" ref="A259:A322" si="4">B259&amp;" "&amp;C259</f>
        <v>TC_H_10_CS Core</v>
      </c>
      <c r="B259" t="s">
        <v>643</v>
      </c>
      <c r="C259" t="s">
        <v>136</v>
      </c>
      <c r="D259" t="s">
        <v>1642</v>
      </c>
      <c r="E259" t="s">
        <v>400</v>
      </c>
      <c r="F259" t="s">
        <v>1765</v>
      </c>
      <c r="G259" t="s">
        <v>641</v>
      </c>
    </row>
    <row r="260" spans="1:7" x14ac:dyDescent="0.25">
      <c r="A260" t="str">
        <f t="shared" si="4"/>
        <v>TC_H_12_CS Core</v>
      </c>
      <c r="B260" t="s">
        <v>644</v>
      </c>
      <c r="C260" t="s">
        <v>136</v>
      </c>
      <c r="D260" t="s">
        <v>1643</v>
      </c>
      <c r="E260" t="s">
        <v>400</v>
      </c>
      <c r="F260" t="s">
        <v>1765</v>
      </c>
      <c r="G260" t="s">
        <v>641</v>
      </c>
    </row>
    <row r="261" spans="1:7" x14ac:dyDescent="0.25">
      <c r="A261" t="str">
        <f t="shared" si="4"/>
        <v>TC_H_13_CS Core</v>
      </c>
      <c r="B261" t="s">
        <v>645</v>
      </c>
      <c r="C261" t="s">
        <v>136</v>
      </c>
      <c r="D261" t="s">
        <v>1644</v>
      </c>
      <c r="E261" t="s">
        <v>400</v>
      </c>
      <c r="F261" t="s">
        <v>1766</v>
      </c>
      <c r="G261" t="s">
        <v>641</v>
      </c>
    </row>
    <row r="262" spans="1:7" x14ac:dyDescent="0.25">
      <c r="A262" t="str">
        <f t="shared" si="4"/>
        <v>TC_H_14_CS Core</v>
      </c>
      <c r="B262" t="s">
        <v>646</v>
      </c>
      <c r="C262" t="s">
        <v>136</v>
      </c>
      <c r="D262" t="s">
        <v>1645</v>
      </c>
      <c r="E262" t="s">
        <v>400</v>
      </c>
      <c r="F262" t="s">
        <v>1765</v>
      </c>
      <c r="G262" t="s">
        <v>641</v>
      </c>
    </row>
    <row r="263" spans="1:7" x14ac:dyDescent="0.25">
      <c r="A263" t="str">
        <f t="shared" si="4"/>
        <v>TC_H_24_CS Core</v>
      </c>
      <c r="B263" t="s">
        <v>655</v>
      </c>
      <c r="C263" t="s">
        <v>136</v>
      </c>
      <c r="D263" t="s">
        <v>1646</v>
      </c>
      <c r="E263" t="s">
        <v>400</v>
      </c>
      <c r="F263" t="s">
        <v>1765</v>
      </c>
      <c r="G263" t="s">
        <v>641</v>
      </c>
    </row>
    <row r="264" spans="1:7" x14ac:dyDescent="0.25">
      <c r="A264" t="str">
        <f t="shared" si="4"/>
        <v>TC_H_15_CS Core</v>
      </c>
      <c r="B264" t="s">
        <v>647</v>
      </c>
      <c r="C264" t="s">
        <v>136</v>
      </c>
      <c r="D264" t="s">
        <v>1647</v>
      </c>
      <c r="E264" t="s">
        <v>400</v>
      </c>
      <c r="F264" t="s">
        <v>1767</v>
      </c>
      <c r="G264" t="s">
        <v>1239</v>
      </c>
    </row>
    <row r="265" spans="1:7" x14ac:dyDescent="0.25">
      <c r="A265" t="str">
        <f t="shared" si="4"/>
        <v>TC_H_16_CS Core</v>
      </c>
      <c r="B265" t="s">
        <v>648</v>
      </c>
      <c r="C265" t="s">
        <v>136</v>
      </c>
      <c r="D265" t="s">
        <v>1648</v>
      </c>
      <c r="E265" t="s">
        <v>400</v>
      </c>
      <c r="F265" t="s">
        <v>1767</v>
      </c>
      <c r="G265" t="s">
        <v>1239</v>
      </c>
    </row>
    <row r="266" spans="1:7" x14ac:dyDescent="0.25">
      <c r="A266" t="str">
        <f t="shared" si="4"/>
        <v>TC_H_17_CS Core</v>
      </c>
      <c r="B266" t="s">
        <v>649</v>
      </c>
      <c r="C266" t="s">
        <v>136</v>
      </c>
      <c r="D266" t="s">
        <v>1649</v>
      </c>
      <c r="E266" t="s">
        <v>400</v>
      </c>
      <c r="F266" t="s">
        <v>1735</v>
      </c>
    </row>
    <row r="267" spans="1:7" x14ac:dyDescent="0.25">
      <c r="A267" t="str">
        <f t="shared" si="4"/>
        <v>TC_H_18_CS Core</v>
      </c>
      <c r="B267" t="s">
        <v>650</v>
      </c>
      <c r="C267" t="s">
        <v>136</v>
      </c>
      <c r="D267" t="s">
        <v>1650</v>
      </c>
      <c r="E267" t="s">
        <v>400</v>
      </c>
      <c r="F267" t="s">
        <v>1735</v>
      </c>
    </row>
    <row r="268" spans="1:7" x14ac:dyDescent="0.25">
      <c r="A268" t="str">
        <f t="shared" si="4"/>
        <v>TC_H_21_CS Core</v>
      </c>
      <c r="B268" t="s">
        <v>652</v>
      </c>
      <c r="C268" t="s">
        <v>136</v>
      </c>
      <c r="D268" t="s">
        <v>1651</v>
      </c>
      <c r="E268" t="s">
        <v>400</v>
      </c>
      <c r="F268" t="s">
        <v>1735</v>
      </c>
    </row>
    <row r="269" spans="1:7" x14ac:dyDescent="0.25">
      <c r="A269" t="str">
        <f t="shared" si="4"/>
        <v>TC_B_16_CS Core</v>
      </c>
      <c r="B269" t="s">
        <v>428</v>
      </c>
      <c r="C269" t="s">
        <v>136</v>
      </c>
      <c r="D269" t="s">
        <v>1590</v>
      </c>
      <c r="E269" t="s">
        <v>400</v>
      </c>
      <c r="F269" t="s">
        <v>1738</v>
      </c>
    </row>
    <row r="270" spans="1:7" x14ac:dyDescent="0.25">
      <c r="A270" t="str">
        <f t="shared" si="4"/>
        <v>TC_B_17_CS Core</v>
      </c>
      <c r="B270" t="s">
        <v>429</v>
      </c>
      <c r="C270" t="s">
        <v>136</v>
      </c>
      <c r="D270" t="s">
        <v>1591</v>
      </c>
      <c r="E270" t="s">
        <v>400</v>
      </c>
      <c r="F270" t="s">
        <v>1738</v>
      </c>
    </row>
    <row r="271" spans="1:7" x14ac:dyDescent="0.25">
      <c r="A271" t="str">
        <f t="shared" si="4"/>
        <v>TC_B_18_CS Core</v>
      </c>
      <c r="B271" t="s">
        <v>430</v>
      </c>
      <c r="C271" t="s">
        <v>136</v>
      </c>
      <c r="D271" t="s">
        <v>1592</v>
      </c>
      <c r="E271" t="s">
        <v>400</v>
      </c>
      <c r="F271" t="s">
        <v>1738</v>
      </c>
    </row>
    <row r="272" spans="1:7" x14ac:dyDescent="0.25">
      <c r="A272" t="str">
        <f t="shared" si="4"/>
        <v>TC_B_54_CS Core</v>
      </c>
      <c r="B272" t="s">
        <v>462</v>
      </c>
      <c r="C272" t="s">
        <v>136</v>
      </c>
      <c r="D272" t="s">
        <v>1593</v>
      </c>
      <c r="E272" t="s">
        <v>400</v>
      </c>
      <c r="F272" t="s">
        <v>1738</v>
      </c>
    </row>
    <row r="273" spans="1:6" x14ac:dyDescent="0.25">
      <c r="A273" t="str">
        <f t="shared" si="4"/>
        <v>TC_B_55_CS Core</v>
      </c>
      <c r="B273" t="s">
        <v>463</v>
      </c>
      <c r="C273" t="s">
        <v>136</v>
      </c>
      <c r="D273" t="s">
        <v>1594</v>
      </c>
      <c r="E273" t="s">
        <v>400</v>
      </c>
      <c r="F273" t="s">
        <v>1738</v>
      </c>
    </row>
    <row r="274" spans="1:6" x14ac:dyDescent="0.25">
      <c r="A274" t="str">
        <f t="shared" si="4"/>
        <v>TC_B_56_CS Core</v>
      </c>
      <c r="B274" t="s">
        <v>464</v>
      </c>
      <c r="C274" t="s">
        <v>136</v>
      </c>
      <c r="D274" t="s">
        <v>1595</v>
      </c>
      <c r="E274" t="s">
        <v>400</v>
      </c>
      <c r="F274" t="s">
        <v>1738</v>
      </c>
    </row>
    <row r="275" spans="1:6" x14ac:dyDescent="0.25">
      <c r="A275" t="str">
        <f t="shared" si="4"/>
        <v>TC_N_01_CS Core</v>
      </c>
      <c r="B275" t="s">
        <v>763</v>
      </c>
      <c r="C275" t="s">
        <v>136</v>
      </c>
      <c r="D275" t="s">
        <v>1596</v>
      </c>
      <c r="E275" t="s">
        <v>400</v>
      </c>
      <c r="F275" t="s">
        <v>1738</v>
      </c>
    </row>
    <row r="276" spans="1:6" x14ac:dyDescent="0.25">
      <c r="A276" t="str">
        <f t="shared" si="4"/>
        <v>TC_N_02_CS Core</v>
      </c>
      <c r="B276" t="s">
        <v>764</v>
      </c>
      <c r="C276" t="s">
        <v>136</v>
      </c>
      <c r="D276" t="s">
        <v>1597</v>
      </c>
      <c r="E276" t="s">
        <v>400</v>
      </c>
      <c r="F276" t="s">
        <v>1738</v>
      </c>
    </row>
    <row r="277" spans="1:6" x14ac:dyDescent="0.25">
      <c r="A277" t="str">
        <f t="shared" si="4"/>
        <v>TC_N_03_CS Core</v>
      </c>
      <c r="B277" t="s">
        <v>765</v>
      </c>
      <c r="C277" t="s">
        <v>136</v>
      </c>
      <c r="D277" t="s">
        <v>1598</v>
      </c>
      <c r="E277" t="s">
        <v>400</v>
      </c>
      <c r="F277" t="s">
        <v>1738</v>
      </c>
    </row>
    <row r="278" spans="1:6" x14ac:dyDescent="0.25">
      <c r="A278" t="str">
        <f t="shared" si="4"/>
        <v>TC_N_47_CS Core</v>
      </c>
      <c r="B278" t="s">
        <v>801</v>
      </c>
      <c r="C278" t="s">
        <v>136</v>
      </c>
      <c r="D278" t="s">
        <v>1599</v>
      </c>
      <c r="E278" t="s">
        <v>400</v>
      </c>
      <c r="F278" t="s">
        <v>1738</v>
      </c>
    </row>
    <row r="279" spans="1:6" x14ac:dyDescent="0.25">
      <c r="A279" t="str">
        <f t="shared" si="4"/>
        <v>TC_N_05_CS Core</v>
      </c>
      <c r="B279" t="s">
        <v>766</v>
      </c>
      <c r="C279" t="s">
        <v>136</v>
      </c>
      <c r="D279" t="s">
        <v>1600</v>
      </c>
      <c r="E279" t="s">
        <v>400</v>
      </c>
      <c r="F279" t="s">
        <v>1738</v>
      </c>
    </row>
    <row r="280" spans="1:6" x14ac:dyDescent="0.25">
      <c r="A280" t="str">
        <f t="shared" si="4"/>
        <v>TC_N_06_CS Core</v>
      </c>
      <c r="B280" t="s">
        <v>767</v>
      </c>
      <c r="C280" t="s">
        <v>136</v>
      </c>
      <c r="D280" t="s">
        <v>1601</v>
      </c>
      <c r="E280" t="s">
        <v>400</v>
      </c>
      <c r="F280" t="s">
        <v>1738</v>
      </c>
    </row>
    <row r="281" spans="1:6" x14ac:dyDescent="0.25">
      <c r="A281" t="str">
        <f t="shared" si="4"/>
        <v>TC_N_08_CS Core</v>
      </c>
      <c r="B281" t="s">
        <v>768</v>
      </c>
      <c r="C281" t="s">
        <v>136</v>
      </c>
      <c r="D281" t="s">
        <v>1602</v>
      </c>
      <c r="E281" t="s">
        <v>400</v>
      </c>
      <c r="F281" t="s">
        <v>1738</v>
      </c>
    </row>
    <row r="282" spans="1:6" x14ac:dyDescent="0.25">
      <c r="A282" t="str">
        <f t="shared" si="4"/>
        <v>TC_N_09_CS Core</v>
      </c>
      <c r="B282" t="s">
        <v>769</v>
      </c>
      <c r="C282" t="s">
        <v>136</v>
      </c>
      <c r="D282" t="s">
        <v>1603</v>
      </c>
      <c r="E282" t="s">
        <v>400</v>
      </c>
      <c r="F282" t="s">
        <v>1738</v>
      </c>
    </row>
    <row r="283" spans="1:6" x14ac:dyDescent="0.25">
      <c r="A283" t="str">
        <f t="shared" si="4"/>
        <v>TC_N_10_CS Core</v>
      </c>
      <c r="B283" t="s">
        <v>770</v>
      </c>
      <c r="C283" t="s">
        <v>136</v>
      </c>
      <c r="D283" t="s">
        <v>1604</v>
      </c>
      <c r="E283" t="s">
        <v>400</v>
      </c>
      <c r="F283" t="s">
        <v>1738</v>
      </c>
    </row>
    <row r="284" spans="1:6" x14ac:dyDescent="0.25">
      <c r="A284" t="str">
        <f t="shared" si="4"/>
        <v>TC_N_11_CS Core</v>
      </c>
      <c r="B284" t="s">
        <v>771</v>
      </c>
      <c r="C284" t="s">
        <v>136</v>
      </c>
      <c r="D284" t="s">
        <v>1605</v>
      </c>
      <c r="E284" t="s">
        <v>400</v>
      </c>
      <c r="F284" t="s">
        <v>1738</v>
      </c>
    </row>
    <row r="285" spans="1:6" x14ac:dyDescent="0.25">
      <c r="A285" t="str">
        <f t="shared" si="4"/>
        <v>TC_N_12_CS Core</v>
      </c>
      <c r="B285" t="s">
        <v>772</v>
      </c>
      <c r="C285" t="s">
        <v>136</v>
      </c>
      <c r="D285" t="s">
        <v>1606</v>
      </c>
      <c r="E285" t="s">
        <v>400</v>
      </c>
      <c r="F285" t="s">
        <v>1738</v>
      </c>
    </row>
    <row r="286" spans="1:6" x14ac:dyDescent="0.25">
      <c r="A286" t="str">
        <f t="shared" si="4"/>
        <v>TC_N_13_CS Core</v>
      </c>
      <c r="B286" t="s">
        <v>773</v>
      </c>
      <c r="C286" t="s">
        <v>136</v>
      </c>
      <c r="D286" t="s">
        <v>1607</v>
      </c>
      <c r="E286" t="s">
        <v>400</v>
      </c>
      <c r="F286" t="s">
        <v>1738</v>
      </c>
    </row>
    <row r="287" spans="1:6" x14ac:dyDescent="0.25">
      <c r="A287" t="str">
        <f t="shared" si="4"/>
        <v>TC_N_15_CS Core</v>
      </c>
      <c r="B287" t="s">
        <v>774</v>
      </c>
      <c r="C287" t="s">
        <v>136</v>
      </c>
      <c r="D287" t="s">
        <v>1608</v>
      </c>
      <c r="E287" t="s">
        <v>400</v>
      </c>
      <c r="F287" t="s">
        <v>1738</v>
      </c>
    </row>
    <row r="288" spans="1:6" x14ac:dyDescent="0.25">
      <c r="A288" t="str">
        <f t="shared" si="4"/>
        <v>TC_N_24_CS Core</v>
      </c>
      <c r="B288" t="s">
        <v>784</v>
      </c>
      <c r="C288" t="s">
        <v>136</v>
      </c>
      <c r="D288" t="s">
        <v>1609</v>
      </c>
      <c r="E288" t="s">
        <v>400</v>
      </c>
      <c r="F288" t="s">
        <v>1738</v>
      </c>
    </row>
    <row r="289" spans="1:6" x14ac:dyDescent="0.25">
      <c r="A289" t="str">
        <f t="shared" si="4"/>
        <v>TC_N_37_CS Core</v>
      </c>
      <c r="B289" t="s">
        <v>794</v>
      </c>
      <c r="C289" t="s">
        <v>136</v>
      </c>
      <c r="D289" t="s">
        <v>1610</v>
      </c>
      <c r="E289" t="s">
        <v>400</v>
      </c>
      <c r="F289" t="s">
        <v>1738</v>
      </c>
    </row>
    <row r="290" spans="1:6" x14ac:dyDescent="0.25">
      <c r="A290" t="str">
        <f t="shared" si="4"/>
        <v>TC_N_39_CS Core</v>
      </c>
      <c r="B290" t="s">
        <v>795</v>
      </c>
      <c r="C290" t="s">
        <v>136</v>
      </c>
      <c r="D290" t="s">
        <v>1611</v>
      </c>
      <c r="E290" t="s">
        <v>400</v>
      </c>
      <c r="F290" t="s">
        <v>1738</v>
      </c>
    </row>
    <row r="291" spans="1:6" x14ac:dyDescent="0.25">
      <c r="A291" t="str">
        <f t="shared" si="4"/>
        <v>TC_N_40_CS Core</v>
      </c>
      <c r="B291" t="s">
        <v>796</v>
      </c>
      <c r="C291" t="s">
        <v>136</v>
      </c>
      <c r="D291" t="s">
        <v>1612</v>
      </c>
      <c r="E291" t="s">
        <v>400</v>
      </c>
      <c r="F291" t="s">
        <v>1738</v>
      </c>
    </row>
    <row r="292" spans="1:6" x14ac:dyDescent="0.25">
      <c r="A292" t="str">
        <f t="shared" si="4"/>
        <v>TC_N_41_CS Core</v>
      </c>
      <c r="B292" t="s">
        <v>797</v>
      </c>
      <c r="C292" t="s">
        <v>136</v>
      </c>
      <c r="D292" t="s">
        <v>1613</v>
      </c>
      <c r="E292" t="s">
        <v>400</v>
      </c>
      <c r="F292" t="s">
        <v>1738</v>
      </c>
    </row>
    <row r="293" spans="1:6" x14ac:dyDescent="0.25">
      <c r="A293" t="str">
        <f t="shared" si="4"/>
        <v>TC_N_43_CS Core</v>
      </c>
      <c r="B293" t="s">
        <v>798</v>
      </c>
      <c r="C293" t="s">
        <v>136</v>
      </c>
      <c r="D293" t="s">
        <v>1614</v>
      </c>
      <c r="E293" t="s">
        <v>400</v>
      </c>
      <c r="F293" t="s">
        <v>1738</v>
      </c>
    </row>
    <row r="294" spans="1:6" x14ac:dyDescent="0.25">
      <c r="A294" t="str">
        <f t="shared" si="4"/>
        <v>TC_N_51_CS Core</v>
      </c>
      <c r="B294" t="s">
        <v>803</v>
      </c>
      <c r="C294" t="s">
        <v>136</v>
      </c>
      <c r="D294" t="s">
        <v>1615</v>
      </c>
      <c r="E294" t="s">
        <v>400</v>
      </c>
      <c r="F294" t="s">
        <v>1738</v>
      </c>
    </row>
    <row r="295" spans="1:6" x14ac:dyDescent="0.25">
      <c r="A295" t="str">
        <f t="shared" si="4"/>
        <v>TC_N_52_CS Core</v>
      </c>
      <c r="B295" t="s">
        <v>804</v>
      </c>
      <c r="C295" t="s">
        <v>136</v>
      </c>
      <c r="D295" t="s">
        <v>1616</v>
      </c>
      <c r="E295" t="s">
        <v>400</v>
      </c>
      <c r="F295" t="s">
        <v>1738</v>
      </c>
    </row>
    <row r="296" spans="1:6" x14ac:dyDescent="0.25">
      <c r="A296" t="str">
        <f t="shared" si="4"/>
        <v>TC_N_16_CS Core</v>
      </c>
      <c r="B296" t="s">
        <v>775</v>
      </c>
      <c r="C296" t="s">
        <v>136</v>
      </c>
      <c r="D296" t="s">
        <v>1617</v>
      </c>
      <c r="E296" t="s">
        <v>400</v>
      </c>
      <c r="F296" t="s">
        <v>1738</v>
      </c>
    </row>
    <row r="297" spans="1:6" x14ac:dyDescent="0.25">
      <c r="A297" t="str">
        <f t="shared" si="4"/>
        <v>TC_N_17_CS Core</v>
      </c>
      <c r="B297" t="s">
        <v>776</v>
      </c>
      <c r="C297" t="s">
        <v>136</v>
      </c>
      <c r="D297" t="s">
        <v>1618</v>
      </c>
      <c r="E297" t="s">
        <v>400</v>
      </c>
      <c r="F297" t="s">
        <v>1738</v>
      </c>
    </row>
    <row r="298" spans="1:6" x14ac:dyDescent="0.25">
      <c r="A298" t="str">
        <f t="shared" si="4"/>
        <v>TC_N_18_CS Core</v>
      </c>
      <c r="B298" t="s">
        <v>777</v>
      </c>
      <c r="C298" t="s">
        <v>136</v>
      </c>
      <c r="D298" t="s">
        <v>1619</v>
      </c>
      <c r="E298" t="s">
        <v>400</v>
      </c>
      <c r="F298" t="s">
        <v>1738</v>
      </c>
    </row>
    <row r="299" spans="1:6" x14ac:dyDescent="0.25">
      <c r="A299" t="str">
        <f t="shared" si="4"/>
        <v>TC_N_19_CS Core</v>
      </c>
      <c r="B299" t="s">
        <v>778</v>
      </c>
      <c r="C299" t="s">
        <v>136</v>
      </c>
      <c r="D299" t="s">
        <v>1620</v>
      </c>
      <c r="E299" t="s">
        <v>400</v>
      </c>
      <c r="F299" t="s">
        <v>1738</v>
      </c>
    </row>
    <row r="300" spans="1:6" x14ac:dyDescent="0.25">
      <c r="A300" t="str">
        <f t="shared" si="4"/>
        <v>TC_N_44_CS Core</v>
      </c>
      <c r="B300" t="s">
        <v>799</v>
      </c>
      <c r="C300" t="s">
        <v>136</v>
      </c>
      <c r="D300" t="s">
        <v>1621</v>
      </c>
      <c r="E300" t="s">
        <v>400</v>
      </c>
      <c r="F300" t="s">
        <v>1777</v>
      </c>
    </row>
    <row r="301" spans="1:6" x14ac:dyDescent="0.25">
      <c r="A301" t="str">
        <f t="shared" si="4"/>
        <v>TC_N_20_CS Core</v>
      </c>
      <c r="B301" t="s">
        <v>779</v>
      </c>
      <c r="C301" t="s">
        <v>136</v>
      </c>
      <c r="D301" t="s">
        <v>1622</v>
      </c>
      <c r="E301" t="s">
        <v>400</v>
      </c>
      <c r="F301" t="s">
        <v>1738</v>
      </c>
    </row>
    <row r="302" spans="1:6" x14ac:dyDescent="0.25">
      <c r="A302" t="str">
        <f t="shared" si="4"/>
        <v>TC_N_21_CS Core</v>
      </c>
      <c r="B302" t="s">
        <v>780</v>
      </c>
      <c r="C302" t="s">
        <v>136</v>
      </c>
      <c r="D302" t="s">
        <v>1623</v>
      </c>
      <c r="E302" t="s">
        <v>400</v>
      </c>
      <c r="F302" t="s">
        <v>1777</v>
      </c>
    </row>
    <row r="303" spans="1:6" x14ac:dyDescent="0.25">
      <c r="A303" t="str">
        <f t="shared" si="4"/>
        <v>TC_N_45_CS Core</v>
      </c>
      <c r="B303" t="s">
        <v>800</v>
      </c>
      <c r="C303" t="s">
        <v>136</v>
      </c>
      <c r="D303" t="s">
        <v>1624</v>
      </c>
      <c r="E303" t="s">
        <v>400</v>
      </c>
      <c r="F303" t="s">
        <v>1738</v>
      </c>
    </row>
    <row r="304" spans="1:6" x14ac:dyDescent="0.25">
      <c r="A304" t="str">
        <f t="shared" si="4"/>
        <v>TC_N_48_CS Core</v>
      </c>
      <c r="B304" t="s">
        <v>802</v>
      </c>
      <c r="C304" t="s">
        <v>136</v>
      </c>
      <c r="D304" t="s">
        <v>1625</v>
      </c>
      <c r="E304" t="s">
        <v>400</v>
      </c>
      <c r="F304" t="s">
        <v>1768</v>
      </c>
    </row>
    <row r="305" spans="1:7" x14ac:dyDescent="0.25">
      <c r="A305" t="str">
        <f t="shared" si="4"/>
        <v>TC_N_53_CS Core</v>
      </c>
      <c r="B305" t="s">
        <v>805</v>
      </c>
      <c r="C305" t="s">
        <v>136</v>
      </c>
      <c r="D305" t="s">
        <v>1626</v>
      </c>
      <c r="E305" t="s">
        <v>400</v>
      </c>
      <c r="F305" t="s">
        <v>1738</v>
      </c>
    </row>
    <row r="306" spans="1:7" x14ac:dyDescent="0.25">
      <c r="A306" t="str">
        <f t="shared" si="4"/>
        <v>TC_N_56_CS Core</v>
      </c>
      <c r="B306" t="s">
        <v>806</v>
      </c>
      <c r="C306" t="s">
        <v>136</v>
      </c>
      <c r="D306" t="s">
        <v>1627</v>
      </c>
      <c r="E306" t="s">
        <v>400</v>
      </c>
      <c r="F306" t="s">
        <v>1738</v>
      </c>
    </row>
    <row r="307" spans="1:7" x14ac:dyDescent="0.25">
      <c r="A307" t="str">
        <f t="shared" si="4"/>
        <v>TC_N_22_CS Core</v>
      </c>
      <c r="B307" t="s">
        <v>781</v>
      </c>
      <c r="C307" t="s">
        <v>136</v>
      </c>
      <c r="D307" t="s">
        <v>1628</v>
      </c>
      <c r="E307" t="s">
        <v>400</v>
      </c>
      <c r="F307" t="s">
        <v>1769</v>
      </c>
      <c r="G307" t="s">
        <v>782</v>
      </c>
    </row>
    <row r="308" spans="1:7" x14ac:dyDescent="0.25">
      <c r="A308" t="str">
        <f t="shared" si="4"/>
        <v>TC_N_23_CS Core</v>
      </c>
      <c r="B308" t="s">
        <v>783</v>
      </c>
      <c r="C308" t="s">
        <v>136</v>
      </c>
      <c r="D308" t="s">
        <v>1629</v>
      </c>
      <c r="E308" t="s">
        <v>400</v>
      </c>
      <c r="F308" t="s">
        <v>1769</v>
      </c>
      <c r="G308" t="s">
        <v>782</v>
      </c>
    </row>
    <row r="309" spans="1:7" x14ac:dyDescent="0.25">
      <c r="A309" t="str">
        <f t="shared" si="4"/>
        <v>TC_I_01_CS Core</v>
      </c>
      <c r="B309" t="s">
        <v>656</v>
      </c>
      <c r="C309" t="s">
        <v>136</v>
      </c>
      <c r="D309" t="s">
        <v>1652</v>
      </c>
      <c r="E309" t="s">
        <v>400</v>
      </c>
      <c r="F309" t="s">
        <v>1742</v>
      </c>
    </row>
    <row r="310" spans="1:7" x14ac:dyDescent="0.25">
      <c r="A310" t="str">
        <f t="shared" si="4"/>
        <v>TC_I_02_CS Core</v>
      </c>
      <c r="B310" t="s">
        <v>657</v>
      </c>
      <c r="C310" t="s">
        <v>136</v>
      </c>
      <c r="D310" t="s">
        <v>1653</v>
      </c>
      <c r="E310" t="s">
        <v>400</v>
      </c>
      <c r="F310" t="s">
        <v>1742</v>
      </c>
    </row>
    <row r="311" spans="1:7" x14ac:dyDescent="0.25">
      <c r="A311" t="str">
        <f t="shared" si="4"/>
        <v>TC_I_07_CS Core</v>
      </c>
      <c r="B311" t="s">
        <v>658</v>
      </c>
      <c r="C311" t="s">
        <v>136</v>
      </c>
      <c r="D311" t="s">
        <v>1654</v>
      </c>
      <c r="E311" t="s">
        <v>400</v>
      </c>
      <c r="F311" t="s">
        <v>1742</v>
      </c>
    </row>
    <row r="312" spans="1:7" x14ac:dyDescent="0.25">
      <c r="A312" t="str">
        <f t="shared" si="4"/>
        <v>TC_O_01_CS Core</v>
      </c>
      <c r="B312" t="s">
        <v>809</v>
      </c>
      <c r="C312" t="s">
        <v>136</v>
      </c>
      <c r="D312" t="s">
        <v>1655</v>
      </c>
      <c r="E312" t="s">
        <v>400</v>
      </c>
      <c r="F312" t="s">
        <v>1742</v>
      </c>
      <c r="G312" t="s">
        <v>1770</v>
      </c>
    </row>
    <row r="313" spans="1:7" x14ac:dyDescent="0.25">
      <c r="A313" t="str">
        <f t="shared" si="4"/>
        <v>TC_O_13_CS Core</v>
      </c>
      <c r="B313" t="s">
        <v>822</v>
      </c>
      <c r="C313" t="s">
        <v>136</v>
      </c>
      <c r="D313" t="s">
        <v>1656</v>
      </c>
      <c r="E313" t="s">
        <v>400</v>
      </c>
      <c r="F313" t="s">
        <v>1742</v>
      </c>
    </row>
    <row r="314" spans="1:7" x14ac:dyDescent="0.25">
      <c r="A314" t="str">
        <f t="shared" si="4"/>
        <v>TC_O_14_CS Core</v>
      </c>
      <c r="B314" t="s">
        <v>823</v>
      </c>
      <c r="C314" t="s">
        <v>136</v>
      </c>
      <c r="D314" t="s">
        <v>1657</v>
      </c>
      <c r="E314" t="s">
        <v>400</v>
      </c>
      <c r="F314" t="s">
        <v>1742</v>
      </c>
    </row>
    <row r="315" spans="1:7" x14ac:dyDescent="0.25">
      <c r="A315" t="str">
        <f t="shared" si="4"/>
        <v>TC_O_17_CS Core</v>
      </c>
      <c r="B315" t="s">
        <v>824</v>
      </c>
      <c r="C315" t="s">
        <v>136</v>
      </c>
      <c r="D315" t="s">
        <v>1658</v>
      </c>
      <c r="E315" t="s">
        <v>400</v>
      </c>
      <c r="F315" t="s">
        <v>1778</v>
      </c>
    </row>
    <row r="316" spans="1:7" x14ac:dyDescent="0.25">
      <c r="A316" t="str">
        <f t="shared" si="4"/>
        <v>TC_O_19_CS Core</v>
      </c>
      <c r="B316" t="s">
        <v>825</v>
      </c>
      <c r="C316" t="s">
        <v>136</v>
      </c>
      <c r="D316" t="s">
        <v>1659</v>
      </c>
      <c r="E316" t="s">
        <v>400</v>
      </c>
      <c r="F316" t="s">
        <v>1779</v>
      </c>
    </row>
    <row r="317" spans="1:7" x14ac:dyDescent="0.25">
      <c r="A317" t="str">
        <f t="shared" si="4"/>
        <v>TC_O_20_CS Core</v>
      </c>
      <c r="B317" t="s">
        <v>826</v>
      </c>
      <c r="C317" t="s">
        <v>136</v>
      </c>
      <c r="D317" t="s">
        <v>1660</v>
      </c>
      <c r="E317" t="s">
        <v>400</v>
      </c>
      <c r="F317" t="s">
        <v>1742</v>
      </c>
    </row>
    <row r="318" spans="1:7" x14ac:dyDescent="0.25">
      <c r="A318" t="str">
        <f t="shared" si="4"/>
        <v>TC_O_22_CS Core</v>
      </c>
      <c r="B318" t="s">
        <v>827</v>
      </c>
      <c r="C318" t="s">
        <v>136</v>
      </c>
      <c r="D318" t="s">
        <v>1661</v>
      </c>
      <c r="E318" t="s">
        <v>400</v>
      </c>
      <c r="F318" t="s">
        <v>1771</v>
      </c>
      <c r="G318" t="s">
        <v>828</v>
      </c>
    </row>
    <row r="319" spans="1:7" x14ac:dyDescent="0.25">
      <c r="A319" t="str">
        <f t="shared" si="4"/>
        <v>TC_O_24_CS Core</v>
      </c>
      <c r="B319" t="s">
        <v>829</v>
      </c>
      <c r="C319" t="s">
        <v>136</v>
      </c>
      <c r="D319" t="s">
        <v>1662</v>
      </c>
      <c r="E319" t="s">
        <v>400</v>
      </c>
      <c r="F319" t="s">
        <v>1772</v>
      </c>
      <c r="G319" t="s">
        <v>830</v>
      </c>
    </row>
    <row r="320" spans="1:7" x14ac:dyDescent="0.25">
      <c r="A320" t="str">
        <f t="shared" si="4"/>
        <v>TC_O_36_CS Core</v>
      </c>
      <c r="B320" t="s">
        <v>838</v>
      </c>
      <c r="C320" t="s">
        <v>136</v>
      </c>
      <c r="D320" t="s">
        <v>1663</v>
      </c>
      <c r="E320" t="s">
        <v>400</v>
      </c>
      <c r="F320" t="s">
        <v>1742</v>
      </c>
    </row>
    <row r="321" spans="1:7" x14ac:dyDescent="0.25">
      <c r="A321" t="str">
        <f t="shared" si="4"/>
        <v>TC_O_37_CS Core</v>
      </c>
      <c r="B321" t="s">
        <v>839</v>
      </c>
      <c r="C321" t="s">
        <v>136</v>
      </c>
      <c r="D321" t="s">
        <v>1664</v>
      </c>
      <c r="E321" t="s">
        <v>400</v>
      </c>
      <c r="F321" t="s">
        <v>1742</v>
      </c>
    </row>
    <row r="322" spans="1:7" x14ac:dyDescent="0.25">
      <c r="A322" t="str">
        <f t="shared" si="4"/>
        <v>TC_O_38_CS Core</v>
      </c>
      <c r="B322" t="s">
        <v>840</v>
      </c>
      <c r="C322" t="s">
        <v>136</v>
      </c>
      <c r="D322" t="s">
        <v>1665</v>
      </c>
      <c r="E322" t="s">
        <v>400</v>
      </c>
      <c r="F322" t="s">
        <v>1742</v>
      </c>
    </row>
    <row r="323" spans="1:7" x14ac:dyDescent="0.25">
      <c r="A323" t="str">
        <f t="shared" ref="A323:A386" si="5">B323&amp;" "&amp;C323</f>
        <v>TC_O_12_CS Core</v>
      </c>
      <c r="B323" t="s">
        <v>821</v>
      </c>
      <c r="C323" t="s">
        <v>136</v>
      </c>
      <c r="D323" t="s">
        <v>1666</v>
      </c>
      <c r="E323" t="s">
        <v>400</v>
      </c>
      <c r="F323" t="s">
        <v>1742</v>
      </c>
    </row>
    <row r="324" spans="1:7" x14ac:dyDescent="0.25">
      <c r="A324" t="str">
        <f t="shared" si="5"/>
        <v>TC_O_06_CS Core</v>
      </c>
      <c r="B324" t="s">
        <v>814</v>
      </c>
      <c r="C324" t="s">
        <v>136</v>
      </c>
      <c r="D324" t="s">
        <v>1667</v>
      </c>
      <c r="E324" t="s">
        <v>400</v>
      </c>
      <c r="F324" t="s">
        <v>1742</v>
      </c>
    </row>
    <row r="325" spans="1:7" x14ac:dyDescent="0.25">
      <c r="A325" t="str">
        <f t="shared" si="5"/>
        <v>TC_O_10_CS Core</v>
      </c>
      <c r="B325" t="s">
        <v>819</v>
      </c>
      <c r="C325" t="s">
        <v>136</v>
      </c>
      <c r="D325" t="s">
        <v>1668</v>
      </c>
      <c r="E325" t="s">
        <v>400</v>
      </c>
      <c r="F325" t="s">
        <v>1742</v>
      </c>
    </row>
    <row r="326" spans="1:7" x14ac:dyDescent="0.25">
      <c r="A326" t="str">
        <f t="shared" si="5"/>
        <v>TC_O_27_CS Core</v>
      </c>
      <c r="B326" t="s">
        <v>831</v>
      </c>
      <c r="C326" t="s">
        <v>136</v>
      </c>
      <c r="D326" t="s">
        <v>1669</v>
      </c>
      <c r="E326" t="s">
        <v>400</v>
      </c>
      <c r="F326" t="s">
        <v>1742</v>
      </c>
    </row>
    <row r="327" spans="1:7" x14ac:dyDescent="0.25">
      <c r="A327" t="str">
        <f t="shared" si="5"/>
        <v>TC_O_28_CS Core</v>
      </c>
      <c r="B327" t="s">
        <v>832</v>
      </c>
      <c r="C327" t="s">
        <v>136</v>
      </c>
      <c r="D327" t="s">
        <v>1670</v>
      </c>
      <c r="E327" t="s">
        <v>400</v>
      </c>
      <c r="F327" t="s">
        <v>1742</v>
      </c>
    </row>
    <row r="328" spans="1:7" x14ac:dyDescent="0.25">
      <c r="A328" t="str">
        <f t="shared" si="5"/>
        <v>TC_O_30_CS Core</v>
      </c>
      <c r="B328" t="s">
        <v>833</v>
      </c>
      <c r="C328" t="s">
        <v>136</v>
      </c>
      <c r="D328" t="s">
        <v>1671</v>
      </c>
      <c r="E328" t="s">
        <v>400</v>
      </c>
      <c r="F328" t="s">
        <v>1771</v>
      </c>
      <c r="G328" t="s">
        <v>828</v>
      </c>
    </row>
    <row r="329" spans="1:7" x14ac:dyDescent="0.25">
      <c r="A329" t="str">
        <f t="shared" si="5"/>
        <v>TC_O_32_CS Core</v>
      </c>
      <c r="B329" t="s">
        <v>834</v>
      </c>
      <c r="C329" t="s">
        <v>136</v>
      </c>
      <c r="D329" t="s">
        <v>1672</v>
      </c>
      <c r="E329" t="s">
        <v>400</v>
      </c>
      <c r="F329" t="s">
        <v>1772</v>
      </c>
      <c r="G329" t="s">
        <v>830</v>
      </c>
    </row>
    <row r="330" spans="1:7" x14ac:dyDescent="0.25">
      <c r="A330" t="str">
        <f t="shared" si="5"/>
        <v>TC_O_02_CS Core</v>
      </c>
      <c r="B330" t="s">
        <v>810</v>
      </c>
      <c r="C330" t="s">
        <v>136</v>
      </c>
      <c r="D330" t="s">
        <v>1673</v>
      </c>
      <c r="E330" t="s">
        <v>400</v>
      </c>
      <c r="F330" t="s">
        <v>1742</v>
      </c>
    </row>
    <row r="331" spans="1:7" x14ac:dyDescent="0.25">
      <c r="A331" t="str">
        <f t="shared" si="5"/>
        <v>TC_O_03_CS Core</v>
      </c>
      <c r="B331" t="s">
        <v>811</v>
      </c>
      <c r="C331" t="s">
        <v>136</v>
      </c>
      <c r="D331" t="s">
        <v>1674</v>
      </c>
      <c r="E331" t="s">
        <v>400</v>
      </c>
      <c r="F331" t="s">
        <v>1742</v>
      </c>
    </row>
    <row r="332" spans="1:7" x14ac:dyDescent="0.25">
      <c r="A332" t="str">
        <f t="shared" si="5"/>
        <v>TC_O_07_CS Core</v>
      </c>
      <c r="B332" t="s">
        <v>815</v>
      </c>
      <c r="C332" t="s">
        <v>136</v>
      </c>
      <c r="D332" t="s">
        <v>1675</v>
      </c>
      <c r="E332" t="s">
        <v>400</v>
      </c>
      <c r="F332" t="s">
        <v>1742</v>
      </c>
    </row>
    <row r="333" spans="1:7" x14ac:dyDescent="0.25">
      <c r="A333" t="str">
        <f t="shared" si="5"/>
        <v>TC_O_08_CS Core</v>
      </c>
      <c r="B333" t="s">
        <v>816</v>
      </c>
      <c r="C333" t="s">
        <v>136</v>
      </c>
      <c r="D333" t="s">
        <v>1676</v>
      </c>
      <c r="E333" t="s">
        <v>400</v>
      </c>
      <c r="F333" t="s">
        <v>1742</v>
      </c>
      <c r="G333" t="s">
        <v>1773</v>
      </c>
    </row>
    <row r="334" spans="1:7" x14ac:dyDescent="0.25">
      <c r="A334" t="str">
        <f t="shared" si="5"/>
        <v>TC_O_09_CS Core</v>
      </c>
      <c r="B334" t="s">
        <v>818</v>
      </c>
      <c r="C334" t="s">
        <v>136</v>
      </c>
      <c r="D334" t="s">
        <v>1677</v>
      </c>
      <c r="E334" t="s">
        <v>400</v>
      </c>
      <c r="F334" t="s">
        <v>1742</v>
      </c>
    </row>
    <row r="335" spans="1:7" x14ac:dyDescent="0.25">
      <c r="A335" t="str">
        <f t="shared" si="5"/>
        <v>TC_O_11_CS Core</v>
      </c>
      <c r="B335" t="s">
        <v>820</v>
      </c>
      <c r="C335" t="s">
        <v>136</v>
      </c>
      <c r="D335" t="s">
        <v>1678</v>
      </c>
      <c r="E335" t="s">
        <v>400</v>
      </c>
      <c r="F335" t="s">
        <v>1742</v>
      </c>
    </row>
    <row r="336" spans="1:7" x14ac:dyDescent="0.25">
      <c r="A336" t="str">
        <f t="shared" si="5"/>
        <v>TC_O_33_CS Core</v>
      </c>
      <c r="B336" t="s">
        <v>835</v>
      </c>
      <c r="C336" t="s">
        <v>136</v>
      </c>
      <c r="D336" t="s">
        <v>1679</v>
      </c>
      <c r="E336" t="s">
        <v>400</v>
      </c>
      <c r="F336" t="s">
        <v>1742</v>
      </c>
    </row>
    <row r="337" spans="1:7" x14ac:dyDescent="0.25">
      <c r="A337" t="str">
        <f t="shared" si="5"/>
        <v>TC_O_34_CS Core</v>
      </c>
      <c r="B337" t="s">
        <v>836</v>
      </c>
      <c r="C337" t="s">
        <v>136</v>
      </c>
      <c r="D337" t="s">
        <v>1680</v>
      </c>
      <c r="E337" t="s">
        <v>400</v>
      </c>
      <c r="F337" t="s">
        <v>1742</v>
      </c>
    </row>
    <row r="338" spans="1:7" x14ac:dyDescent="0.25">
      <c r="A338" t="str">
        <f t="shared" si="5"/>
        <v>TC_O_35_CS Core</v>
      </c>
      <c r="B338" t="s">
        <v>837</v>
      </c>
      <c r="C338" t="s">
        <v>136</v>
      </c>
      <c r="D338" t="s">
        <v>1681</v>
      </c>
      <c r="E338" t="s">
        <v>400</v>
      </c>
      <c r="F338" t="s">
        <v>1774</v>
      </c>
      <c r="G338" t="s">
        <v>817</v>
      </c>
    </row>
    <row r="339" spans="1:7" x14ac:dyDescent="0.25">
      <c r="A339" t="str">
        <f t="shared" si="5"/>
        <v>TC_O_04_CS Core</v>
      </c>
      <c r="B339" t="s">
        <v>812</v>
      </c>
      <c r="C339" t="s">
        <v>136</v>
      </c>
      <c r="D339" t="s">
        <v>1682</v>
      </c>
      <c r="E339" t="s">
        <v>400</v>
      </c>
      <c r="F339" t="s">
        <v>1742</v>
      </c>
    </row>
    <row r="340" spans="1:7" x14ac:dyDescent="0.25">
      <c r="A340" t="str">
        <f t="shared" si="5"/>
        <v>TC_O_05_CS Core</v>
      </c>
      <c r="B340" t="s">
        <v>813</v>
      </c>
      <c r="C340" t="s">
        <v>136</v>
      </c>
      <c r="D340" t="s">
        <v>1683</v>
      </c>
      <c r="E340" t="s">
        <v>400</v>
      </c>
      <c r="F340" t="s">
        <v>1742</v>
      </c>
    </row>
    <row r="341" spans="1:7" x14ac:dyDescent="0.25">
      <c r="A341" t="str">
        <f t="shared" si="5"/>
        <v>TC_A_07_CS Advanced Security</v>
      </c>
      <c r="B341" t="s">
        <v>395</v>
      </c>
      <c r="C341" t="s">
        <v>138</v>
      </c>
      <c r="D341" t="s">
        <v>1525</v>
      </c>
      <c r="E341" t="s">
        <v>391</v>
      </c>
    </row>
    <row r="342" spans="1:7" x14ac:dyDescent="0.25">
      <c r="A342" t="str">
        <f t="shared" si="5"/>
        <v>TC_A_11_CS Advanced Security</v>
      </c>
      <c r="B342" t="s">
        <v>398</v>
      </c>
      <c r="C342" t="s">
        <v>138</v>
      </c>
      <c r="D342" t="s">
        <v>1526</v>
      </c>
      <c r="E342" t="s">
        <v>391</v>
      </c>
    </row>
    <row r="343" spans="1:7" x14ac:dyDescent="0.25">
      <c r="A343" t="str">
        <f t="shared" si="5"/>
        <v>TC_A_14_CS Advanced Security</v>
      </c>
      <c r="B343" t="s">
        <v>401</v>
      </c>
      <c r="C343" t="s">
        <v>138</v>
      </c>
      <c r="D343" t="s">
        <v>1527</v>
      </c>
      <c r="E343" t="s">
        <v>391</v>
      </c>
    </row>
    <row r="344" spans="1:7" x14ac:dyDescent="0.25">
      <c r="A344" t="str">
        <f t="shared" si="5"/>
        <v>TC_A_15_CS Advanced Security</v>
      </c>
      <c r="B344" t="s">
        <v>402</v>
      </c>
      <c r="C344" t="s">
        <v>138</v>
      </c>
      <c r="D344" t="s">
        <v>1528</v>
      </c>
      <c r="E344" t="s">
        <v>391</v>
      </c>
    </row>
    <row r="345" spans="1:7" x14ac:dyDescent="0.25">
      <c r="A345" t="str">
        <f t="shared" si="5"/>
        <v>TC_A_23_CS Advanced Security</v>
      </c>
      <c r="B345" t="s">
        <v>407</v>
      </c>
      <c r="C345" t="s">
        <v>138</v>
      </c>
      <c r="D345" t="s">
        <v>1529</v>
      </c>
      <c r="E345" t="s">
        <v>400</v>
      </c>
      <c r="F345" t="s">
        <v>117</v>
      </c>
    </row>
    <row r="346" spans="1:7" x14ac:dyDescent="0.25">
      <c r="A346" t="str">
        <f t="shared" si="5"/>
        <v>TC_A_21_CS Advanced Security</v>
      </c>
      <c r="B346" t="s">
        <v>405</v>
      </c>
      <c r="C346" t="s">
        <v>138</v>
      </c>
      <c r="D346" t="s">
        <v>1530</v>
      </c>
      <c r="E346" t="s">
        <v>400</v>
      </c>
      <c r="F346" t="s">
        <v>153</v>
      </c>
    </row>
    <row r="347" spans="1:7" x14ac:dyDescent="0.25">
      <c r="A347" t="str">
        <f t="shared" si="5"/>
        <v>TC_M_23_CS Advanced Security</v>
      </c>
      <c r="B347" t="s">
        <v>754</v>
      </c>
      <c r="C347" t="s">
        <v>138</v>
      </c>
      <c r="D347" t="s">
        <v>1531</v>
      </c>
      <c r="E347" t="s">
        <v>391</v>
      </c>
    </row>
    <row r="348" spans="1:7" x14ac:dyDescent="0.25">
      <c r="A348" t="str">
        <f t="shared" si="5"/>
        <v>TC_K_01_CS Smart Charging</v>
      </c>
      <c r="B348" t="s">
        <v>673</v>
      </c>
      <c r="C348" t="s">
        <v>141</v>
      </c>
      <c r="D348" t="s">
        <v>1554</v>
      </c>
      <c r="E348" t="s">
        <v>391</v>
      </c>
    </row>
    <row r="349" spans="1:7" x14ac:dyDescent="0.25">
      <c r="A349" t="str">
        <f t="shared" si="5"/>
        <v>TC_K_10_CS Smart Charging</v>
      </c>
      <c r="B349" t="s">
        <v>682</v>
      </c>
      <c r="C349" t="s">
        <v>141</v>
      </c>
      <c r="D349" t="s">
        <v>1555</v>
      </c>
      <c r="E349" t="s">
        <v>391</v>
      </c>
      <c r="F349" t="s">
        <v>683</v>
      </c>
      <c r="G349" t="s">
        <v>684</v>
      </c>
    </row>
    <row r="350" spans="1:7" x14ac:dyDescent="0.25">
      <c r="A350" t="str">
        <f t="shared" si="5"/>
        <v>TC_K_60_CS Smart Charging</v>
      </c>
      <c r="B350" t="s">
        <v>717</v>
      </c>
      <c r="C350" t="s">
        <v>141</v>
      </c>
      <c r="D350" t="s">
        <v>1556</v>
      </c>
      <c r="E350" t="s">
        <v>391</v>
      </c>
    </row>
    <row r="351" spans="1:7" x14ac:dyDescent="0.25">
      <c r="A351" t="str">
        <f t="shared" si="5"/>
        <v>TC_K_02_CS Smart Charging</v>
      </c>
      <c r="B351" t="s">
        <v>674</v>
      </c>
      <c r="C351" t="s">
        <v>141</v>
      </c>
      <c r="D351" t="s">
        <v>1557</v>
      </c>
      <c r="E351" t="s">
        <v>391</v>
      </c>
    </row>
    <row r="352" spans="1:7" x14ac:dyDescent="0.25">
      <c r="A352" t="str">
        <f t="shared" si="5"/>
        <v>TC_K_11_CS Smart Charging</v>
      </c>
      <c r="B352" t="s">
        <v>685</v>
      </c>
      <c r="C352" t="s">
        <v>141</v>
      </c>
      <c r="D352" t="s">
        <v>1558</v>
      </c>
      <c r="E352" t="s">
        <v>391</v>
      </c>
    </row>
    <row r="353" spans="1:7" x14ac:dyDescent="0.25">
      <c r="A353" t="str">
        <f t="shared" si="5"/>
        <v>TC_K_03_CS Smart Charging</v>
      </c>
      <c r="B353" t="s">
        <v>675</v>
      </c>
      <c r="C353" t="s">
        <v>141</v>
      </c>
      <c r="D353" t="s">
        <v>1559</v>
      </c>
      <c r="E353" t="s">
        <v>391</v>
      </c>
    </row>
    <row r="354" spans="1:7" x14ac:dyDescent="0.25">
      <c r="A354" t="str">
        <f t="shared" si="5"/>
        <v>TC_K_19_CS Smart Charging</v>
      </c>
      <c r="B354" t="s">
        <v>690</v>
      </c>
      <c r="C354" t="s">
        <v>141</v>
      </c>
      <c r="D354" t="s">
        <v>1560</v>
      </c>
      <c r="E354" t="s">
        <v>391</v>
      </c>
    </row>
    <row r="355" spans="1:7" x14ac:dyDescent="0.25">
      <c r="A355" t="str">
        <f t="shared" si="5"/>
        <v>TC_K_12_CS Smart Charging</v>
      </c>
      <c r="B355" t="s">
        <v>686</v>
      </c>
      <c r="C355" t="s">
        <v>141</v>
      </c>
      <c r="D355" t="s">
        <v>1561</v>
      </c>
      <c r="E355" t="s">
        <v>400</v>
      </c>
      <c r="F355" t="s">
        <v>285</v>
      </c>
    </row>
    <row r="356" spans="1:7" x14ac:dyDescent="0.25">
      <c r="A356" t="str">
        <f t="shared" si="5"/>
        <v>TC_K_13_CS Smart Charging</v>
      </c>
      <c r="B356" t="s">
        <v>687</v>
      </c>
      <c r="C356" t="s">
        <v>141</v>
      </c>
      <c r="D356" t="s">
        <v>1562</v>
      </c>
      <c r="E356" t="s">
        <v>391</v>
      </c>
    </row>
    <row r="357" spans="1:7" x14ac:dyDescent="0.25">
      <c r="A357" t="str">
        <f t="shared" si="5"/>
        <v>TC_K_14_CS Smart Charging</v>
      </c>
      <c r="B357" t="s">
        <v>688</v>
      </c>
      <c r="C357" t="s">
        <v>141</v>
      </c>
      <c r="D357" t="s">
        <v>1563</v>
      </c>
      <c r="E357" t="s">
        <v>391</v>
      </c>
    </row>
    <row r="358" spans="1:7" x14ac:dyDescent="0.25">
      <c r="A358" t="str">
        <f t="shared" si="5"/>
        <v>TC_K_28_CS Smart Charging</v>
      </c>
      <c r="B358" t="s">
        <v>695</v>
      </c>
      <c r="C358" t="s">
        <v>141</v>
      </c>
      <c r="D358" t="s">
        <v>1564</v>
      </c>
      <c r="E358" t="s">
        <v>391</v>
      </c>
    </row>
    <row r="359" spans="1:7" x14ac:dyDescent="0.25">
      <c r="A359" t="str">
        <f t="shared" si="5"/>
        <v>TC_K_16_CS Smart Charging</v>
      </c>
      <c r="B359" t="s">
        <v>689</v>
      </c>
      <c r="C359" t="s">
        <v>141</v>
      </c>
      <c r="D359" t="s">
        <v>1565</v>
      </c>
      <c r="E359" t="s">
        <v>391</v>
      </c>
    </row>
    <row r="360" spans="1:7" x14ac:dyDescent="0.25">
      <c r="A360" t="str">
        <f t="shared" si="5"/>
        <v>TC_K_21_CS Smart Charging</v>
      </c>
      <c r="B360" t="s">
        <v>691</v>
      </c>
      <c r="C360" t="s">
        <v>141</v>
      </c>
      <c r="D360" t="s">
        <v>1566</v>
      </c>
      <c r="E360" t="s">
        <v>391</v>
      </c>
    </row>
    <row r="361" spans="1:7" x14ac:dyDescent="0.25">
      <c r="A361" t="str">
        <f t="shared" si="5"/>
        <v>TC_K_22_CS Smart Charging</v>
      </c>
      <c r="B361" t="s">
        <v>692</v>
      </c>
      <c r="C361" t="s">
        <v>141</v>
      </c>
      <c r="D361" t="s">
        <v>1567</v>
      </c>
      <c r="E361" t="s">
        <v>391</v>
      </c>
    </row>
    <row r="362" spans="1:7" x14ac:dyDescent="0.25">
      <c r="A362" t="str">
        <f t="shared" si="5"/>
        <v>TC_K_23_CS Smart Charging</v>
      </c>
      <c r="B362" t="s">
        <v>693</v>
      </c>
      <c r="C362" t="s">
        <v>141</v>
      </c>
      <c r="D362" t="s">
        <v>1568</v>
      </c>
      <c r="E362" t="s">
        <v>391</v>
      </c>
    </row>
    <row r="363" spans="1:7" x14ac:dyDescent="0.25">
      <c r="A363" t="str">
        <f t="shared" si="5"/>
        <v>TC_K_04_CS Smart Charging</v>
      </c>
      <c r="B363" t="s">
        <v>676</v>
      </c>
      <c r="C363" t="s">
        <v>141</v>
      </c>
      <c r="D363" t="s">
        <v>1569</v>
      </c>
      <c r="E363" t="s">
        <v>391</v>
      </c>
    </row>
    <row r="364" spans="1:7" x14ac:dyDescent="0.25">
      <c r="A364" t="str">
        <f t="shared" si="5"/>
        <v>TC_K_37_CS Smart Charging</v>
      </c>
      <c r="B364" t="s">
        <v>704</v>
      </c>
      <c r="C364" t="s">
        <v>141</v>
      </c>
      <c r="D364" t="s">
        <v>1570</v>
      </c>
      <c r="E364" t="s">
        <v>391</v>
      </c>
    </row>
    <row r="365" spans="1:7" x14ac:dyDescent="0.25">
      <c r="A365" t="str">
        <f t="shared" si="5"/>
        <v>TC_K_39_CS Smart Charging</v>
      </c>
      <c r="B365" t="s">
        <v>706</v>
      </c>
      <c r="C365" t="s">
        <v>141</v>
      </c>
      <c r="D365" t="s">
        <v>1571</v>
      </c>
      <c r="E365" t="s">
        <v>391</v>
      </c>
    </row>
    <row r="366" spans="1:7" x14ac:dyDescent="0.25">
      <c r="A366" t="str">
        <f t="shared" si="5"/>
        <v>TC_K_40_CS Smart Charging</v>
      </c>
      <c r="B366" t="s">
        <v>707</v>
      </c>
      <c r="C366" t="s">
        <v>141</v>
      </c>
      <c r="D366" t="s">
        <v>1572</v>
      </c>
      <c r="E366" t="s">
        <v>391</v>
      </c>
      <c r="F366" t="s">
        <v>113</v>
      </c>
      <c r="G366" t="s">
        <v>708</v>
      </c>
    </row>
    <row r="367" spans="1:7" x14ac:dyDescent="0.25">
      <c r="A367" t="str">
        <f t="shared" si="5"/>
        <v>TC_K_41_CS Smart Charging</v>
      </c>
      <c r="B367" t="s">
        <v>709</v>
      </c>
      <c r="C367" t="s">
        <v>141</v>
      </c>
      <c r="D367" t="s">
        <v>1573</v>
      </c>
      <c r="E367" t="s">
        <v>391</v>
      </c>
    </row>
    <row r="368" spans="1:7" x14ac:dyDescent="0.25">
      <c r="A368" t="str">
        <f t="shared" si="5"/>
        <v>TC_K_42_CS Smart Charging</v>
      </c>
      <c r="B368" t="s">
        <v>710</v>
      </c>
      <c r="C368" t="s">
        <v>141</v>
      </c>
      <c r="D368" t="s">
        <v>1574</v>
      </c>
      <c r="E368" t="s">
        <v>400</v>
      </c>
      <c r="F368" t="s">
        <v>285</v>
      </c>
    </row>
    <row r="369" spans="1:6" x14ac:dyDescent="0.25">
      <c r="A369" t="str">
        <f t="shared" si="5"/>
        <v>TC_K_47_CS Smart Charging</v>
      </c>
      <c r="B369" t="s">
        <v>711</v>
      </c>
      <c r="C369" t="s">
        <v>141</v>
      </c>
      <c r="D369" t="s">
        <v>1575</v>
      </c>
      <c r="E369" t="s">
        <v>391</v>
      </c>
    </row>
    <row r="370" spans="1:6" x14ac:dyDescent="0.25">
      <c r="A370" t="str">
        <f t="shared" si="5"/>
        <v>TC_K_29_CS Smart Charging</v>
      </c>
      <c r="B370" t="s">
        <v>696</v>
      </c>
      <c r="C370" t="s">
        <v>141</v>
      </c>
      <c r="D370" t="s">
        <v>1576</v>
      </c>
      <c r="E370" t="s">
        <v>391</v>
      </c>
    </row>
    <row r="371" spans="1:6" x14ac:dyDescent="0.25">
      <c r="A371" t="str">
        <f t="shared" si="5"/>
        <v>TC_K_30_CS Smart Charging</v>
      </c>
      <c r="B371" t="s">
        <v>697</v>
      </c>
      <c r="C371" t="s">
        <v>141</v>
      </c>
      <c r="D371" t="s">
        <v>1577</v>
      </c>
      <c r="E371" t="s">
        <v>391</v>
      </c>
    </row>
    <row r="372" spans="1:6" x14ac:dyDescent="0.25">
      <c r="A372" t="str">
        <f t="shared" si="5"/>
        <v>TC_K_31_CS Smart Charging</v>
      </c>
      <c r="B372" t="s">
        <v>698</v>
      </c>
      <c r="C372" t="s">
        <v>141</v>
      </c>
      <c r="D372" t="s">
        <v>1578</v>
      </c>
      <c r="E372" t="s">
        <v>391</v>
      </c>
    </row>
    <row r="373" spans="1:6" x14ac:dyDescent="0.25">
      <c r="A373" t="str">
        <f t="shared" si="5"/>
        <v>TC_K_32_CS Smart Charging</v>
      </c>
      <c r="B373" t="s">
        <v>699</v>
      </c>
      <c r="C373" t="s">
        <v>141</v>
      </c>
      <c r="D373" t="s">
        <v>1579</v>
      </c>
      <c r="E373" t="s">
        <v>391</v>
      </c>
    </row>
    <row r="374" spans="1:6" x14ac:dyDescent="0.25">
      <c r="A374" t="str">
        <f t="shared" si="5"/>
        <v>TC_K_33_CS Smart Charging</v>
      </c>
      <c r="B374" t="s">
        <v>700</v>
      </c>
      <c r="C374" t="s">
        <v>141</v>
      </c>
      <c r="D374" t="s">
        <v>1580</v>
      </c>
      <c r="E374" t="s">
        <v>391</v>
      </c>
    </row>
    <row r="375" spans="1:6" x14ac:dyDescent="0.25">
      <c r="A375" t="str">
        <f t="shared" si="5"/>
        <v>TC_K_34_CS Smart Charging</v>
      </c>
      <c r="B375" t="s">
        <v>701</v>
      </c>
      <c r="C375" t="s">
        <v>141</v>
      </c>
      <c r="D375" t="s">
        <v>1581</v>
      </c>
      <c r="E375" t="s">
        <v>391</v>
      </c>
    </row>
    <row r="376" spans="1:6" x14ac:dyDescent="0.25">
      <c r="A376" t="str">
        <f t="shared" si="5"/>
        <v>TC_K_35_CS Smart Charging</v>
      </c>
      <c r="B376" t="s">
        <v>702</v>
      </c>
      <c r="C376" t="s">
        <v>141</v>
      </c>
      <c r="D376" t="s">
        <v>1582</v>
      </c>
      <c r="E376" t="s">
        <v>391</v>
      </c>
    </row>
    <row r="377" spans="1:6" x14ac:dyDescent="0.25">
      <c r="A377" t="str">
        <f t="shared" si="5"/>
        <v>TC_K_36_CS Smart Charging</v>
      </c>
      <c r="B377" t="s">
        <v>703</v>
      </c>
      <c r="C377" t="s">
        <v>141</v>
      </c>
      <c r="D377" t="s">
        <v>1583</v>
      </c>
      <c r="E377" t="s">
        <v>391</v>
      </c>
    </row>
    <row r="378" spans="1:6" x14ac:dyDescent="0.25">
      <c r="A378" t="str">
        <f t="shared" si="5"/>
        <v>TC_K_05_CS Smart Charging</v>
      </c>
      <c r="B378" t="s">
        <v>677</v>
      </c>
      <c r="C378" t="s">
        <v>141</v>
      </c>
      <c r="D378" t="s">
        <v>1584</v>
      </c>
      <c r="E378" t="s">
        <v>391</v>
      </c>
    </row>
    <row r="379" spans="1:6" x14ac:dyDescent="0.25">
      <c r="A379" t="str">
        <f t="shared" si="5"/>
        <v>TC_K_06_CS Smart Charging</v>
      </c>
      <c r="B379" t="s">
        <v>678</v>
      </c>
      <c r="C379" t="s">
        <v>141</v>
      </c>
      <c r="D379" t="s">
        <v>1585</v>
      </c>
      <c r="E379" t="s">
        <v>391</v>
      </c>
    </row>
    <row r="380" spans="1:6" x14ac:dyDescent="0.25">
      <c r="A380" t="str">
        <f t="shared" si="5"/>
        <v>TC_K_07_CS Smart Charging</v>
      </c>
      <c r="B380" t="s">
        <v>679</v>
      </c>
      <c r="C380" t="s">
        <v>141</v>
      </c>
      <c r="D380" t="s">
        <v>1586</v>
      </c>
      <c r="E380" t="s">
        <v>391</v>
      </c>
    </row>
    <row r="381" spans="1:6" x14ac:dyDescent="0.25">
      <c r="A381" t="str">
        <f t="shared" si="5"/>
        <v>TC_K_08_CS Smart Charging</v>
      </c>
      <c r="B381" t="s">
        <v>680</v>
      </c>
      <c r="C381" t="s">
        <v>141</v>
      </c>
      <c r="D381" t="s">
        <v>1587</v>
      </c>
      <c r="E381" t="s">
        <v>391</v>
      </c>
    </row>
    <row r="382" spans="1:6" x14ac:dyDescent="0.25">
      <c r="A382" t="str">
        <f t="shared" si="5"/>
        <v>TC_K_09_CS Smart Charging</v>
      </c>
      <c r="B382" t="s">
        <v>681</v>
      </c>
      <c r="C382" t="s">
        <v>141</v>
      </c>
      <c r="D382" t="s">
        <v>1588</v>
      </c>
      <c r="E382" t="s">
        <v>391</v>
      </c>
    </row>
    <row r="383" spans="1:6" x14ac:dyDescent="0.25">
      <c r="A383" t="str">
        <f t="shared" si="5"/>
        <v>TC_K_24_CS Smart Charging</v>
      </c>
      <c r="B383" t="s">
        <v>694</v>
      </c>
      <c r="C383" t="s">
        <v>141</v>
      </c>
      <c r="D383" t="s">
        <v>1589</v>
      </c>
      <c r="E383" t="s">
        <v>400</v>
      </c>
      <c r="F383" t="s">
        <v>286</v>
      </c>
    </row>
    <row r="384" spans="1:6" x14ac:dyDescent="0.25">
      <c r="A384" t="str">
        <f t="shared" si="5"/>
        <v>TC_A_12_CS ISO 15118 Support</v>
      </c>
      <c r="B384" t="s">
        <v>399</v>
      </c>
      <c r="C384" t="s">
        <v>146</v>
      </c>
      <c r="D384" t="s">
        <v>1684</v>
      </c>
      <c r="E384" t="s">
        <v>391</v>
      </c>
    </row>
    <row r="385" spans="1:6" x14ac:dyDescent="0.25">
      <c r="A385" t="str">
        <f t="shared" si="5"/>
        <v>TC_C_50_CS ISO 15118 Support</v>
      </c>
      <c r="B385" t="s">
        <v>516</v>
      </c>
      <c r="C385" t="s">
        <v>146</v>
      </c>
      <c r="D385" t="s">
        <v>1685</v>
      </c>
      <c r="E385" t="s">
        <v>391</v>
      </c>
    </row>
    <row r="386" spans="1:6" x14ac:dyDescent="0.25">
      <c r="A386" t="str">
        <f t="shared" si="5"/>
        <v>TC_C_51_CS ISO 15118 Support</v>
      </c>
      <c r="B386" t="s">
        <v>517</v>
      </c>
      <c r="C386" t="s">
        <v>146</v>
      </c>
      <c r="D386" t="s">
        <v>1686</v>
      </c>
      <c r="E386" t="s">
        <v>391</v>
      </c>
    </row>
    <row r="387" spans="1:6" x14ac:dyDescent="0.25">
      <c r="A387" t="str">
        <f t="shared" ref="A387:A444" si="6">B387&amp;" "&amp;C387</f>
        <v>TC_C_52_CS ISO 15118 Support</v>
      </c>
      <c r="B387" t="s">
        <v>518</v>
      </c>
      <c r="C387" t="s">
        <v>146</v>
      </c>
      <c r="D387" t="s">
        <v>1687</v>
      </c>
      <c r="E387" t="s">
        <v>400</v>
      </c>
      <c r="F387" t="s">
        <v>1009</v>
      </c>
    </row>
    <row r="388" spans="1:6" x14ac:dyDescent="0.25">
      <c r="A388" t="str">
        <f t="shared" si="6"/>
        <v>TC_C_53_CS ISO 15118 Support</v>
      </c>
      <c r="B388" t="s">
        <v>519</v>
      </c>
      <c r="C388" t="s">
        <v>146</v>
      </c>
      <c r="D388" t="s">
        <v>1688</v>
      </c>
      <c r="E388" t="s">
        <v>400</v>
      </c>
      <c r="F388" t="s">
        <v>1009</v>
      </c>
    </row>
    <row r="389" spans="1:6" x14ac:dyDescent="0.25">
      <c r="A389" t="str">
        <f t="shared" si="6"/>
        <v>TC_C_54_CS ISO 15118 Support</v>
      </c>
      <c r="B389" t="s">
        <v>520</v>
      </c>
      <c r="C389" t="s">
        <v>146</v>
      </c>
      <c r="D389" t="s">
        <v>1689</v>
      </c>
      <c r="E389" t="s">
        <v>391</v>
      </c>
    </row>
    <row r="390" spans="1:6" x14ac:dyDescent="0.25">
      <c r="A390" t="str">
        <f t="shared" si="6"/>
        <v>TC_C_55_CS ISO 15118 Support</v>
      </c>
      <c r="B390" t="s">
        <v>521</v>
      </c>
      <c r="C390" t="s">
        <v>146</v>
      </c>
      <c r="D390" t="s">
        <v>1690</v>
      </c>
      <c r="E390" t="s">
        <v>391</v>
      </c>
    </row>
    <row r="391" spans="1:6" x14ac:dyDescent="0.25">
      <c r="A391" t="str">
        <f t="shared" si="6"/>
        <v>TC_E_46_CS ISO 15118 Support</v>
      </c>
      <c r="B391" t="s">
        <v>585</v>
      </c>
      <c r="C391" t="s">
        <v>146</v>
      </c>
      <c r="D391" t="s">
        <v>1691</v>
      </c>
      <c r="E391" t="s">
        <v>391</v>
      </c>
    </row>
    <row r="392" spans="1:6" x14ac:dyDescent="0.25">
      <c r="A392" t="str">
        <f t="shared" si="6"/>
        <v>TC_K_01_CS ISO 15118 Support</v>
      </c>
      <c r="B392" t="s">
        <v>673</v>
      </c>
      <c r="C392" t="s">
        <v>146</v>
      </c>
      <c r="D392" t="s">
        <v>1554</v>
      </c>
      <c r="E392" t="s">
        <v>391</v>
      </c>
    </row>
    <row r="393" spans="1:6" x14ac:dyDescent="0.25">
      <c r="A393" t="str">
        <f t="shared" si="6"/>
        <v>TC_K_10_CS ISO 15118 Support</v>
      </c>
      <c r="B393" t="s">
        <v>682</v>
      </c>
      <c r="C393" t="s">
        <v>146</v>
      </c>
      <c r="D393" t="s">
        <v>1555</v>
      </c>
      <c r="E393" t="s">
        <v>391</v>
      </c>
    </row>
    <row r="394" spans="1:6" x14ac:dyDescent="0.25">
      <c r="A394" t="str">
        <f t="shared" si="6"/>
        <v>TC_K_60_CS ISO 15118 Support</v>
      </c>
      <c r="B394" t="s">
        <v>717</v>
      </c>
      <c r="C394" t="s">
        <v>146</v>
      </c>
      <c r="D394" t="s">
        <v>1556</v>
      </c>
      <c r="E394" t="s">
        <v>391</v>
      </c>
    </row>
    <row r="395" spans="1:6" x14ac:dyDescent="0.25">
      <c r="A395" t="str">
        <f t="shared" si="6"/>
        <v>TC_K_02_CS ISO 15118 Support</v>
      </c>
      <c r="B395" t="s">
        <v>674</v>
      </c>
      <c r="C395" t="s">
        <v>146</v>
      </c>
      <c r="D395" t="s">
        <v>1557</v>
      </c>
      <c r="E395" t="s">
        <v>391</v>
      </c>
    </row>
    <row r="396" spans="1:6" x14ac:dyDescent="0.25">
      <c r="A396" t="str">
        <f t="shared" si="6"/>
        <v>TC_K_11_CS ISO 15118 Support</v>
      </c>
      <c r="B396" t="s">
        <v>685</v>
      </c>
      <c r="C396" t="s">
        <v>146</v>
      </c>
      <c r="D396" t="s">
        <v>1558</v>
      </c>
      <c r="E396" t="s">
        <v>391</v>
      </c>
    </row>
    <row r="397" spans="1:6" x14ac:dyDescent="0.25">
      <c r="A397" t="str">
        <f t="shared" si="6"/>
        <v>TC_K_03_CS ISO 15118 Support</v>
      </c>
      <c r="B397" t="s">
        <v>675</v>
      </c>
      <c r="C397" t="s">
        <v>146</v>
      </c>
      <c r="D397" t="s">
        <v>1559</v>
      </c>
      <c r="E397" t="s">
        <v>391</v>
      </c>
    </row>
    <row r="398" spans="1:6" x14ac:dyDescent="0.25">
      <c r="A398" t="str">
        <f t="shared" si="6"/>
        <v>TC_K_19_CS ISO 15118 Support</v>
      </c>
      <c r="B398" t="s">
        <v>690</v>
      </c>
      <c r="C398" t="s">
        <v>146</v>
      </c>
      <c r="D398" t="s">
        <v>1560</v>
      </c>
      <c r="E398" t="s">
        <v>391</v>
      </c>
    </row>
    <row r="399" spans="1:6" x14ac:dyDescent="0.25">
      <c r="A399" t="str">
        <f t="shared" si="6"/>
        <v>TC_K_12_CS ISO 15118 Support</v>
      </c>
      <c r="B399" t="s">
        <v>686</v>
      </c>
      <c r="C399" t="s">
        <v>146</v>
      </c>
      <c r="D399" t="s">
        <v>1561</v>
      </c>
      <c r="E399" t="s">
        <v>400</v>
      </c>
      <c r="F399" t="s">
        <v>285</v>
      </c>
    </row>
    <row r="400" spans="1:6" x14ac:dyDescent="0.25">
      <c r="A400" t="str">
        <f t="shared" si="6"/>
        <v>TC_K_13_CS ISO 15118 Support</v>
      </c>
      <c r="B400" t="s">
        <v>687</v>
      </c>
      <c r="C400" t="s">
        <v>146</v>
      </c>
      <c r="D400" t="s">
        <v>1562</v>
      </c>
      <c r="E400" t="s">
        <v>391</v>
      </c>
    </row>
    <row r="401" spans="1:6" x14ac:dyDescent="0.25">
      <c r="A401" t="str">
        <f t="shared" si="6"/>
        <v>TC_K_14_CS ISO 15118 Support</v>
      </c>
      <c r="B401" t="s">
        <v>688</v>
      </c>
      <c r="C401" t="s">
        <v>146</v>
      </c>
      <c r="D401" t="s">
        <v>1563</v>
      </c>
      <c r="E401" t="s">
        <v>391</v>
      </c>
    </row>
    <row r="402" spans="1:6" x14ac:dyDescent="0.25">
      <c r="A402" t="str">
        <f t="shared" si="6"/>
        <v>TC_K_28_CS ISO 15118 Support</v>
      </c>
      <c r="B402" t="s">
        <v>695</v>
      </c>
      <c r="C402" t="s">
        <v>146</v>
      </c>
      <c r="D402" t="s">
        <v>1564</v>
      </c>
      <c r="E402" t="s">
        <v>391</v>
      </c>
    </row>
    <row r="403" spans="1:6" x14ac:dyDescent="0.25">
      <c r="A403" t="str">
        <f t="shared" si="6"/>
        <v>TC_K_16_CS ISO 15118 Support</v>
      </c>
      <c r="B403" t="s">
        <v>689</v>
      </c>
      <c r="C403" t="s">
        <v>146</v>
      </c>
      <c r="D403" t="s">
        <v>1565</v>
      </c>
      <c r="E403" t="s">
        <v>391</v>
      </c>
    </row>
    <row r="404" spans="1:6" x14ac:dyDescent="0.25">
      <c r="A404" t="str">
        <f t="shared" si="6"/>
        <v>TC_K_21_CS ISO 15118 Support</v>
      </c>
      <c r="B404" t="s">
        <v>691</v>
      </c>
      <c r="C404" t="s">
        <v>146</v>
      </c>
      <c r="D404" t="s">
        <v>1566</v>
      </c>
      <c r="E404" t="s">
        <v>391</v>
      </c>
    </row>
    <row r="405" spans="1:6" x14ac:dyDescent="0.25">
      <c r="A405" t="str">
        <f t="shared" si="6"/>
        <v>TC_K_22_CS ISO 15118 Support</v>
      </c>
      <c r="B405" t="s">
        <v>692</v>
      </c>
      <c r="C405" t="s">
        <v>146</v>
      </c>
      <c r="D405" t="s">
        <v>1567</v>
      </c>
      <c r="E405" t="s">
        <v>391</v>
      </c>
    </row>
    <row r="406" spans="1:6" x14ac:dyDescent="0.25">
      <c r="A406" t="str">
        <f t="shared" si="6"/>
        <v>TC_K_23_CS ISO 15118 Support</v>
      </c>
      <c r="B406" t="s">
        <v>693</v>
      </c>
      <c r="C406" t="s">
        <v>146</v>
      </c>
      <c r="D406" t="s">
        <v>1568</v>
      </c>
      <c r="E406" t="s">
        <v>391</v>
      </c>
    </row>
    <row r="407" spans="1:6" x14ac:dyDescent="0.25">
      <c r="A407" t="str">
        <f t="shared" si="6"/>
        <v>TC_K_04_CS ISO 15118 Support</v>
      </c>
      <c r="B407" t="s">
        <v>676</v>
      </c>
      <c r="C407" t="s">
        <v>146</v>
      </c>
      <c r="D407" t="s">
        <v>1569</v>
      </c>
      <c r="E407" t="s">
        <v>391</v>
      </c>
    </row>
    <row r="408" spans="1:6" x14ac:dyDescent="0.25">
      <c r="A408" t="str">
        <f t="shared" si="6"/>
        <v>TC_K_39_CS ISO 15118 Support</v>
      </c>
      <c r="B408" t="s">
        <v>706</v>
      </c>
      <c r="C408" t="s">
        <v>146</v>
      </c>
      <c r="D408" t="s">
        <v>1571</v>
      </c>
      <c r="E408" t="s">
        <v>391</v>
      </c>
    </row>
    <row r="409" spans="1:6" x14ac:dyDescent="0.25">
      <c r="A409" t="str">
        <f t="shared" si="6"/>
        <v>TC_K_40_CS ISO 15118 Support</v>
      </c>
      <c r="B409" t="s">
        <v>707</v>
      </c>
      <c r="C409" t="s">
        <v>146</v>
      </c>
      <c r="D409" t="s">
        <v>1572</v>
      </c>
      <c r="E409" t="s">
        <v>391</v>
      </c>
    </row>
    <row r="410" spans="1:6" x14ac:dyDescent="0.25">
      <c r="A410" t="str">
        <f t="shared" si="6"/>
        <v>TC_K_41_CS ISO 15118 Support</v>
      </c>
      <c r="B410" t="s">
        <v>709</v>
      </c>
      <c r="C410" t="s">
        <v>146</v>
      </c>
      <c r="D410" t="s">
        <v>1573</v>
      </c>
      <c r="E410" t="s">
        <v>391</v>
      </c>
    </row>
    <row r="411" spans="1:6" x14ac:dyDescent="0.25">
      <c r="A411" t="str">
        <f t="shared" si="6"/>
        <v>TC_K_42_CS ISO 15118 Support</v>
      </c>
      <c r="B411" t="s">
        <v>710</v>
      </c>
      <c r="C411" t="s">
        <v>146</v>
      </c>
      <c r="D411" t="s">
        <v>1692</v>
      </c>
      <c r="E411" t="s">
        <v>400</v>
      </c>
      <c r="F411" t="s">
        <v>285</v>
      </c>
    </row>
    <row r="412" spans="1:6" x14ac:dyDescent="0.25">
      <c r="A412" t="str">
        <f t="shared" si="6"/>
        <v>TC_K_47_CS ISO 15118 Support</v>
      </c>
      <c r="B412" t="s">
        <v>711</v>
      </c>
      <c r="C412" t="s">
        <v>146</v>
      </c>
      <c r="D412" t="s">
        <v>1575</v>
      </c>
      <c r="E412" t="s">
        <v>391</v>
      </c>
    </row>
    <row r="413" spans="1:6" x14ac:dyDescent="0.25">
      <c r="A413" t="str">
        <f t="shared" si="6"/>
        <v>TC_K_29_CS ISO 15118 Support</v>
      </c>
      <c r="B413" t="s">
        <v>696</v>
      </c>
      <c r="C413" t="s">
        <v>146</v>
      </c>
      <c r="D413" t="s">
        <v>1576</v>
      </c>
      <c r="E413" t="s">
        <v>391</v>
      </c>
    </row>
    <row r="414" spans="1:6" x14ac:dyDescent="0.25">
      <c r="A414" t="str">
        <f t="shared" si="6"/>
        <v>TC_K_30_CS ISO 15118 Support</v>
      </c>
      <c r="B414" t="s">
        <v>697</v>
      </c>
      <c r="C414" t="s">
        <v>146</v>
      </c>
      <c r="D414" t="s">
        <v>1577</v>
      </c>
      <c r="E414" t="s">
        <v>391</v>
      </c>
    </row>
    <row r="415" spans="1:6" x14ac:dyDescent="0.25">
      <c r="A415" t="str">
        <f t="shared" si="6"/>
        <v>TC_K_31_CS ISO 15118 Support</v>
      </c>
      <c r="B415" t="s">
        <v>698</v>
      </c>
      <c r="C415" t="s">
        <v>146</v>
      </c>
      <c r="D415" t="s">
        <v>1578</v>
      </c>
      <c r="E415" t="s">
        <v>391</v>
      </c>
    </row>
    <row r="416" spans="1:6" x14ac:dyDescent="0.25">
      <c r="A416" t="str">
        <f t="shared" si="6"/>
        <v>TC_K_32_CS ISO 15118 Support</v>
      </c>
      <c r="B416" t="s">
        <v>699</v>
      </c>
      <c r="C416" t="s">
        <v>146</v>
      </c>
      <c r="D416" t="s">
        <v>1579</v>
      </c>
      <c r="E416" t="s">
        <v>391</v>
      </c>
    </row>
    <row r="417" spans="1:6" x14ac:dyDescent="0.25">
      <c r="A417" t="str">
        <f t="shared" si="6"/>
        <v>TC_K_33_CS ISO 15118 Support</v>
      </c>
      <c r="B417" t="s">
        <v>700</v>
      </c>
      <c r="C417" t="s">
        <v>146</v>
      </c>
      <c r="D417" t="s">
        <v>1580</v>
      </c>
      <c r="E417" t="s">
        <v>391</v>
      </c>
    </row>
    <row r="418" spans="1:6" x14ac:dyDescent="0.25">
      <c r="A418" t="str">
        <f t="shared" si="6"/>
        <v>TC_K_34_CS ISO 15118 Support</v>
      </c>
      <c r="B418" t="s">
        <v>701</v>
      </c>
      <c r="C418" t="s">
        <v>146</v>
      </c>
      <c r="D418" t="s">
        <v>1581</v>
      </c>
      <c r="E418" t="s">
        <v>391</v>
      </c>
    </row>
    <row r="419" spans="1:6" x14ac:dyDescent="0.25">
      <c r="A419" t="str">
        <f t="shared" si="6"/>
        <v>TC_K_35_CS ISO 15118 Support</v>
      </c>
      <c r="B419" t="s">
        <v>702</v>
      </c>
      <c r="C419" t="s">
        <v>146</v>
      </c>
      <c r="D419" t="s">
        <v>1582</v>
      </c>
      <c r="E419" t="s">
        <v>391</v>
      </c>
    </row>
    <row r="420" spans="1:6" x14ac:dyDescent="0.25">
      <c r="A420" t="str">
        <f t="shared" si="6"/>
        <v>TC_K_36_CS ISO 15118 Support</v>
      </c>
      <c r="B420" t="s">
        <v>703</v>
      </c>
      <c r="C420" t="s">
        <v>146</v>
      </c>
      <c r="D420" t="s">
        <v>1583</v>
      </c>
      <c r="E420" t="s">
        <v>391</v>
      </c>
    </row>
    <row r="421" spans="1:6" x14ac:dyDescent="0.25">
      <c r="A421" t="str">
        <f t="shared" si="6"/>
        <v>TC_K_05_CS ISO 15118 Support</v>
      </c>
      <c r="B421" t="s">
        <v>677</v>
      </c>
      <c r="C421" t="s">
        <v>146</v>
      </c>
      <c r="D421" t="s">
        <v>1584</v>
      </c>
      <c r="E421" t="s">
        <v>391</v>
      </c>
    </row>
    <row r="422" spans="1:6" x14ac:dyDescent="0.25">
      <c r="A422" t="str">
        <f t="shared" si="6"/>
        <v>TC_K_06_CS ISO 15118 Support</v>
      </c>
      <c r="B422" t="s">
        <v>678</v>
      </c>
      <c r="C422" t="s">
        <v>146</v>
      </c>
      <c r="D422" t="s">
        <v>1585</v>
      </c>
      <c r="E422" t="s">
        <v>391</v>
      </c>
    </row>
    <row r="423" spans="1:6" x14ac:dyDescent="0.25">
      <c r="A423" t="str">
        <f t="shared" si="6"/>
        <v>TC_K_24_CS ISO 15118 Support</v>
      </c>
      <c r="B423" t="s">
        <v>694</v>
      </c>
      <c r="C423" t="s">
        <v>146</v>
      </c>
      <c r="D423" t="s">
        <v>1589</v>
      </c>
      <c r="E423" t="s">
        <v>400</v>
      </c>
      <c r="F423" t="s">
        <v>286</v>
      </c>
    </row>
    <row r="424" spans="1:6" x14ac:dyDescent="0.25">
      <c r="A424" t="str">
        <f t="shared" si="6"/>
        <v>TC_K_07_CS ISO 15118 Support</v>
      </c>
      <c r="B424" t="s">
        <v>679</v>
      </c>
      <c r="C424" t="s">
        <v>146</v>
      </c>
      <c r="D424" t="s">
        <v>1586</v>
      </c>
      <c r="E424" t="s">
        <v>391</v>
      </c>
    </row>
    <row r="425" spans="1:6" x14ac:dyDescent="0.25">
      <c r="A425" t="str">
        <f t="shared" si="6"/>
        <v>TC_K_08_CS ISO 15118 Support</v>
      </c>
      <c r="B425" t="s">
        <v>680</v>
      </c>
      <c r="C425" t="s">
        <v>146</v>
      </c>
      <c r="D425" t="s">
        <v>1587</v>
      </c>
      <c r="E425" t="s">
        <v>391</v>
      </c>
    </row>
    <row r="426" spans="1:6" x14ac:dyDescent="0.25">
      <c r="A426" t="str">
        <f t="shared" si="6"/>
        <v>TC_K_09_CS ISO 15118 Support</v>
      </c>
      <c r="B426" t="s">
        <v>681</v>
      </c>
      <c r="C426" t="s">
        <v>146</v>
      </c>
      <c r="D426" t="s">
        <v>1588</v>
      </c>
      <c r="E426" t="s">
        <v>391</v>
      </c>
    </row>
    <row r="427" spans="1:6" x14ac:dyDescent="0.25">
      <c r="A427" t="str">
        <f t="shared" si="6"/>
        <v>TC_K_53_CS ISO 15118 Support</v>
      </c>
      <c r="B427" t="s">
        <v>712</v>
      </c>
      <c r="C427" t="s">
        <v>146</v>
      </c>
      <c r="D427" t="s">
        <v>1693</v>
      </c>
      <c r="E427" t="s">
        <v>391</v>
      </c>
    </row>
    <row r="428" spans="1:6" x14ac:dyDescent="0.25">
      <c r="A428" t="str">
        <f t="shared" si="6"/>
        <v>TC_K_54_CS ISO 15118 Support</v>
      </c>
      <c r="B428" t="s">
        <v>713</v>
      </c>
      <c r="C428" t="s">
        <v>146</v>
      </c>
      <c r="D428" t="s">
        <v>1694</v>
      </c>
      <c r="E428" t="s">
        <v>391</v>
      </c>
    </row>
    <row r="429" spans="1:6" x14ac:dyDescent="0.25">
      <c r="A429" t="str">
        <f t="shared" si="6"/>
        <v>TC_K_56_CS ISO 15118 Support</v>
      </c>
      <c r="B429" t="s">
        <v>714</v>
      </c>
      <c r="C429" t="s">
        <v>146</v>
      </c>
      <c r="D429" t="s">
        <v>1695</v>
      </c>
      <c r="E429" t="s">
        <v>391</v>
      </c>
    </row>
    <row r="430" spans="1:6" x14ac:dyDescent="0.25">
      <c r="A430" t="str">
        <f t="shared" si="6"/>
        <v>TC_K_57_CS ISO 15118 Support</v>
      </c>
      <c r="B430" t="s">
        <v>715</v>
      </c>
      <c r="C430" t="s">
        <v>146</v>
      </c>
      <c r="D430" t="s">
        <v>1696</v>
      </c>
      <c r="E430" t="s">
        <v>391</v>
      </c>
    </row>
    <row r="431" spans="1:6" x14ac:dyDescent="0.25">
      <c r="A431" t="str">
        <f t="shared" si="6"/>
        <v>TC_K_58_CS ISO 15118 Support</v>
      </c>
      <c r="B431" t="s">
        <v>716</v>
      </c>
      <c r="C431" t="s">
        <v>146</v>
      </c>
      <c r="D431" t="s">
        <v>1697</v>
      </c>
      <c r="E431" t="s">
        <v>391</v>
      </c>
    </row>
    <row r="432" spans="1:6" x14ac:dyDescent="0.25">
      <c r="A432" t="str">
        <f t="shared" si="6"/>
        <v>TC_M_26_CS ISO 15118 Support</v>
      </c>
      <c r="B432" t="s">
        <v>757</v>
      </c>
      <c r="C432" t="s">
        <v>146</v>
      </c>
      <c r="D432" t="s">
        <v>1698</v>
      </c>
      <c r="E432" t="s">
        <v>391</v>
      </c>
    </row>
    <row r="433" spans="1:6" x14ac:dyDescent="0.25">
      <c r="A433" t="str">
        <f t="shared" si="6"/>
        <v>TC_M_27_CS ISO 15118 Support</v>
      </c>
      <c r="B433" t="s">
        <v>758</v>
      </c>
      <c r="C433" t="s">
        <v>146</v>
      </c>
      <c r="D433" t="s">
        <v>1699</v>
      </c>
      <c r="E433" t="s">
        <v>391</v>
      </c>
    </row>
    <row r="434" spans="1:6" x14ac:dyDescent="0.25">
      <c r="A434" t="str">
        <f t="shared" si="6"/>
        <v>TC_M_28_CS ISO 15118 Support</v>
      </c>
      <c r="B434" t="s">
        <v>759</v>
      </c>
      <c r="C434" t="s">
        <v>146</v>
      </c>
      <c r="D434" t="s">
        <v>1700</v>
      </c>
      <c r="E434" t="s">
        <v>391</v>
      </c>
    </row>
    <row r="435" spans="1:6" x14ac:dyDescent="0.25">
      <c r="A435" t="str">
        <f t="shared" si="6"/>
        <v>TC_M_29_CS ISO 15118 Support</v>
      </c>
      <c r="B435" t="s">
        <v>760</v>
      </c>
      <c r="C435" t="s">
        <v>146</v>
      </c>
      <c r="D435" t="s">
        <v>1701</v>
      </c>
      <c r="E435" t="s">
        <v>391</v>
      </c>
    </row>
    <row r="436" spans="1:6" x14ac:dyDescent="0.25">
      <c r="A436" t="str">
        <f t="shared" si="6"/>
        <v>TC_M_14_CS ISO 15118 Support</v>
      </c>
      <c r="B436" t="s">
        <v>746</v>
      </c>
      <c r="C436" t="s">
        <v>146</v>
      </c>
      <c r="D436" t="s">
        <v>1702</v>
      </c>
      <c r="E436" t="s">
        <v>391</v>
      </c>
    </row>
    <row r="437" spans="1:6" x14ac:dyDescent="0.25">
      <c r="A437" t="str">
        <f t="shared" si="6"/>
        <v>TC_M_15_CS ISO 15118 Support</v>
      </c>
      <c r="B437" t="s">
        <v>747</v>
      </c>
      <c r="C437" t="s">
        <v>146</v>
      </c>
      <c r="D437" t="s">
        <v>1703</v>
      </c>
      <c r="E437" t="s">
        <v>391</v>
      </c>
    </row>
    <row r="438" spans="1:6" x14ac:dyDescent="0.25">
      <c r="A438" t="str">
        <f t="shared" si="6"/>
        <v>TC_M_16_CS ISO 15118 Support</v>
      </c>
      <c r="B438" t="s">
        <v>748</v>
      </c>
      <c r="C438" t="s">
        <v>146</v>
      </c>
      <c r="D438" t="s">
        <v>1704</v>
      </c>
      <c r="E438" t="s">
        <v>391</v>
      </c>
    </row>
    <row r="439" spans="1:6" x14ac:dyDescent="0.25">
      <c r="A439" t="str">
        <f t="shared" si="6"/>
        <v>TC_M_03_CS ISO 15118 Support</v>
      </c>
      <c r="B439" t="s">
        <v>739</v>
      </c>
      <c r="C439" t="s">
        <v>146</v>
      </c>
      <c r="D439" t="s">
        <v>1705</v>
      </c>
      <c r="E439" t="s">
        <v>391</v>
      </c>
    </row>
    <row r="440" spans="1:6" x14ac:dyDescent="0.25">
      <c r="A440" t="str">
        <f t="shared" si="6"/>
        <v>TC_M_04_CS ISO 15118 Support</v>
      </c>
      <c r="B440" t="s">
        <v>740</v>
      </c>
      <c r="C440" t="s">
        <v>146</v>
      </c>
      <c r="D440" t="s">
        <v>1706</v>
      </c>
      <c r="E440" t="s">
        <v>391</v>
      </c>
    </row>
    <row r="441" spans="1:6" x14ac:dyDescent="0.25">
      <c r="A441" t="str">
        <f t="shared" si="6"/>
        <v>TC_M_24_CS ISO 15118 Support</v>
      </c>
      <c r="B441" t="s">
        <v>755</v>
      </c>
      <c r="C441" t="s">
        <v>146</v>
      </c>
      <c r="D441" t="s">
        <v>1707</v>
      </c>
      <c r="E441" t="s">
        <v>391</v>
      </c>
    </row>
    <row r="442" spans="1:6" x14ac:dyDescent="0.25">
      <c r="A442" t="str">
        <f t="shared" si="6"/>
        <v>TC_M_25_CS ISO 15118 Support</v>
      </c>
      <c r="B442" t="s">
        <v>756</v>
      </c>
      <c r="C442" t="s">
        <v>146</v>
      </c>
      <c r="D442" t="s">
        <v>1708</v>
      </c>
      <c r="E442" t="s">
        <v>391</v>
      </c>
    </row>
    <row r="443" spans="1:6" x14ac:dyDescent="0.25">
      <c r="A443" t="str">
        <f t="shared" si="6"/>
        <v>TC_N_63_CS ISO 15118 Support</v>
      </c>
      <c r="B443" t="s">
        <v>808</v>
      </c>
      <c r="C443" t="s">
        <v>146</v>
      </c>
      <c r="D443" t="s">
        <v>1709</v>
      </c>
      <c r="E443" t="s">
        <v>400</v>
      </c>
      <c r="F443" t="s">
        <v>121</v>
      </c>
    </row>
    <row r="444" spans="1:6" x14ac:dyDescent="0.25">
      <c r="A444" t="str">
        <f t="shared" si="6"/>
        <v>TC_N_63_CS ISO 15118 Support</v>
      </c>
      <c r="B444" t="s">
        <v>808</v>
      </c>
      <c r="C444" t="s">
        <v>146</v>
      </c>
      <c r="D444" t="s">
        <v>1709</v>
      </c>
      <c r="E444" t="s">
        <v>400</v>
      </c>
      <c r="F444" t="s">
        <v>121</v>
      </c>
    </row>
  </sheetData>
  <autoFilter ref="A1:G444" xr:uid="{9354F979-10AD-44F5-A300-18583FCA57EE}"/>
  <sortState xmlns:xlrd2="http://schemas.microsoft.com/office/spreadsheetml/2017/richdata2" ref="B2:G444">
    <sortCondition ref="B2:B444"/>
  </sortState>
  <pageMargins left="0.7" right="0.7" top="0.75" bottom="0.75" header="0.3" footer="0.3"/>
  <pageSetup paperSize="9" orientation="portrait" r:id="rId1"/>
  <headerFoot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T33"/>
  <sheetViews>
    <sheetView topLeftCell="L1" workbookViewId="0">
      <selection activeCell="R1" sqref="R1"/>
    </sheetView>
  </sheetViews>
  <sheetFormatPr defaultColWidth="8.625" defaultRowHeight="15.75" x14ac:dyDescent="0.25"/>
  <cols>
    <col min="1" max="1" width="51.125" customWidth="1"/>
    <col min="3" max="3" width="3" customWidth="1"/>
    <col min="4" max="4" width="2.5" customWidth="1"/>
    <col min="6" max="6" width="2" customWidth="1"/>
    <col min="7" max="7" width="2.625" customWidth="1"/>
    <col min="14" max="14" width="65" customWidth="1"/>
    <col min="15" max="15" width="63.125" bestFit="1" customWidth="1"/>
    <col min="16" max="16" width="25.625" bestFit="1" customWidth="1"/>
    <col min="17" max="18" width="15.625" bestFit="1" customWidth="1"/>
    <col min="19" max="20" width="12.125" bestFit="1" customWidth="1"/>
  </cols>
  <sheetData>
    <row r="1" spans="1:20" x14ac:dyDescent="0.25">
      <c r="A1" t="s">
        <v>223</v>
      </c>
      <c r="B1" t="s">
        <v>391</v>
      </c>
      <c r="E1" t="s">
        <v>988</v>
      </c>
      <c r="H1" t="s">
        <v>1125</v>
      </c>
      <c r="O1" t="s">
        <v>1139</v>
      </c>
      <c r="P1" t="s">
        <v>1179</v>
      </c>
      <c r="Q1" t="s">
        <v>1216</v>
      </c>
      <c r="R1" t="s">
        <v>1268</v>
      </c>
      <c r="S1" t="s">
        <v>1242</v>
      </c>
      <c r="T1" t="s">
        <v>1244</v>
      </c>
    </row>
    <row r="2" spans="1:20" x14ac:dyDescent="0.25">
      <c r="A2" t="s">
        <v>225</v>
      </c>
      <c r="B2" t="s">
        <v>400</v>
      </c>
      <c r="E2" t="s">
        <v>989</v>
      </c>
      <c r="H2" t="s">
        <v>1126</v>
      </c>
      <c r="O2" t="s">
        <v>1141</v>
      </c>
      <c r="P2" t="s">
        <v>1180</v>
      </c>
      <c r="Q2" t="s">
        <v>1268</v>
      </c>
      <c r="R2" t="s">
        <v>1727</v>
      </c>
      <c r="S2" t="s">
        <v>1243</v>
      </c>
      <c r="T2" t="s">
        <v>1242</v>
      </c>
    </row>
    <row r="3" spans="1:20" x14ac:dyDescent="0.25">
      <c r="A3" t="s">
        <v>224</v>
      </c>
      <c r="B3" t="s">
        <v>400</v>
      </c>
      <c r="E3" t="s">
        <v>990</v>
      </c>
      <c r="H3" t="s">
        <v>1127</v>
      </c>
      <c r="O3" t="s">
        <v>1150</v>
      </c>
      <c r="P3" t="s">
        <v>1181</v>
      </c>
      <c r="Q3" t="s">
        <v>1217</v>
      </c>
      <c r="R3" t="s">
        <v>1270</v>
      </c>
      <c r="S3" t="s">
        <v>1244</v>
      </c>
    </row>
    <row r="4" spans="1:20" x14ac:dyDescent="0.25">
      <c r="O4" t="s">
        <v>1163</v>
      </c>
      <c r="P4" t="s">
        <v>1182</v>
      </c>
      <c r="Q4" t="s">
        <v>1269</v>
      </c>
      <c r="R4" t="s">
        <v>1271</v>
      </c>
    </row>
    <row r="5" spans="1:20" x14ac:dyDescent="0.25">
      <c r="O5" t="s">
        <v>1151</v>
      </c>
      <c r="P5" t="s">
        <v>1183</v>
      </c>
      <c r="Q5" t="s">
        <v>1218</v>
      </c>
      <c r="R5" t="s">
        <v>1272</v>
      </c>
    </row>
    <row r="6" spans="1:20" x14ac:dyDescent="0.25">
      <c r="O6" t="s">
        <v>1149</v>
      </c>
      <c r="P6" t="s">
        <v>1184</v>
      </c>
      <c r="Q6" t="s">
        <v>1270</v>
      </c>
      <c r="R6" t="s">
        <v>1728</v>
      </c>
    </row>
    <row r="7" spans="1:20" x14ac:dyDescent="0.25">
      <c r="O7" t="s">
        <v>1161</v>
      </c>
      <c r="P7" t="s">
        <v>1185</v>
      </c>
      <c r="Q7" t="s">
        <v>1271</v>
      </c>
      <c r="R7" t="s">
        <v>1729</v>
      </c>
    </row>
    <row r="8" spans="1:20" x14ac:dyDescent="0.25">
      <c r="O8" t="s">
        <v>1169</v>
      </c>
      <c r="P8" t="s">
        <v>1186</v>
      </c>
      <c r="Q8" t="s">
        <v>1272</v>
      </c>
      <c r="R8" t="s">
        <v>1730</v>
      </c>
    </row>
    <row r="9" spans="1:20" x14ac:dyDescent="0.25">
      <c r="O9" t="s">
        <v>1162</v>
      </c>
      <c r="P9" t="s">
        <v>1187</v>
      </c>
      <c r="Q9" t="s">
        <v>1273</v>
      </c>
      <c r="R9" t="s">
        <v>1276</v>
      </c>
    </row>
    <row r="10" spans="1:20" x14ac:dyDescent="0.25">
      <c r="O10" t="s">
        <v>1143</v>
      </c>
      <c r="P10" t="s">
        <v>1188</v>
      </c>
      <c r="Q10" t="s">
        <v>1274</v>
      </c>
      <c r="R10" t="s">
        <v>1277</v>
      </c>
    </row>
    <row r="11" spans="1:20" x14ac:dyDescent="0.25">
      <c r="O11" t="s">
        <v>1154</v>
      </c>
      <c r="P11" t="s">
        <v>1189</v>
      </c>
      <c r="Q11" t="s">
        <v>1275</v>
      </c>
      <c r="R11" t="s">
        <v>1278</v>
      </c>
    </row>
    <row r="12" spans="1:20" x14ac:dyDescent="0.25">
      <c r="O12" t="s">
        <v>1140</v>
      </c>
      <c r="P12" t="s">
        <v>1190</v>
      </c>
      <c r="Q12" t="s">
        <v>1276</v>
      </c>
      <c r="R12" t="s">
        <v>1718</v>
      </c>
    </row>
    <row r="13" spans="1:20" x14ac:dyDescent="0.25">
      <c r="O13" t="s">
        <v>1145</v>
      </c>
      <c r="P13" t="s">
        <v>1191</v>
      </c>
      <c r="Q13" t="s">
        <v>1219</v>
      </c>
      <c r="R13" t="s">
        <v>1236</v>
      </c>
    </row>
    <row r="14" spans="1:20" x14ac:dyDescent="0.25">
      <c r="O14" t="s">
        <v>1156</v>
      </c>
      <c r="P14" t="s">
        <v>1192</v>
      </c>
      <c r="Q14" t="s">
        <v>1220</v>
      </c>
    </row>
    <row r="15" spans="1:20" x14ac:dyDescent="0.25">
      <c r="O15" t="s">
        <v>1167</v>
      </c>
      <c r="P15" t="s">
        <v>1193</v>
      </c>
      <c r="Q15" t="s">
        <v>1221</v>
      </c>
    </row>
    <row r="16" spans="1:20" x14ac:dyDescent="0.25">
      <c r="O16" t="s">
        <v>1157</v>
      </c>
      <c r="P16" t="s">
        <v>1194</v>
      </c>
      <c r="Q16" t="s">
        <v>1277</v>
      </c>
    </row>
    <row r="17" spans="15:17" x14ac:dyDescent="0.25">
      <c r="O17" t="s">
        <v>1155</v>
      </c>
      <c r="P17" t="s">
        <v>1195</v>
      </c>
      <c r="Q17" t="s">
        <v>1222</v>
      </c>
    </row>
    <row r="18" spans="15:17" x14ac:dyDescent="0.25">
      <c r="O18" t="s">
        <v>1165</v>
      </c>
      <c r="P18" t="s">
        <v>1196</v>
      </c>
      <c r="Q18" t="s">
        <v>1223</v>
      </c>
    </row>
    <row r="19" spans="15:17" x14ac:dyDescent="0.25">
      <c r="O19" t="s">
        <v>1170</v>
      </c>
      <c r="P19" t="s">
        <v>1197</v>
      </c>
      <c r="Q19" t="s">
        <v>1224</v>
      </c>
    </row>
    <row r="20" spans="15:17" x14ac:dyDescent="0.25">
      <c r="O20" t="s">
        <v>1166</v>
      </c>
      <c r="P20" t="s">
        <v>1198</v>
      </c>
      <c r="Q20" t="s">
        <v>1225</v>
      </c>
    </row>
    <row r="21" spans="15:17" x14ac:dyDescent="0.25">
      <c r="O21" t="s">
        <v>1147</v>
      </c>
      <c r="P21" t="s">
        <v>1199</v>
      </c>
      <c r="Q21" t="s">
        <v>1226</v>
      </c>
    </row>
    <row r="22" spans="15:17" x14ac:dyDescent="0.25">
      <c r="O22" t="s">
        <v>1160</v>
      </c>
      <c r="P22" t="s">
        <v>1200</v>
      </c>
      <c r="Q22" t="s">
        <v>1227</v>
      </c>
    </row>
    <row r="23" spans="15:17" x14ac:dyDescent="0.25">
      <c r="O23" t="s">
        <v>1148</v>
      </c>
      <c r="P23" t="s">
        <v>1201</v>
      </c>
      <c r="Q23" t="s">
        <v>1718</v>
      </c>
    </row>
    <row r="24" spans="15:17" x14ac:dyDescent="0.25">
      <c r="O24" t="s">
        <v>1146</v>
      </c>
      <c r="P24" t="s">
        <v>1202</v>
      </c>
      <c r="Q24" t="s">
        <v>1236</v>
      </c>
    </row>
    <row r="25" spans="15:17" x14ac:dyDescent="0.25">
      <c r="O25" t="s">
        <v>1158</v>
      </c>
      <c r="P25" t="s">
        <v>1203</v>
      </c>
      <c r="Q25" t="s">
        <v>1228</v>
      </c>
    </row>
    <row r="26" spans="15:17" x14ac:dyDescent="0.25">
      <c r="O26" t="s">
        <v>1168</v>
      </c>
      <c r="P26" t="s">
        <v>1204</v>
      </c>
      <c r="Q26" t="s">
        <v>1229</v>
      </c>
    </row>
    <row r="27" spans="15:17" x14ac:dyDescent="0.25">
      <c r="O27" t="s">
        <v>1159</v>
      </c>
      <c r="P27" t="s">
        <v>1205</v>
      </c>
      <c r="Q27" t="s">
        <v>1278</v>
      </c>
    </row>
    <row r="28" spans="15:17" x14ac:dyDescent="0.25">
      <c r="O28" t="s">
        <v>1144</v>
      </c>
      <c r="P28" t="s">
        <v>1206</v>
      </c>
      <c r="Q28" t="s">
        <v>1230</v>
      </c>
    </row>
    <row r="29" spans="15:17" x14ac:dyDescent="0.25">
      <c r="O29" t="s">
        <v>1142</v>
      </c>
      <c r="P29" t="s">
        <v>1207</v>
      </c>
      <c r="Q29" t="s">
        <v>1231</v>
      </c>
    </row>
    <row r="30" spans="15:17" x14ac:dyDescent="0.25">
      <c r="O30" t="s">
        <v>1152</v>
      </c>
      <c r="P30" t="s">
        <v>1208</v>
      </c>
      <c r="Q30" t="s">
        <v>1232</v>
      </c>
    </row>
    <row r="31" spans="15:17" x14ac:dyDescent="0.25">
      <c r="O31" t="s">
        <v>1164</v>
      </c>
      <c r="P31" t="s">
        <v>1209</v>
      </c>
      <c r="Q31" t="s">
        <v>1233</v>
      </c>
    </row>
    <row r="32" spans="15:17" x14ac:dyDescent="0.25">
      <c r="O32" t="s">
        <v>1153</v>
      </c>
      <c r="Q32" t="s">
        <v>1234</v>
      </c>
    </row>
    <row r="33" spans="17:17" x14ac:dyDescent="0.25">
      <c r="Q33" t="s">
        <v>1235</v>
      </c>
    </row>
  </sheetData>
  <sortState xmlns:xlrd2="http://schemas.microsoft.com/office/spreadsheetml/2017/richdata2" ref="R1:R33">
    <sortCondition ref="R1:R33"/>
  </sortState>
  <pageMargins left="0.7" right="0.7" top="0.75" bottom="0.75" header="0.3" footer="0.3"/>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N43"/>
  <sheetViews>
    <sheetView showGridLines="0"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3.5" customWidth="1"/>
    <col min="6" max="6" width="8" style="6" bestFit="1" customWidth="1"/>
    <col min="7" max="7" width="7.125" style="6" bestFit="1" customWidth="1"/>
    <col min="8" max="8" width="6.625" style="6" bestFit="1" customWidth="1"/>
    <col min="9" max="9" width="9.5" style="6" bestFit="1" customWidth="1"/>
    <col min="10" max="10" width="16.125" style="6" bestFit="1" customWidth="1"/>
    <col min="11" max="11" width="15.125" style="6" bestFit="1" customWidth="1"/>
    <col min="12" max="12" width="4.625" customWidth="1"/>
    <col min="14" max="14" width="8" customWidth="1"/>
    <col min="15" max="15" width="6.125" bestFit="1" customWidth="1"/>
    <col min="16" max="16" width="6.625" bestFit="1" customWidth="1"/>
    <col min="17" max="17" width="14" bestFit="1" customWidth="1"/>
    <col min="18" max="18" width="10" bestFit="1" customWidth="1"/>
  </cols>
  <sheetData>
    <row r="1" spans="2:14" ht="30.75" customHeight="1" x14ac:dyDescent="0.35">
      <c r="B1" s="344" t="s">
        <v>10</v>
      </c>
      <c r="C1" s="344"/>
      <c r="D1" s="344"/>
      <c r="M1" s="195" t="s">
        <v>932</v>
      </c>
      <c r="N1" s="1" t="str">
        <f>IF(AND(_xlfn.CONCAT(L:L,E:E)="",ISERROR(FIND("&lt;",_xlfn.CONCAT(D6:D8,D4,D21:D22)))),"VALID","INVALID")</f>
        <v>INVALID</v>
      </c>
    </row>
    <row r="2" spans="2:14" ht="49.5" customHeight="1" x14ac:dyDescent="0.35">
      <c r="B2" s="158"/>
      <c r="C2" s="348" t="s">
        <v>1174</v>
      </c>
      <c r="D2" s="348"/>
      <c r="M2" s="194" t="s">
        <v>1029</v>
      </c>
      <c r="N2" s="88" t="str">
        <f>'Statement of Approval'!$I$2</f>
        <v>INVALID</v>
      </c>
    </row>
    <row r="4" spans="2:14" ht="31.35" customHeight="1" thickBot="1" x14ac:dyDescent="0.3">
      <c r="C4" s="109" t="s">
        <v>955</v>
      </c>
      <c r="D4" s="96" t="s">
        <v>1177</v>
      </c>
      <c r="E4" s="91" t="str">
        <f>IF(ISBLANK(D4),"&lt;---- This field cannot be left empty!","")</f>
        <v/>
      </c>
      <c r="F4" s="345" t="s">
        <v>933</v>
      </c>
      <c r="G4" s="346"/>
      <c r="H4" s="346"/>
      <c r="I4" s="346"/>
      <c r="J4" s="346"/>
      <c r="K4" s="347"/>
    </row>
    <row r="5" spans="2:14" ht="16.5" thickBot="1" x14ac:dyDescent="0.3">
      <c r="C5" s="110" t="s">
        <v>11</v>
      </c>
      <c r="D5" s="31" t="s">
        <v>980</v>
      </c>
      <c r="E5" s="91" t="str">
        <f>IF(ISBLANK(D5),"&lt;---- This field cannot be left empty!",IF(AND(D5 &lt;&gt; "Charging Station", D5 &lt;&gt; "Charging Station Software Stack"),"&lt;---- This field must be filled from the drop-down menu",""))</f>
        <v>&lt;---- This field must be filled from the drop-down menu</v>
      </c>
      <c r="F5" s="122" t="s">
        <v>882</v>
      </c>
      <c r="G5" s="127" t="s">
        <v>900</v>
      </c>
      <c r="H5" s="127" t="s">
        <v>883</v>
      </c>
      <c r="I5" s="127" t="s">
        <v>884</v>
      </c>
      <c r="J5" s="127" t="s">
        <v>919</v>
      </c>
      <c r="K5" s="131" t="s">
        <v>907</v>
      </c>
    </row>
    <row r="6" spans="2:14" ht="19.5" thickBot="1" x14ac:dyDescent="0.35">
      <c r="C6" s="111" t="s">
        <v>865</v>
      </c>
      <c r="D6" s="32" t="s">
        <v>930</v>
      </c>
      <c r="E6" s="91" t="str">
        <f>IF(ISBLANK(D6),"&lt;---- This field cannot be left empty!",IF(AND(SUMPRODUCT(--ISNUMBER(MATCH("wInductive", 'Hardware Feature set'!J6:J43, 0))+--ISNUMBER(MATCH("wResonant", 'Hardware Feature set'!J6:J43, 0))) &lt;&gt; 0, D6 &lt;&gt; "Wireless Charging Station"),"&lt;---- This field must be set to Wireles Charging Station",IF(AND(D6 &lt;&gt; "N/A", D6 &lt;&gt; "Mode 1/2-only Charging Station", D6 &lt;&gt; "Wireless Charging Station"), "&lt;---- This field must be filled from the drop-down menu", "")))</f>
        <v>&lt;---- This field must be filled from the drop-down menu</v>
      </c>
      <c r="F6" s="123">
        <v>1</v>
      </c>
      <c r="G6" s="129"/>
      <c r="H6" s="129"/>
      <c r="I6" s="129"/>
      <c r="J6" s="129"/>
      <c r="K6" s="186" t="str">
        <f>IF(OR(LEFT(J6,1)= "s",LEFT(J6,1)="O"), "Detachable Cable",IF(LEFT(J6,1)="c", "Fixed Cable",IF(OR(LEFT(J6,1)="w",LEFT(J6,1)="P"),"Other","")))</f>
        <v/>
      </c>
      <c r="L6" s="112" t="str">
        <f>IF(AND($G6=MD!$E$3,OR($D$5&lt;&gt;"Charging Station Software Stack",COUNTA($F$7:$J$43)&gt;0)),"AC &amp; DC is only allowed for a single-EVSE Software Stack",IF(AND(ISBLANK(F5),ISNUMBER(F6)),"Empty lines are not allowed in this table",IF(AND(NOT(ISNUMBER(F5)),F6&lt;&gt;1),"First EVSE must be EVSE1",IF(AND(ISNUMBER(F5),NOT(OR(F6=F5,F6-1=F5))),"Next EVSE must be same id or id + 1",IF(ISBLANK(G6),"Please specify Current Type",IF(AND(F5=F6,G5&lt;&gt;G6),"Current Type must be the same for all connectors of an EVSE",IF(AND(F6=F5,I6&lt;&gt;IF(ISNUMBER(I5),I5+1,1)),_xlfn.CONCAT("Connector id on same EVSE must be ",I5+1),IF(AND(F6&lt;&gt;F5,I6&lt;&gt;1),"First Connector of an EVSE must be 1",IF(AND(G6="DC",NOT(ISBLANK(H6))),"You cannot specify number of phases for DC!",IF(AND(OR(G6=MD!$E$3,G6="AC"),ISBLANK(H6)),"You Must specify number of phases for AC!",IF(ISBLANK(J6),"Please fill in Connector Type",IF(AND(SUMPRODUCT(--ISNUMBER(MATCH("wInductive", 'Hardware Feature set'!J6:J43, 0))+--ISNUMBER(MATCH("wResonant", 'Hardware Feature set'!J6:J43, 0))) = 0, D6 = "Wireless Charging Station"),"You must have at least one connector of type wInductive or wResonant", IF(ISBLANK(K6),"Please fill in Cable Type",IF(ISERROR(MATCH(G6, MD!$E$1:$E$3, 0)), "Current must be filled from the drop-down menu", IF(AND(G6 = "AC", H6 &lt;&gt; 1, H6 &lt;&gt; "1 &amp; 3", H6 &lt;&gt; "1 &amp; 2 &amp; 3", H6 &lt;&gt; 3 ),"&lt;---- Phases must be filled from the drop-down menu",IF(ISERROR(MATCH(J6, MD!$Q$1:$Q$33, 0)), "Type must be filled from the drop-down menu", ""))))))))))))))))</f>
        <v>Please specify Current Type</v>
      </c>
    </row>
    <row r="7" spans="2:14" ht="19.5" thickBot="1" x14ac:dyDescent="0.35">
      <c r="C7" s="110" t="s">
        <v>929</v>
      </c>
      <c r="D7" s="31" t="s">
        <v>12</v>
      </c>
      <c r="E7" s="91" t="str">
        <f>IF(ISBLANK(D7),"&lt;---- This field cannot be left empty!","")</f>
        <v/>
      </c>
      <c r="F7" s="124"/>
      <c r="G7" s="128"/>
      <c r="H7" s="128"/>
      <c r="I7" s="128"/>
      <c r="J7" s="128"/>
      <c r="K7" s="131" t="str">
        <f t="shared" ref="K7:K43" si="0">IF(OR(LEFT(J7,1)= "s",LEFT(J7,1)="O"), "Detachable Cable",IF(LEFT(J7,1)="c", "Fixed Cable",IF(OR(LEFT(J7,1)="w",LEFT(J7,1)="P"),"Other","")))</f>
        <v/>
      </c>
      <c r="L7" s="112" t="str">
        <f>IF(_xlfn.CONCAT(F7:K7)="","",IF(AND(ISBLANK(F6),ISNUMBER(F7)),"Empty lines are not allowed in this table",IF(AND(NOT(ISNUMBER(F6)),F7&lt;&gt;1),"First EVSE must be EVSE1",IF(AND(ISNUMBER(F6),NOT(OR(F7=F6,F7-1=F6))),"Next EVSE must be same id or id + 1",IF(ISBLANK(G7),"Please specify Current Type",IF(AND(F6=F7,G6&lt;&gt;G7),"Current Type must be the same for all connectors of an EVSE",IF(AND(F7=F6,I7&lt;&gt;IF(ISNUMBER(I6),I6+1,1)),_xlfn.CONCAT("Connector id on same EVSE must be ",I6+1),IF(AND(F7&lt;&gt;F6,I7&lt;&gt;1),"First Connector of an EVSE must be 1",IF(AND(G7="DC",NOT(ISBLANK(H7))),"You cannot specify number of phases for DC!",IF(AND(G7="AC",ISBLANK(H7)),"You Must specify number of phases for AC!",IF(ISBLANK(J7),"Please fill in Connector Type",IF(ISBLANK(K7),"Please fill in Cable Type",IF(ISERROR(MATCH(G7, MD!$E$1:$E$3, 0)), "Current must be filled from the drop-down menu", IF(AND(G7 = "AC", H7 &lt;&gt; 1, H7 &lt;&gt; "1 &amp; 3", H7 &lt;&gt; "1 &amp; 2 &amp; 3", H7 &lt;&gt; 3 ),"&lt;---- Phases must be filled from the drop-down menu",IF(ISERROR(MATCH(J7, MD!$Q$1:$Q$33, 0)), "Type must be filled from the drop-down menu", "")))))))))))))))</f>
        <v/>
      </c>
    </row>
    <row r="8" spans="2:14" ht="18.75" x14ac:dyDescent="0.3">
      <c r="C8" s="113" t="str">
        <f>IF(D5="Charging Station","Firmware Version","OCPP Software Version")</f>
        <v>OCPP Software Version</v>
      </c>
      <c r="D8" s="58" t="s">
        <v>1030</v>
      </c>
      <c r="E8" s="91"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25"/>
      <c r="G8" s="129"/>
      <c r="H8" s="129"/>
      <c r="I8" s="129"/>
      <c r="J8" s="129"/>
      <c r="K8" s="186" t="str">
        <f t="shared" si="0"/>
        <v/>
      </c>
      <c r="L8" s="112" t="str">
        <f>IF(_xlfn.CONCAT(F8:K8)="","",IF(AND(ISBLANK(F7),ISNUMBER(F8)),"Empty lines are not allowed in this table",IF(AND(NOT(ISNUMBER(F7)),F8&lt;&gt;1),"First EVSE must be EVSE1",IF(AND(ISNUMBER(F7),NOT(OR(F8=F7,F8-1=F7))),"Next EVSE must be same id or id + 1",IF(ISBLANK(G8),"Please specify Current Type",IF(AND(F7=F8,G7&lt;&gt;G8),"Current Type must be the same for all connectors of an EVSE",IF(AND(F8=F7,I8&lt;&gt;IF(ISNUMBER(I7),I7+1,1)),_xlfn.CONCAT("Connector id on same EVSE must be ",I7+1),IF(AND(F8&lt;&gt;F7,I8&lt;&gt;1),"First Connector of an EVSE must be 1",IF(AND(G8="DC",NOT(ISBLANK(H8))),"You cannot specify number of phases for DC!",IF(AND(G8="AC",ISBLANK(H8)),"You Must specify number of phases for AC!",IF(ISBLANK(J8),"Please fill in Connector Type",IF(ISBLANK(K8),"Please fill in Cable Type",IF(ISERROR(MATCH(G8, MD!$E$1:$E$3, 0)), "Current must be filled from the drop-down menu", IF(AND(G8 = "AC", H8 &lt;&gt; 1, H8 &lt;&gt; "1 &amp; 3", H8 &lt;&gt; "1 &amp; 2 &amp; 3", H8 &lt;&gt; 3 ),"&lt;---- Phases must be filled from the drop-down menu",IF(ISERROR(MATCH(J8, MD!$Q$1:$Q$33, 0)), "Type must be filled from the drop-down menu", "")))))))))))))))</f>
        <v/>
      </c>
    </row>
    <row r="9" spans="2:14" ht="18.75" x14ac:dyDescent="0.3">
      <c r="F9" s="124"/>
      <c r="G9" s="128"/>
      <c r="H9" s="128"/>
      <c r="I9" s="128"/>
      <c r="J9" s="128"/>
      <c r="K9" s="131" t="str">
        <f t="shared" si="0"/>
        <v/>
      </c>
      <c r="L9" s="112" t="str">
        <f>IF(_xlfn.CONCAT(F9:K9)="","",IF(AND(ISBLANK(F8),ISNUMBER(F9)),"Empty lines are not allowed in this table",IF(AND(NOT(ISNUMBER(F8)),F9&lt;&gt;1),"First EVSE must be EVSE1",IF(AND(ISNUMBER(F8),NOT(OR(F9=F8,F9-1=F8))),"Next EVSE must be same id or id + 1",IF(ISBLANK(G9),"Please specify Current Type",IF(AND(F8=F9,G8&lt;&gt;G9),"Current Type must be the same for all connectors of an EVSE",IF(AND(F9=F8,I9&lt;&gt;IF(ISNUMBER(I8),I8+1,1)),_xlfn.CONCAT("Connector id on same EVSE must be ",I8+1),IF(AND(F9&lt;&gt;F8,I9&lt;&gt;1),"First Connector of an EVSE must be 1",IF(AND(G9="DC",NOT(ISBLANK(H9))),"You cannot specify number of phases for DC!",IF(AND(G9="AC",ISBLANK(H9)),"You Must specify number of phases for AC!",IF(ISBLANK(J9),"Please fill in Connector Type",IF(ISBLANK(K9),"Please fill in Cable Type",IF(ISERROR(MATCH(G9, MD!$E$1:$E$3, 0)), "Current must be filled from the drop-down menu", IF(AND(G9 = "AC", H9 &lt;&gt; 1, H9 &lt;&gt; "1 &amp; 3", H9 &lt;&gt; "1 &amp; 2 &amp; 3", H9 &lt;&gt; 3 ),"&lt;---- Phases must be filled from the drop-down menu",IF(ISERROR(MATCH(J9, MD!$Q$1:$Q$33, 0)), "Type must be filled from the drop-down menu", "")))))))))))))))</f>
        <v/>
      </c>
    </row>
    <row r="10" spans="2:14" ht="18.75" x14ac:dyDescent="0.3">
      <c r="C10" s="3"/>
      <c r="F10" s="125"/>
      <c r="G10" s="129"/>
      <c r="H10" s="129"/>
      <c r="I10" s="129"/>
      <c r="J10" s="129"/>
      <c r="K10" s="186" t="str">
        <f t="shared" si="0"/>
        <v/>
      </c>
      <c r="L10" s="112" t="str">
        <f>IF(_xlfn.CONCAT(F10:K10)="","",IF(AND(ISBLANK(F9),ISNUMBER(F10)),"Empty lines are not allowed in this table",IF(AND(NOT(ISNUMBER(F9)),F10&lt;&gt;1),"First EVSE must be EVSE1",IF(AND(ISNUMBER(F9),NOT(OR(F10=F9,F10-1=F9))),"Next EVSE must be same id or id + 1",IF(ISBLANK(G10),"Please specify Current Type",IF(AND(F9=F10,G9&lt;&gt;G10),"Current Type must be the same for all connectors of an EVSE",IF(AND(F10=F9,I10&lt;&gt;IF(ISNUMBER(I9),I9+1,1)),_xlfn.CONCAT("Connector id on same EVSE must be ",I9+1),IF(AND(F10&lt;&gt;F9,I10&lt;&gt;1),"First Connector of an EVSE must be 1",IF(AND(G10="DC",NOT(ISBLANK(H10))),"You cannot specify number of phases for DC!",IF(AND(G10="AC",ISBLANK(H10)),"You Must specify number of phases for AC!",IF(ISBLANK(J10),"Please fill in Connector Type",IF(ISBLANK(K10),"Please fill in Cable Type",IF(ISERROR(MATCH(G10, MD!$E$1:$E$3, 0)), "Current must be filled from the drop-down menu", IF(AND(G10 = "AC", H10 &lt;&gt; 1, H10 &lt;&gt; "1 &amp; 3", H10 &lt;&gt; "1 &amp; 2 &amp; 3", H10 &lt;&gt; 3 ),"&lt;---- Phases must be filled from the drop-down menu",IF(ISERROR(MATCH(J10, MD!$Q$1:$Q$33, 0)), "Type must be filled from the drop-down menu", "")))))))))))))))</f>
        <v/>
      </c>
    </row>
    <row r="11" spans="2:14" ht="15.75" customHeight="1" x14ac:dyDescent="0.3">
      <c r="B11" s="97" t="s">
        <v>13</v>
      </c>
      <c r="C11" s="27" t="s">
        <v>38</v>
      </c>
      <c r="D11" s="98" t="s">
        <v>956</v>
      </c>
      <c r="F11" s="124"/>
      <c r="G11" s="128"/>
      <c r="H11" s="128"/>
      <c r="I11" s="128"/>
      <c r="J11" s="128"/>
      <c r="K11" s="131" t="str">
        <f t="shared" si="0"/>
        <v/>
      </c>
      <c r="L11" s="112" t="str">
        <f>IF(_xlfn.CONCAT(F11:K11)="","",IF(AND(ISBLANK(F10),ISNUMBER(F11)),"Empty lines are not allowed in this table",IF(AND(NOT(ISNUMBER(F10)),F11&lt;&gt;1),"First EVSE must be EVSE1",IF(AND(ISNUMBER(F10),NOT(OR(F11=F10,F11-1=F10))),"Next EVSE must be same id or id + 1",IF(ISBLANK(G11),"Please specify Current Type",IF(AND(F10=F11,G10&lt;&gt;G11),"Current Type must be the same for all connectors of an EVSE",IF(AND(F11=F10,I11&lt;&gt;IF(ISNUMBER(I10),I10+1,1)),_xlfn.CONCAT("Connector id on same EVSE must be ",I10+1),IF(AND(F11&lt;&gt;F10,I11&lt;&gt;1),"First Connector of an EVSE must be 1",IF(AND(G11="DC",NOT(ISBLANK(H11))),"You cannot specify number of phases for DC!",IF(AND(G11="AC",ISBLANK(H11)),"You Must specify number of phases for AC!",IF(ISBLANK(J11),"Please fill in Connector Type",IF(ISBLANK(K11),"Please fill in Cable Type",IF(ISERROR(MATCH(G11, MD!$E$1:$E$3, 0)), "Current must be filled from the drop-down menu", IF(AND(G11 = "AC", H11 &lt;&gt; 1, H11 &lt;&gt; "1 &amp; 3", H11 &lt;&gt; "1 &amp; 2 &amp; 3", H11 &lt;&gt; 3 ),"&lt;---- Phases must be filled from the drop-down menu",IF(ISERROR(MATCH(J11, MD!$Q$1:$Q$33, 0)), "Type must be filled from the drop-down menu", "")))))))))))))))</f>
        <v/>
      </c>
      <c r="M11" s="114"/>
      <c r="N11" s="114"/>
    </row>
    <row r="12" spans="2:14" ht="18.75" x14ac:dyDescent="0.3">
      <c r="B12" s="99"/>
      <c r="C12" s="100"/>
      <c r="D12" s="101"/>
      <c r="F12" s="125"/>
      <c r="G12" s="129"/>
      <c r="H12" s="129"/>
      <c r="I12" s="129"/>
      <c r="J12" s="129"/>
      <c r="K12" s="186" t="str">
        <f t="shared" si="0"/>
        <v/>
      </c>
      <c r="L12" s="112" t="str">
        <f>IF(_xlfn.CONCAT(F12:K12)="","",IF(AND(ISBLANK(F11),ISNUMBER(F12)),"Empty lines are not allowed in this table",IF(AND(NOT(ISNUMBER(F11)),F12&lt;&gt;1),"First EVSE must be EVSE1",IF(AND(ISNUMBER(F11),NOT(OR(F12=F11,F12-1=F11))),"Next EVSE must be same id or id + 1",IF(ISBLANK(G12),"Please specify Current Type",IF(AND(F11=F12,G11&lt;&gt;G12),"Current Type must be the same for all connectors of an EVSE",IF(AND(F12=F11,I12&lt;&gt;IF(ISNUMBER(I11),I11+1,1)),_xlfn.CONCAT("Connector id on same EVSE must be ",I11+1),IF(AND(F12&lt;&gt;F11,I12&lt;&gt;1),"First Connector of an EVSE must be 1",IF(AND(G12="DC",NOT(ISBLANK(H12))),"You cannot specify number of phases for DC!",IF(AND(G12="AC",ISBLANK(H12)),"You Must specify number of phases for AC!",IF(ISBLANK(J12),"Please fill in Connector Type",IF(ISBLANK(K12),"Please fill in Cable Type",IF(ISERROR(MATCH(G12, MD!$E$1:$E$3, 0)), "Current must be filled from the drop-down menu", IF(AND(G12 = "AC", H12 &lt;&gt; 1, H12 &lt;&gt; "1 &amp; 3", H12 &lt;&gt; "1 &amp; 2 &amp; 3", H12 &lt;&gt; 3 ),"&lt;---- Phases must be filled from the drop-down menu",IF(ISERROR(MATCH(J12, MD!$Q$1:$Q$33, 0)), "Type must be filled from the drop-down menu", "")))))))))))))))</f>
        <v/>
      </c>
    </row>
    <row r="13" spans="2:14" ht="18.75" x14ac:dyDescent="0.3">
      <c r="B13" s="115" t="s">
        <v>14</v>
      </c>
      <c r="C13" s="18" t="s">
        <v>15</v>
      </c>
      <c r="D13" s="116" t="str">
        <f>IF(NOT(ISERROR(VLOOKUP("Detachable Cable",K:K,1,FALSE))),"Yes","No")</f>
        <v>No</v>
      </c>
      <c r="F13" s="124"/>
      <c r="G13" s="128"/>
      <c r="H13" s="128"/>
      <c r="I13" s="128"/>
      <c r="J13" s="128"/>
      <c r="K13" s="131" t="str">
        <f t="shared" si="0"/>
        <v/>
      </c>
      <c r="L13" s="112" t="str">
        <f>IF(_xlfn.CONCAT(F13:K13)="","",IF(AND(ISBLANK(F12),ISNUMBER(F13)),"Empty lines are not allowed in this table",IF(AND(NOT(ISNUMBER(F12)),F13&lt;&gt;1),"First EVSE must be EVSE1",IF(AND(ISNUMBER(F12),NOT(OR(F13=F12,F13-1=F12))),"Next EVSE must be same id or id + 1",IF(ISBLANK(G13),"Please specify Current Type",IF(AND(F12=F13,G12&lt;&gt;G13),"Current Type must be the same for all connectors of an EVSE",IF(AND(F13=F12,I13&lt;&gt;IF(ISNUMBER(I12),I12+1,1)),_xlfn.CONCAT("Connector id on same EVSE must be ",I12+1),IF(AND(F13&lt;&gt;F12,I13&lt;&gt;1),"First Connector of an EVSE must be 1",IF(AND(G13="DC",NOT(ISBLANK(H13))),"You cannot specify number of phases for DC!",IF(AND(G13="AC",ISBLANK(H13)),"You Must specify number of phases for AC!",IF(ISBLANK(J13),"Please fill in Connector Type",IF(ISBLANK(K13),"Please fill in Cable Type",IF(ISERROR(MATCH(G13, MD!$E$1:$E$3, 0)), "Current must be filled from the drop-down menu", IF(AND(G13 = "AC", H13 &lt;&gt; 1, H13 &lt;&gt; "1 &amp; 3", H13 &lt;&gt; "1 &amp; 2 &amp; 3", H13 &lt;&gt; 3 ),"&lt;---- Phases must be filled from the drop-down menu",IF(ISERROR(MATCH(J13, MD!$Q$1:$Q$33, 0)), "Type must be filled from the drop-down menu", "")))))))))))))))</f>
        <v/>
      </c>
    </row>
    <row r="14" spans="2:14" ht="18.75" x14ac:dyDescent="0.3">
      <c r="B14" s="117" t="s">
        <v>17</v>
      </c>
      <c r="C14" s="30" t="s">
        <v>18</v>
      </c>
      <c r="D14" s="118" t="str">
        <f>IF(NOT(ISERROR(VLOOKUP("Fixed Cable",K:K,1,FALSE))),"Yes","No")</f>
        <v>No</v>
      </c>
      <c r="F14" s="125"/>
      <c r="G14" s="129"/>
      <c r="H14" s="129"/>
      <c r="I14" s="129"/>
      <c r="J14" s="129"/>
      <c r="K14" s="186" t="str">
        <f t="shared" si="0"/>
        <v/>
      </c>
      <c r="L14" s="112" t="str">
        <f>IF(_xlfn.CONCAT(F14:K14)="","",IF(AND(ISBLANK(F13),ISNUMBER(F14)),"Empty lines are not allowed in this table",IF(AND(NOT(ISNUMBER(F13)),F14&lt;&gt;1),"First EVSE must be EVSE1",IF(AND(ISNUMBER(F13),NOT(OR(F14=F13,F14-1=F13))),"Next EVSE must be same id or id + 1",IF(ISBLANK(G14),"Please specify Current Type",IF(AND(F13=F14,G13&lt;&gt;G14),"Current Type must be the same for all connectors of an EVSE",IF(AND(F14=F13,I14&lt;&gt;IF(ISNUMBER(I13),I13+1,1)),_xlfn.CONCAT("Connector id on same EVSE must be ",I13+1),IF(AND(F14&lt;&gt;F13,I14&lt;&gt;1),"First Connector of an EVSE must be 1",IF(AND(G14="DC",NOT(ISBLANK(H14))),"You cannot specify number of phases for DC!",IF(AND(G14="AC",ISBLANK(H14)),"You Must specify number of phases for AC!",IF(ISBLANK(J14),"Please fill in Connector Type",IF(ISBLANK(K14),"Please fill in Cable Type",IF(ISERROR(MATCH(G14, MD!$E$1:$E$3, 0)), "Current must be filled from the drop-down menu", IF(AND(G14 = "AC", H14 &lt;&gt; 1, H14 &lt;&gt; "1 &amp; 3", H14 &lt;&gt; "1 &amp; 2 &amp; 3", H14 &lt;&gt; 3 ),"&lt;---- Phases must be filled from the drop-down menu",IF(ISERROR(MATCH(J14, MD!$Q$1:$Q$33, 0)), "Type must be filled from the drop-down menu", "")))))))))))))))</f>
        <v/>
      </c>
    </row>
    <row r="15" spans="2:14" ht="16.350000000000001" customHeight="1" x14ac:dyDescent="0.3">
      <c r="B15" s="115" t="s">
        <v>19</v>
      </c>
      <c r="C15" s="18" t="s">
        <v>20</v>
      </c>
      <c r="D15" s="116" t="str">
        <f>IF(NOT(AND(ISERROR(VLOOKUP("AC",G:G,1,FALSE)),ISERROR(VLOOKUP("AC &amp; DC",G:G,1,FALSE)))),"Yes","No")</f>
        <v>No</v>
      </c>
      <c r="F15" s="124"/>
      <c r="G15" s="128"/>
      <c r="H15" s="128"/>
      <c r="I15" s="128"/>
      <c r="J15" s="128"/>
      <c r="K15" s="131" t="str">
        <f t="shared" si="0"/>
        <v/>
      </c>
      <c r="L15" s="112" t="str">
        <f>IF(_xlfn.CONCAT(F15:K15)="","",IF(AND(ISBLANK(F14),ISNUMBER(F15)),"Empty lines are not allowed in this table",IF(AND(NOT(ISNUMBER(F14)),F15&lt;&gt;1),"First EVSE must be EVSE1",IF(AND(ISNUMBER(F14),NOT(OR(F15=F14,F15-1=F14))),"Next EVSE must be same id or id + 1",IF(ISBLANK(G15),"Please specify Current Type",IF(AND(F14=F15,G14&lt;&gt;G15),"Current Type must be the same for all connectors of an EVSE",IF(AND(F15=F14,I15&lt;&gt;IF(ISNUMBER(I14),I14+1,1)),_xlfn.CONCAT("Connector id on same EVSE must be ",I14+1),IF(AND(F15&lt;&gt;F14,I15&lt;&gt;1),"First Connector of an EVSE must be 1",IF(AND(G15="DC",NOT(ISBLANK(H15))),"You cannot specify number of phases for DC!",IF(AND(G15="AC",ISBLANK(H15)),"You Must specify number of phases for AC!",IF(ISBLANK(J15),"Please fill in Connector Type",IF(ISBLANK(K15),"Please fill in Cable Type",IF(ISERROR(MATCH(G15, MD!$E$1:$E$3, 0)), "Current must be filled from the drop-down menu", IF(AND(G15 = "AC", H15 &lt;&gt; 1, H15 &lt;&gt; "1 &amp; 3", H15 &lt;&gt; "1 &amp; 2 &amp; 3", H15 &lt;&gt; 3 ),"&lt;---- Phases must be filled from the drop-down menu",IF(ISERROR(MATCH(J15, MD!$Q$1:$Q$33, 0)), "Type must be filled from the drop-down menu", "")))))))))))))))</f>
        <v/>
      </c>
    </row>
    <row r="16" spans="2:14" ht="16.350000000000001" customHeight="1" x14ac:dyDescent="0.3">
      <c r="B16" s="117" t="s">
        <v>22</v>
      </c>
      <c r="C16" s="30" t="s">
        <v>23</v>
      </c>
      <c r="D16" s="118" t="str">
        <f>IF(NOT(AND(ISERROR(VLOOKUP("DC",G:G,1,FALSE)),ISERROR(VLOOKUP("AC &amp; DC",G:G,1,FALSE)))),"Yes","No")</f>
        <v>No</v>
      </c>
      <c r="F16" s="125"/>
      <c r="G16" s="129"/>
      <c r="H16" s="129"/>
      <c r="I16" s="129"/>
      <c r="J16" s="129"/>
      <c r="K16" s="186" t="str">
        <f t="shared" si="0"/>
        <v/>
      </c>
      <c r="L16" s="112" t="str">
        <f>IF(_xlfn.CONCAT(F16:K16)="","",IF(AND(ISBLANK(F15),ISNUMBER(F16)),"Empty lines are not allowed in this table",IF(AND(NOT(ISNUMBER(F15)),F16&lt;&gt;1),"First EVSE must be EVSE1",IF(AND(ISNUMBER(F15),NOT(OR(F16=F15,F16-1=F15))),"Next EVSE must be same id or id + 1",IF(ISBLANK(G16),"Please specify Current Type",IF(AND(F15=F16,G15&lt;&gt;G16),"Current Type must be the same for all connectors of an EVSE",IF(AND(F16=F15,I16&lt;&gt;IF(ISNUMBER(I15),I15+1,1)),_xlfn.CONCAT("Connector id on same EVSE must be ",I15+1),IF(AND(F16&lt;&gt;F15,I16&lt;&gt;1),"First Connector of an EVSE must be 1",IF(AND(G16="DC",NOT(ISBLANK(H16))),"You cannot specify number of phases for DC!",IF(AND(G16="AC",ISBLANK(H16)),"You Must specify number of phases for AC!",IF(ISBLANK(J16),"Please fill in Connector Type",IF(ISBLANK(K16),"Please fill in Cable Type",IF(ISERROR(MATCH(G16, MD!$E$1:$E$3, 0)), "Current must be filled from the drop-down menu", IF(AND(G16 = "AC", H16 &lt;&gt; 1, H16 &lt;&gt; "1 &amp; 3", H16 &lt;&gt; "1 &amp; 2 &amp; 3", H16 &lt;&gt; 3 ),"&lt;---- Phases must be filled from the drop-down menu",IF(ISERROR(MATCH(J16, MD!$Q$1:$Q$33, 0)), "Type must be filled from the drop-down menu", "")))))))))))))))</f>
        <v/>
      </c>
    </row>
    <row r="17" spans="2:12" ht="16.350000000000001" customHeight="1" x14ac:dyDescent="0.3">
      <c r="B17" s="115" t="s">
        <v>24</v>
      </c>
      <c r="C17" s="18" t="s">
        <v>25</v>
      </c>
      <c r="D17" s="116" t="str">
        <f>IF(NOT(ISERROR(FIND("1",_xlfn.CONCAT(H:H)))),"Yes","No")</f>
        <v>No</v>
      </c>
      <c r="F17" s="124"/>
      <c r="G17" s="128"/>
      <c r="H17" s="128"/>
      <c r="I17" s="128"/>
      <c r="J17" s="128"/>
      <c r="K17" s="131" t="str">
        <f t="shared" si="0"/>
        <v/>
      </c>
      <c r="L17" s="112" t="str">
        <f>IF(_xlfn.CONCAT(F17:K17)="","",IF(AND(ISBLANK(F16),ISNUMBER(F17)),"Empty lines are not allowed in this table",IF(AND(NOT(ISNUMBER(F16)),F17&lt;&gt;1),"First EVSE must be EVSE1",IF(AND(ISNUMBER(F16),NOT(OR(F17=F16,F17-1=F16))),"Next EVSE must be same id or id + 1",IF(ISBLANK(G17),"Please specify Current Type",IF(AND(F16=F17,G16&lt;&gt;G17),"Current Type must be the same for all connectors of an EVSE",IF(AND(F17=F16,I17&lt;&gt;IF(ISNUMBER(I16),I16+1,1)),_xlfn.CONCAT("Connector id on same EVSE must be ",I16+1),IF(AND(F17&lt;&gt;F16,I17&lt;&gt;1),"First Connector of an EVSE must be 1",IF(AND(G17="DC",NOT(ISBLANK(H17))),"You cannot specify number of phases for DC!",IF(AND(G17="AC",ISBLANK(H17)),"You Must specify number of phases for AC!",IF(ISBLANK(J17),"Please fill in Connector Type",IF(ISBLANK(K17),"Please fill in Cable Type",IF(ISERROR(MATCH(G17, MD!$E$1:$E$3, 0)), "Current must be filled from the drop-down menu", IF(AND(G17 = "AC", H17 &lt;&gt; 1, H17 &lt;&gt; "1 &amp; 3", H17 &lt;&gt; "1 &amp; 2 &amp; 3", H17 &lt;&gt; 3 ),"&lt;---- Phases must be filled from the drop-down menu",IF(ISERROR(MATCH(J17, MD!$Q$1:$Q$33, 0)), "Type must be filled from the drop-down menu", "")))))))))))))))</f>
        <v/>
      </c>
    </row>
    <row r="18" spans="2:12" ht="16.350000000000001" customHeight="1" x14ac:dyDescent="0.3">
      <c r="B18" s="117" t="s">
        <v>26</v>
      </c>
      <c r="C18" s="30" t="s">
        <v>27</v>
      </c>
      <c r="D18" s="118" t="str">
        <f>IF(NOT(ISERROR(FIND("2",_xlfn.CONCAT(H:H)))),"Yes","No")</f>
        <v>No</v>
      </c>
      <c r="F18" s="125"/>
      <c r="G18" s="129"/>
      <c r="H18" s="129"/>
      <c r="I18" s="129"/>
      <c r="J18" s="129"/>
      <c r="K18" s="186" t="str">
        <f t="shared" si="0"/>
        <v/>
      </c>
      <c r="L18" s="112" t="str">
        <f>IF(_xlfn.CONCAT(F18:K18)="","",IF(AND(ISBLANK(F17),ISNUMBER(F18)),"Empty lines are not allowed in this table",IF(AND(NOT(ISNUMBER(F17)),F18&lt;&gt;1),"First EVSE must be EVSE1",IF(AND(ISNUMBER(F17),NOT(OR(F18=F17,F18-1=F17))),"Next EVSE must be same id or id + 1",IF(ISBLANK(G18),"Please specify Current Type",IF(AND(F17=F18,G17&lt;&gt;G18),"Current Type must be the same for all connectors of an EVSE",IF(AND(F18=F17,I18&lt;&gt;IF(ISNUMBER(I17),I17+1,1)),_xlfn.CONCAT("Connector id on same EVSE must be ",I17+1),IF(AND(F18&lt;&gt;F17,I18&lt;&gt;1),"First Connector of an EVSE must be 1",IF(AND(G18="DC",NOT(ISBLANK(H18))),"You cannot specify number of phases for DC!",IF(AND(G18="AC",ISBLANK(H18)),"You Must specify number of phases for AC!",IF(ISBLANK(J18),"Please fill in Connector Type",IF(ISBLANK(K18),"Please fill in Cable Type",IF(ISERROR(MATCH(G18, MD!$E$1:$E$3, 0)), "Current must be filled from the drop-down menu", IF(AND(G18 = "AC", H18 &lt;&gt; 1, H18 &lt;&gt; "1 &amp; 3", H18 &lt;&gt; "1 &amp; 2 &amp; 3", H18 &lt;&gt; 3 ),"&lt;---- Phases must be filled from the drop-down menu",IF(ISERROR(MATCH(J18, MD!$Q$1:$Q$33, 0)), "Type must be filled from the drop-down menu", "")))))))))))))))</f>
        <v/>
      </c>
    </row>
    <row r="19" spans="2:12" ht="16.350000000000001" customHeight="1" x14ac:dyDescent="0.3">
      <c r="B19" s="115" t="s">
        <v>28</v>
      </c>
      <c r="C19" s="18" t="s">
        <v>29</v>
      </c>
      <c r="D19" s="116" t="str">
        <f>IF(NOT(ISERROR(FIND("3",_xlfn.CONCAT(H:H)))),"Yes","No")</f>
        <v>No</v>
      </c>
      <c r="E19" s="18"/>
      <c r="F19" s="124"/>
      <c r="G19" s="128"/>
      <c r="H19" s="128"/>
      <c r="I19" s="128"/>
      <c r="J19" s="128"/>
      <c r="K19" s="131" t="str">
        <f t="shared" si="0"/>
        <v/>
      </c>
      <c r="L19" s="112" t="str">
        <f>IF(_xlfn.CONCAT(F19:K19)="","",IF(AND(ISBLANK(F18),ISNUMBER(F19)),"Empty lines are not allowed in this table",IF(AND(NOT(ISNUMBER(F18)),F19&lt;&gt;1),"First EVSE must be EVSE1",IF(AND(ISNUMBER(F18),NOT(OR(F19=F18,F19-1=F18))),"Next EVSE must be same id or id + 1",IF(ISBLANK(G19),"Please specify Current Type",IF(AND(F18=F19,G18&lt;&gt;G19),"Current Type must be the same for all connectors of an EVSE",IF(AND(F19=F18,I19&lt;&gt;IF(ISNUMBER(I18),I18+1,1)),_xlfn.CONCAT("Connector id on same EVSE must be ",I18+1),IF(AND(F19&lt;&gt;F18,I19&lt;&gt;1),"First Connector of an EVSE must be 1",IF(AND(G19="DC",NOT(ISBLANK(H19))),"You cannot specify number of phases for DC!",IF(AND(G19="AC",ISBLANK(H19)),"You Must specify number of phases for AC!",IF(ISBLANK(J19),"Please fill in Connector Type",IF(ISBLANK(K19),"Please fill in Cable Type",IF(ISERROR(MATCH(G19, MD!$E$1:$E$3, 0)), "Current must be filled from the drop-down menu", IF(AND(G19 = "AC", H19 &lt;&gt; 1, H19 &lt;&gt; "1 &amp; 3", H19 &lt;&gt; "1 &amp; 2 &amp; 3", H19 &lt;&gt; 3 ),"&lt;---- Phases must be filled from the drop-down menu",IF(ISERROR(MATCH(J19, MD!$Q$1:$Q$33, 0)), "Type must be filled from the drop-down menu", "")))))))))))))))</f>
        <v/>
      </c>
    </row>
    <row r="20" spans="2:12" ht="18.75" x14ac:dyDescent="0.3">
      <c r="B20" s="117" t="s">
        <v>30</v>
      </c>
      <c r="C20" s="30" t="s">
        <v>31</v>
      </c>
      <c r="D20" s="118">
        <f>MAX(F:F)</f>
        <v>1</v>
      </c>
      <c r="F20" s="125"/>
      <c r="G20" s="129"/>
      <c r="H20" s="129"/>
      <c r="I20" s="129"/>
      <c r="J20" s="129"/>
      <c r="K20" s="186" t="str">
        <f t="shared" si="0"/>
        <v/>
      </c>
      <c r="L20" s="112" t="str">
        <f>IF(_xlfn.CONCAT(F20:K20)="","",IF(AND(ISBLANK(F19),ISNUMBER(F20)),"Empty lines are not allowed in this table",IF(AND(NOT(ISNUMBER(F19)),F20&lt;&gt;1),"First EVSE must be EVSE1",IF(AND(ISNUMBER(F19),NOT(OR(F20=F19,F20-1=F19))),"Next EVSE must be same id or id + 1",IF(ISBLANK(G20),"Please specify Current Type",IF(AND(F19=F20,G19&lt;&gt;G20),"Current Type must be the same for all connectors of an EVSE",IF(AND(F20=F19,I20&lt;&gt;IF(ISNUMBER(I19),I19+1,1)),_xlfn.CONCAT("Connector id on same EVSE must be ",I19+1),IF(AND(F20&lt;&gt;F19,I20&lt;&gt;1),"First Connector of an EVSE must be 1",IF(AND(G20="DC",NOT(ISBLANK(H20))),"You cannot specify number of phases for DC!",IF(AND(G20="AC",ISBLANK(H20)),"You Must specify number of phases for AC!",IF(ISBLANK(J20),"Please fill in Connector Type",IF(ISBLANK(K20),"Please fill in Cable Type",IF(ISERROR(MATCH(G20, MD!$E$1:$E$3, 0)), "Current must be filled from the drop-down menu", IF(AND(G20 = "AC", H20 &lt;&gt; 1, H20 &lt;&gt; "1 &amp; 3", H20 &lt;&gt; "1 &amp; 2 &amp; 3", H20 &lt;&gt; 3 ),"&lt;---- Phases must be filled from the drop-down menu",IF(ISERROR(MATCH(J20, MD!$Q$1:$Q$33, 0)), "Type must be filled from the drop-down menu", "")))))))))))))))</f>
        <v/>
      </c>
    </row>
    <row r="21" spans="2:12" ht="18.75" x14ac:dyDescent="0.3">
      <c r="B21" s="115" t="s">
        <v>908</v>
      </c>
      <c r="C21" s="18" t="s">
        <v>32</v>
      </c>
      <c r="D21" s="50" t="s">
        <v>939</v>
      </c>
      <c r="E21" s="91" t="str">
        <f>IF(AND(NOT(ISBLANK(B21)),ISBLANK(D21)),"&lt;---- This field cannot be left empty!",IF(NOT(ISERROR(FIND("&lt;",D21))),"&lt;---- Please enter a valid value or list",""))</f>
        <v>&lt;---- Please enter a valid value or list</v>
      </c>
      <c r="F21" s="124"/>
      <c r="G21" s="128"/>
      <c r="H21" s="128"/>
      <c r="I21" s="128"/>
      <c r="J21" s="128"/>
      <c r="K21" s="131" t="str">
        <f t="shared" si="0"/>
        <v/>
      </c>
      <c r="L21" s="112" t="str">
        <f>IF(_xlfn.CONCAT(F21:K21)="","",IF(AND(ISBLANK(F20),ISNUMBER(F21)),"Empty lines are not allowed in this table",IF(AND(NOT(ISNUMBER(F20)),F21&lt;&gt;1),"First EVSE must be EVSE1",IF(AND(ISNUMBER(F20),NOT(OR(F21=F20,F21-1=F20))),"Next EVSE must be same id or id + 1",IF(ISBLANK(G21),"Please specify Current Type",IF(AND(F20=F21,G20&lt;&gt;G21),"Current Type must be the same for all connectors of an EVSE",IF(AND(F21=F20,I21&lt;&gt;IF(ISNUMBER(I20),I20+1,1)),_xlfn.CONCAT("Connector id on same EVSE must be ",I20+1),IF(AND(F21&lt;&gt;F20,I21&lt;&gt;1),"First Connector of an EVSE must be 1",IF(AND(G21="DC",NOT(ISBLANK(H21))),"You cannot specify number of phases for DC!",IF(AND(G21="AC",ISBLANK(H21)),"You Must specify number of phases for AC!",IF(ISBLANK(J21),"Please fill in Connector Type",IF(ISBLANK(K21),"Please fill in Cable Type",IF(ISERROR(MATCH(G21, MD!$E$1:$E$3, 0)), "Current must be filled from the drop-down menu", IF(AND(G21 = "AC", H21 &lt;&gt; 1, H21 &lt;&gt; "1 &amp; 3", H21 &lt;&gt; "1 &amp; 2 &amp; 3", H21 &lt;&gt; 3 ),"&lt;---- Phases must be filled from the drop-down menu",IF(ISERROR(MATCH(J21, MD!$Q$1:$Q$33, 0)), "Type must be filled from the drop-down menu", "")))))))))))))))</f>
        <v/>
      </c>
    </row>
    <row r="22" spans="2:12" ht="18.75" x14ac:dyDescent="0.3">
      <c r="B22" s="117" t="s">
        <v>909</v>
      </c>
      <c r="C22" s="30" t="s">
        <v>33</v>
      </c>
      <c r="D22" s="190" t="s">
        <v>931</v>
      </c>
      <c r="E22" s="91" t="str">
        <f>IF(AND(NOT(ISBLANK(B22)),ISBLANK(D22)),"&lt;---- This field cannot be left empty!",IF(NOT(ISERROR(FIND("&lt;",D22))),"&lt;---- Please enter a valid value",IF(ISERROR(MATCH(D22, MD!$S$1:$S$3, 0)), "&lt;---- This field must be filled from the drop-down menu", "")))</f>
        <v>&lt;---- Please enter a valid value</v>
      </c>
      <c r="F22" s="125"/>
      <c r="G22" s="129"/>
      <c r="H22" s="129"/>
      <c r="I22" s="129"/>
      <c r="J22" s="129"/>
      <c r="K22" s="186" t="str">
        <f t="shared" si="0"/>
        <v/>
      </c>
      <c r="L22" s="112" t="str">
        <f>IF(_xlfn.CONCAT(F22:K22)="","",IF(AND(ISBLANK(F21),ISNUMBER(F22)),"Empty lines are not allowed in this table",IF(AND(NOT(ISNUMBER(F21)),F22&lt;&gt;1),"First EVSE must be EVSE1",IF(AND(ISNUMBER(F21),NOT(OR(F22=F21,F22-1=F21))),"Next EVSE must be same id or id + 1",IF(ISBLANK(G22),"Please specify Current Type",IF(AND(F21=F22,G21&lt;&gt;G22),"Current Type must be the same for all connectors of an EVSE",IF(AND(F22=F21,I22&lt;&gt;IF(ISNUMBER(I21),I21+1,1)),_xlfn.CONCAT("Connector id on same EVSE must be ",I21+1),IF(AND(F22&lt;&gt;F21,I22&lt;&gt;1),"First Connector of an EVSE must be 1",IF(AND(G22="DC",NOT(ISBLANK(H22))),"You cannot specify number of phases for DC!",IF(AND(G22="AC",ISBLANK(H22)),"You Must specify number of phases for AC!",IF(ISBLANK(J22),"Please fill in Connector Type",IF(ISBLANK(K22),"Please fill in Cable Type",IF(ISERROR(MATCH(G22, MD!$E$1:$E$3, 0)), "Current must be filled from the drop-down menu", IF(AND(G22 = "AC", H22 &lt;&gt; 1, H22 &lt;&gt; "1 &amp; 3", H22 &lt;&gt; "1 &amp; 2 &amp; 3", H22 &lt;&gt; 3 ),"&lt;---- Phases must be filled from the drop-down menu",IF(ISERROR(MATCH(J22, MD!$Q$1:$Q$33, 0)), "Type must be filled from the drop-down menu", "")))))))))))))))</f>
        <v/>
      </c>
    </row>
    <row r="23" spans="2:12" ht="18.75" x14ac:dyDescent="0.3">
      <c r="B23" s="115" t="s">
        <v>1041</v>
      </c>
      <c r="C23" s="18" t="s">
        <v>1045</v>
      </c>
      <c r="D23" s="50" t="s">
        <v>1046</v>
      </c>
      <c r="E23" s="91" t="str">
        <f>IF(VLOOKUP("HFS-4",B11:D25,3,TRUE)="No",IF(NOT(ISBLANK(D23)),"&lt;---- This field must be left empty for non-DC chargers",""),IF(AND(NOT(ISBLANK(B23)),ISBLANK(D23)),"&lt;---- This field cannot be left empty!",IF(NOT(ISERROR(FIND("&lt;",D23))),"&lt;---- Please enter a valid value","")))</f>
        <v>&lt;---- This field must be left empty for non-DC chargers</v>
      </c>
      <c r="F23" s="124"/>
      <c r="G23" s="128"/>
      <c r="H23" s="128"/>
      <c r="I23" s="128"/>
      <c r="J23" s="128"/>
      <c r="K23" s="131" t="str">
        <f t="shared" si="0"/>
        <v/>
      </c>
      <c r="L23" s="112" t="str">
        <f>IF(_xlfn.CONCAT(F23:K23)="","",IF(AND(ISBLANK(F22),ISNUMBER(F23)),"Empty lines are not allowed in this table",IF(AND(NOT(ISNUMBER(F22)),F23&lt;&gt;1),"First EVSE must be EVSE1",IF(AND(ISNUMBER(F22),NOT(OR(F23=F22,F23-1=F22))),"Next EVSE must be same id or id + 1",IF(ISBLANK(G23),"Please specify Current Type",IF(AND(F22=F23,G22&lt;&gt;G23),"Current Type must be the same for all connectors of an EVSE",IF(AND(F23=F22,I23&lt;&gt;IF(ISNUMBER(I22),I22+1,1)),_xlfn.CONCAT("Connector id on same EVSE must be ",I22+1),IF(AND(F23&lt;&gt;F22,I23&lt;&gt;1),"First Connector of an EVSE must be 1",IF(AND(G23="DC",NOT(ISBLANK(H23))),"You cannot specify number of phases for DC!",IF(AND(G23="AC",ISBLANK(H23)),"You Must specify number of phases for AC!",IF(ISBLANK(J23),"Please fill in Connector Type",IF(ISBLANK(K23),"Please fill in Cable Type",IF(ISERROR(MATCH(G23, MD!$E$1:$E$3, 0)), "Current must be filled from the drop-down menu", IF(AND(G23 = "AC", H23 &lt;&gt; 1, H23 &lt;&gt; "1 &amp; 3", H23 &lt;&gt; "1 &amp; 2 &amp; 3", H23 &lt;&gt; 3 ),"&lt;---- Phases must be filled from the drop-down menu",IF(ISERROR(MATCH(J23, MD!$Q$1:$Q$33, 0)), "Type must be filled from the drop-down menu", "")))))))))))))))</f>
        <v/>
      </c>
    </row>
    <row r="24" spans="2:12" ht="18.75" x14ac:dyDescent="0.3">
      <c r="B24" s="117" t="s">
        <v>1042</v>
      </c>
      <c r="C24" s="30" t="s">
        <v>1043</v>
      </c>
      <c r="D24" s="190" t="s">
        <v>1044</v>
      </c>
      <c r="E24" s="91" t="str">
        <f>IF(AND(NOT(ISBLANK(B24)),ISBLANK(D24)),"&lt;---- This field cannot be left empty!",IF(NOT(ISERROR(FIND("&lt;",D24))),"&lt;---- Please enter a valid value",""))</f>
        <v>&lt;---- Please enter a valid value</v>
      </c>
      <c r="F24" s="125"/>
      <c r="G24" s="129"/>
      <c r="H24" s="129"/>
      <c r="I24" s="129"/>
      <c r="J24" s="129"/>
      <c r="K24" s="186" t="str">
        <f t="shared" si="0"/>
        <v/>
      </c>
      <c r="L24" s="112" t="str">
        <f>IF(_xlfn.CONCAT(F24:K24)="","",IF(AND(ISBLANK(F23),ISNUMBER(F24)),"Empty lines are not allowed in this table",IF(AND(NOT(ISNUMBER(F23)),F24&lt;&gt;1),"First EVSE must be EVSE1",IF(AND(ISNUMBER(F23),NOT(OR(F24=F23,F24-1=F23))),"Next EVSE must be same id or id + 1",IF(ISBLANK(G24),"Please specify Current Type",IF(AND(F23=F24,G23&lt;&gt;G24),"Current Type must be the same for all connectors of an EVSE",IF(AND(F24=F23,I24&lt;&gt;IF(ISNUMBER(I23),I23+1,1)),_xlfn.CONCAT("Connector id on same EVSE must be ",I23+1),IF(AND(F24&lt;&gt;F23,I24&lt;&gt;1),"First Connector of an EVSE must be 1",IF(AND(G24="DC",NOT(ISBLANK(H24))),"You cannot specify number of phases for DC!",IF(AND(G24="AC",ISBLANK(H24)),"You Must specify number of phases for AC!",IF(ISBLANK(J24),"Please fill in Connector Type",IF(ISBLANK(K24),"Please fill in Cable Type",IF(ISERROR(MATCH(G24, MD!$E$1:$E$3, 0)), "Current must be filled from the drop-down menu", IF(AND(G24 = "AC", H24 &lt;&gt; 1, H24 &lt;&gt; "1 &amp; 3", H24 &lt;&gt; "1 &amp; 2 &amp; 3", H24 &lt;&gt; 3 ),"&lt;---- Phases must be filled from the drop-down menu",IF(ISERROR(MATCH(J24, MD!$Q$1:$Q$33, 0)), "Type must be filled from the drop-down menu", "")))))))))))))))</f>
        <v/>
      </c>
    </row>
    <row r="25" spans="2:12" ht="18.75" x14ac:dyDescent="0.3">
      <c r="B25" s="102"/>
      <c r="C25" s="103"/>
      <c r="D25" s="104"/>
      <c r="F25" s="124"/>
      <c r="G25" s="128"/>
      <c r="H25" s="128"/>
      <c r="I25" s="128"/>
      <c r="J25" s="128"/>
      <c r="K25" s="131" t="str">
        <f t="shared" si="0"/>
        <v/>
      </c>
      <c r="L25" s="112" t="str">
        <f>IF(_xlfn.CONCAT(F25:K25)="","",IF(AND(ISBLANK(F24),ISNUMBER(F25)),"Empty lines are not allowed in this table",IF(AND(NOT(ISNUMBER(F24)),F25&lt;&gt;1),"First EVSE must be EVSE1",IF(AND(ISNUMBER(F24),NOT(OR(F25=F24,F25-1=F24))),"Next EVSE must be same id or id + 1",IF(ISBLANK(G25),"Please specify Current Type",IF(AND(F24=F25,G24&lt;&gt;G25),"Current Type must be the same for all connectors of an EVSE",IF(AND(F25=F24,I25&lt;&gt;IF(ISNUMBER(I24),I24+1,1)),_xlfn.CONCAT("Connector id on same EVSE must be ",I24+1),IF(AND(F25&lt;&gt;F24,I25&lt;&gt;1),"First Connector of an EVSE must be 1",IF(AND(G25="DC",NOT(ISBLANK(H25))),"You cannot specify number of phases for DC!",IF(AND(G25="AC",ISBLANK(H25)),"You Must specify number of phases for AC!",IF(ISBLANK(J25),"Please fill in Connector Type",IF(ISBLANK(K25),"Please fill in Cable Type",IF(ISERROR(MATCH(G25, MD!$E$1:$E$3, 0)), "Current must be filled from the drop-down menu", IF(AND(G25 = "AC", H25 &lt;&gt; 1, H25 &lt;&gt; "1 &amp; 3", H25 &lt;&gt; "1 &amp; 2 &amp; 3", H25 &lt;&gt; 3 ),"&lt;---- Phases must be filled from the drop-down menu",IF(ISERROR(MATCH(J25, MD!$Q$1:$Q$33, 0)), "Type must be filled from the drop-down menu", "")))))))))))))))</f>
        <v/>
      </c>
    </row>
    <row r="26" spans="2:12" ht="18.75" x14ac:dyDescent="0.3">
      <c r="B26" s="105"/>
      <c r="C26" s="106"/>
      <c r="D26" s="4"/>
      <c r="F26" s="125"/>
      <c r="G26" s="129"/>
      <c r="H26" s="129"/>
      <c r="I26" s="129"/>
      <c r="J26" s="129"/>
      <c r="K26" s="186" t="str">
        <f t="shared" si="0"/>
        <v/>
      </c>
      <c r="L26" s="112" t="str">
        <f>IF(_xlfn.CONCAT(F26:K26)="","",IF(AND(ISBLANK(F25),ISNUMBER(F26)),"Empty lines are not allowed in this table",IF(AND(NOT(ISNUMBER(F25)),F26&lt;&gt;1),"First EVSE must be EVSE1",IF(AND(ISNUMBER(F25),NOT(OR(F26=F25,F26-1=F25))),"Next EVSE must be same id or id + 1",IF(ISBLANK(G26),"Please specify Current Type",IF(AND(F25=F26,G25&lt;&gt;G26),"Current Type must be the same for all connectors of an EVSE",IF(AND(F26=F25,I26&lt;&gt;IF(ISNUMBER(I25),I25+1,1)),_xlfn.CONCAT("Connector id on same EVSE must be ",I25+1),IF(AND(F26&lt;&gt;F25,I26&lt;&gt;1),"First Connector of an EVSE must be 1",IF(AND(G26="DC",NOT(ISBLANK(H26))),"You cannot specify number of phases for DC!",IF(AND(G26="AC",ISBLANK(H26)),"You Must specify number of phases for AC!",IF(ISBLANK(J26),"Please fill in Connector Type",IF(ISBLANK(K26),"Please fill in Cable Type",IF(ISERROR(MATCH(G26, MD!$E$1:$E$3, 0)), "Current must be filled from the drop-down menu", IF(AND(G26 = "AC", H26 &lt;&gt; 1, H26 &lt;&gt; "1 &amp; 3", H26 &lt;&gt; "1 &amp; 2 &amp; 3", H26 &lt;&gt; 3 ),"&lt;---- Phases must be filled from the drop-down menu",IF(ISERROR(MATCH(J26, MD!$Q$1:$Q$33, 0)), "Type must be filled from the drop-down menu", "")))))))))))))))</f>
        <v/>
      </c>
    </row>
    <row r="27" spans="2:12" ht="18.75" x14ac:dyDescent="0.3">
      <c r="B27" s="107"/>
      <c r="C27" s="18"/>
      <c r="D27" s="4"/>
      <c r="F27" s="124"/>
      <c r="G27" s="128"/>
      <c r="H27" s="128"/>
      <c r="I27" s="128"/>
      <c r="J27" s="128"/>
      <c r="K27" s="131" t="str">
        <f t="shared" si="0"/>
        <v/>
      </c>
      <c r="L27" s="112" t="str">
        <f>IF(_xlfn.CONCAT(F27:K27)="","",IF(AND(ISBLANK(F26),ISNUMBER(F27)),"Empty lines are not allowed in this table",IF(AND(NOT(ISNUMBER(F26)),F27&lt;&gt;1),"First EVSE must be EVSE1",IF(AND(ISNUMBER(F26),NOT(OR(F27=F26,F27-1=F26))),"Next EVSE must be same id or id + 1",IF(ISBLANK(G27),"Please specify Current Type",IF(AND(F26=F27,G26&lt;&gt;G27),"Current Type must be the same for all connectors of an EVSE",IF(AND(F27=F26,I27&lt;&gt;IF(ISNUMBER(I26),I26+1,1)),_xlfn.CONCAT("Connector id on same EVSE must be ",I26+1),IF(AND(F27&lt;&gt;F26,I27&lt;&gt;1),"First Connector of an EVSE must be 1",IF(AND(G27="DC",NOT(ISBLANK(H27))),"You cannot specify number of phases for DC!",IF(AND(G27="AC",ISBLANK(H27)),"You Must specify number of phases for AC!",IF(ISBLANK(J27),"Please fill in Connector Type",IF(ISBLANK(K27),"Please fill in Cable Type",IF(ISERROR(MATCH(G27, MD!$E$1:$E$3, 0)), "Current must be filled from the drop-down menu", IF(AND(G27 = "AC", H27 &lt;&gt; 1, H27 &lt;&gt; "1 &amp; 3", H27 &lt;&gt; "1 &amp; 2 &amp; 3", H27 &lt;&gt; 3 ),"&lt;---- Phases must be filled from the drop-down menu",IF(ISERROR(MATCH(J27, MD!$Q$1:$Q$33, 0)), "Type must be filled from the drop-down menu", "")))))))))))))))</f>
        <v/>
      </c>
    </row>
    <row r="28" spans="2:12" ht="18.75" x14ac:dyDescent="0.3">
      <c r="F28" s="125"/>
      <c r="G28" s="129"/>
      <c r="H28" s="129"/>
      <c r="I28" s="129"/>
      <c r="J28" s="129"/>
      <c r="K28" s="186" t="str">
        <f t="shared" si="0"/>
        <v/>
      </c>
      <c r="L28" s="112" t="str">
        <f>IF(_xlfn.CONCAT(F28:K28)="","",IF(AND(ISBLANK(F27),ISNUMBER(F28)),"Empty lines are not allowed in this table",IF(AND(NOT(ISNUMBER(F27)),F28&lt;&gt;1),"First EVSE must be EVSE1",IF(AND(ISNUMBER(F27),NOT(OR(F28=F27,F28-1=F27))),"Next EVSE must be same id or id + 1",IF(ISBLANK(G28),"Please specify Current Type",IF(AND(F27=F28,G27&lt;&gt;G28),"Current Type must be the same for all connectors of an EVSE",IF(AND(F28=F27,I28&lt;&gt;IF(ISNUMBER(I27),I27+1,1)),_xlfn.CONCAT("Connector id on same EVSE must be ",I27+1),IF(AND(F28&lt;&gt;F27,I28&lt;&gt;1),"First Connector of an EVSE must be 1",IF(AND(G28="DC",NOT(ISBLANK(H28))),"You cannot specify number of phases for DC!",IF(AND(G28="AC",ISBLANK(H28)),"You Must specify number of phases for AC!",IF(ISBLANK(J28),"Please fill in Connector Type",IF(ISBLANK(K28),"Please fill in Cable Type",IF(ISERROR(MATCH(G28, MD!$E$1:$E$3, 0)), "Current must be filled from the drop-down menu", IF(AND(G28 = "AC", H28 &lt;&gt; 1, H28 &lt;&gt; "1 &amp; 3", H28 &lt;&gt; "1 &amp; 2 &amp; 3", H28 &lt;&gt; 3 ),"&lt;---- Phases must be filled from the drop-down menu",IF(ISERROR(MATCH(J28, MD!$Q$1:$Q$33, 0)), "Type must be filled from the drop-down menu", "")))))))))))))))</f>
        <v/>
      </c>
    </row>
    <row r="29" spans="2:12" ht="18.75" x14ac:dyDescent="0.3">
      <c r="B29" s="107"/>
      <c r="C29" s="18"/>
      <c r="D29" s="4"/>
      <c r="F29" s="124"/>
      <c r="G29" s="128"/>
      <c r="H29" s="128"/>
      <c r="I29" s="128"/>
      <c r="J29" s="128"/>
      <c r="K29" s="131" t="str">
        <f t="shared" si="0"/>
        <v/>
      </c>
      <c r="L29" s="112" t="str">
        <f>IF(_xlfn.CONCAT(F29:K29)="","",IF(AND(ISBLANK(F28),ISNUMBER(F29)),"Empty lines are not allowed in this table",IF(AND(NOT(ISNUMBER(F28)),F29&lt;&gt;1),"First EVSE must be EVSE1",IF(AND(ISNUMBER(F28),NOT(OR(F29=F28,F29-1=F28))),"Next EVSE must be same id or id + 1",IF(ISBLANK(G29),"Please specify Current Type",IF(AND(F28=F29,G28&lt;&gt;G29),"Current Type must be the same for all connectors of an EVSE",IF(AND(F29=F28,I29&lt;&gt;IF(ISNUMBER(I28),I28+1,1)),_xlfn.CONCAT("Connector id on same EVSE must be ",I28+1),IF(AND(F29&lt;&gt;F28,I29&lt;&gt;1),"First Connector of an EVSE must be 1",IF(AND(G29="DC",NOT(ISBLANK(H29))),"You cannot specify number of phases for DC!",IF(AND(G29="AC",ISBLANK(H29)),"You Must specify number of phases for AC!",IF(ISBLANK(J29),"Please fill in Connector Type",IF(ISBLANK(K29),"Please fill in Cable Type",IF(ISERROR(MATCH(G29, MD!$E$1:$E$3, 0)), "Current must be filled from the drop-down menu", IF(AND(G29 = "AC", H29 &lt;&gt; 1, H29 &lt;&gt; "1 &amp; 3", H29 &lt;&gt; "1 &amp; 2 &amp; 3", H29 &lt;&gt; 3 ),"&lt;---- Phases must be filled from the drop-down menu",IF(ISERROR(MATCH(J29, MD!$Q$1:$Q$33, 0)), "Type must be filled from the drop-down menu", "")))))))))))))))</f>
        <v/>
      </c>
    </row>
    <row r="30" spans="2:12" ht="18.75" x14ac:dyDescent="0.3">
      <c r="B30" s="105"/>
      <c r="C30" s="18"/>
      <c r="D30" s="4"/>
      <c r="F30" s="125"/>
      <c r="G30" s="129"/>
      <c r="H30" s="129"/>
      <c r="I30" s="129"/>
      <c r="J30" s="129"/>
      <c r="K30" s="186" t="str">
        <f t="shared" si="0"/>
        <v/>
      </c>
      <c r="L30" s="112" t="str">
        <f>IF(_xlfn.CONCAT(F30:K30)="","",IF(AND(ISBLANK(F29),ISNUMBER(F30)),"Empty lines are not allowed in this table",IF(AND(NOT(ISNUMBER(F29)),F30&lt;&gt;1),"First EVSE must be EVSE1",IF(AND(ISNUMBER(F29),NOT(OR(F30=F29,F30-1=F29))),"Next EVSE must be same id or id + 1",IF(ISBLANK(G30),"Please specify Current Type",IF(AND(F29=F30,G29&lt;&gt;G30),"Current Type must be the same for all connectors of an EVSE",IF(AND(F30=F29,I30&lt;&gt;IF(ISNUMBER(I29),I29+1,1)),_xlfn.CONCAT("Connector id on same EVSE must be ",I29+1),IF(AND(F30&lt;&gt;F29,I30&lt;&gt;1),"First Connector of an EVSE must be 1",IF(AND(G30="DC",NOT(ISBLANK(H30))),"You cannot specify number of phases for DC!",IF(AND(G30="AC",ISBLANK(H30)),"You Must specify number of phases for AC!",IF(ISBLANK(J30),"Please fill in Connector Type",IF(ISBLANK(K30),"Please fill in Cable Type",IF(ISERROR(MATCH(G30, MD!$E$1:$E$3, 0)), "Current must be filled from the drop-down menu", IF(AND(G30 = "AC", H30 &lt;&gt; 1, H30 &lt;&gt; "1 &amp; 3", H30 &lt;&gt; "1 &amp; 2 &amp; 3", H30 &lt;&gt; 3 ),"&lt;---- Phases must be filled from the drop-down menu",IF(ISERROR(MATCH(J30, MD!$Q$1:$Q$33, 0)), "Type must be filled from the drop-down menu", "")))))))))))))))</f>
        <v/>
      </c>
    </row>
    <row r="31" spans="2:12" ht="17.100000000000001" customHeight="1" x14ac:dyDescent="0.3">
      <c r="F31" s="124"/>
      <c r="G31" s="128"/>
      <c r="H31" s="128"/>
      <c r="I31" s="128"/>
      <c r="J31" s="128"/>
      <c r="K31" s="131" t="str">
        <f t="shared" si="0"/>
        <v/>
      </c>
      <c r="L31" s="112" t="str">
        <f>IF(_xlfn.CONCAT(F31:K31)="","",IF(AND(ISBLANK(F30),ISNUMBER(F31)),"Empty lines are not allowed in this table",IF(AND(NOT(ISNUMBER(F30)),F31&lt;&gt;1),"First EVSE must be EVSE1",IF(AND(ISNUMBER(F30),NOT(OR(F31=F30,F31-1=F30))),"Next EVSE must be same id or id + 1",IF(ISBLANK(G31),"Please specify Current Type",IF(AND(F30=F31,G30&lt;&gt;G31),"Current Type must be the same for all connectors of an EVSE",IF(AND(F31=F30,I31&lt;&gt;IF(ISNUMBER(I30),I30+1,1)),_xlfn.CONCAT("Connector id on same EVSE must be ",I30+1),IF(AND(F31&lt;&gt;F30,I31&lt;&gt;1),"First Connector of an EVSE must be 1",IF(AND(G31="DC",NOT(ISBLANK(H31))),"You cannot specify number of phases for DC!",IF(AND(G31="AC",ISBLANK(H31)),"You Must specify number of phases for AC!",IF(ISBLANK(J31),"Please fill in Connector Type",IF(ISBLANK(K31),"Please fill in Cable Type",IF(ISERROR(MATCH(G31, MD!$E$1:$E$3, 0)), "Current must be filled from the drop-down menu", IF(AND(G31 = "AC", H31 &lt;&gt; 1, H31 &lt;&gt; "1 &amp; 3", H31 &lt;&gt; "1 &amp; 2 &amp; 3", H31 &lt;&gt; 3 ),"&lt;---- Phases must be filled from the drop-down menu",IF(ISERROR(MATCH(J31, MD!$Q$1:$Q$33, 0)), "Type must be filled from the drop-down menu", "")))))))))))))))</f>
        <v/>
      </c>
    </row>
    <row r="32" spans="2:12" ht="16.350000000000001" customHeight="1" x14ac:dyDescent="0.3">
      <c r="F32" s="125"/>
      <c r="G32" s="129"/>
      <c r="H32" s="129"/>
      <c r="I32" s="129"/>
      <c r="J32" s="129"/>
      <c r="K32" s="186" t="str">
        <f t="shared" si="0"/>
        <v/>
      </c>
      <c r="L32" s="112" t="str">
        <f>IF(_xlfn.CONCAT(F32:K32)="","",IF(AND(ISBLANK(F31),ISNUMBER(F32)),"Empty lines are not allowed in this table",IF(AND(NOT(ISNUMBER(F31)),F32&lt;&gt;1),"First EVSE must be EVSE1",IF(AND(ISNUMBER(F31),NOT(OR(F32=F31,F32-1=F31))),"Next EVSE must be same id or id + 1",IF(ISBLANK(G32),"Please specify Current Type",IF(AND(F31=F32,G31&lt;&gt;G32),"Current Type must be the same for all connectors of an EVSE",IF(AND(F32=F31,I32&lt;&gt;IF(ISNUMBER(I31),I31+1,1)),_xlfn.CONCAT("Connector id on same EVSE must be ",I31+1),IF(AND(F32&lt;&gt;F31,I32&lt;&gt;1),"First Connector of an EVSE must be 1",IF(AND(G32="DC",NOT(ISBLANK(H32))),"You cannot specify number of phases for DC!",IF(AND(G32="AC",ISBLANK(H32)),"You Must specify number of phases for AC!",IF(ISBLANK(J32),"Please fill in Connector Type",IF(ISBLANK(K32),"Please fill in Cable Type",IF(ISERROR(MATCH(G32, MD!$E$1:$E$3, 0)), "Current must be filled from the drop-down menu", IF(AND(G32 = "AC", H32 &lt;&gt; 1, H32 &lt;&gt; "1 &amp; 3", H32 &lt;&gt; "1 &amp; 2 &amp; 3", H32 &lt;&gt; 3 ),"&lt;---- Phases must be filled from the drop-down menu",IF(ISERROR(MATCH(J32, MD!$Q$1:$Q$33, 0)), "Type must be filled from the drop-down menu", "")))))))))))))))</f>
        <v/>
      </c>
    </row>
    <row r="33" spans="2:12" ht="16.350000000000001" customHeight="1" x14ac:dyDescent="0.3">
      <c r="F33" s="124"/>
      <c r="G33" s="128"/>
      <c r="H33" s="128"/>
      <c r="I33" s="128"/>
      <c r="J33" s="128"/>
      <c r="K33" s="131" t="str">
        <f t="shared" si="0"/>
        <v/>
      </c>
      <c r="L33" s="112" t="str">
        <f>IF(_xlfn.CONCAT(F33:K33)="","",IF(AND(ISBLANK(F32),ISNUMBER(F33)),"Empty lines are not allowed in this table",IF(AND(NOT(ISNUMBER(F32)),F33&lt;&gt;1),"First EVSE must be EVSE1",IF(AND(ISNUMBER(F32),NOT(OR(F33=F32,F33-1=F32))),"Next EVSE must be same id or id + 1",IF(ISBLANK(G33),"Please specify Current Type",IF(AND(F32=F33,G32&lt;&gt;G33),"Current Type must be the same for all connectors of an EVSE",IF(AND(F33=F32,I33&lt;&gt;IF(ISNUMBER(I32),I32+1,1)),_xlfn.CONCAT("Connector id on same EVSE must be ",I32+1),IF(AND(F33&lt;&gt;F32,I33&lt;&gt;1),"First Connector of an EVSE must be 1",IF(AND(G33="DC",NOT(ISBLANK(H33))),"You cannot specify number of phases for DC!",IF(AND(G33="AC",ISBLANK(H33)),"You Must specify number of phases for AC!",IF(ISBLANK(J33),"Please fill in Connector Type",IF(ISBLANK(K33),"Please fill in Cable Type",IF(ISERROR(MATCH(G33, MD!$E$1:$E$3, 0)), "Current must be filled from the drop-down menu", IF(AND(G33 = "AC", H33 &lt;&gt; 1, H33 &lt;&gt; "1 &amp; 3", H33 &lt;&gt; "1 &amp; 2 &amp; 3", H33 &lt;&gt; 3 ),"&lt;---- Phases must be filled from the drop-down menu",IF(ISERROR(MATCH(J33, MD!$Q$1:$Q$33, 0)), "Type must be filled from the drop-down menu", "")))))))))))))))</f>
        <v/>
      </c>
    </row>
    <row r="34" spans="2:12" ht="18.75" x14ac:dyDescent="0.3">
      <c r="B34" s="105"/>
      <c r="C34" s="18"/>
      <c r="D34" s="4"/>
      <c r="F34" s="125"/>
      <c r="G34" s="129"/>
      <c r="H34" s="129"/>
      <c r="I34" s="129"/>
      <c r="J34" s="129"/>
      <c r="K34" s="186" t="str">
        <f t="shared" si="0"/>
        <v/>
      </c>
      <c r="L34" s="112" t="str">
        <f>IF(_xlfn.CONCAT(F34:K34)="","",IF(AND(ISBLANK(F33),ISNUMBER(F34)),"Empty lines are not allowed in this table",IF(AND(NOT(ISNUMBER(F33)),F34&lt;&gt;1),"First EVSE must be EVSE1",IF(AND(ISNUMBER(F33),NOT(OR(F34=F33,F34-1=F33))),"Next EVSE must be same id or id + 1",IF(ISBLANK(G34),"Please specify Current Type",IF(AND(F33=F34,G33&lt;&gt;G34),"Current Type must be the same for all connectors of an EVSE",IF(AND(F34=F33,I34&lt;&gt;IF(ISNUMBER(I33),I33+1,1)),_xlfn.CONCAT("Connector id on same EVSE must be ",I33+1),IF(AND(F34&lt;&gt;F33,I34&lt;&gt;1),"First Connector of an EVSE must be 1",IF(AND(G34="DC",NOT(ISBLANK(H34))),"You cannot specify number of phases for DC!",IF(AND(G34="AC",ISBLANK(H34)),"You Must specify number of phases for AC!",IF(ISBLANK(J34),"Please fill in Connector Type",IF(ISBLANK(K34),"Please fill in Cable Type",IF(ISERROR(MATCH(G34, MD!$E$1:$E$3, 0)), "Current must be filled from the drop-down menu", IF(AND(G34 = "AC", H34 &lt;&gt; 1, H34 &lt;&gt; "1 &amp; 3", H34 &lt;&gt; "1 &amp; 2 &amp; 3", H34 &lt;&gt; 3 ),"&lt;---- Phases must be filled from the drop-down menu",IF(ISERROR(MATCH(J34, MD!$Q$1:$Q$33, 0)), "Type must be filled from the drop-down menu", "")))))))))))))))</f>
        <v/>
      </c>
    </row>
    <row r="35" spans="2:12" ht="15.75" customHeight="1" x14ac:dyDescent="0.3">
      <c r="B35" s="107"/>
      <c r="C35" s="18"/>
      <c r="D35" s="3"/>
      <c r="F35" s="124"/>
      <c r="G35" s="128"/>
      <c r="H35" s="128"/>
      <c r="I35" s="128"/>
      <c r="J35" s="128"/>
      <c r="K35" s="131" t="str">
        <f t="shared" si="0"/>
        <v/>
      </c>
      <c r="L35" s="112" t="str">
        <f>IF(_xlfn.CONCAT(F35:K35)="","",IF(AND(ISBLANK(F34),ISNUMBER(F35)),"Empty lines are not allowed in this table",IF(AND(NOT(ISNUMBER(F34)),F35&lt;&gt;1),"First EVSE must be EVSE1",IF(AND(ISNUMBER(F34),NOT(OR(F35=F34,F35-1=F34))),"Next EVSE must be same id or id + 1",IF(ISBLANK(G35),"Please specify Current Type",IF(AND(F34=F35,G34&lt;&gt;G35),"Current Type must be the same for all connectors of an EVSE",IF(AND(F35=F34,I35&lt;&gt;IF(ISNUMBER(I34),I34+1,1)),_xlfn.CONCAT("Connector id on same EVSE must be ",I34+1),IF(AND(F35&lt;&gt;F34,I35&lt;&gt;1),"First Connector of an EVSE must be 1",IF(AND(G35="DC",NOT(ISBLANK(H35))),"You cannot specify number of phases for DC!",IF(AND(G35="AC",ISBLANK(H35)),"You Must specify number of phases for AC!",IF(ISBLANK(J35),"Please fill in Connector Type",IF(ISBLANK(K35),"Please fill in Cable Type",IF(ISERROR(MATCH(G35, MD!$E$1:$E$3, 0)), "Current must be filled from the drop-down menu", IF(AND(G35 = "AC", H35 &lt;&gt; 1, H35 &lt;&gt; "1 &amp; 3", H35 &lt;&gt; "1 &amp; 2 &amp; 3", H35 &lt;&gt; 3 ),"&lt;---- Phases must be filled from the drop-down menu",IF(ISERROR(MATCH(J35, MD!$Q$1:$Q$33, 0)), "Type must be filled from the drop-down menu", "")))))))))))))))</f>
        <v/>
      </c>
    </row>
    <row r="36" spans="2:12" ht="15.75" customHeight="1" x14ac:dyDescent="0.3">
      <c r="C36" s="119"/>
      <c r="D36" s="3"/>
      <c r="F36" s="125"/>
      <c r="G36" s="129"/>
      <c r="H36" s="129"/>
      <c r="I36" s="129"/>
      <c r="J36" s="129"/>
      <c r="K36" s="186" t="str">
        <f t="shared" si="0"/>
        <v/>
      </c>
      <c r="L36" s="112" t="str">
        <f>IF(_xlfn.CONCAT(F36:K36)="","",IF(AND(ISBLANK(F35),ISNUMBER(F36)),"Empty lines are not allowed in this table",IF(AND(NOT(ISNUMBER(F35)),F36&lt;&gt;1),"First EVSE must be EVSE1",IF(AND(ISNUMBER(F35),NOT(OR(F36=F35,F36-1=F35))),"Next EVSE must be same id or id + 1",IF(ISBLANK(G36),"Please specify Current Type",IF(AND(F35=F36,G35&lt;&gt;G36),"Current Type must be the same for all connectors of an EVSE",IF(AND(F36=F35,I36&lt;&gt;IF(ISNUMBER(I35),I35+1,1)),_xlfn.CONCAT("Connector id on same EVSE must be ",I35+1),IF(AND(F36&lt;&gt;F35,I36&lt;&gt;1),"First Connector of an EVSE must be 1",IF(AND(G36="DC",NOT(ISBLANK(H36))),"You cannot specify number of phases for DC!",IF(AND(G36="AC",ISBLANK(H36)),"You Must specify number of phases for AC!",IF(ISBLANK(J36),"Please fill in Connector Type",IF(ISBLANK(K36),"Please fill in Cable Type",IF(ISERROR(MATCH(G36, MD!$E$1:$E$3, 0)), "Current must be filled from the drop-down menu", IF(AND(G36 = "AC", H36 &lt;&gt; 1, H36 &lt;&gt; "1 &amp; 3", H36 &lt;&gt; "1 &amp; 2 &amp; 3", H36 &lt;&gt; 3 ),"&lt;---- Phases must be filled from the drop-down menu",IF(ISERROR(MATCH(J36, MD!$Q$1:$Q$33, 0)), "Type must be filled from the drop-down menu", "")))))))))))))))</f>
        <v/>
      </c>
    </row>
    <row r="37" spans="2:12" ht="15.75" customHeight="1" x14ac:dyDescent="0.3">
      <c r="F37" s="124"/>
      <c r="G37" s="128"/>
      <c r="H37" s="128"/>
      <c r="I37" s="128"/>
      <c r="J37" s="128"/>
      <c r="K37" s="131" t="str">
        <f t="shared" si="0"/>
        <v/>
      </c>
      <c r="L37" s="112" t="str">
        <f>IF(_xlfn.CONCAT(F37:K37)="","",IF(AND(ISBLANK(F36),ISNUMBER(F37)),"Empty lines are not allowed in this table",IF(AND(NOT(ISNUMBER(F36)),F37&lt;&gt;1),"First EVSE must be EVSE1",IF(AND(ISNUMBER(F36),NOT(OR(F37=F36,F37-1=F36))),"Next EVSE must be same id or id + 1",IF(ISBLANK(G37),"Please specify Current Type",IF(AND(F36=F37,G36&lt;&gt;G37),"Current Type must be the same for all connectors of an EVSE",IF(AND(F37=F36,I37&lt;&gt;IF(ISNUMBER(I36),I36+1,1)),_xlfn.CONCAT("Connector id on same EVSE must be ",I36+1),IF(AND(F37&lt;&gt;F36,I37&lt;&gt;1),"First Connector of an EVSE must be 1",IF(AND(G37="DC",NOT(ISBLANK(H37))),"You cannot specify number of phases for DC!",IF(AND(G37="AC",ISBLANK(H37)),"You Must specify number of phases for AC!",IF(ISBLANK(J37),"Please fill in Connector Type",IF(ISBLANK(K37),"Please fill in Cable Type",IF(ISERROR(MATCH(G37, MD!$E$1:$E$3, 0)), "Current must be filled from the drop-down menu", IF(AND(G37 = "AC", H37 &lt;&gt; 1, H37 &lt;&gt; "1 &amp; 3", H37 &lt;&gt; "1 &amp; 2 &amp; 3", H37 &lt;&gt; 3 ),"&lt;---- Phases must be filled from the drop-down menu",IF(ISERROR(MATCH(J37, MD!$Q$1:$Q$33, 0)), "Type must be filled from the drop-down menu", "")))))))))))))))</f>
        <v/>
      </c>
    </row>
    <row r="38" spans="2:12" ht="15.75" customHeight="1" x14ac:dyDescent="0.3">
      <c r="F38" s="125"/>
      <c r="G38" s="129"/>
      <c r="H38" s="129"/>
      <c r="I38" s="129"/>
      <c r="J38" s="129"/>
      <c r="K38" s="186" t="str">
        <f t="shared" si="0"/>
        <v/>
      </c>
      <c r="L38" s="112" t="str">
        <f>IF(_xlfn.CONCAT(F38:K38)="","",IF(AND(ISBLANK(F37),ISNUMBER(F38)),"Empty lines are not allowed in this table",IF(AND(NOT(ISNUMBER(F37)),F38&lt;&gt;1),"First EVSE must be EVSE1",IF(AND(ISNUMBER(F37),NOT(OR(F38=F37,F38-1=F37))),"Next EVSE must be same id or id + 1",IF(ISBLANK(G38),"Please specify Current Type",IF(AND(F37=F38,G37&lt;&gt;G38),"Current Type must be the same for all connectors of an EVSE",IF(AND(F38=F37,I38&lt;&gt;IF(ISNUMBER(I37),I37+1,1)),_xlfn.CONCAT("Connector id on same EVSE must be ",I37+1),IF(AND(F38&lt;&gt;F37,I38&lt;&gt;1),"First Connector of an EVSE must be 1",IF(AND(G38="DC",NOT(ISBLANK(H38))),"You cannot specify number of phases for DC!",IF(AND(G38="AC",ISBLANK(H38)),"You Must specify number of phases for AC!",IF(ISBLANK(J38),"Please fill in Connector Type",IF(ISBLANK(K38),"Please fill in Cable Type",IF(ISERROR(MATCH(G38, MD!$E$1:$E$3, 0)), "Current must be filled from the drop-down menu", IF(AND(G38 = "AC", H38 &lt;&gt; 1, H38 &lt;&gt; "1 &amp; 3", H38 &lt;&gt; "1 &amp; 2 &amp; 3", H38 &lt;&gt; 3 ),"&lt;---- Phases must be filled from the drop-down menu",IF(ISERROR(MATCH(J38, MD!$Q$1:$Q$33, 0)), "Type must be filled from the drop-down menu", "")))))))))))))))</f>
        <v/>
      </c>
    </row>
    <row r="39" spans="2:12" ht="15.75" customHeight="1" x14ac:dyDescent="0.3">
      <c r="F39" s="124"/>
      <c r="G39" s="128"/>
      <c r="H39" s="128"/>
      <c r="I39" s="128"/>
      <c r="J39" s="128"/>
      <c r="K39" s="131" t="str">
        <f t="shared" si="0"/>
        <v/>
      </c>
      <c r="L39" s="112" t="str">
        <f>IF(_xlfn.CONCAT(F39:K39)="","",IF(AND(ISBLANK(F38),ISNUMBER(F39)),"Empty lines are not allowed in this table",IF(AND(NOT(ISNUMBER(F38)),F39&lt;&gt;1),"First EVSE must be EVSE1",IF(AND(ISNUMBER(F38),NOT(OR(F39=F38,F39-1=F38))),"Next EVSE must be same id or id + 1",IF(ISBLANK(G39),"Please specify Current Type",IF(AND(F38=F39,G38&lt;&gt;G39),"Current Type must be the same for all connectors of an EVSE",IF(AND(F39=F38,I39&lt;&gt;IF(ISNUMBER(I38),I38+1,1)),_xlfn.CONCAT("Connector id on same EVSE must be ",I38+1),IF(AND(F39&lt;&gt;F38,I39&lt;&gt;1),"First Connector of an EVSE must be 1",IF(AND(G39="DC",NOT(ISBLANK(H39))),"You cannot specify number of phases for DC!",IF(AND(G39="AC",ISBLANK(H39)),"You Must specify number of phases for AC!",IF(ISBLANK(J39),"Please fill in Connector Type",IF(ISBLANK(K39),"Please fill in Cable Type",IF(ISERROR(MATCH(G39, MD!$E$1:$E$3, 0)), "Current must be filled from the drop-down menu", IF(AND(G39 = "AC", H39 &lt;&gt; 1, H39 &lt;&gt; "1 &amp; 3", H39 &lt;&gt; "1 &amp; 2 &amp; 3", H39 &lt;&gt; 3 ),"&lt;---- Phases must be filled from the drop-down menu",IF(ISERROR(MATCH(J39, MD!$Q$1:$Q$33, 0)), "Type must be filled from the drop-down menu", "")))))))))))))))</f>
        <v/>
      </c>
    </row>
    <row r="40" spans="2:12" ht="15.75" customHeight="1" x14ac:dyDescent="0.3">
      <c r="F40" s="125"/>
      <c r="G40" s="129"/>
      <c r="H40" s="129"/>
      <c r="I40" s="129"/>
      <c r="J40" s="129"/>
      <c r="K40" s="186" t="str">
        <f t="shared" si="0"/>
        <v/>
      </c>
      <c r="L40" s="112" t="str">
        <f>IF(_xlfn.CONCAT(F40:K40)="","",IF(AND(ISBLANK(F39),ISNUMBER(F40)),"Empty lines are not allowed in this table",IF(AND(NOT(ISNUMBER(F39)),F40&lt;&gt;1),"First EVSE must be EVSE1",IF(AND(ISNUMBER(F39),NOT(OR(F40=F39,F40-1=F39))),"Next EVSE must be same id or id + 1",IF(ISBLANK(G40),"Please specify Current Type",IF(AND(F39=F40,G39&lt;&gt;G40),"Current Type must be the same for all connectors of an EVSE",IF(AND(F40=F39,I40&lt;&gt;IF(ISNUMBER(I39),I39+1,1)),_xlfn.CONCAT("Connector id on same EVSE must be ",I39+1),IF(AND(F40&lt;&gt;F39,I40&lt;&gt;1),"First Connector of an EVSE must be 1",IF(AND(G40="DC",NOT(ISBLANK(H40))),"You cannot specify number of phases for DC!",IF(AND(G40="AC",ISBLANK(H40)),"You Must specify number of phases for AC!",IF(ISBLANK(J40),"Please fill in Connector Type",IF(ISBLANK(K40),"Please fill in Cable Type",IF(ISERROR(MATCH(G40, MD!$E$1:$E$3, 0)), "Current must be filled from the drop-down menu", IF(AND(G40 = "AC", H40 &lt;&gt; 1, H40 &lt;&gt; "1 &amp; 3", H40 &lt;&gt; "1 &amp; 2 &amp; 3", H40 &lt;&gt; 3 ),"&lt;---- Phases must be filled from the drop-down menu",IF(ISERROR(MATCH(J40, MD!$Q$1:$Q$33, 0)), "Type must be filled from the drop-down menu", "")))))))))))))))</f>
        <v/>
      </c>
    </row>
    <row r="41" spans="2:12" ht="15.75" customHeight="1" x14ac:dyDescent="0.3">
      <c r="F41" s="124"/>
      <c r="G41" s="128"/>
      <c r="H41" s="128"/>
      <c r="I41" s="128"/>
      <c r="J41" s="128"/>
      <c r="K41" s="131" t="str">
        <f t="shared" si="0"/>
        <v/>
      </c>
      <c r="L41" s="112" t="str">
        <f>IF(_xlfn.CONCAT(F41:K41)="","",IF(AND(ISBLANK(F40),ISNUMBER(F41)),"Empty lines are not allowed in this table",IF(AND(NOT(ISNUMBER(F40)),F41&lt;&gt;1),"First EVSE must be EVSE1",IF(AND(ISNUMBER(F40),NOT(OR(F41=F40,F41-1=F40))),"Next EVSE must be same id or id + 1",IF(ISBLANK(G41),"Please specify Current Type",IF(AND(F40=F41,G40&lt;&gt;G41),"Current Type must be the same for all connectors of an EVSE",IF(AND(F41=F40,I41&lt;&gt;IF(ISNUMBER(I40),I40+1,1)),_xlfn.CONCAT("Connector id on same EVSE must be ",I40+1),IF(AND(F41&lt;&gt;F40,I41&lt;&gt;1),"First Connector of an EVSE must be 1",IF(AND(G41="DC",NOT(ISBLANK(H41))),"You cannot specify number of phases for DC!",IF(AND(G41="AC",ISBLANK(H41)),"You Must specify number of phases for AC!",IF(ISBLANK(J41),"Please fill in Connector Type",IF(ISBLANK(K41),"Please fill in Cable Type",IF(ISERROR(MATCH(G41, MD!$E$1:$E$3, 0)), "Current must be filled from the drop-down menu", IF(AND(G41 = "AC", H41 &lt;&gt; 1, H41 &lt;&gt; "1 &amp; 3", H41 &lt;&gt; "1 &amp; 2 &amp; 3", H41 &lt;&gt; 3 ),"&lt;---- Phases must be filled from the drop-down menu",IF(ISERROR(MATCH(J41, MD!$Q$1:$Q$33, 0)), "Type must be filled from the drop-down menu", "")))))))))))))))</f>
        <v/>
      </c>
    </row>
    <row r="42" spans="2:12" ht="15.75" customHeight="1" x14ac:dyDescent="0.3">
      <c r="F42" s="125"/>
      <c r="G42" s="129"/>
      <c r="H42" s="129"/>
      <c r="I42" s="129"/>
      <c r="J42" s="129"/>
      <c r="K42" s="186" t="str">
        <f t="shared" si="0"/>
        <v/>
      </c>
      <c r="L42" s="112" t="str">
        <f>IF(_xlfn.CONCAT(F42:K42)="","",IF(AND(ISBLANK(F41),ISNUMBER(F42)),"Empty lines are not allowed in this table",IF(AND(NOT(ISNUMBER(F41)),F42&lt;&gt;1),"First EVSE must be EVSE1",IF(AND(ISNUMBER(F41),NOT(OR(F42=F41,F42-1=F41))),"Next EVSE must be same id or id + 1",IF(ISBLANK(G42),"Please specify Current Type",IF(AND(F41=F42,G41&lt;&gt;G42),"Current Type must be the same for all connectors of an EVSE",IF(AND(F42=F41,I42&lt;&gt;IF(ISNUMBER(I41),I41+1,1)),_xlfn.CONCAT("Connector id on same EVSE must be ",I41+1),IF(AND(F42&lt;&gt;F41,I42&lt;&gt;1),"First Connector of an EVSE must be 1",IF(AND(G42="DC",NOT(ISBLANK(H42))),"You cannot specify number of phases for DC!",IF(AND(G42="AC",ISBLANK(H42)),"You Must specify number of phases for AC!",IF(ISBLANK(J42),"Please fill in Connector Type",IF(ISBLANK(K42),"Please fill in Cable Type",IF(ISERROR(MATCH(G42, MD!$E$1:$E$3, 0)), "Current must be filled from the drop-down menu", IF(AND(G42 = "AC", H42 &lt;&gt; 1, H42 &lt;&gt; "1 &amp; 3", H42 &lt;&gt; "1 &amp; 2 &amp; 3", H42 &lt;&gt; 3 ),"&lt;---- Phases must be filled from the drop-down menu",IF(ISERROR(MATCH(J42, MD!$Q$1:$Q$33, 0)), "Type must be filled from the drop-down menu", "")))))))))))))))</f>
        <v/>
      </c>
    </row>
    <row r="43" spans="2:12" ht="15.75" customHeight="1" x14ac:dyDescent="0.3">
      <c r="F43" s="126"/>
      <c r="G43" s="130"/>
      <c r="H43" s="130"/>
      <c r="I43" s="130"/>
      <c r="J43" s="130"/>
      <c r="K43" s="191" t="str">
        <f t="shared" si="0"/>
        <v/>
      </c>
      <c r="L43" s="112" t="str">
        <f>IF(_xlfn.CONCAT(F43:K43)="","",IF(AND(ISBLANK(F42),ISNUMBER(F43)),"Empty lines are not allowed in this table",IF(AND(NOT(ISNUMBER(F42)),F43&lt;&gt;1),"First EVSE must be EVSE1",IF(AND(ISNUMBER(F42),NOT(OR(F43=F42,F43-1=F42))),"Next EVSE must be same id or id + 1",IF(ISBLANK(G43),"Please specify Current Type",IF(AND(F42=F43,G42&lt;&gt;G43),"Current Type must be the same for all connectors of an EVSE",IF(AND(F43=F42,I43&lt;&gt;IF(ISNUMBER(I42),I42+1,1)),_xlfn.CONCAT("Connector id on same EVSE must be ",I42+1),IF(AND(F43&lt;&gt;F42,I43&lt;&gt;1),"First Connector of an EVSE must be 1",IF(AND(G43="DC",NOT(ISBLANK(H43))),"You cannot specify number of phases for DC!",IF(AND(G43="AC",ISBLANK(H43)),"You Must specify number of phases for AC!",IF(ISBLANK(J43),"Please fill in Connector Type",IF(ISBLANK(K43),"Please fill in Cable Type",IF(ISERROR(MATCH(G43, MD!$E$1:$E$3, 0)), "Current must be filled from the drop-down menu", IF(AND(G43 = "AC", H43 &lt;&gt; 1, H43 &lt;&gt; "1 &amp; 3", H43 &lt;&gt; "1 &amp; 2 &amp; 3", H43 &lt;&gt; 3 ),"&lt;---- Phases must be filled from the drop-down menu",IF(ISERROR(MATCH(J43, MD!$Q$1:$Q$33, 0)), "Type must be filled from the drop-down menu", "")))))))))))))))</f>
        <v/>
      </c>
    </row>
  </sheetData>
  <sheetProtection algorithmName="SHA-512" hashValue="6oa2aX0WGK6znbxD54UptPxuE3G70jMO9Ykon7JDTL2/Gm+8RSTGEqo+JyUjdKDxpdVsMSW7YiqodC+APVDUXw==" saltValue="fbF189RD6dImWLWAX1RU4A==" spinCount="100000" sheet="1" objects="1" scenarios="1"/>
  <mergeCells count="3">
    <mergeCell ref="B1:D1"/>
    <mergeCell ref="F4:K4"/>
    <mergeCell ref="C2:D2"/>
  </mergeCells>
  <conditionalFormatting sqref="N1">
    <cfRule type="cellIs" dxfId="25" priority="5" operator="equal">
      <formula>"VALID"</formula>
    </cfRule>
  </conditionalFormatting>
  <conditionalFormatting sqref="N1:N2">
    <cfRule type="cellIs" dxfId="24" priority="2" operator="equal">
      <formula>"INVALID"</formula>
    </cfRule>
  </conditionalFormatting>
  <conditionalFormatting sqref="N2">
    <cfRule type="cellIs" dxfId="23" priority="1" operator="equal">
      <formula>"VALID for a VDoC"</formula>
    </cfRule>
    <cfRule type="cellIs" dxfId="22" priority="3" operator="equal">
      <formula>"VALID for Certification"</formula>
    </cfRule>
  </conditionalFormatting>
  <dataValidations count="10">
    <dataValidation showInputMessage="1" showErrorMessage="1" sqref="D21" xr:uid="{1DE3AD11-78CF-5041-8D71-2C89FC6CDCFA}"/>
    <dataValidation type="list" showInputMessage="1" showErrorMessage="1" sqref="D6" xr:uid="{4FC34C37-AA5B-104B-8E93-CDC3148C1D9C}">
      <formula1>"N/A,Mode 1/2-only Charging Station,Wireless Charging Station"</formula1>
    </dataValidation>
    <dataValidation type="whole" operator="greaterThanOrEqual" allowBlank="1" showInputMessage="1" showErrorMessage="1" sqref="F1:F1048576 I1:I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J1:J5 J44:J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K1:K5 K44:K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allowBlank="1" showInputMessage="1" showErrorMessage="1" sqref="D24" xr:uid="{4E0B2050-2598-41F4-8403-7A885E10F998}">
      <formula1>0</formula1>
      <formula2>50</formula2>
    </dataValidation>
    <dataValidation type="whole" operator="greaterThan" allowBlank="1" showInputMessage="1" showErrorMessage="1" sqref="D23" xr:uid="{089804A9-ACF5-4872-A521-C93C5BFAD775}">
      <formula1>0</formula1>
    </dataValidation>
  </dataValidations>
  <pageMargins left="0.7" right="0.7" top="0.75" bottom="0.75" header="0.3" footer="0.3"/>
  <pageSetup paperSize="9" orientation="portrait" r:id="rId1"/>
  <headerFooter>
    <oddFooter>&amp;C_x000D_&amp;1#&amp;"Arial"&amp;9&amp;K000000 Internal</oddFooter>
  </headerFooter>
  <ignoredErrors>
    <ignoredError sqref="K6:K43" unlocked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F6751DE-26CA-B74C-BDBC-B6F3B2A1237D}">
          <x14:formula1>
            <xm:f>MD!$S$1:$S$3</xm:f>
          </x14:formula1>
          <xm:sqref>D22</xm:sqref>
        </x14:dataValidation>
        <x14:dataValidation type="list" allowBlank="1" showInputMessage="1" showErrorMessage="1" xr:uid="{7637CD4B-212B-479E-AA42-FD7DD051ADFE}">
          <x14:formula1>
            <xm:f>IF(AND($D$5="Charging Station Software Stack",COUNTA($F$7:$J$43)=0),MD!$E$1:$E$3,MD!$E$1:$E$2)</xm:f>
          </x14:formula1>
          <xm:sqref>G6</xm:sqref>
        </x14:dataValidation>
        <x14:dataValidation type="list" allowBlank="1" showInputMessage="1" showErrorMessage="1" xr:uid="{0A56CF00-2A71-344B-80C5-C2223A784B2C}">
          <x14:formula1>
            <xm:f>MD!$Q:$Q</xm:f>
          </x14:formula1>
          <xm:sqref>J7:J43</xm:sqref>
        </x14:dataValidation>
        <x14:dataValidation type="list" allowBlank="1" showInputMessage="1" showErrorMessage="1" xr:uid="{138961A6-F954-4258-9617-BAF8BF8917EB}">
          <x14:formula1>
            <xm:f>MD!$Q$1:$Q$33</xm:f>
          </x14:formula1>
          <xm:sqref>J6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7"/>
  <sheetViews>
    <sheetView showGridLines="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44" t="s">
        <v>133</v>
      </c>
      <c r="C1" s="344"/>
      <c r="D1" s="344"/>
    </row>
    <row r="2" spans="2:5" ht="38.25" customHeight="1" x14ac:dyDescent="0.25"/>
    <row r="3" spans="2:5" ht="16.5" thickBot="1" x14ac:dyDescent="0.3">
      <c r="B3" s="7" t="s">
        <v>134</v>
      </c>
      <c r="C3" s="11" t="s">
        <v>87</v>
      </c>
      <c r="D3" s="8" t="s">
        <v>135</v>
      </c>
    </row>
    <row r="4" spans="2:5" ht="41.25" customHeight="1" thickBot="1" x14ac:dyDescent="0.3">
      <c r="B4" s="9" t="s">
        <v>136</v>
      </c>
      <c r="C4" s="39" t="s">
        <v>16</v>
      </c>
      <c r="D4" s="9" t="s">
        <v>137</v>
      </c>
      <c r="E4" s="91" t="str">
        <f>IF(ISBLANK(C4),"&lt;---- This field cannot be left empty!",IF(AND(C4 &lt;&gt; "Yes", C4 &lt;&gt; "No"),"&lt;---- This field must be filled from the drop-down menu", ""))</f>
        <v/>
      </c>
    </row>
    <row r="5" spans="2:5" ht="41.25" customHeight="1" thickBot="1" x14ac:dyDescent="0.3">
      <c r="B5" s="10" t="s">
        <v>138</v>
      </c>
      <c r="C5" s="34" t="s">
        <v>21</v>
      </c>
      <c r="D5" s="10" t="s">
        <v>139</v>
      </c>
      <c r="E5" s="91" t="str">
        <f t="shared" ref="E5:E7" si="0">IF(ISBLANK(C5),"&lt;---- This field cannot be left empty!",IF(AND(C5 &lt;&gt; "Yes", C5 &lt;&gt; "No"),"&lt;---- This field must be filled from the drop-down menu", ""))</f>
        <v/>
      </c>
    </row>
    <row r="6" spans="2:5" ht="41.25" customHeight="1" thickBot="1" x14ac:dyDescent="0.3">
      <c r="B6" s="9" t="s">
        <v>141</v>
      </c>
      <c r="C6" s="160" t="s">
        <v>21</v>
      </c>
      <c r="D6" s="9" t="s">
        <v>142</v>
      </c>
      <c r="E6" s="91" t="str">
        <f t="shared" si="0"/>
        <v/>
      </c>
    </row>
    <row r="7" spans="2:5" ht="41.25" customHeight="1" thickBot="1" x14ac:dyDescent="0.3">
      <c r="B7" s="159" t="s">
        <v>146</v>
      </c>
      <c r="C7" s="161" t="s">
        <v>21</v>
      </c>
      <c r="D7" s="159" t="s">
        <v>147</v>
      </c>
      <c r="E7" s="91" t="str">
        <f t="shared" si="0"/>
        <v/>
      </c>
    </row>
  </sheetData>
  <sheetProtection algorithmName="SHA-512" hashValue="TckVPzPvdL9oiVzDM3q1On47lsigB8OJNyh4ROnzrTEp4z3H1H1zuP6vWRmOfoyqNHUHbdpv/rZwA+hpgEf0GQ==" saltValue="gkFMjymqsz2RGmdXgZEIiw==" spinCount="100000" sheet="1" objects="1" scenarios="1"/>
  <mergeCells count="1">
    <mergeCell ref="B1:D1"/>
  </mergeCells>
  <dataValidations count="1">
    <dataValidation type="list" showInputMessage="1" showErrorMessage="1" sqref="C5:C7" xr:uid="{37913597-F0A1-49EC-BB4F-CCEB808C1C5E}">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140"/>
  <sheetViews>
    <sheetView showGridLines="0" zoomScaleNormal="100" workbookViewId="0">
      <selection activeCell="D6" sqref="D6"/>
    </sheetView>
  </sheetViews>
  <sheetFormatPr defaultColWidth="28.125" defaultRowHeight="15.75" outlineLevelRow="1" x14ac:dyDescent="0.25"/>
  <cols>
    <col min="1" max="1" width="14.125" customWidth="1"/>
    <col min="2" max="2" width="8" style="208" customWidth="1"/>
    <col min="3" max="3" width="102.625" bestFit="1" customWidth="1"/>
    <col min="4" max="4" width="51.125" style="6" bestFit="1" customWidth="1"/>
    <col min="5" max="5" width="33.125" customWidth="1"/>
    <col min="6" max="6" width="8.5" bestFit="1" customWidth="1"/>
  </cols>
  <sheetData>
    <row r="1" spans="2:6" ht="32.85" customHeight="1" x14ac:dyDescent="0.35">
      <c r="B1" s="349" t="s">
        <v>34</v>
      </c>
      <c r="C1" s="349"/>
      <c r="D1" s="349"/>
      <c r="E1" s="194" t="s">
        <v>35</v>
      </c>
      <c r="F1" s="88" t="str">
        <f>IF(_xlfn.CONCAT(E4,E6:E47,F49:F75,E83:E111,E114:E140,E81)="","VALID","INVALID")</f>
        <v>INVALID</v>
      </c>
    </row>
    <row r="2" spans="2:6" ht="86.25" customHeight="1" x14ac:dyDescent="0.35">
      <c r="B2" s="260"/>
      <c r="C2" s="348" t="s">
        <v>1178</v>
      </c>
      <c r="D2" s="348"/>
      <c r="E2" s="194" t="s">
        <v>1029</v>
      </c>
      <c r="F2" s="88" t="str">
        <f>'Statement of Approval'!$I$2</f>
        <v>INVALID</v>
      </c>
    </row>
    <row r="3" spans="2:6" ht="24" customHeight="1" x14ac:dyDescent="0.25"/>
    <row r="4" spans="2:6" x14ac:dyDescent="0.25">
      <c r="B4" s="261" t="s">
        <v>13</v>
      </c>
      <c r="C4" s="262" t="s">
        <v>985</v>
      </c>
      <c r="D4" s="263" t="s">
        <v>956</v>
      </c>
      <c r="E4" s="43" t="str">
        <f>IF(NOT(AND(VLOOKUP("C-01",'Optional features'!B:D,3,FALSE)="Yes",VLOOKUP("C-30",'Optional features'!B:D,3,FALSE)="No",VLOOKUP("C-31",'Optional features'!B:D,3,FALSE)="No",VLOOKUP("C-32",'Optional features'!B:D,3,FALSE)="No",VLOOKUP("C-34",'Optional features'!B:D,3,FALSE)="No")),"","C-01: missing (at least) 1 local authorization option")</f>
        <v/>
      </c>
    </row>
    <row r="5" spans="2:6" x14ac:dyDescent="0.25">
      <c r="B5" s="217" t="s">
        <v>39</v>
      </c>
      <c r="C5" s="218" t="str">
        <f>VLOOKUP(B5,'HIDDEN features'!A:D,3,FALSE)</f>
        <v>Support for offline authorization of transactions</v>
      </c>
      <c r="D5" s="234" t="str">
        <f>IF(OR(VLOOKUP("C-35",'Optional features'!B:D,3,FALSE)="Yes",AND(OR(VLOOKUP("LA-0",'Optional features'!B:D,3,FALSE)="Yes",VLOOKUP("C-49",'Optional features'!B:D,3,FALSE)="Yes"),OR(VLOOKUP("C-30",'Optional features'!B:D,3,FALSE)="Yes",VLOOKUP("C-31",'Optional features'!B:D,3,FALSE)="Yes",VLOOKUP("C-32",'Optional features'!B:D,3,FALSE)="Yes",VLOOKUP("C-34",'Optional features'!B:D,3,FALSE)="Yes")),AND(VLOOKUP("C-02",'Optional features'!B:D,3,FALSE)="Yes",OR(VLOOKUP("C-30",'Optional features'!B:D,3,FALSE)="Yes",VLOOKUP("C-31",'Optional features'!B:D,3,FALSE)="Yes",VLOOKUP("C-32",'Optional features'!B:D,3,FALSE)="Yes",VLOOKUP("C-33",'Optional features'!B:D,3,FALSE)="Yes",VLOOKUP("C-34",'Optional features'!B:D,3,FALSE)="Yes"))),"Yes","No")</f>
        <v>No</v>
      </c>
      <c r="E5" t="s">
        <v>1786</v>
      </c>
    </row>
    <row r="6" spans="2:6" x14ac:dyDescent="0.25">
      <c r="B6" s="228" t="s">
        <v>40</v>
      </c>
      <c r="C6" s="229" t="str">
        <f>VLOOKUP(B6,'HIDDEN features'!A:D,3,FALSE)</f>
        <v>Support for allowing Offline Authorization for Unknown Ids (OfflineTxForUnknownIdEnabled)</v>
      </c>
      <c r="D6" s="35" t="s">
        <v>21</v>
      </c>
      <c r="E6" s="91" t="str">
        <f>IF(AND(VLOOKUP("C-01",'Optional features'!B:D,3,FALSE)="No",VLOOKUP("C-02",'Optional features'!B:D,3,FALSE)="Yes"),"&lt;-- C-02 cannot be Yes, when no local authorization method is supported",IF(AND(NOT(ISBLANK(B6)),ISBLANK(D6)),"&lt;---- This field cannot be left empty!",IF(AND(D6 &lt;&gt; "Yes", D6 &lt;&gt; "No"),"&lt;---- This field must be filled from the drop-down menu", "")))</f>
        <v/>
      </c>
    </row>
    <row r="7" spans="2:6" x14ac:dyDescent="0.25">
      <c r="B7" s="217" t="s">
        <v>41</v>
      </c>
      <c r="C7" s="218" t="str">
        <f>VLOOKUP(B7,'HIDDEN features'!A:D,3,FALSE)</f>
        <v>Support for maximizing energy for invalid ids (MaxEnergyOnInvalidId)</v>
      </c>
      <c r="D7" s="36" t="s">
        <v>21</v>
      </c>
      <c r="E7" s="91" t="str">
        <f>IF(AND(NOT(ISBLANK(B7)),ISBLANK(D7)),"&lt;---- This field cannot be left empty!",IF(AND(D7 &lt;&gt; "Yes", D7 &lt;&gt; "No"),"&lt;---- This field must be filled from the drop-down menu", ""))</f>
        <v/>
      </c>
    </row>
    <row r="8" spans="2:6" x14ac:dyDescent="0.25">
      <c r="B8" s="228" t="s">
        <v>42</v>
      </c>
      <c r="C8" s="229" t="str">
        <f>VLOOKUP(B8,'HIDDEN features'!A:D,3,FALSE)</f>
        <v>Support to limit StatusNotifications (MinimumStatusDuration)</v>
      </c>
      <c r="D8" s="35" t="s">
        <v>21</v>
      </c>
      <c r="E8" s="91" t="str">
        <f>IF(AND(NOT(ISBLANK(B8)),ISBLANK(D8)),"&lt;---- This field cannot be left empty!",IF(AND(D8 &lt;&gt; "Yes", D8 &lt;&gt; "No"),"&lt;---- This field must be filled from the drop-down menu", ""))</f>
        <v/>
      </c>
    </row>
    <row r="9" spans="2:6" x14ac:dyDescent="0.25">
      <c r="B9" s="217" t="s">
        <v>43</v>
      </c>
      <c r="C9" s="218" t="str">
        <f>VLOOKUP(B9,'HIDDEN features'!A:D,3,FALSE)</f>
        <v>Authorization status after cable disconnected on EV side (StopTxOnEVSideDisconnect)</v>
      </c>
      <c r="D9" s="216" t="str">
        <f>VLOOKUP(B9,'HIDDEN features'!A:D,4,FALSE)</f>
        <v>(At least one of the suboptions below is required)</v>
      </c>
      <c r="E9" s="43" t="str">
        <f>IF(AND(D10="No",D11="No"),"&lt;-- Please select at least one option from C-06.1 and C-06.2","")</f>
        <v/>
      </c>
    </row>
    <row r="10" spans="2:6" x14ac:dyDescent="0.25">
      <c r="B10" s="209" t="s">
        <v>44</v>
      </c>
      <c r="C10" s="210" t="str">
        <f>VLOOKUP(B10,'HIDDEN features'!A:D,3,FALSE)</f>
        <v>Support for maintaining authorization when cable disconnected on EV side</v>
      </c>
      <c r="D10" s="35" t="s">
        <v>21</v>
      </c>
      <c r="E10" s="91" t="str">
        <f>IF(AND(NOT(ISBLANK(B11)),ISBLANK(D11)),"&lt;---- This field cannot be left empty!",IF(AND(D10="Yes",D11="No",D28="Yes",D29="No"),"&lt;---- The values C-06.1=Yes and C-06.2=No with C-12.1=Yes and C12.2=No, is not a valid combination.",IF(AND(D10 &lt;&gt; "Yes", D10 &lt;&gt; "No"),"&lt;---- This field must be filled from the drop-down menu", "")))</f>
        <v/>
      </c>
    </row>
    <row r="11" spans="2:6" x14ac:dyDescent="0.25">
      <c r="B11" s="211" t="s">
        <v>45</v>
      </c>
      <c r="C11" s="212" t="str">
        <f>VLOOKUP(B11,'HIDDEN features'!A:D,3,FALSE)</f>
        <v>Support for not maintaining authorization when cable disconnected on EV side</v>
      </c>
      <c r="D11" s="36" t="s">
        <v>16</v>
      </c>
      <c r="E11" s="91" t="str">
        <f>IF(AND(NOT(ISBLANK(B11)),ISBLANK(D11)),"&lt;---- This field cannot be left empty!",IF(AND(D11 &lt;&gt; "Yes", D11 &lt;&gt; "No"),"&lt;---- This field must be filled from the drop-down menu", ""))</f>
        <v/>
      </c>
    </row>
    <row r="12" spans="2:6" x14ac:dyDescent="0.25">
      <c r="B12" s="228" t="s">
        <v>46</v>
      </c>
      <c r="C12" s="229" t="str">
        <f>VLOOKUP(B12,'HIDDEN features'!A:D,3,FALSE)</f>
        <v>Support for using a Master Pass for charging stations with UI (MasterPassGroupId)</v>
      </c>
      <c r="D12" s="35" t="s">
        <v>16</v>
      </c>
      <c r="E12" s="91" t="str">
        <f t="shared" ref="E12:E13" si="0">IF(AND(NOT(ISBLANK(B12)),ISBLANK(D12)),"&lt;---- This field cannot be left empty!",IF(AND(D12 &lt;&gt; "Yes", D12 &lt;&gt; "No"),"&lt;---- This field must be filled from the drop-down menu", ""))</f>
        <v/>
      </c>
    </row>
    <row r="13" spans="2:6" x14ac:dyDescent="0.25">
      <c r="B13" s="217" t="s">
        <v>47</v>
      </c>
      <c r="C13" s="218" t="str">
        <f>VLOOKUP(B13,'HIDDEN features'!A:D,3,FALSE)</f>
        <v>Support for using a Master Pass for charging stations without UI (MasterPassGroupId)</v>
      </c>
      <c r="D13" s="36" t="s">
        <v>21</v>
      </c>
      <c r="E13" s="91" t="str">
        <f t="shared" si="0"/>
        <v/>
      </c>
    </row>
    <row r="14" spans="2:6" x14ac:dyDescent="0.25">
      <c r="B14" s="228" t="s">
        <v>48</v>
      </c>
      <c r="C14" s="229" t="str">
        <f>VLOOKUP(B14,'HIDDEN features'!A:D,3,FALSE)</f>
        <v>Supported Transaction Start points (TxStartPoint)</v>
      </c>
      <c r="D14" s="238" t="str">
        <f>VLOOKUP(B14,'HIDDEN features'!A:D,4,FALSE)</f>
        <v>(At least one of the suboptions below is required)</v>
      </c>
      <c r="E14" s="43" t="str">
        <f>IF(AND(D15="No",D16="No",D17="No",D18="No",D19="No",D20="No"),"&lt;-- Please select at least one TxStartPoint","")</f>
        <v/>
      </c>
    </row>
    <row r="15" spans="2:6" outlineLevel="1" x14ac:dyDescent="0.25">
      <c r="B15" s="211" t="s">
        <v>49</v>
      </c>
      <c r="C15" s="212" t="str">
        <f>VLOOKUP(B15,'HIDDEN features'!A:D,3,FALSE)</f>
        <v>Start transaction options - EVConnected</v>
      </c>
      <c r="D15" s="36" t="s">
        <v>21</v>
      </c>
      <c r="E15" s="43" t="str">
        <f>IF(VLOOKUP("C-09.1",'Optional features'!B:E,3,FALSE)="No","",IF(NOT(AND(VLOOKUP("C-51",'Optional features'!B:E,3,FALSE)="No",VLOOKUP("C-09.1",'Optional features'!B:E,3,FALSE)="Yes",VLOOKUP("C-09.6",'Optional features'!B:E,3,FALSE)="Yes")),IF(AND(D15 &lt;&gt; "Yes", D15 &lt;&gt; "No"),"&lt;---- This field must be filled from the drop-down menu", ""),"&lt;-- the combination of TxStartPoints seems invalid (taking into account that C-51 = No)"))</f>
        <v/>
      </c>
    </row>
    <row r="16" spans="2:6" outlineLevel="1" x14ac:dyDescent="0.25">
      <c r="B16" s="209" t="s">
        <v>50</v>
      </c>
      <c r="C16" s="210" t="str">
        <f>VLOOKUP(B16,'HIDDEN features'!A:D,3,FALSE)</f>
        <v>Start transaction options - Authorized</v>
      </c>
      <c r="D16" s="35" t="s">
        <v>21</v>
      </c>
      <c r="E16" s="43" t="str">
        <f>IF(VLOOKUP("C-09.2",'Optional features'!B:E,3,FALSE)="No","",IF(NOT(AND(VLOOKUP("C-51",'Optional features'!B:E,3,FALSE)="No",VLOOKUP("C-09.2",'Optional features'!B:E,3,FALSE)="Yes",VLOOKUP("C-09.6",'Optional features'!B:E,3,FALSE)="Yes")),IF(AND(D16 &lt;&gt; "Yes", D16 &lt;&gt; "No"),"&lt;---- This field must be filled from the drop-down menu", ""),"&lt;-- the combination of TxStartPoints seems invalid (taking into account that C-51 = No)"))</f>
        <v/>
      </c>
    </row>
    <row r="17" spans="2:5" outlineLevel="1" x14ac:dyDescent="0.25">
      <c r="B17" s="211" t="s">
        <v>51</v>
      </c>
      <c r="C17" s="212" t="str">
        <f>VLOOKUP(B17,'HIDDEN features'!A:D,3,FALSE)</f>
        <v>Start transaction options - DataSigned</v>
      </c>
      <c r="D17" s="36" t="s">
        <v>21</v>
      </c>
      <c r="E17" s="43" t="str">
        <f>IF(OR(VLOOKUP("C-09.3",'Optional features'!B:E,3,FALSE)="No",VLOOKUP("C-51",'Optional features'!B:E,3,FALSE)="Yes"),"",IF(NOT(AND(VLOOKUP("C-51",'Optional features'!B:E,3,FALSE)="No",VLOOKUP("C-09.3",'Optional features'!B:E,3,FALSE)="Yes",VLOOKUP("C-09.1",'Optional features'!B:E,3,FALSE)="No",VLOOKUP("C-09.2",'Optional features'!B:E,3,FALSE)="No",VLOOKUP("C-09.6",'Optional features'!B:E,3,FALSE)="No")),"&lt;-- the combination of TxStartPoints seems invalid (taking into account that C-51 = No)",IF(AND(D17 &lt;&gt; "Yes", D17 &lt;&gt; "No"),"&lt;---- This field must be filled from the drop-down menu", "")))</f>
        <v/>
      </c>
    </row>
    <row r="18" spans="2:5" outlineLevel="1" x14ac:dyDescent="0.25">
      <c r="B18" s="209" t="s">
        <v>52</v>
      </c>
      <c r="C18" s="210" t="str">
        <f>VLOOKUP(B18,'HIDDEN features'!A:D,3,FALSE)</f>
        <v>Start transaction options - PowerPathClosed</v>
      </c>
      <c r="D18" s="35" t="s">
        <v>16</v>
      </c>
      <c r="E18" s="43" t="str">
        <f>IF(OR(VLOOKUP("C-09.4",'Optional features'!B:E,3,FALSE)="No",VLOOKUP("C-51",'Optional features'!B:E,3,FALSE)="Yes"),"",IF(NOT(AND(VLOOKUP("C-51",'Optional features'!B:E,3,FALSE)="No",VLOOKUP("C-09.4",'Optional features'!B:E,3,FALSE)="Yes",VLOOKUP("C-09.1",'Optional features'!B:E,3,FALSE)="No",VLOOKUP("C-09.2",'Optional features'!B:E,3,FALSE)="No",VLOOKUP("C-09.6",'Optional features'!B:E,3,FALSE)="No")),"&lt;-- the combination of TxStartPoints seems invalid (taking into account that C-51 = No)",IF(AND(D18 &lt;&gt; "Yes", D18 &lt;&gt; "No"),"&lt;---- This field must be filled from the drop-down menu", "")))</f>
        <v/>
      </c>
    </row>
    <row r="19" spans="2:5" outlineLevel="1" x14ac:dyDescent="0.25">
      <c r="B19" s="211" t="s">
        <v>53</v>
      </c>
      <c r="C19" s="212" t="str">
        <f>VLOOKUP(B19,'HIDDEN features'!A:D,3,FALSE)</f>
        <v>Start transaction options - EnergyTransfer</v>
      </c>
      <c r="D19" s="36" t="s">
        <v>21</v>
      </c>
      <c r="E19" s="43" t="str">
        <f>IF(OR(VLOOKUP("C-09.5",'Optional features'!B:E,3,FALSE)="No",VLOOKUP("C-51",'Optional features'!B:E,3,FALSE)="Yes"),"",IF(NOT(AND(VLOOKUP("C-51",'Optional features'!B:E,3,FALSE)="No",VLOOKUP("C-09.5",'Optional features'!B:E,3,FALSE)="Yes",VLOOKUP("C-09.1",'Optional features'!B:E,3,FALSE)="No",VLOOKUP("C-09.2",'Optional features'!B:E,3,FALSE)="No",VLOOKUP("C-09.3",'Optional features'!B:E,3,FALSE)="No",VLOOKUP("C-09.4",'Optional features'!B:E,3,FALSE)="No",VLOOKUP("C-09.6",'Optional features'!B:E,3,FALSE)="No")),"&lt;-- the combination of TxStartPoints seems invalid (taking into account that C-51 = No)",IF(AND(D19 &lt;&gt; "Yes", D19 &lt;&gt; "No"),"&lt;---- This field must be filled from the drop-down menu", "")))</f>
        <v/>
      </c>
    </row>
    <row r="20" spans="2:5" outlineLevel="1" x14ac:dyDescent="0.25">
      <c r="B20" s="209" t="s">
        <v>54</v>
      </c>
      <c r="C20" s="210" t="str">
        <f>VLOOKUP(B20,'HIDDEN features'!A:D,3,FALSE)</f>
        <v>Start transaction options - ParkingBayOccupancy</v>
      </c>
      <c r="D20" s="35" t="s">
        <v>21</v>
      </c>
      <c r="E20" s="91" t="str">
        <f>IF(AND(NOT(ISBLANK(B20)),ISBLANK(D20)),"&lt;---- This field cannot be left empty!",IF(AND(D20 &lt;&gt; "Yes", D20 &lt;&gt; "No"),"&lt;---- This field must be filled from the drop-down menu", ""))</f>
        <v/>
      </c>
    </row>
    <row r="21" spans="2:5" x14ac:dyDescent="0.25">
      <c r="B21" s="217" t="s">
        <v>55</v>
      </c>
      <c r="C21" s="218" t="str">
        <f>VLOOKUP(B21,'HIDDEN features'!A:D,3,FALSE)</f>
        <v>Supported Transaction Stop points (TxStopPoint)</v>
      </c>
      <c r="D21" s="216" t="str">
        <f>VLOOKUP(B21,'HIDDEN features'!A:D,4,FALSE)</f>
        <v>(At least one of the suboptions below is required)</v>
      </c>
      <c r="E21" s="43" t="str">
        <f>IF(AND(D22="No",D23="No",D24="No",D25="No",D26="No"),"&lt;-- Please select at least one TxStopPoint","")</f>
        <v/>
      </c>
    </row>
    <row r="22" spans="2:5" outlineLevel="1" x14ac:dyDescent="0.25">
      <c r="B22" s="209" t="s">
        <v>56</v>
      </c>
      <c r="C22" s="210" t="str">
        <f>VLOOKUP(B22,'HIDDEN features'!A:D,3,FALSE)</f>
        <v>Stop transaction options - EVConnected</v>
      </c>
      <c r="D22" s="35" t="s">
        <v>16</v>
      </c>
      <c r="E22" s="43" t="str">
        <f>IF(OR(VLOOKUP("C-10.1",'Optional features'!B:E,3,FALSE)="No",VLOOKUP("C-52",'Optional features'!B:E,3,FALSE)="Yes"),"",IF(NOT(AND(VLOOKUP("C-52",'Optional features'!B:E,3,FALSE)="No",VLOOKUP("C-10.1",'Optional features'!B:E,3,FALSE)="Yes",VLOOKUP("C-10.4",'Optional features'!B:E,3,FALSE)="No")),"&lt;-- the combination of TxStopPoints seems invalid (taking into account that C-52 = No)",IF(AND(D22 &lt;&gt; "Yes", D22 &lt;&gt; "No"),"&lt;---- This field must be filled from the drop-down menu", "")))</f>
        <v/>
      </c>
    </row>
    <row r="23" spans="2:5" outlineLevel="1" x14ac:dyDescent="0.25">
      <c r="B23" s="211" t="s">
        <v>57</v>
      </c>
      <c r="C23" s="212" t="str">
        <f>VLOOKUP(B23,'HIDDEN features'!A:D,3,FALSE)</f>
        <v>Stop transaction options - Authorized</v>
      </c>
      <c r="D23" s="36" t="s">
        <v>16</v>
      </c>
      <c r="E23" s="43" t="str">
        <f>IF(AND(D23 &lt;&gt; "Yes", D23 &lt;&gt; "No"),"&lt;---- This field must be filled from the drop-down menu", "")</f>
        <v/>
      </c>
    </row>
    <row r="24" spans="2:5" outlineLevel="1" x14ac:dyDescent="0.25">
      <c r="B24" s="209" t="s">
        <v>58</v>
      </c>
      <c r="C24" s="210" t="str">
        <f>VLOOKUP(B24,'HIDDEN features'!A:D,3,FALSE)</f>
        <v>Stop transaction options - PowerPathClosed</v>
      </c>
      <c r="D24" s="35" t="s">
        <v>21</v>
      </c>
      <c r="E24" s="43" t="str">
        <f t="shared" ref="E24:E25" si="1">IF(AND(D24 &lt;&gt; "Yes", D24 &lt;&gt; "No"),"&lt;---- This field must be filled from the drop-down menu", "")</f>
        <v/>
      </c>
    </row>
    <row r="25" spans="2:5" outlineLevel="1" x14ac:dyDescent="0.25">
      <c r="B25" s="211" t="s">
        <v>59</v>
      </c>
      <c r="C25" s="212" t="str">
        <f>VLOOKUP(B25,'HIDDEN features'!A:D,3,FALSE)</f>
        <v>Stop transaction options - EnergyTransfer</v>
      </c>
      <c r="D25" s="36" t="s">
        <v>21</v>
      </c>
      <c r="E25" s="43" t="str">
        <f t="shared" si="1"/>
        <v/>
      </c>
    </row>
    <row r="26" spans="2:5" outlineLevel="1" x14ac:dyDescent="0.25">
      <c r="B26" s="209" t="s">
        <v>60</v>
      </c>
      <c r="C26" s="210" t="str">
        <f>VLOOKUP(B26,'HIDDEN features'!A:D,3,FALSE)</f>
        <v>Stop transaction options - ParkingBayOccupancy</v>
      </c>
      <c r="D26" s="35" t="s">
        <v>21</v>
      </c>
      <c r="E26" s="43" t="str">
        <f>IF(OR(VLOOKUP("C-10.5",'Optional features'!B:E,3,FALSE)="No",VLOOKUP("C-52",'Optional features'!B:E,3,FALSE)="Yes"),"",IF(NOT(AND(VLOOKUP("C-52",'Optional features'!B:E,3,FALSE)="No",VLOOKUP("C-10.5",'Optional features'!B:E,3,FALSE)="Yes",VLOOKUP("C-10.1",'Optional features'!B:E,3,FALSE)="No",VLOOKUP("C-10.2",'Optional features'!B:E,3,FALSE)="No",VLOOKUP("C-10.3",'Optional features'!B:E,3,FALSE)="No",VLOOKUP("C-10.4",'Optional features'!B:E,3,FALSE)="No")),"&lt;-- the combination of TxStopPoints seems invalid (taking into account that C-52 = No)",IF(AND(D26 &lt;&gt; "Yes", D26 &lt;&gt; "No"),"&lt;---- This field must be filled from the drop-down menu", "")))</f>
        <v/>
      </c>
    </row>
    <row r="27" spans="2:5" x14ac:dyDescent="0.25">
      <c r="B27" s="217" t="s">
        <v>61</v>
      </c>
      <c r="C27" s="218" t="str">
        <f>VLOOKUP(B27,'HIDDEN features'!A:D,3,FALSE)</f>
        <v>Unlocking of connector when cable disconnected on EV side (UnlockOnEVSideDisconnect)</v>
      </c>
      <c r="D27" s="216" t="str">
        <f>VLOOKUP(B27,'HIDDEN features'!A:D,4,FALSE)</f>
        <v>(At least one of the suboptions below is required)</v>
      </c>
      <c r="E27" s="43" t="str">
        <f>IF(AND(D28="No",D29="No"),"&lt;-- Please select at least one option from C-12.1 and C-12.2","")</f>
        <v/>
      </c>
    </row>
    <row r="28" spans="2:5" outlineLevel="1" x14ac:dyDescent="0.25">
      <c r="B28" s="209" t="s">
        <v>62</v>
      </c>
      <c r="C28" s="210" t="str">
        <f>VLOOKUP(B28,'HIDDEN features'!A:D,3,FALSE)</f>
        <v>Support for unlocking connector when cable disconnected on EV side</v>
      </c>
      <c r="D28" s="35" t="s">
        <v>16</v>
      </c>
      <c r="E28" s="91" t="str">
        <f>IF(AND(D28="Yes",'Hardware Feature set'!D13="No"),"&lt;--- Support for unlocking a connector requires a Detachable Cable", IF(AND(NOT(ISBLANK(B28)),ISBLANK(D28)),"&lt;---- This field cannot be left empty!",IF(AND(D28 &lt;&gt; "Yes", D28 &lt;&gt; "No"),"&lt;---- This field must be filled from the drop-down menu", "")))</f>
        <v>&lt;--- Support for unlocking a connector requires a Detachable Cable</v>
      </c>
    </row>
    <row r="29" spans="2:5" outlineLevel="1" x14ac:dyDescent="0.25">
      <c r="B29" s="211" t="s">
        <v>63</v>
      </c>
      <c r="C29" s="212" t="str">
        <f>VLOOKUP(B29,'HIDDEN features'!A:D,3,FALSE)</f>
        <v>Support for not unlocking when cable disconnected on EV side</v>
      </c>
      <c r="D29" s="36" t="s">
        <v>16</v>
      </c>
      <c r="E29" s="91" t="str">
        <f t="shared" ref="E29:E33" si="2">IF(AND(NOT(ISBLANK(B29)),ISBLANK(D29)),"&lt;---- This field cannot be left empty!",IF(AND(D29 &lt;&gt; "Yes", D29 &lt;&gt; "No"),"&lt;---- This field must be filled from the drop-down menu", ""))</f>
        <v/>
      </c>
    </row>
    <row r="30" spans="2:5" x14ac:dyDescent="0.25">
      <c r="B30" s="228" t="s">
        <v>64</v>
      </c>
      <c r="C30" s="229" t="str">
        <f>VLOOKUP(B30,'HIDDEN features'!A:D,3,FALSE)</f>
        <v>Support for Reset per EVSE (AllowReset)</v>
      </c>
      <c r="D30" s="35" t="s">
        <v>21</v>
      </c>
      <c r="E30" s="91" t="str">
        <f t="shared" si="2"/>
        <v/>
      </c>
    </row>
    <row r="31" spans="2:5" x14ac:dyDescent="0.25">
      <c r="B31" s="217" t="s">
        <v>65</v>
      </c>
      <c r="C31" s="218" t="str">
        <f>VLOOKUP(B31,'HIDDEN features'!A:D,3,FALSE)</f>
        <v>Support for retrieving / deleting CustomerInformation - CustomerIdentifier</v>
      </c>
      <c r="D31" s="36" t="s">
        <v>21</v>
      </c>
      <c r="E31" s="91" t="str">
        <f t="shared" si="2"/>
        <v/>
      </c>
    </row>
    <row r="32" spans="2:5" x14ac:dyDescent="0.25">
      <c r="B32" s="228" t="s">
        <v>66</v>
      </c>
      <c r="C32" s="229" t="str">
        <f>VLOOKUP(B32,'HIDDEN features'!A:D,3,FALSE)</f>
        <v>Allowing New Sessions Pending a FirmwareUpdate (AllowNewSessionsPendingFirmwareUpdate )</v>
      </c>
      <c r="D32" s="35" t="s">
        <v>16</v>
      </c>
      <c r="E32" s="91" t="str">
        <f t="shared" si="2"/>
        <v/>
      </c>
    </row>
    <row r="33" spans="2:5" x14ac:dyDescent="0.25">
      <c r="B33" s="217" t="s">
        <v>67</v>
      </c>
      <c r="C33" s="218" t="str">
        <f>VLOOKUP(B33,'HIDDEN features'!A:D,3,FALSE)</f>
        <v>Support for queuing all or only Transaction related messages until they are delivered to the CSMS (QueueAllMessages)</v>
      </c>
      <c r="D33" s="36" t="s">
        <v>21</v>
      </c>
      <c r="E33" s="91" t="str">
        <f t="shared" si="2"/>
        <v/>
      </c>
    </row>
    <row r="34" spans="2:5" x14ac:dyDescent="0.25">
      <c r="B34" s="228" t="s">
        <v>68</v>
      </c>
      <c r="C34" s="229"/>
      <c r="D34" s="238" t="s">
        <v>36</v>
      </c>
      <c r="E34" s="91" t="str">
        <f t="shared" ref="E34:E38" si="3">IF(AND(NOT(ISBLANK(B34)),ISBLANK(D34)),"&lt;---- This field cannot be left empty!","")</f>
        <v/>
      </c>
    </row>
    <row r="35" spans="2:5" x14ac:dyDescent="0.25">
      <c r="B35" s="217" t="s">
        <v>69</v>
      </c>
      <c r="C35" s="218" t="str">
        <f>VLOOKUP(B35,'HIDDEN features'!A:D,3,FALSE)</f>
        <v>Supported time sources (TimeSource)</v>
      </c>
      <c r="D35" s="36" t="s">
        <v>913</v>
      </c>
      <c r="E35" s="91" t="str">
        <f>IF(AND(NOT(ISBLANK(B35)),ISBLANK(D35)),"&lt;---- Please enter a valid value or list of supporteded time sources (valid values are (case sensitive!): 'Heartbeat', 'NTP', 'GPS', 'RealTimeClock', 'MobileNetwork', 'RadioTimeTransmitter')",IF(NOT(ISERROR(FIND("&lt;",D35))),"&lt;---- Please enter a valid value or list of supporteded time sources (valid values are (case sensitive!): 'Heartbeat', 'NTP', 'GPS', 'RealTimeClock', 'MobileNetwork', 'RadioTimeTransmitter')",IF(ISERROR(MATCH(D35, MD!$O$1:$O$32, 0)), "&lt;---- This field must be filled from the drop-down menu", "")))</f>
        <v>&lt;---- Please enter a valid value or list of supporteded time sources (valid values are (case sensitive!): 'Heartbeat', 'NTP', 'GPS', 'RealTimeClock', 'MobileNetwork', 'RadioTimeTransmitter')</v>
      </c>
    </row>
    <row r="36" spans="2:5" x14ac:dyDescent="0.25">
      <c r="B36" s="228" t="s">
        <v>70</v>
      </c>
      <c r="C36" s="229" t="str">
        <f>VLOOKUP(B36,'HIDDEN features'!A:D,3,FALSE)</f>
        <v>Support for setting a TimeOffset (TimeOffset)</v>
      </c>
      <c r="D36" s="35" t="s">
        <v>21</v>
      </c>
      <c r="E36" s="91" t="str">
        <f>IF(AND(NOT(ISBLANK(B36)),ISBLANK(D36)),"&lt;---- This field cannot be left empty!",IF(AND(D36 &lt;&gt; "Yes", D36 &lt;&gt; "No"),"&lt;---- This field must be filled from the drop-down menu", ""))</f>
        <v/>
      </c>
    </row>
    <row r="37" spans="2:5" x14ac:dyDescent="0.25">
      <c r="B37" s="217" t="s">
        <v>71</v>
      </c>
      <c r="C37" s="218" t="str">
        <f>VLOOKUP(B37,'HIDDEN features'!A:D,3,FALSE)</f>
        <v>Support for setting the TimeZone (TimeZone)</v>
      </c>
      <c r="D37" s="36" t="s">
        <v>21</v>
      </c>
      <c r="E37" s="91" t="str">
        <f>IF(AND(NOT(ISBLANK(B37)),ISBLANK(D37)),"&lt;---- This field cannot be left empty!",IF(AND(D37 &lt;&gt; "Yes", D37 &lt;&gt; "No"),"&lt;---- This field must be filled from the drop-down menu", ""))</f>
        <v/>
      </c>
    </row>
    <row r="38" spans="2:5" x14ac:dyDescent="0.25">
      <c r="B38" s="228"/>
      <c r="C38" s="229"/>
      <c r="D38" s="238"/>
      <c r="E38" s="91" t="str">
        <f t="shared" si="3"/>
        <v/>
      </c>
    </row>
    <row r="39" spans="2:5" x14ac:dyDescent="0.25">
      <c r="B39" s="217" t="s">
        <v>72</v>
      </c>
      <c r="C39" s="218" t="str">
        <f>VLOOKUP(B39,'HIDDEN features'!A:D,3,FALSE)</f>
        <v>Toggle sending clock aligned meter values when a transaction is ongoing / Idle (AlignedDataSendDuringIdle)</v>
      </c>
      <c r="D39" s="36" t="s">
        <v>21</v>
      </c>
      <c r="E39" s="91" t="str">
        <f>IF(AND(NOT(ISBLANK(B39)),ISBLANK(D39)),"&lt;---- This field cannot be left empty!",IF(AND(D39 &lt;&gt; "Yes", D39 &lt;&gt; "No"),"&lt;---- This field must be filled from the drop-down menu", ""))</f>
        <v/>
      </c>
    </row>
    <row r="40" spans="2:5" x14ac:dyDescent="0.25">
      <c r="B40" s="228" t="s">
        <v>73</v>
      </c>
      <c r="C40" s="229" t="str">
        <f>VLOOKUP(B40,'HIDDEN features'!A:D,3,FALSE)</f>
        <v>TriggerMessage</v>
      </c>
      <c r="D40" s="238" t="str">
        <f>VLOOKUP(B40,'HIDDEN features'!A:D,4,FALSE)</f>
        <v>(Select all supported suboptions)</v>
      </c>
      <c r="E40" s="1"/>
    </row>
    <row r="41" spans="2:5" outlineLevel="1" x14ac:dyDescent="0.25">
      <c r="B41" s="211" t="s">
        <v>74</v>
      </c>
      <c r="C41" s="212" t="str">
        <f>VLOOKUP(B41,'HIDDEN features'!A:D,3,FALSE)</f>
        <v>Trigger message - MeterValues</v>
      </c>
      <c r="D41" s="36" t="s">
        <v>21</v>
      </c>
      <c r="E41" s="91" t="str">
        <f>IF(AND(NOT(ISBLANK(B41)),ISBLANK(D41)),"&lt;---- This field cannot be left empty!",IF(AND(D41 &lt;&gt; "Yes", D41 &lt;&gt; "No"),"&lt;---- This field must be filled from the drop-down menu", ""))</f>
        <v/>
      </c>
    </row>
    <row r="42" spans="2:5" outlineLevel="1" x14ac:dyDescent="0.25">
      <c r="B42" s="209" t="s">
        <v>75</v>
      </c>
      <c r="C42" s="210" t="str">
        <f>VLOOKUP(B42,'HIDDEN features'!A:D,3,FALSE)</f>
        <v>Trigger message - TransactionEvent</v>
      </c>
      <c r="D42" s="35" t="s">
        <v>21</v>
      </c>
      <c r="E42" s="91" t="str">
        <f t="shared" ref="E42:E46" si="4">IF(AND(NOT(ISBLANK(B42)),ISBLANK(D42)),"&lt;---- This field cannot be left empty!",IF(AND(D42 &lt;&gt; "Yes", D42 &lt;&gt; "No"),"&lt;---- This field must be filled from the drop-down menu", ""))</f>
        <v/>
      </c>
    </row>
    <row r="43" spans="2:5" outlineLevel="1" x14ac:dyDescent="0.25">
      <c r="B43" s="211" t="s">
        <v>76</v>
      </c>
      <c r="C43" s="212" t="str">
        <f>VLOOKUP(B43,'HIDDEN features'!A:D,3,FALSE)</f>
        <v>Trigger message - LogStatusNotification</v>
      </c>
      <c r="D43" s="36" t="s">
        <v>21</v>
      </c>
      <c r="E43" s="91" t="str">
        <f t="shared" si="4"/>
        <v/>
      </c>
    </row>
    <row r="44" spans="2:5" outlineLevel="1" x14ac:dyDescent="0.25">
      <c r="B44" s="209" t="s">
        <v>77</v>
      </c>
      <c r="C44" s="210" t="str">
        <f>VLOOKUP(B44,'HIDDEN features'!A:D,3,FALSE)</f>
        <v>Trigger message - FirmwareStatusNotification</v>
      </c>
      <c r="D44" s="35" t="s">
        <v>21</v>
      </c>
      <c r="E44" s="91" t="str">
        <f t="shared" si="4"/>
        <v/>
      </c>
    </row>
    <row r="45" spans="2:5" outlineLevel="1" x14ac:dyDescent="0.25">
      <c r="B45" s="211" t="s">
        <v>78</v>
      </c>
      <c r="C45" s="212" t="str">
        <f>VLOOKUP(B45,'HIDDEN features'!A:D,3,FALSE)</f>
        <v>Trigger message - StatusNotification</v>
      </c>
      <c r="D45" s="36" t="s">
        <v>21</v>
      </c>
      <c r="E45" s="91" t="str">
        <f t="shared" si="4"/>
        <v/>
      </c>
    </row>
    <row r="46" spans="2:5" outlineLevel="1" x14ac:dyDescent="0.25">
      <c r="B46" s="209" t="s">
        <v>79</v>
      </c>
      <c r="C46" s="210" t="str">
        <f>VLOOKUP(B46,'HIDDEN features'!A:D,3,FALSE)</f>
        <v>Trigger message - BootNotification</v>
      </c>
      <c r="D46" s="35" t="s">
        <v>21</v>
      </c>
      <c r="E46" s="91" t="str">
        <f t="shared" si="4"/>
        <v/>
      </c>
    </row>
    <row r="47" spans="2:5" x14ac:dyDescent="0.25">
      <c r="B47" s="230"/>
      <c r="C47" s="255"/>
      <c r="D47" s="256"/>
      <c r="E47" s="91" t="str">
        <f t="shared" ref="E47" si="5">IF(AND(NOT(ISBLANK(B47)),ISBLANK(D47)),"&lt;---- This field cannot be left empty!","")</f>
        <v/>
      </c>
    </row>
    <row r="48" spans="2:5" x14ac:dyDescent="0.25">
      <c r="B48" s="218"/>
      <c r="C48" s="4"/>
      <c r="D48" s="257"/>
    </row>
    <row r="49" spans="1:6" ht="30" x14ac:dyDescent="0.25">
      <c r="B49" s="258" t="s">
        <v>37</v>
      </c>
      <c r="C49" s="259" t="s">
        <v>347</v>
      </c>
      <c r="D49" s="254" t="s">
        <v>957</v>
      </c>
      <c r="E49" s="224" t="s">
        <v>958</v>
      </c>
      <c r="F49" s="91" t="str">
        <f>IF(AND(NOT(ISERROR(VLOOKUP("Yes",D50:D55,1,FALSE))),NOT(OR(AND(D50="Yes",D64="Yes"),AND(D51="Yes",D65="Yes"),AND(D55="Yes", D67="Yes")))),"Warning: without a common Local and Remote Start method, a VDoC will not be possible!", IF(AND(D50="Yes",D51="Yes"),"Warning: it is not possible to generate a VDOC when multiple RFID local start methods are supported!",""))</f>
        <v/>
      </c>
    </row>
    <row r="50" spans="1:6" x14ac:dyDescent="0.25">
      <c r="B50" s="228" t="s">
        <v>80</v>
      </c>
      <c r="C50" s="229" t="str">
        <f>VLOOKUP(B50,'HIDDEN features'!A:D,3,FALSE)</f>
        <v>Authorization - using RFID ISO14443</v>
      </c>
      <c r="D50" s="45" t="s">
        <v>21</v>
      </c>
      <c r="E50" s="35" t="s">
        <v>21</v>
      </c>
      <c r="F50" s="91" t="str">
        <f>IF(AND(NOT(ISBLANK(B50)),ISBLANK(D50)),"&lt;---- This field cannot be left empty!",IF(AND(D50 &lt;&gt; "Yes", D50 &lt;&gt; "No"),"&lt;---- This field must be filled from the drop-down menu", ""))</f>
        <v/>
      </c>
    </row>
    <row r="51" spans="1:6" x14ac:dyDescent="0.25">
      <c r="B51" s="217" t="s">
        <v>81</v>
      </c>
      <c r="C51" s="218" t="str">
        <f>VLOOKUP(B51,'HIDDEN features'!A:D,3,FALSE)</f>
        <v>Authorization - using RFID ISO15693</v>
      </c>
      <c r="D51" s="41" t="s">
        <v>21</v>
      </c>
      <c r="E51" s="36" t="s">
        <v>21</v>
      </c>
      <c r="F51" s="91" t="str">
        <f t="shared" ref="F51:F55" si="6">IF(AND(NOT(ISBLANK(B51)),ISBLANK(D51)),"&lt;---- This field cannot be left empty!",IF(AND(D51 &lt;&gt; "Yes", D51 &lt;&gt; "No"),"&lt;---- This field must be filled from the drop-down menu", ""))</f>
        <v/>
      </c>
    </row>
    <row r="52" spans="1:6" x14ac:dyDescent="0.25">
      <c r="B52" s="228" t="s">
        <v>82</v>
      </c>
      <c r="C52" s="229" t="str">
        <f>VLOOKUP(B52,'HIDDEN features'!A:D,3,FALSE)</f>
        <v>Authorization - using KeyCode</v>
      </c>
      <c r="D52" s="45" t="s">
        <v>21</v>
      </c>
      <c r="E52" s="35" t="s">
        <v>21</v>
      </c>
      <c r="F52" s="91" t="str">
        <f t="shared" si="6"/>
        <v/>
      </c>
    </row>
    <row r="53" spans="1:6" x14ac:dyDescent="0.25">
      <c r="B53" s="217" t="s">
        <v>83</v>
      </c>
      <c r="C53" s="218" t="str">
        <f>VLOOKUP(B53,'HIDDEN features'!A:D,3,FALSE)</f>
        <v>Authorization - using locally generated id</v>
      </c>
      <c r="D53" s="41" t="s">
        <v>21</v>
      </c>
      <c r="E53" s="36" t="s">
        <v>21</v>
      </c>
      <c r="F53" s="91" t="str">
        <f t="shared" si="6"/>
        <v/>
      </c>
    </row>
    <row r="54" spans="1:6" x14ac:dyDescent="0.25">
      <c r="B54" s="228" t="s">
        <v>84</v>
      </c>
      <c r="C54" s="229" t="str">
        <f>VLOOKUP(B54,'HIDDEN features'!A:D,3,FALSE)</f>
        <v>Authorization - MacAddress</v>
      </c>
      <c r="D54" s="45" t="s">
        <v>21</v>
      </c>
      <c r="E54" s="35" t="s">
        <v>21</v>
      </c>
      <c r="F54" s="91" t="str">
        <f t="shared" si="6"/>
        <v/>
      </c>
    </row>
    <row r="55" spans="1:6" ht="18.600000000000001" customHeight="1" x14ac:dyDescent="0.25">
      <c r="B55" s="217" t="s">
        <v>85</v>
      </c>
      <c r="C55" s="218" t="str">
        <f>VLOOKUP(B55,'HIDDEN features'!A:D,3,FALSE)</f>
        <v>Authorization - NoAuthorization</v>
      </c>
      <c r="D55" s="41" t="s">
        <v>21</v>
      </c>
      <c r="E55" s="36" t="s">
        <v>21</v>
      </c>
      <c r="F55" s="91" t="str">
        <f t="shared" si="6"/>
        <v/>
      </c>
    </row>
    <row r="56" spans="1:6" x14ac:dyDescent="0.25">
      <c r="B56" s="247"/>
      <c r="C56" s="247"/>
      <c r="D56" s="248"/>
      <c r="E56" s="248"/>
    </row>
    <row r="57" spans="1:6" ht="30" x14ac:dyDescent="0.25">
      <c r="B57" s="222" t="s">
        <v>86</v>
      </c>
      <c r="C57" s="253" t="s">
        <v>1283</v>
      </c>
      <c r="D57" s="254" t="s">
        <v>957</v>
      </c>
      <c r="E57" s="224" t="s">
        <v>958</v>
      </c>
      <c r="F57" s="43"/>
    </row>
    <row r="58" spans="1:6" x14ac:dyDescent="0.25">
      <c r="B58" s="228" t="s">
        <v>1282</v>
      </c>
      <c r="C58" s="229" t="str">
        <f>VLOOKUP(B58,'HIDDEN features'!A:D,3,FALSE)</f>
        <v>Authorization - using RFID ISO14443</v>
      </c>
      <c r="D58" s="45" t="s">
        <v>21</v>
      </c>
      <c r="E58" s="35" t="s">
        <v>21</v>
      </c>
      <c r="F58" s="91" t="str">
        <f>IF(AND(NOT(ISBLANK(B58)),ISBLANK(D58)),"&lt;--- This field cannot be left empty!",IF(AND($D$5="Yes",D58&lt;&gt;D50),"&lt;-- to support offline transactions local start and stop for "&amp;C58&amp;" must match",IF(AND(D58 &lt;&gt; "Yes", D58 &lt;&gt; "No"),"&lt;---- This field must be filled from the drop-down menu", "")))</f>
        <v/>
      </c>
    </row>
    <row r="59" spans="1:6" x14ac:dyDescent="0.25">
      <c r="B59" s="217" t="s">
        <v>1284</v>
      </c>
      <c r="C59" s="218" t="str">
        <f>VLOOKUP(B59,'HIDDEN features'!A:D,3,FALSE)</f>
        <v>Authorization - using RFID ISO15693</v>
      </c>
      <c r="D59" s="41" t="s">
        <v>21</v>
      </c>
      <c r="E59" s="36" t="s">
        <v>21</v>
      </c>
      <c r="F59" s="91" t="str">
        <f>IF(AND(NOT(ISBLANK(B59)),ISBLANK(D59)),"&lt;--- This field cannot be left empty!",IF(AND($D$5="Yes",D59&lt;&gt;D51),"&lt;-- to support offline transactions local start and stop for "&amp;C59&amp;" must match",IF(AND(D59 &lt;&gt; "Yes", D59 &lt;&gt; "No"),"&lt;---- This field must be filled from the drop-down menu", "")))</f>
        <v/>
      </c>
    </row>
    <row r="60" spans="1:6" x14ac:dyDescent="0.25">
      <c r="A60" s="2"/>
      <c r="B60" s="228" t="s">
        <v>1285</v>
      </c>
      <c r="C60" s="229" t="str">
        <f>VLOOKUP(B60,'HIDDEN features'!A:D,3,FALSE)</f>
        <v>Authorization - using KeyCode</v>
      </c>
      <c r="D60" s="45" t="s">
        <v>21</v>
      </c>
      <c r="E60" s="35" t="s">
        <v>21</v>
      </c>
      <c r="F60" s="91" t="str">
        <f>IF(AND(NOT(ISBLANK(B60)),ISBLANK(D60)),"&lt;--- This field cannot be left empty!",IF(AND($D$5="Yes",D60&lt;&gt;D52),"&lt;-- to support offline transactions local start and stop for "&amp;C60&amp;" must match",IF(AND(D60 &lt;&gt; "Yes", D60 &lt;&gt; "No"),"&lt;---- This field must be filled from the drop-down menu", "")))</f>
        <v/>
      </c>
    </row>
    <row r="61" spans="1:6" x14ac:dyDescent="0.25">
      <c r="B61" s="217" t="s">
        <v>1286</v>
      </c>
      <c r="C61" s="218" t="str">
        <f>VLOOKUP(B61,'HIDDEN features'!A:D,3,FALSE)</f>
        <v>Authorization - NoAuthorization</v>
      </c>
      <c r="D61" s="41" t="s">
        <v>21</v>
      </c>
      <c r="E61" s="36" t="s">
        <v>21</v>
      </c>
      <c r="F61" s="91" t="str">
        <f>IF(AND(NOT(ISBLANK(B61)),ISBLANK(D61)),"&lt;--- This field cannot be left empty!",IF(AND($D$5="Yes",D61&lt;&gt;D55),"&lt;-- to support offline transactions local start and stop for "&amp;C61&amp;" must match",IF(AND(D61="Yes",AND(D55="No",D67="No")),"&lt;-- NoAuthorization Local Stop requires support for Local or Remote Start with NoAuthorization",IF(AND(D61 &lt;&gt; "Yes", D61 &lt;&gt; "No"),"&lt;---- This field must be filled from the drop-down menu", ""))))</f>
        <v/>
      </c>
    </row>
    <row r="62" spans="1:6" x14ac:dyDescent="0.25">
      <c r="B62" s="247"/>
      <c r="C62" s="247"/>
      <c r="D62" s="248"/>
      <c r="E62" s="248"/>
    </row>
    <row r="63" spans="1:6" ht="30" x14ac:dyDescent="0.25">
      <c r="B63" s="222" t="s">
        <v>86</v>
      </c>
      <c r="C63" s="253" t="s">
        <v>590</v>
      </c>
      <c r="D63" s="254" t="s">
        <v>1131</v>
      </c>
      <c r="E63" s="224" t="s">
        <v>958</v>
      </c>
      <c r="F63" s="43" t="str">
        <f>IF(ISERROR(VLOOKUP("Yes",D64:D67,1,FALSE)),"&lt;---- At least one remote start authorization option must be selected","")</f>
        <v/>
      </c>
    </row>
    <row r="64" spans="1:6" x14ac:dyDescent="0.25">
      <c r="B64" s="228" t="s">
        <v>88</v>
      </c>
      <c r="C64" s="229" t="str">
        <f>VLOOKUP(B64,'HIDDEN features'!A:D,3,FALSE)</f>
        <v>Authorization - using RFID ISO14443</v>
      </c>
      <c r="D64" s="45" t="s">
        <v>16</v>
      </c>
      <c r="E64" s="35" t="s">
        <v>16</v>
      </c>
      <c r="F64" s="91" t="str">
        <f>IF(AND(NOT(ISBLANK(B64)),ISBLANK(D64)),"&lt;---- This field cannot be left empty!",IF(AND(D64 &lt;&gt; "Yes", D64 &lt;&gt; "No"),"&lt;---- This field must be filled from the drop-down menu", ""))</f>
        <v/>
      </c>
    </row>
    <row r="65" spans="1:6" x14ac:dyDescent="0.25">
      <c r="B65" s="217" t="s">
        <v>89</v>
      </c>
      <c r="C65" s="218" t="str">
        <f>VLOOKUP(B65,'HIDDEN features'!A:D,3,FALSE)</f>
        <v>Authorization - using RFID ISO15693</v>
      </c>
      <c r="D65" s="41" t="s">
        <v>21</v>
      </c>
      <c r="E65" s="36" t="s">
        <v>21</v>
      </c>
      <c r="F65" s="91" t="str">
        <f t="shared" ref="F65:F67" si="7">IF(AND(NOT(ISBLANK(B65)),ISBLANK(D65)),"&lt;---- This field cannot be left empty!",IF(AND(D65 &lt;&gt; "Yes", D65 &lt;&gt; "No"),"&lt;---- This field must be filled from the drop-down menu", ""))</f>
        <v/>
      </c>
    </row>
    <row r="66" spans="1:6" x14ac:dyDescent="0.25">
      <c r="A66" s="2"/>
      <c r="B66" s="228" t="s">
        <v>90</v>
      </c>
      <c r="C66" s="229" t="str">
        <f>VLOOKUP(B66,'HIDDEN features'!A:D,3,FALSE)</f>
        <v>Authorization - using centrally, in the CSMS (or other server) generated id</v>
      </c>
      <c r="D66" s="45" t="s">
        <v>21</v>
      </c>
      <c r="E66" s="35" t="s">
        <v>21</v>
      </c>
      <c r="F66" s="91" t="str">
        <f t="shared" si="7"/>
        <v/>
      </c>
    </row>
    <row r="67" spans="1:6" x14ac:dyDescent="0.25">
      <c r="B67" s="217" t="s">
        <v>91</v>
      </c>
      <c r="C67" s="218" t="str">
        <f>VLOOKUP(B67,'HIDDEN features'!A:D,3,FALSE)</f>
        <v>Authorization - NoAuthorization</v>
      </c>
      <c r="D67" s="41" t="s">
        <v>21</v>
      </c>
      <c r="E67" s="36" t="s">
        <v>21</v>
      </c>
      <c r="F67" s="91" t="str">
        <f t="shared" si="7"/>
        <v/>
      </c>
    </row>
    <row r="68" spans="1:6" x14ac:dyDescent="0.25">
      <c r="B68" s="247"/>
      <c r="C68" s="247"/>
      <c r="D68" s="248"/>
      <c r="E68" s="248"/>
    </row>
    <row r="69" spans="1:6" ht="30" x14ac:dyDescent="0.25">
      <c r="B69" s="249" t="s">
        <v>13</v>
      </c>
      <c r="C69" s="250" t="s">
        <v>885</v>
      </c>
      <c r="D69" s="251" t="s">
        <v>1132</v>
      </c>
      <c r="E69" s="252" t="s">
        <v>959</v>
      </c>
    </row>
    <row r="70" spans="1:6" ht="22.35" customHeight="1" x14ac:dyDescent="0.25">
      <c r="B70" s="228" t="s">
        <v>92</v>
      </c>
      <c r="C70" s="229" t="str">
        <f>VLOOKUP(B70,'HIDDEN features'!A:D,3,FALSE)</f>
        <v>Supported MeterValue Measurands</v>
      </c>
      <c r="D70" s="244" t="s">
        <v>1175</v>
      </c>
      <c r="E70" s="238" t="s">
        <v>1176</v>
      </c>
    </row>
    <row r="71" spans="1:6" x14ac:dyDescent="0.25">
      <c r="B71" s="217" t="s">
        <v>877</v>
      </c>
      <c r="C71" s="4" t="str">
        <f>SUBSTITUTE(VLOOKUP(B71,'HIDDEN features'!A:D,3,FALSE),"Measurands"," Measurands")</f>
        <v>SampledTxStarted Measurands</v>
      </c>
      <c r="D71" s="245" t="str">
        <f>IFERROR(TRIM(VLOOKUP(SUBSTITUTE(C71," ",""),'HIDDEN Testrun Results'!$A:$B,2,FALSE)),"&lt;will be filled in by testlab&gt;")</f>
        <v>&lt;will be filled in by testlab&gt;</v>
      </c>
      <c r="E71" s="36" t="s">
        <v>914</v>
      </c>
      <c r="F71" s="91" t="str">
        <f>IF(AND(NOT(ISBLANK(C71)),ISBLANK(E71)),"&lt;---- This field cannot be left empty!",IF(NOT(ISERROR(FIND("&lt;",E71))),"&lt;---- Please enter a valid list of supported measurands",IF(ISERROR(FIND("Energy.Active.Import.Register",E71)),"&lt;---- Missing the default value Energy.Active.Import.Register","")))</f>
        <v>&lt;---- Please enter a valid list of supported measurands</v>
      </c>
    </row>
    <row r="72" spans="1:6" x14ac:dyDescent="0.25">
      <c r="B72" s="228" t="s">
        <v>878</v>
      </c>
      <c r="C72" s="229" t="str">
        <f>SUBSTITUTE(VLOOKUP(B72,'HIDDEN features'!A:D,3,FALSE),"Measurands"," Measurands")</f>
        <v>SampledTxUpdated Measurands</v>
      </c>
      <c r="D72" s="244" t="str">
        <f>IFERROR(TRIM(VLOOKUP(SUBSTITUTE(C72," ",""),'HIDDEN Testrun Results'!$A:$B,2,FALSE)),"&lt;will be filled in by testlab&gt;")</f>
        <v>&lt;will be filled in by testlab&gt;</v>
      </c>
      <c r="E72" s="35" t="s">
        <v>914</v>
      </c>
      <c r="F72" s="91" t="str">
        <f t="shared" ref="F72:F75" si="8">IF(AND(NOT(ISBLANK(C72)),ISBLANK(E72)),"&lt;---- This field cannot be left empty!",IF(NOT(ISERROR(FIND("&lt;",E72))),"&lt;---- Please enter a valid list of supported measurands",IF(ISERROR(FIND("Energy.Active.Import.Register",E72)),"&lt;---- Missing the default value Energy.Active.Import.Register","")))</f>
        <v>&lt;---- Please enter a valid list of supported measurands</v>
      </c>
    </row>
    <row r="73" spans="1:6" x14ac:dyDescent="0.25">
      <c r="B73" s="217" t="s">
        <v>879</v>
      </c>
      <c r="C73" s="218" t="str">
        <f>SUBSTITUTE(VLOOKUP(B73,'HIDDEN features'!A:D,3,FALSE),"Measurands"," Measurands")</f>
        <v>SampledTxEnded Measurands</v>
      </c>
      <c r="D73" s="245" t="str">
        <f>IFERROR(TRIM(VLOOKUP(SUBSTITUTE(C73," ",""),'HIDDEN Testrun Results'!$A:$B,2,FALSE)),"&lt;will be filled in by testlab&gt;")</f>
        <v>&lt;will be filled in by testlab&gt;</v>
      </c>
      <c r="E73" s="36" t="s">
        <v>914</v>
      </c>
      <c r="F73" s="91" t="str">
        <f t="shared" si="8"/>
        <v>&lt;---- Please enter a valid list of supported measurands</v>
      </c>
    </row>
    <row r="74" spans="1:6" x14ac:dyDescent="0.25">
      <c r="B74" s="228" t="s">
        <v>880</v>
      </c>
      <c r="C74" s="229" t="str">
        <f>SUBSTITUTE(VLOOKUP(B74,'HIDDEN features'!A:D,3,FALSE),"Measurands"," Measurands")</f>
        <v>AlignedData Measurands</v>
      </c>
      <c r="D74" s="244" t="str">
        <f>IFERROR(TRIM(VLOOKUP(SUBSTITUTE(C74," ",""),'HIDDEN Testrun Results'!$A:$B,2,FALSE)),"&lt;will be filled in by testlab&gt;")</f>
        <v>&lt;will be filled in by testlab&gt;</v>
      </c>
      <c r="E74" s="35" t="s">
        <v>914</v>
      </c>
      <c r="F74" s="91" t="str">
        <f t="shared" si="8"/>
        <v>&lt;---- Please enter a valid list of supported measurands</v>
      </c>
    </row>
    <row r="75" spans="1:6" x14ac:dyDescent="0.25">
      <c r="B75" s="230" t="s">
        <v>881</v>
      </c>
      <c r="C75" s="231" t="str">
        <f>SUBSTITUTE(VLOOKUP(B75,'HIDDEN features'!A:D,3,FALSE),"Measurands"," Measurands")</f>
        <v>AlignedDataTxEnded Measurands</v>
      </c>
      <c r="D75" s="246" t="str">
        <f>IFERROR(TRIM(VLOOKUP(SUBSTITUTE(C75," ",""),'HIDDEN Testrun Results'!$A:$B,2,FALSE)),"&lt;will be filled in by testlab&gt;")</f>
        <v>&lt;will be filled in by testlab&gt;</v>
      </c>
      <c r="E75" s="40" t="s">
        <v>914</v>
      </c>
      <c r="F75" s="91" t="str">
        <f t="shared" si="8"/>
        <v>&lt;---- Please enter a valid list of supported measurands</v>
      </c>
    </row>
    <row r="76" spans="1:6" x14ac:dyDescent="0.25">
      <c r="B76" s="243" t="s">
        <v>94</v>
      </c>
    </row>
    <row r="77" spans="1:6" x14ac:dyDescent="0.25">
      <c r="B77" s="243" t="s">
        <v>871</v>
      </c>
    </row>
    <row r="78" spans="1:6" x14ac:dyDescent="0.25">
      <c r="B78" s="243" t="s">
        <v>870</v>
      </c>
    </row>
    <row r="79" spans="1:6" x14ac:dyDescent="0.25">
      <c r="B79" s="221"/>
    </row>
    <row r="80" spans="1:6" x14ac:dyDescent="0.25">
      <c r="B80" s="222" t="s">
        <v>37</v>
      </c>
      <c r="C80" s="223" t="s">
        <v>986</v>
      </c>
      <c r="D80" s="240" t="s">
        <v>956</v>
      </c>
    </row>
    <row r="81" spans="2:5" ht="81" customHeight="1" x14ac:dyDescent="0.25">
      <c r="B81" s="241" t="s">
        <v>95</v>
      </c>
      <c r="C81" s="242" t="str">
        <f>VLOOKUP(B81,'HIDDEN features'!A:D,3,FALSE)</f>
        <v>Supported Cipher Suites</v>
      </c>
      <c r="D81" s="204" t="str">
        <f>VLOOKUP(B81,'HIDDEN features'!A:D,4,FALSE)</f>
        <v>{ list of cipher suites } -&gt; at least one of TLS_ECDHE_ECDSA_WITH_AES_128_GCM_SHA256 TLS_ECDHE_ECDSA_WITH_AES_256_GCM_SHA384 OR TLS_RSA_WITH_AES_128_GCM_SHA256 TLS_RSA_WITH_AES_256_GCM_SHA384</v>
      </c>
      <c r="E81" s="91" t="str">
        <f>IF(AND(NOT(ISBLANK(B81)),ISBLANK(D81)),"&lt;---- This field cannot be left empty!",IF(NOT(ISERROR(FIND("{",D81))),"&lt;---- Please enter a valid list of supported cipher suites",IF(ISERROR(MATCH(D81, MD!$H$1:$H$3, 0)), "&lt;---- This field must be filled from the drop-down menu", "")))</f>
        <v>&lt;---- Please enter a valid list of supported cipher suites</v>
      </c>
    </row>
    <row r="82" spans="2:5" x14ac:dyDescent="0.25">
      <c r="B82" s="221"/>
    </row>
    <row r="83" spans="2:5" x14ac:dyDescent="0.25">
      <c r="B83" s="222" t="s">
        <v>37</v>
      </c>
      <c r="C83" s="223" t="s">
        <v>985</v>
      </c>
      <c r="D83" s="240" t="s">
        <v>956</v>
      </c>
    </row>
    <row r="84" spans="2:5" x14ac:dyDescent="0.25">
      <c r="B84" s="228" t="s">
        <v>96</v>
      </c>
      <c r="C84" s="229" t="str">
        <f>VLOOKUP(B84,'HIDDEN features'!A:D,3,FALSE)</f>
        <v>Signed Metervalues (SampledDataSignReadings)</v>
      </c>
      <c r="D84" s="35" t="s">
        <v>21</v>
      </c>
      <c r="E84" s="91" t="str">
        <f>IF(AND(NOT(ISBLANK(B84)),ISBLANK(D84)),"&lt;---- This field cannot be left empty!",IF(AND(D84 &lt;&gt; "Yes", D84 &lt;&gt; "No"),"&lt;---- This field must be filled from the drop-down menu", ""))</f>
        <v/>
      </c>
    </row>
    <row r="85" spans="2:5" x14ac:dyDescent="0.25">
      <c r="B85" s="217" t="s">
        <v>97</v>
      </c>
      <c r="C85" s="218" t="str">
        <f>VLOOKUP(B85,'HIDDEN features'!A:D,3,FALSE)</f>
        <v>Install Firmware with ongoing transaction(s)</v>
      </c>
      <c r="D85" s="36" t="s">
        <v>21</v>
      </c>
      <c r="E85" s="91" t="str">
        <f t="shared" ref="E85:E86" si="9">IF(AND(NOT(ISBLANK(B85)),ISBLANK(D85)),"&lt;---- This field cannot be left empty!",IF(AND(D85 &lt;&gt; "Yes", D85 &lt;&gt; "No"),"&lt;---- This field must be filled from the drop-down menu", ""))</f>
        <v/>
      </c>
    </row>
    <row r="86" spans="2:5" x14ac:dyDescent="0.25">
      <c r="B86" s="228" t="s">
        <v>98</v>
      </c>
      <c r="C86" s="229" t="str">
        <f>VLOOKUP(B86,'HIDDEN features'!A:D,3,FALSE)</f>
        <v>Support for falling back to default OCPP reconnection mechanism when NetworkConnection profile connection has failed</v>
      </c>
      <c r="D86" s="35" t="s">
        <v>21</v>
      </c>
      <c r="E86" s="91" t="str">
        <f t="shared" si="9"/>
        <v/>
      </c>
    </row>
    <row r="87" spans="2:5" x14ac:dyDescent="0.25">
      <c r="B87" s="217" t="s">
        <v>99</v>
      </c>
      <c r="C87" s="218" t="str">
        <f>VLOOKUP(B87,'HIDDEN features'!A:D,3,FALSE)</f>
        <v>Authorization of remote start (AuthorizeRemoteStart)</v>
      </c>
      <c r="D87" s="239" t="str">
        <f>VLOOKUP(B87,'HIDDEN features'!A:D,4,FALSE)</f>
        <v>(At least one of the suboptions below is required)</v>
      </c>
      <c r="E87" s="43" t="str">
        <f>IF(AND(D88="No",D89="No"),"&lt;-- Please select at least one option from C-48.1 and C-48.2","")</f>
        <v/>
      </c>
    </row>
    <row r="88" spans="2:5" x14ac:dyDescent="0.25">
      <c r="B88" s="209" t="s">
        <v>100</v>
      </c>
      <c r="C88" s="210" t="str">
        <f>VLOOKUP(B88,'HIDDEN features'!A:D,3,FALSE)</f>
        <v>Option for authorization in case of a remote start</v>
      </c>
      <c r="D88" s="35" t="s">
        <v>21</v>
      </c>
      <c r="E88" s="91" t="str">
        <f>IF(AND(NOT(ISBLANK(B88)),ISBLANK(D88)),"&lt;---- This field cannot be left empty!",IF(AND(D91="Yes",D88="No",D50="No",D51="No",D52="No",D53="No",D54="No",D55="No"),"&lt;---- This value cannot be No when C-49 is Yes and no Local Authorization Options are selected",IF(AND(D88 &lt;&gt; "Yes", D88 &lt;&gt; "No"),"&lt;---- This field must be filled from the drop-down menu", "")))</f>
        <v/>
      </c>
    </row>
    <row r="89" spans="2:5" x14ac:dyDescent="0.25">
      <c r="B89" s="211" t="s">
        <v>101</v>
      </c>
      <c r="C89" s="212" t="str">
        <f>VLOOKUP(B89,'HIDDEN features'!A:D,3,FALSE)</f>
        <v>Option for no authorization in case of a remote start</v>
      </c>
      <c r="D89" s="36" t="s">
        <v>16</v>
      </c>
      <c r="E89" s="91" t="str">
        <f>IF(AND(NOT(ISBLANK(B89)),ISBLANK(D89)),"&lt;---- This field cannot be left empty!",IF(AND(D89 &lt;&gt; "Yes", D89 &lt;&gt; "No"),"&lt;---- This field must be filled from the drop-down menu", ""))</f>
        <v/>
      </c>
    </row>
    <row r="90" spans="2:5" x14ac:dyDescent="0.25">
      <c r="B90" s="228" t="s">
        <v>102</v>
      </c>
      <c r="C90" s="229" t="str">
        <f>VLOOKUP(B90,'HIDDEN features'!A:D,3,FALSE)</f>
        <v>Option for disabling remote authorization	(DisableRemoteAuthorization)</v>
      </c>
      <c r="D90" s="35" t="s">
        <v>21</v>
      </c>
      <c r="E90" s="91" t="str">
        <f t="shared" ref="E90:E96" si="10">IF(AND(NOT(ISBLANK(B90)),ISBLANK(D90)),"&lt;---- This field cannot be left empty!",IF(AND(D90 &lt;&gt; "Yes", D90 &lt;&gt; "No"),"&lt;---- This field must be filled from the drop-down menu", ""))</f>
        <v/>
      </c>
    </row>
    <row r="91" spans="2:5" x14ac:dyDescent="0.25">
      <c r="B91" s="217" t="s">
        <v>103</v>
      </c>
      <c r="C91" s="218" t="str">
        <f>VLOOKUP(B91,'HIDDEN features'!A:D,3,FALSE)</f>
        <v>Authorization Cache (AuthCacheEnabled)</v>
      </c>
      <c r="D91" s="36" t="s">
        <v>21</v>
      </c>
      <c r="E91" s="91" t="str">
        <f t="shared" si="10"/>
        <v/>
      </c>
    </row>
    <row r="92" spans="2:5" x14ac:dyDescent="0.25">
      <c r="B92" s="228" t="s">
        <v>104</v>
      </c>
      <c r="C92" s="229" t="str">
        <f>VLOOKUP(B92,'HIDDEN features'!A:D,3,FALSE)</f>
        <v>Option for disabling remote authorization for cached invalid idTokens (AuthCacheDisablePostAuthorize)</v>
      </c>
      <c r="D92" s="35" t="s">
        <v>21</v>
      </c>
      <c r="E92" s="91" t="str">
        <f t="shared" si="10"/>
        <v/>
      </c>
    </row>
    <row r="93" spans="2:5" x14ac:dyDescent="0.25">
      <c r="B93" s="217" t="s">
        <v>105</v>
      </c>
      <c r="C93" s="218" t="str">
        <f>VLOOKUP(B93,'HIDDEN features'!A:D,3,FALSE)</f>
        <v>Configurable TxStartPoint</v>
      </c>
      <c r="D93" s="36" t="s">
        <v>21</v>
      </c>
      <c r="E93" s="91" t="str">
        <f t="shared" si="10"/>
        <v/>
      </c>
    </row>
    <row r="94" spans="2:5" x14ac:dyDescent="0.25">
      <c r="B94" s="228" t="s">
        <v>106</v>
      </c>
      <c r="C94" s="229" t="str">
        <f>VLOOKUP(B94,'HIDDEN features'!A:D,3,FALSE)</f>
        <v>Configurable TxStopPoint</v>
      </c>
      <c r="D94" s="35" t="s">
        <v>21</v>
      </c>
      <c r="E94" s="91" t="str">
        <f t="shared" si="10"/>
        <v/>
      </c>
    </row>
    <row r="95" spans="2:5" x14ac:dyDescent="0.25">
      <c r="B95" s="217" t="s">
        <v>107</v>
      </c>
      <c r="C95" s="218" t="str">
        <f>VLOOKUP(B95,'HIDDEN features'!A:D,3,FALSE)</f>
        <v>Support for lifetime cached token (AuthCacheLifeTime)</v>
      </c>
      <c r="D95" s="36" t="s">
        <v>21</v>
      </c>
      <c r="E95" s="91" t="str">
        <f t="shared" si="10"/>
        <v/>
      </c>
    </row>
    <row r="96" spans="2:5" x14ac:dyDescent="0.25">
      <c r="B96" s="228" t="s">
        <v>108</v>
      </c>
      <c r="C96" s="229" t="str">
        <f>VLOOKUP(B96,'HIDDEN features'!A:D,3,FALSE)</f>
        <v>Supported policies for replacing cached entries (AuthCachePolicy)</v>
      </c>
      <c r="D96" s="35" t="s">
        <v>21</v>
      </c>
      <c r="E96" s="91" t="str">
        <f t="shared" si="10"/>
        <v/>
      </c>
    </row>
    <row r="97" spans="2:5" x14ac:dyDescent="0.25">
      <c r="B97" s="217" t="s">
        <v>109</v>
      </c>
      <c r="C97" s="218" t="str">
        <f>VLOOKUP(B97,'HIDDEN features'!A:D,3,FALSE)</f>
        <v>Support for providing the SummaryInventory</v>
      </c>
      <c r="D97" s="36" t="s">
        <v>21</v>
      </c>
      <c r="E97" s="91" t="str">
        <f>IF(AND(NOT(ISBLANK(B97)),ISBLANK(D97)),"&lt;---- This field cannot be left empty!",IF(AND(VLOOKUP("DM-0",'Optional features'!B:D,3,FALSE)="Yes",'Optional features'!D97&lt;&gt;"Yes"),"&lt;---- This must be Yes when Advanced Device Management is selected",IF(AND(D97 &lt;&gt; "Yes", D97 &lt;&gt; "No"),"&lt;---- This field must be filled from the drop-down menu", "")))</f>
        <v/>
      </c>
    </row>
    <row r="98" spans="2:5" x14ac:dyDescent="0.25">
      <c r="B98" s="228" t="s">
        <v>110</v>
      </c>
      <c r="C98" s="229" t="str">
        <f>VLOOKUP(B98,'HIDDEN features'!A:D,3,FALSE)</f>
        <v>Support for cancelling ongoing log file upload</v>
      </c>
      <c r="D98" s="35" t="s">
        <v>21</v>
      </c>
      <c r="E98" s="91" t="str">
        <f>IF(AND(NOT(ISBLANK(B98)),ISBLANK(D98)),"&lt;---- This field cannot be left empty!",IF(AND(D98 &lt;&gt; "Yes", D98 &lt;&gt; "No"),"&lt;---- This field must be filled from the drop-down menu", ""))</f>
        <v/>
      </c>
    </row>
    <row r="99" spans="2:5" x14ac:dyDescent="0.25">
      <c r="B99" s="217" t="s">
        <v>111</v>
      </c>
      <c r="C99" s="218" t="str">
        <f>VLOOKUP(B99,'HIDDEN features'!A:D,3,FALSE)</f>
        <v>Support for cancelling ongoing firmware update</v>
      </c>
      <c r="D99" s="36" t="s">
        <v>21</v>
      </c>
      <c r="E99" s="91" t="str">
        <f t="shared" ref="E99:E100" si="11">IF(AND(NOT(ISBLANK(B99)),ISBLANK(D99)),"&lt;---- This field cannot be left empty!",IF(AND(D99 &lt;&gt; "Yes", D99 &lt;&gt; "No"),"&lt;---- This field must be filled from the drop-down menu", ""))</f>
        <v/>
      </c>
    </row>
    <row r="100" spans="2:5" x14ac:dyDescent="0.25">
      <c r="B100" s="226" t="s">
        <v>1212</v>
      </c>
      <c r="C100" s="227" t="str">
        <f>VLOOKUP(B100,'HIDDEN features'!A:D,3,FALSE)</f>
        <v>Security Profile 1 - Unsecured Transport with Basic Authentication</v>
      </c>
      <c r="D100" s="42" t="s">
        <v>21</v>
      </c>
      <c r="E100" s="91" t="str">
        <f t="shared" si="11"/>
        <v/>
      </c>
    </row>
    <row r="101" spans="2:5" x14ac:dyDescent="0.25">
      <c r="B101" s="221"/>
    </row>
    <row r="102" spans="2:5" x14ac:dyDescent="0.25">
      <c r="B102" s="222" t="s">
        <v>13</v>
      </c>
      <c r="C102" s="223" t="s">
        <v>972</v>
      </c>
      <c r="D102" s="224" t="s">
        <v>960</v>
      </c>
    </row>
    <row r="103" spans="2:5" x14ac:dyDescent="0.25">
      <c r="B103" s="228" t="s">
        <v>113</v>
      </c>
      <c r="C103" s="229" t="str">
        <f>VLOOKUP(B103,'HIDDEN features'!A:D,3,FALSE)</f>
        <v>Supported charging rate units (ChargingScheduleChargingRateUnit)</v>
      </c>
      <c r="D103" s="238" t="str">
        <f>VLOOKUP(B103,'HIDDEN features'!A:D,4,FALSE)</f>
        <v>(Select all supported suboptions)</v>
      </c>
      <c r="E103" s="91" t="str">
        <f>IF(AND(ISERROR(VLOOKUP("Yes",D104:D105,1,FALSE)),VLOOKUP(RIGHT(C102,LEN(C102)-FIND(":",C102)-1),Profile_Selection,2,FALSE)="Yes"),"&lt;-- Please select at least one option","")</f>
        <v/>
      </c>
    </row>
    <row r="104" spans="2:5" x14ac:dyDescent="0.25">
      <c r="B104" s="211" t="s">
        <v>114</v>
      </c>
      <c r="C104" s="212" t="str">
        <f>VLOOKUP(B104,'HIDDEN features'!A:D,3,FALSE)</f>
        <v>A</v>
      </c>
      <c r="D104" s="36" t="s">
        <v>21</v>
      </c>
      <c r="E104" s="91" t="str">
        <f>IF(AND(D104="Yes",VLOOKUP(RIGHT(C102,LEN(C102)-FIND(":",C102)-1),Profile_Selection,2,FALSE)&lt;&gt;"Yes"),_xlfn.CONCAT("&lt;---- Value must be 'No' as ",C102," is not selected"),IF(AND(NOT(ISBLANK(B104)),ISBLANK(D104)),"&lt;---- This field cannot be left empty!",IF(AND(D104 &lt;&gt; "Yes", D104 &lt;&gt; "No"),"&lt;---- This field must be filled from the drop-down menu", "")))</f>
        <v/>
      </c>
    </row>
    <row r="105" spans="2:5" x14ac:dyDescent="0.25">
      <c r="B105" s="236" t="s">
        <v>115</v>
      </c>
      <c r="C105" s="237" t="str">
        <f>VLOOKUP(B105,'HIDDEN features'!A:D,3,FALSE)</f>
        <v>W</v>
      </c>
      <c r="D105" s="42" t="s">
        <v>21</v>
      </c>
      <c r="E105" s="91" t="str">
        <f>IF(AND(D105="Yes",VLOOKUP(RIGHT(C102,LEN(C102)-FIND(":",C102)-1),Profile_Selection,2,FALSE)&lt;&gt;"Yes"),_xlfn.CONCAT("&lt;---- Value must be 'No' as ",C102," is not selected"),IF(AND(NOT(ISBLANK(B105)),ISBLANK(D105)),"&lt;---- This field cannot be left empty!",IF(AND(D105 &lt;&gt; "Yes", D105 &lt;&gt; "No"),"&lt;---- This field must be filled from the drop-down menu", "")))</f>
        <v/>
      </c>
    </row>
    <row r="106" spans="2:5" x14ac:dyDescent="0.25">
      <c r="B106" s="221"/>
    </row>
    <row r="107" spans="2:5" x14ac:dyDescent="0.25">
      <c r="B107" s="222" t="s">
        <v>13</v>
      </c>
      <c r="C107" s="223" t="s">
        <v>971</v>
      </c>
      <c r="D107" s="224" t="s">
        <v>960</v>
      </c>
    </row>
    <row r="108" spans="2:5" x14ac:dyDescent="0.25">
      <c r="B108" s="228" t="s">
        <v>116</v>
      </c>
      <c r="C108" s="229" t="str">
        <f>VLOOKUP(B108,'HIDDEN features'!A:D,3,FALSE)</f>
        <v>Additional root certificate check mechanism implemented (AdditionalRootCertificateCheck)</v>
      </c>
      <c r="D108" s="35" t="s">
        <v>21</v>
      </c>
      <c r="E108" s="91" t="str">
        <f>IF(AND(D108="Yes",VLOOKUP(RIGHT(C107,LEN(C107)-FIND(":",C107)-1),Profile_Selection,2,FALSE)&lt;&gt;"Yes"),_xlfn.CONCAT("&lt;---- Value must be 'No' as ",C107," is not selected"),IF(AND(NOT(ISBLANK(B108)),ISBLANK(D108)),"&lt;---- This field cannot be left empty!",IF(AND(D108 &lt;&gt; "Yes", D108 &lt;&gt; "No"),"&lt;---- This field must be filled from the drop-down menu", "")))</f>
        <v/>
      </c>
    </row>
    <row r="109" spans="2:5" ht="28.5" x14ac:dyDescent="0.25">
      <c r="B109" s="230" t="s">
        <v>117</v>
      </c>
      <c r="C109" s="231" t="str">
        <f>VLOOKUP(B109,'HIDDEN features'!A:D,3,FALSE)</f>
        <v>Update Charging Station Certificate - CertificateSignedRequest Timeout (CertSigningWaitMinimum,CertSigningRepeatTimes)</v>
      </c>
      <c r="D109" s="40" t="s">
        <v>21</v>
      </c>
      <c r="E109" s="91" t="str">
        <f>IF(AND(D109="Yes",VLOOKUP(RIGHT(C107,LEN(C107)-FIND(":",C107)-1),Profile_Selection,2,FALSE)&lt;&gt;"Yes"),_xlfn.CONCAT("&lt;---- Value must be 'No' as ",C107," is not selected"),IF(AND(NOT(ISBLANK(B109)),ISBLANK(D109)),"&lt;---- This field cannot be left empty!",IF(AND(D109 &lt;&gt; "Yes", D109 &lt;&gt; "No"),"&lt;---- This field must be filled from the drop-down menu", "")))</f>
        <v/>
      </c>
    </row>
    <row r="110" spans="2:5" x14ac:dyDescent="0.25">
      <c r="B110" s="221"/>
    </row>
    <row r="111" spans="2:5" x14ac:dyDescent="0.25">
      <c r="B111" s="222" t="s">
        <v>13</v>
      </c>
      <c r="C111" s="223" t="s">
        <v>1781</v>
      </c>
      <c r="D111" s="224" t="s">
        <v>960</v>
      </c>
    </row>
    <row r="112" spans="2:5" x14ac:dyDescent="0.25">
      <c r="B112" s="219" t="s">
        <v>1735</v>
      </c>
      <c r="C112" s="235" t="str">
        <f>VLOOKUP(B112,'HIDDEN features'!A:D,3,FALSE)</f>
        <v>Support for Reservation</v>
      </c>
      <c r="D112" s="35" t="s">
        <v>21</v>
      </c>
      <c r="E112" s="91" t="str">
        <f>IF(AND(NOT(ISBLANK(B112)),ISBLANK(D112)),"&lt;---- This field cannot be left empty!",IF(AND(D112 &lt;&gt; "Yes", D112 &lt;&gt; "No"),"&lt;---- This field must be filled from the drop-down menu", ""))</f>
        <v/>
      </c>
    </row>
    <row r="113" spans="1:5" x14ac:dyDescent="0.25">
      <c r="B113" s="217" t="s">
        <v>1214</v>
      </c>
      <c r="C113" s="218" t="str">
        <f>VLOOKUP(B113,'HIDDEN features'!A:D,3,FALSE)</f>
        <v>Support for reservations of connectorType</v>
      </c>
      <c r="D113" s="234" t="str" cm="1">
        <f t="array" ref="D113">IF(OR(SUMPRODUCT(--ISNUMBER(MATCH('Hardware Feature set'!J6:J43, MD!R:R, 0))) &gt; 0, VLOOKUP("R-0",'Optional features'!B:D,3,FALSE)="No"), "No", "Yes")</f>
        <v>No</v>
      </c>
      <c r="E113" t="str">
        <f>IF(AND(VLOOKUP("R-0",'Optional features'!B:D,3,FALSE)="Yes",D113="No"),"&lt;---- Supporting this feature depends on whether all connectorTypes are supported that are part of the ConnectorEnumType list from part 2 specification.","")</f>
        <v/>
      </c>
    </row>
    <row r="114" spans="1:5" x14ac:dyDescent="0.25">
      <c r="B114" s="228" t="s">
        <v>118</v>
      </c>
      <c r="C114" s="229" t="str">
        <f>VLOOKUP(B114,'HIDDEN features'!A:D,3,FALSE)</f>
        <v>Support for reservation of unspecified EVSE (ReservationNonEvseSpecific)</v>
      </c>
      <c r="D114" s="35" t="s">
        <v>21</v>
      </c>
      <c r="E114" s="91" t="str">
        <f>IF(AND(D114="Yes",VLOOKUP("R-0",'Optional features'!B:D,3,FALSE)&lt;&gt;"Yes"),_xlfn.CONCAT("&lt;---- Value must be 'No' as ",C111," is not selected"),IF(AND(NOT(ISBLANK(B114)),ISBLANK(D114)),"&lt;---- This field cannot be left empty!",IF(AND(D114 &lt;&gt; "Yes", D114 &lt;&gt; "No"),"&lt;---- This field must be filled from the drop-down menu", "")))</f>
        <v/>
      </c>
    </row>
    <row r="115" spans="1:5" x14ac:dyDescent="0.25">
      <c r="B115" s="230" t="s">
        <v>119</v>
      </c>
      <c r="C115" s="231" t="str">
        <f>VLOOKUP(B115,'HIDDEN features'!A:D,3,FALSE)</f>
        <v>Support for disabling Reservations (ReservationEnabled)</v>
      </c>
      <c r="D115" s="40" t="s">
        <v>21</v>
      </c>
      <c r="E115" s="91" t="str">
        <f>IF(AND(D115="Yes",VLOOKUP("R-0",'Optional features'!B:D,3,FALSE)&lt;&gt;"Yes"),_xlfn.CONCAT("&lt;---- Value must be 'No' as ",C111," is not selected"),IF(AND(NOT(ISBLANK(B115)),ISBLANK(D115)),"&lt;---- This field cannot be left empty!",IF(AND(D115 &lt;&gt; "Yes", D115 &lt;&gt; "No"),"&lt;---- This field must be filled from the drop-down menu", "")))</f>
        <v/>
      </c>
    </row>
    <row r="116" spans="1:5" x14ac:dyDescent="0.25">
      <c r="B116" s="221"/>
    </row>
    <row r="117" spans="1:5" x14ac:dyDescent="0.25">
      <c r="B117" s="222" t="s">
        <v>13</v>
      </c>
      <c r="C117" s="223" t="s">
        <v>143</v>
      </c>
      <c r="D117" s="224" t="s">
        <v>960</v>
      </c>
    </row>
    <row r="118" spans="1:5" x14ac:dyDescent="0.25">
      <c r="B118" s="232" t="s">
        <v>1738</v>
      </c>
      <c r="C118" s="233" t="str">
        <f>VLOOKUP(B118,'HIDDEN features'!A:D,3,FALSE)</f>
        <v>Support for Advanced Device Management</v>
      </c>
      <c r="D118" s="203" t="s">
        <v>21</v>
      </c>
      <c r="E118" s="91" t="str">
        <f>IF(AND(NOT(ISBLANK(B118)),ISBLANK(D118)),"&lt;---- This field cannot be left empty!",IF(AND(D118 &lt;&gt; "Yes", D118 &lt;&gt; "No"),"&lt;---- This field must be filled from the drop-down menu", ""))</f>
        <v/>
      </c>
    </row>
    <row r="119" spans="1:5" x14ac:dyDescent="0.25">
      <c r="B119" s="230" t="s">
        <v>120</v>
      </c>
      <c r="C119" s="231" t="str">
        <f>VLOOKUP(B119,'HIDDEN features'!A:D,3,FALSE)</f>
        <v>Queue notifyEventRequest messages for specific severities (OfflineMonitoringEventQueuingSeverity)</v>
      </c>
      <c r="D119" s="40" t="s">
        <v>21</v>
      </c>
      <c r="E119" s="91" t="str">
        <f>IF(AND(D119="Yes",VLOOKUP("DM-0",'Optional features'!B:D,3,FALSE)&lt;&gt;"Yes"),_xlfn.CONCAT("&lt;---- Value must be 'No' as ",C117," is not selected"),IF(AND(NOT(ISBLANK(B119)),ISBLANK(D119)),"&lt;---- This field cannot be left empty!",IF(AND(D119 &lt;&gt; "Yes", D119 &lt;&gt; "No"),"&lt;---- This field must be filled from the drop-down menu", "")))</f>
        <v/>
      </c>
    </row>
    <row r="120" spans="1:5" x14ac:dyDescent="0.25">
      <c r="B120" s="221"/>
    </row>
    <row r="121" spans="1:5" x14ac:dyDescent="0.25">
      <c r="B121" s="222" t="s">
        <v>13</v>
      </c>
      <c r="C121" s="223" t="s">
        <v>970</v>
      </c>
      <c r="D121" s="224" t="s">
        <v>960</v>
      </c>
    </row>
    <row r="122" spans="1:5" x14ac:dyDescent="0.25">
      <c r="B122" s="228" t="s">
        <v>121</v>
      </c>
      <c r="C122" s="229" t="str">
        <f>VLOOKUP(B122,'HIDDEN features'!A:D,3,FALSE)</f>
        <v>Support for retrieving / deleting CustomerInformation - CustomerCertificate</v>
      </c>
      <c r="D122" s="35" t="s">
        <v>21</v>
      </c>
      <c r="E122" s="91" t="str">
        <f>IF(AND(NOT(ISBLANK(B123)),ISBLANK(D123)),"&lt;---- This field cannot be left empty!",IF(AND(D122 &lt;&gt; "Yes", D122 &lt;&gt; "No"),"&lt;---- This field must be filled from the drop-down menu", ""))</f>
        <v/>
      </c>
    </row>
    <row r="123" spans="1:5" ht="17.25" customHeight="1" x14ac:dyDescent="0.25">
      <c r="B123" s="230" t="s">
        <v>1009</v>
      </c>
      <c r="C123" s="231" t="str">
        <f>VLOOKUP(B123,'HIDDEN features'!A:D,3,FALSE)</f>
        <v>Charging Station can provide a contract certificate that it cannot validate to the CSMS (CentralContractValidationAllowed)</v>
      </c>
      <c r="D123" s="40" t="s">
        <v>21</v>
      </c>
      <c r="E123" s="91" t="str">
        <f>IF(AND(D123="Yes",VLOOKUP(RIGHT(C121,LEN(C121)-FIND(":",C121)-1),Profile_Selection,2,FALSE)&lt;&gt;"Yes"),_xlfn.CONCAT("&lt;---- Value must be 'No' as ",C121," is not selected"),IF(AND(NOT(ISBLANK(B123)),ISBLANK(D123)),"&lt;---- This field cannot be left empty!",IF(AND(D123 &lt;&gt; "Yes", D123 &lt;&gt; "No"),"&lt;---- This field must be filled from the drop-down menu", "")))</f>
        <v/>
      </c>
    </row>
    <row r="124" spans="1:5" x14ac:dyDescent="0.25">
      <c r="A124" s="221"/>
    </row>
    <row r="125" spans="1:5" x14ac:dyDescent="0.25">
      <c r="B125" s="222" t="s">
        <v>13</v>
      </c>
      <c r="C125" s="223" t="s">
        <v>140</v>
      </c>
      <c r="D125" s="224" t="s">
        <v>960</v>
      </c>
    </row>
    <row r="126" spans="1:5" x14ac:dyDescent="0.25">
      <c r="B126" s="219" t="s">
        <v>1740</v>
      </c>
      <c r="C126" s="225" t="str">
        <f>VLOOKUP(B126,'HIDDEN features'!A:D,3,FALSE)</f>
        <v>Support for Local Authorization List Management</v>
      </c>
      <c r="D126" s="202" t="s">
        <v>21</v>
      </c>
      <c r="E126" s="91" t="str">
        <f>IF(AND(NOT(ISBLANK(B126)),ISBLANK(D126)),"&lt;---- This field cannot be left empty!",IF(AND(D126 &lt;&gt; "Yes", D126 &lt;&gt; "No"),"&lt;---- This field must be filled from the drop-down menu", ""))</f>
        <v/>
      </c>
    </row>
    <row r="127" spans="1:5" x14ac:dyDescent="0.25">
      <c r="B127" s="217" t="s">
        <v>122</v>
      </c>
      <c r="C127" s="218" t="str">
        <f>VLOOKUP(B127,'HIDDEN features'!A:D,3,FALSE)</f>
        <v>Authorization list support (LocalAuthListEnabled)</v>
      </c>
      <c r="D127" s="36" t="s">
        <v>21</v>
      </c>
      <c r="E127" s="91" t="str">
        <f>IF(AND(D127="Yes",VLOOKUP("LA-0",'Optional features'!B:D,3,FALSE)&lt;&gt;"Yes"),_xlfn.CONCAT("&lt;---- Value must be 'No' as ",C125," is not selected"),IF(AND(NOT(ISBLANK(B127)),ISBLANK(D127)),"&lt;---- This field cannot be left empty!",IF(AND(D127 &lt;&gt; "Yes", D127 &lt;&gt; "No"),"&lt;---- This field must be filled from the drop-down menu", "")))</f>
        <v/>
      </c>
    </row>
    <row r="128" spans="1:5" ht="28.5" x14ac:dyDescent="0.25">
      <c r="B128" s="226" t="s">
        <v>123</v>
      </c>
      <c r="C128" s="227" t="str">
        <f>VLOOKUP(B128,'HIDDEN features'!A:D,3,FALSE)</f>
        <v>Option for disabling remote authorization for invalid idTokens stored at the Local Authorization List (LocalAuthListDisablePostAuthorize)</v>
      </c>
      <c r="D128" s="42" t="s">
        <v>21</v>
      </c>
      <c r="E128" s="91" t="str">
        <f>IF(AND(D128="Yes",VLOOKUP("LA-0",'Optional features'!B:D,3,FALSE)&lt;&gt;"Yes"),_xlfn.CONCAT("&lt;---- Value must be 'No' as ",C125," is not selected"),IF(AND(NOT(ISBLANK(B128)),ISBLANK(D128)),"&lt;---- This field cannot be left empty!",IF(AND(D128 &lt;&gt; "Yes", D128 &lt;&gt; "No"),"&lt;---- This field must be filled from the drop-down menu", "")))</f>
        <v/>
      </c>
    </row>
    <row r="129" spans="2:5" x14ac:dyDescent="0.25">
      <c r="B129" s="221"/>
    </row>
    <row r="130" spans="2:5" x14ac:dyDescent="0.25">
      <c r="B130" s="222" t="s">
        <v>13</v>
      </c>
      <c r="C130" s="223" t="s">
        <v>145</v>
      </c>
      <c r="D130" s="224" t="s">
        <v>960</v>
      </c>
    </row>
    <row r="131" spans="2:5" x14ac:dyDescent="0.25">
      <c r="B131" s="219" t="s">
        <v>1742</v>
      </c>
      <c r="C131" s="220" t="str">
        <f>VLOOKUP(B131,'HIDDEN features'!A:D,3,FALSE)</f>
        <v>Support for Advanced User Interface</v>
      </c>
      <c r="D131" s="35" t="s">
        <v>21</v>
      </c>
      <c r="E131" s="91" t="str">
        <f>IF(AND(NOT(ISBLANK(B131)),ISBLANK(D131)),"&lt;---- This field cannot be left empty!",IF(AND(D131 &lt;&gt; "Yes", D131 &lt;&gt; "No"),"&lt;---- This field must be filled from the drop-down menu", ""))</f>
        <v/>
      </c>
    </row>
    <row r="132" spans="2:5" ht="28.5" x14ac:dyDescent="0.25">
      <c r="B132" s="217" t="s">
        <v>124</v>
      </c>
      <c r="C132" s="218" t="str">
        <f>VLOOKUP(B132,'HIDDEN features'!A:D,3,FALSE)</f>
        <v>Supported message priorities (DisplayMessageSupportedPriorities)</v>
      </c>
      <c r="D132" s="216" t="str">
        <f>VLOOKUP(B132,'HIDDEN features'!A:D,4,FALSE)</f>
        <v>(At least one of the suboptions below is required, if UI-0 is supported)</v>
      </c>
      <c r="E132" s="91" t="str">
        <f>IF(AND(ISERROR(VLOOKUP("Yes",D133:D135,1,FALSE)),VLOOKUP("UI-0",'Optional features'!B:D,3,FALSE)="Yes"),"&lt;-- Please select at least one option","")</f>
        <v/>
      </c>
    </row>
    <row r="133" spans="2:5" x14ac:dyDescent="0.25">
      <c r="B133" s="209" t="s">
        <v>125</v>
      </c>
      <c r="C133" s="210" t="str">
        <f>VLOOKUP(B133,'HIDDEN features'!A:D,3,FALSE)</f>
        <v>AlwaysFront</v>
      </c>
      <c r="D133" s="35" t="s">
        <v>21</v>
      </c>
      <c r="E133" s="91" t="str">
        <f>IF(AND(D133="Yes",VLOOKUP("UI-0",'Optional features'!B:D,3,FALSE)&lt;&gt;"Yes"),_xlfn.CONCAT("&lt;---- Value must be 'No' as ",C130," is not selected"),IF(AND(NOT(ISBLANK(B133)),ISBLANK(D133)),"&lt;---- This field cannot be left empty!",IF(AND(D133 &lt;&gt; "Yes", D133 &lt;&gt; "No"),"&lt;---- This field must be filled from the drop-down menu", "")))</f>
        <v/>
      </c>
    </row>
    <row r="134" spans="2:5" x14ac:dyDescent="0.25">
      <c r="B134" s="211" t="s">
        <v>126</v>
      </c>
      <c r="C134" s="212" t="str">
        <f>VLOOKUP(B134,'HIDDEN features'!A:D,3,FALSE)</f>
        <v>InFront</v>
      </c>
      <c r="D134" s="36" t="s">
        <v>21</v>
      </c>
      <c r="E134" s="91" t="str">
        <f>IF(AND(D134="Yes",VLOOKUP("UI-0",'Optional features'!B:D,3,FALSE)&lt;&gt;"Yes"),_xlfn.CONCAT("&lt;---- Value must be 'No' as ",C130," is not selected"),IF(AND(NOT(ISBLANK(B134)),ISBLANK(D134)),"&lt;---- This field cannot be left empty!",IF(AND(D134 &lt;&gt; "Yes", D134 &lt;&gt; "No"),"&lt;---- This field must be filled from the drop-down menu", "")))</f>
        <v/>
      </c>
    </row>
    <row r="135" spans="2:5" x14ac:dyDescent="0.25">
      <c r="B135" s="209" t="s">
        <v>127</v>
      </c>
      <c r="C135" s="210" t="str">
        <f>VLOOKUP(B135,'HIDDEN features'!A:D,3,FALSE)</f>
        <v>NormalCycle</v>
      </c>
      <c r="D135" s="35" t="s">
        <v>21</v>
      </c>
      <c r="E135" s="91" t="str">
        <f>IF(AND(D135="Yes",VLOOKUP("UI-0",'Optional features'!B:D,3,FALSE)&lt;&gt;"Yes"),_xlfn.CONCAT("&lt;---- Value must be 'No' as ",C130," is not selected"),IF(AND(NOT(ISBLANK(B135)),ISBLANK(D135)),"&lt;---- This field cannot be left empty!",IF(AND(D135 &lt;&gt; "Yes", D135 &lt;&gt; "No"),"&lt;---- This field must be filled from the drop-down menu", "")))</f>
        <v/>
      </c>
    </row>
    <row r="136" spans="2:5" ht="28.5" x14ac:dyDescent="0.25">
      <c r="B136" s="211" t="s">
        <v>128</v>
      </c>
      <c r="C136" s="215" t="str">
        <f>VLOOKUP(B136,'HIDDEN features'!A:D,3,FALSE)</f>
        <v>Supported message formats (DisplayMessageSupportedFormats)</v>
      </c>
      <c r="D136" s="216" t="str">
        <f>VLOOKUP(B136,'HIDDEN features'!A:D,4,FALSE)</f>
        <v>(At least one of the suboptions below is required, if UI-0 is supported)</v>
      </c>
      <c r="E136" s="91" t="str">
        <f>IF(AND(ISERROR(VLOOKUP("Yes",D137:D140,1,FALSE)),VLOOKUP("UI-0",'Optional features'!B:D,3,FALSE)="Yes"),"&lt;-- Please select at least one option","")</f>
        <v/>
      </c>
    </row>
    <row r="137" spans="2:5" x14ac:dyDescent="0.25">
      <c r="B137" s="209" t="s">
        <v>129</v>
      </c>
      <c r="C137" s="210" t="str">
        <f>VLOOKUP(B137,'HIDDEN features'!A:D,3,FALSE)</f>
        <v>ASCII</v>
      </c>
      <c r="D137" s="35" t="s">
        <v>21</v>
      </c>
      <c r="E137" s="91" t="str">
        <f>IF(AND(D137="Yes",VLOOKUP("UI-0",'Optional features'!B:D,3,FALSE)&lt;&gt;"Yes"),_xlfn.CONCAT("&lt;---- Value must be 'No' as ",C130," is not selected"),IF(AND(NOT(ISBLANK(B137)),ISBLANK(D137)),"&lt;---- This field cannot be left empty!",IF(AND(D137 &lt;&gt; "Yes", D137 &lt;&gt; "No"),"&lt;---- This field must be filled from the drop-down menu", "")))</f>
        <v/>
      </c>
    </row>
    <row r="138" spans="2:5" x14ac:dyDescent="0.25">
      <c r="B138" s="211" t="s">
        <v>130</v>
      </c>
      <c r="C138" s="212" t="str">
        <f>VLOOKUP(B138,'HIDDEN features'!A:D,3,FALSE)</f>
        <v>HTML</v>
      </c>
      <c r="D138" s="36" t="s">
        <v>21</v>
      </c>
      <c r="E138" s="91" t="str">
        <f>IF(AND(D138="Yes",VLOOKUP("UI-0",'Optional features'!B:D,3,FALSE)&lt;&gt;"Yes"),_xlfn.CONCAT("&lt;---- Value must be 'No' as ",C130," is not selected"),IF(AND(NOT(ISBLANK(B138)),ISBLANK(D138)),"&lt;---- This field cannot be left empty!",IF(AND(D138 &lt;&gt; "Yes", D138 &lt;&gt; "No"),"&lt;---- This field must be filled from the drop-down menu", "")))</f>
        <v/>
      </c>
    </row>
    <row r="139" spans="2:5" x14ac:dyDescent="0.25">
      <c r="B139" s="209" t="s">
        <v>131</v>
      </c>
      <c r="C139" s="210" t="str">
        <f>VLOOKUP(B139,'HIDDEN features'!A:D,3,FALSE)</f>
        <v>URI</v>
      </c>
      <c r="D139" s="35" t="s">
        <v>21</v>
      </c>
      <c r="E139" s="91" t="str">
        <f>IF(AND(D139="Yes",VLOOKUP("UI-0",'Optional features'!B:D,3,FALSE)&lt;&gt;"Yes"),_xlfn.CONCAT("&lt;---- Value must be 'No' as ",C130," is not selected"),IF(AND(NOT(ISBLANK(B139)),ISBLANK(D139)),"&lt;---- This field cannot be left empty!",IF(AND(D139 &lt;&gt; "Yes", D139 &lt;&gt; "No"),"&lt;---- This field must be filled from the drop-down menu", "")))</f>
        <v/>
      </c>
    </row>
    <row r="140" spans="2:5" x14ac:dyDescent="0.25">
      <c r="B140" s="213" t="s">
        <v>132</v>
      </c>
      <c r="C140" s="214" t="str">
        <f>VLOOKUP(B140,'HIDDEN features'!A:D,3,FALSE)</f>
        <v>UTF8</v>
      </c>
      <c r="D140" s="40" t="s">
        <v>21</v>
      </c>
      <c r="E140" s="91" t="str">
        <f>IF(AND(D140="Yes",VLOOKUP("UI-0",'Optional features'!B:D,3,FALSE)&lt;&gt;"Yes"),_xlfn.CONCAT("&lt;---- Value must be 'No' as ",C130," is not selected"),IF(AND(NOT(ISBLANK(B140)),ISBLANK(D140)),"&lt;---- This field cannot be left empty!",IF(AND(D140 &lt;&gt; "Yes", D140 &lt;&gt; "No"),"&lt;---- This field must be filled from the drop-down menu", "")))</f>
        <v/>
      </c>
    </row>
  </sheetData>
  <sheetProtection algorithmName="SHA-512" hashValue="zZqmKrODxE9BtJOqqzwxtddRO0nIhnkE9PflHf5LTd8aiwZjdChKD0AxLkTjsFWYGNBg445Y1UkTIGfEzmFg0A==" saltValue="Gu/O+c6Ufyinia9OqYZ6zw==" spinCount="100000" sheet="1" objects="1" scenarios="1"/>
  <mergeCells count="2">
    <mergeCell ref="B1:D1"/>
    <mergeCell ref="C2:D2"/>
  </mergeCells>
  <phoneticPr fontId="49" type="noConversion"/>
  <conditionalFormatting sqref="F1">
    <cfRule type="cellIs" dxfId="21" priority="5" operator="equal">
      <formula>"VALID"</formula>
    </cfRule>
  </conditionalFormatting>
  <conditionalFormatting sqref="F1:F2">
    <cfRule type="cellIs" dxfId="20" priority="2" operator="equal">
      <formula>"INVALID"</formula>
    </cfRule>
  </conditionalFormatting>
  <conditionalFormatting sqref="F2">
    <cfRule type="cellIs" dxfId="19" priority="1" operator="equal">
      <formula>"VALID for a VDoC"</formula>
    </cfRule>
    <cfRule type="cellIs" dxfId="18" priority="3" operator="equal">
      <formula>"VALID for Certification"</formula>
    </cfRule>
  </conditionalFormatting>
  <dataValidations count="3">
    <dataValidation type="list" allowBlank="1" showInputMessage="1" showErrorMessage="1" sqref="D28:D33 D114:D115 D112 D108:D109 D119 D41:D46 D15:D20 D22:D26 D88:D100 D6:D8 D10:D13 D127:D128 D104:D105 D84:D86 D122:D123 D64:E67 E50:E62 D50:D55 D58:D61 D36:D37 D39" xr:uid="{C041260F-75D1-4DA8-9B13-2E9101B865DB}">
      <formula1>"Yes,No"</formula1>
    </dataValidation>
    <dataValidation type="list" showInputMessage="1" showErrorMessage="1" sqref="D133:D135 D137:D140 D131" xr:uid="{12E003BA-17B3-B047-BD5C-86FD75ABB4E9}">
      <formula1>"Yes,No"</formula1>
    </dataValidation>
    <dataValidation type="list" allowBlank="1" showInputMessage="1" showErrorMessage="1" sqref="D118 D126" xr:uid="{D375B918-1452-4424-936B-F93546D0C4A3}">
      <formula1>"Yes, No"</formula1>
    </dataValidation>
  </dataValidations>
  <pageMargins left="0.7" right="0.7" top="0.75" bottom="0.75" header="0.3" footer="0.3"/>
  <pageSetup paperSize="9" orientation="portrait" r:id="rId1"/>
  <headerFooter>
    <oddFooter>&amp;C_x000D_&amp;1#&amp;"Arial"&amp;9&amp;K000000 Internal</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DE8F9E-847F-40FE-BCA7-69ED792FDF61}">
          <x14:formula1>
            <xm:f>MD!$O$1:$O$32</xm:f>
          </x14:formula1>
          <xm:sqref>D35</xm:sqref>
        </x14:dataValidation>
        <x14:dataValidation type="list" allowBlank="1" showInputMessage="1" showErrorMessage="1" xr:uid="{EAB6EAAC-7ED6-4F2F-B00C-E205F7A1E407}">
          <x14:formula1>
            <xm:f>MD!$H$1:$H$3</xm:f>
          </x14:formula1>
          <xm:sqref>D81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30"/>
  <sheetViews>
    <sheetView showGridLines="0" workbookViewId="0">
      <selection activeCell="D5" sqref="D5"/>
    </sheetView>
  </sheetViews>
  <sheetFormatPr defaultColWidth="28.125" defaultRowHeight="15.75" customHeight="1" x14ac:dyDescent="0.25"/>
  <cols>
    <col min="1" max="1" width="11.625" customWidth="1"/>
    <col min="2" max="2" width="7.125" bestFit="1" customWidth="1"/>
    <col min="3" max="3" width="97.125" customWidth="1"/>
    <col min="4" max="4" width="25.125" customWidth="1"/>
    <col min="5" max="5" width="35" bestFit="1" customWidth="1"/>
  </cols>
  <sheetData>
    <row r="1" spans="2:6" ht="58.5" customHeight="1" x14ac:dyDescent="0.25">
      <c r="C1" s="272" t="s">
        <v>148</v>
      </c>
      <c r="E1" s="88" t="s">
        <v>977</v>
      </c>
      <c r="F1" s="88" t="str">
        <f>IF(_xlfn.CONCAT(E5:E18)="","VALID","INVALID")</f>
        <v>VALID</v>
      </c>
    </row>
    <row r="2" spans="2:6" ht="33.75" customHeight="1" x14ac:dyDescent="0.25">
      <c r="C2" s="273" t="s">
        <v>1057</v>
      </c>
      <c r="E2" s="194" t="s">
        <v>1029</v>
      </c>
      <c r="F2" s="88" t="str">
        <f>'Statement of Approval'!$I$2</f>
        <v>INVALID</v>
      </c>
    </row>
    <row r="3" spans="2:6" ht="15" customHeight="1" x14ac:dyDescent="0.25">
      <c r="C3" s="272"/>
      <c r="E3" s="88"/>
      <c r="F3" s="88"/>
    </row>
    <row r="4" spans="2:6" x14ac:dyDescent="0.25">
      <c r="B4" s="205" t="s">
        <v>13</v>
      </c>
      <c r="C4" s="27" t="s">
        <v>149</v>
      </c>
      <c r="D4" s="206" t="s">
        <v>1061</v>
      </c>
    </row>
    <row r="5" spans="2:6" x14ac:dyDescent="0.25">
      <c r="B5" s="267" t="s">
        <v>150</v>
      </c>
      <c r="C5" s="30" t="s">
        <v>1211</v>
      </c>
      <c r="D5" s="35" t="s">
        <v>21</v>
      </c>
      <c r="E5" s="91" t="str">
        <f>IF(AND(NOT(ISBLANK(B5)),ISBLANK(D5)),"&lt;-- This field cannot be left empty!",IF(AND(D5 &lt;&gt; "Yes", D5 &lt;&gt; "No"),"&lt;---- This field must be filled from the drop-down menu", ""))</f>
        <v/>
      </c>
    </row>
    <row r="6" spans="2:6" ht="30" x14ac:dyDescent="0.25">
      <c r="B6" s="268" t="s">
        <v>151</v>
      </c>
      <c r="C6" s="18" t="s">
        <v>152</v>
      </c>
      <c r="D6" s="36" t="s">
        <v>21</v>
      </c>
      <c r="E6" s="91" t="str">
        <f t="shared" ref="E6:E8" si="0">IF(AND(NOT(ISBLANK(B6)),ISBLANK(D6)),"&lt;-- This field cannot be left empty!",IF(AND(D6 &lt;&gt; "Yes", D6 &lt;&gt; "No"),"&lt;---- This field must be filled from the drop-down menu", ""))</f>
        <v/>
      </c>
    </row>
    <row r="7" spans="2:6" x14ac:dyDescent="0.25">
      <c r="B7" s="267" t="s">
        <v>153</v>
      </c>
      <c r="C7" s="30" t="s">
        <v>154</v>
      </c>
      <c r="D7" s="35" t="s">
        <v>21</v>
      </c>
      <c r="E7" s="91" t="str">
        <f t="shared" si="0"/>
        <v/>
      </c>
    </row>
    <row r="8" spans="2:6" x14ac:dyDescent="0.25">
      <c r="B8" s="268" t="s">
        <v>155</v>
      </c>
      <c r="C8" s="18" t="s">
        <v>156</v>
      </c>
      <c r="D8" s="36" t="s">
        <v>21</v>
      </c>
      <c r="E8" s="91" t="str">
        <f t="shared" si="0"/>
        <v/>
      </c>
    </row>
    <row r="9" spans="2:6" x14ac:dyDescent="0.25">
      <c r="B9" s="267" t="s">
        <v>157</v>
      </c>
      <c r="C9" s="30" t="s">
        <v>158</v>
      </c>
      <c r="D9" s="157" t="s">
        <v>21</v>
      </c>
      <c r="E9" s="91" t="str">
        <f>IF(AND(NOT(ISBLANK(B9)),ISBLANK(D9)),"&lt;-- This field cannot be left empty!",IF(AND(VLOOKUP("DM-0",'Optional features'!B:D,3,FALSE)="No",D9="Yes"),"&lt;---- Only allowed when Advanced Device Management is selected",IF(AND(D9 &lt;&gt; "Yes", D9 &lt;&gt; "No"),"&lt;---- This field must be filled from the drop-down menu", "")))</f>
        <v/>
      </c>
    </row>
    <row r="10" spans="2:6" x14ac:dyDescent="0.25">
      <c r="B10" s="268"/>
      <c r="C10" s="270" t="s">
        <v>1076</v>
      </c>
      <c r="D10" s="271"/>
      <c r="E10" s="91" t="str">
        <f>IF(AND(NOT(ISBLANK(B10)),ISBLANK(D10)),"&lt;-- This field cannot be left empty!","")</f>
        <v/>
      </c>
    </row>
    <row r="11" spans="2:6" x14ac:dyDescent="0.25">
      <c r="B11" s="267" t="s">
        <v>159</v>
      </c>
      <c r="C11" s="30" t="s">
        <v>160</v>
      </c>
      <c r="D11" s="157" t="s">
        <v>21</v>
      </c>
      <c r="E11" s="91" t="str">
        <f>IF(AND(NOT(ISBLANK(B11)),ISBLANK(D11)),"&lt;-- This field cannot be left empty!",IF(AND(VLOOKUP("DM-0",'Optional features'!B:D,3,FALSE)="No",D11="Yes"),"&lt;---- Only allowed when Advanced Device Management is selected",IF(AND(D11 &lt;&gt; "Yes", D11 &lt;&gt; "No"),"&lt;---- This field must be filled from the drop-down menu", "")))</f>
        <v/>
      </c>
    </row>
    <row r="12" spans="2:6" x14ac:dyDescent="0.25">
      <c r="B12" s="268"/>
      <c r="C12" s="270" t="s">
        <v>1077</v>
      </c>
      <c r="D12" s="271"/>
      <c r="E12" s="91" t="str">
        <f>IF(AND(NOT(ISBLANK(B12)),ISBLANK(D12)),"&lt;-- This field cannot be left empty!","")</f>
        <v/>
      </c>
    </row>
    <row r="13" spans="2:6" x14ac:dyDescent="0.25">
      <c r="B13" s="267" t="s">
        <v>161</v>
      </c>
      <c r="C13" s="30" t="s">
        <v>162</v>
      </c>
      <c r="D13" s="35" t="s">
        <v>21</v>
      </c>
      <c r="E13" s="91" t="str">
        <f>IF(AND(NOT(ISBLANK(B13)),ISBLANK(D13)),"&lt;-- This field cannot be left empty!",IF(AND(D13 &lt;&gt; "Yes", D13 &lt;&gt; "No"),"&lt;---- This field must be filled from the drop-down menu", ""))</f>
        <v/>
      </c>
    </row>
    <row r="14" spans="2:6" x14ac:dyDescent="0.25">
      <c r="B14" s="268" t="s">
        <v>163</v>
      </c>
      <c r="C14" s="18" t="s">
        <v>164</v>
      </c>
      <c r="D14" s="36" t="s">
        <v>21</v>
      </c>
      <c r="E14" s="91" t="str">
        <f>IF(AND(NOT(ISBLANK(B14)),ISBLANK(D14)),"&lt;-- This field cannot be left empty!",IF(AND(D14 &lt;&gt; "Yes", D14 &lt;&gt; "No"),"&lt;---- This field must be filled from the drop-down menu", ""))</f>
        <v/>
      </c>
    </row>
    <row r="15" spans="2:6" x14ac:dyDescent="0.25">
      <c r="B15" s="267" t="s">
        <v>850</v>
      </c>
      <c r="C15" s="30" t="s">
        <v>857</v>
      </c>
      <c r="D15" s="35" t="s">
        <v>21</v>
      </c>
      <c r="E15" s="91" t="str">
        <f>IF(AND(NOT(ISBLANK(B15)),ISBLANK(D15)),"&lt;-- This field cannot be left empty!",IF(AND(D15 &lt;&gt; "Yes", D15 &lt;&gt; "No"),"&lt;---- This field must be filled from the drop-down menu", ""))</f>
        <v/>
      </c>
    </row>
    <row r="16" spans="2:6" ht="34.5" customHeight="1" x14ac:dyDescent="0.25">
      <c r="B16" s="268" t="s">
        <v>1105</v>
      </c>
      <c r="C16" s="18" t="s">
        <v>1109</v>
      </c>
      <c r="D16" s="36" t="s">
        <v>21</v>
      </c>
      <c r="E16" s="91" t="str">
        <f t="shared" ref="E16:E17" si="1">IF(AND(NOT(ISBLANK(B16)),ISBLANK(D16)),"&lt;-- This field cannot be left empty!",IF(AND(D16 &lt;&gt; "Yes", D16 &lt;&gt; "No"),"&lt;---- This field must be filled from the drop-down menu", ""))</f>
        <v/>
      </c>
    </row>
    <row r="17" spans="2:5" ht="20.100000000000001" customHeight="1" x14ac:dyDescent="0.25">
      <c r="B17" s="267" t="s">
        <v>1108</v>
      </c>
      <c r="C17" s="30" t="s">
        <v>1107</v>
      </c>
      <c r="D17" s="35" t="s">
        <v>21</v>
      </c>
      <c r="E17" s="91" t="str">
        <f t="shared" si="1"/>
        <v/>
      </c>
    </row>
    <row r="18" spans="2:5" ht="30" customHeight="1" x14ac:dyDescent="0.25">
      <c r="B18" s="269" t="s">
        <v>1279</v>
      </c>
      <c r="C18" s="103" t="s">
        <v>1280</v>
      </c>
      <c r="D18" s="40" t="s">
        <v>21</v>
      </c>
      <c r="E18" s="91" t="str">
        <f>IF(AND(SUMPRODUCT(--ISNUMBER(MATCH("sType2", 'Hardware Feature set'!J6:J43, 0))+--ISNUMBER(MATCH("sType3", 'Hardware Feature set'!J6:J43, 0))) &lt;&gt; 0, D18 = "No"), "&lt;-- This field must be set to Yes for connector type sType2 and sType3", IF(AND(NOT(ISBLANK(B15)),ISBLANK(D15)),"&lt;-- This field cannot be left empty!",IF(AND(D18 &lt;&gt; "Yes", D18 &lt;&gt; "No"),"&lt;---- This field must be filled from the drop-down menu", "")))</f>
        <v/>
      </c>
    </row>
    <row r="19" spans="2:5" x14ac:dyDescent="0.25">
      <c r="B19" s="264"/>
      <c r="C19" s="18"/>
      <c r="D19" s="257"/>
    </row>
    <row r="20" spans="2:5" x14ac:dyDescent="0.25">
      <c r="B20" s="264"/>
      <c r="C20" s="265"/>
      <c r="D20" s="119"/>
    </row>
    <row r="21" spans="2:5" x14ac:dyDescent="0.25">
      <c r="B21" s="264"/>
      <c r="C21" s="266"/>
      <c r="D21" s="257"/>
    </row>
    <row r="22" spans="2:5" x14ac:dyDescent="0.25">
      <c r="B22" s="264"/>
      <c r="C22" s="18"/>
      <c r="D22" s="3"/>
    </row>
    <row r="23" spans="2:5" x14ac:dyDescent="0.25">
      <c r="C23" s="3"/>
    </row>
    <row r="30" spans="2:5" x14ac:dyDescent="0.25">
      <c r="C30" t="s">
        <v>3</v>
      </c>
    </row>
  </sheetData>
  <sheetProtection algorithmName="SHA-512" hashValue="FzX6JFJ7Ppxlh/QUvx3YZO/gaCXfIJDxe6kcBQPgYRROaRvVy9vx2NN0GAUx7O0r63klu54mZbY13+yPyNPa7A==" saltValue="qBozl0hsXQfrO3wptrByug==" spinCount="100000" sheet="1" objects="1" scenarios="1"/>
  <conditionalFormatting sqref="F1 F3">
    <cfRule type="cellIs" dxfId="17" priority="5" operator="equal">
      <formula>"VALID"</formula>
    </cfRule>
  </conditionalFormatting>
  <conditionalFormatting sqref="F1:F3">
    <cfRule type="cellIs" dxfId="16" priority="2" operator="equal">
      <formula>"INVALID"</formula>
    </cfRule>
  </conditionalFormatting>
  <conditionalFormatting sqref="F2">
    <cfRule type="cellIs" dxfId="15" priority="1" operator="equal">
      <formula>"VALID for a VDoC"</formula>
    </cfRule>
    <cfRule type="cellIs" dxfId="14" priority="3" operator="equal">
      <formula>"VALID for Certification"</formula>
    </cfRule>
  </conditionalFormatting>
  <dataValidations count="1">
    <dataValidation type="list" allowBlank="1" showInputMessage="1" showErrorMessage="1" sqref="D5:D9 D11 D13:D18" xr:uid="{28070518-DDD2-469A-8404-FE76BF5B1220}">
      <formula1>"Yes,No"</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61"/>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2.125" bestFit="1" customWidth="1"/>
    <col min="5" max="5" width="37.625" customWidth="1"/>
  </cols>
  <sheetData>
    <row r="1" spans="2:6" ht="35.25" customHeight="1" x14ac:dyDescent="0.35">
      <c r="B1" s="344" t="s">
        <v>165</v>
      </c>
      <c r="C1" s="344"/>
      <c r="D1" s="344"/>
      <c r="E1" s="88" t="s">
        <v>964</v>
      </c>
      <c r="F1" s="88" t="str">
        <f>IF(AND(ISERROR(FIND("&lt;please ", _xlfn.CONCAT(D4:D59))),ISERROR(FIND("&lt;-- ", _xlfn.CONCAT(E4:E59)))),"VALID","INVALID")</f>
        <v>INVALID</v>
      </c>
    </row>
    <row r="2" spans="2:6" ht="21.75" customHeight="1" x14ac:dyDescent="0.35">
      <c r="B2" s="158"/>
      <c r="C2" s="348" t="s">
        <v>1058</v>
      </c>
      <c r="D2" s="348"/>
      <c r="E2" s="194" t="s">
        <v>1029</v>
      </c>
      <c r="F2" s="88" t="str">
        <f>'Statement of Approval'!$I$2</f>
        <v>INVALID</v>
      </c>
    </row>
    <row r="3" spans="2:6" ht="21.75" customHeight="1" x14ac:dyDescent="0.25"/>
    <row r="4" spans="2:6" ht="16.5" thickBot="1" x14ac:dyDescent="0.3">
      <c r="B4" s="5" t="s">
        <v>13</v>
      </c>
      <c r="C4" s="15" t="s">
        <v>962</v>
      </c>
      <c r="D4" s="59" t="s">
        <v>166</v>
      </c>
    </row>
    <row r="5" spans="2:6" ht="16.5" thickBot="1" x14ac:dyDescent="0.3">
      <c r="B5" s="16" t="s">
        <v>167</v>
      </c>
      <c r="C5" s="13" t="s">
        <v>168</v>
      </c>
      <c r="D5" s="37" t="s">
        <v>169</v>
      </c>
      <c r="E5" s="43" t="str">
        <f>IF(AND('Profile selection'!$C$4="Yes",OR(D5="… ",D5="")),"&lt;-- This field is required","")</f>
        <v>&lt;-- This field is required</v>
      </c>
    </row>
    <row r="6" spans="2:6" ht="16.5" thickBot="1" x14ac:dyDescent="0.3">
      <c r="B6" s="17" t="s">
        <v>170</v>
      </c>
      <c r="C6" s="14" t="s">
        <v>171</v>
      </c>
      <c r="D6" s="38" t="s">
        <v>169</v>
      </c>
      <c r="E6" s="43" t="str">
        <f>IF(AND('Profile selection'!$C$4="Yes",OR(D6="… ",D6="")),"&lt;-- This field is required","")</f>
        <v>&lt;-- This field is required</v>
      </c>
    </row>
    <row r="7" spans="2:6" ht="16.5" thickBot="1" x14ac:dyDescent="0.3">
      <c r="B7" s="16" t="s">
        <v>172</v>
      </c>
      <c r="C7" s="13" t="s">
        <v>173</v>
      </c>
      <c r="D7" s="37" t="s">
        <v>169</v>
      </c>
      <c r="E7" s="43" t="str">
        <f>IF(AND('Profile selection'!$C$4="Yes",OR(D7="… ",D7="")),"&lt;-- This field is required","")</f>
        <v>&lt;-- This field is required</v>
      </c>
    </row>
    <row r="8" spans="2:6" ht="16.5" thickBot="1" x14ac:dyDescent="0.3">
      <c r="B8" s="17" t="s">
        <v>174</v>
      </c>
      <c r="C8" s="14" t="s">
        <v>175</v>
      </c>
      <c r="D8" s="38" t="s">
        <v>169</v>
      </c>
      <c r="E8" s="43" t="str">
        <f>IF(AND('Profile selection'!$C$4="Yes",OR(D8="… ",D8="")),"&lt;-- This field is required","")</f>
        <v>&lt;-- This field is required</v>
      </c>
    </row>
    <row r="9" spans="2:6" ht="16.5" thickBot="1" x14ac:dyDescent="0.3">
      <c r="B9" s="16" t="s">
        <v>176</v>
      </c>
      <c r="C9" s="13" t="s">
        <v>177</v>
      </c>
      <c r="D9" s="37" t="s">
        <v>169</v>
      </c>
      <c r="E9" s="43" t="str">
        <f>IF(AND('Profile selection'!$C$4="Yes",OR(D9="… ",D9="")),"&lt;-- This field is required","")</f>
        <v>&lt;-- This field is required</v>
      </c>
    </row>
    <row r="10" spans="2:6" ht="16.5" thickBot="1" x14ac:dyDescent="0.3">
      <c r="B10" s="17" t="s">
        <v>178</v>
      </c>
      <c r="C10" s="14" t="s">
        <v>179</v>
      </c>
      <c r="D10" s="38" t="s">
        <v>169</v>
      </c>
      <c r="E10" s="43" t="str">
        <f>IF(AND('Profile selection'!$C$4="Yes",OR(D10="… ",D10="")),"&lt;-- This field is required","")</f>
        <v>&lt;-- This field is required</v>
      </c>
    </row>
    <row r="11" spans="2:6" ht="16.5" thickBot="1" x14ac:dyDescent="0.3">
      <c r="B11" s="16" t="s">
        <v>180</v>
      </c>
      <c r="C11" s="90" t="s">
        <v>969</v>
      </c>
      <c r="D11" s="37" t="s">
        <v>169</v>
      </c>
    </row>
    <row r="12" spans="2:6" ht="16.5" thickBot="1" x14ac:dyDescent="0.3">
      <c r="B12" s="17" t="s">
        <v>181</v>
      </c>
      <c r="C12" s="89" t="s">
        <v>968</v>
      </c>
      <c r="D12" s="38" t="s">
        <v>169</v>
      </c>
    </row>
    <row r="13" spans="2:6" ht="16.5" thickBot="1" x14ac:dyDescent="0.3">
      <c r="B13" s="16" t="s">
        <v>182</v>
      </c>
      <c r="C13" s="13" t="s">
        <v>183</v>
      </c>
      <c r="D13" s="37" t="s">
        <v>169</v>
      </c>
    </row>
    <row r="14" spans="2:6" ht="16.5" thickBot="1" x14ac:dyDescent="0.3">
      <c r="B14" s="17" t="s">
        <v>184</v>
      </c>
      <c r="C14" s="14" t="s">
        <v>185</v>
      </c>
      <c r="D14" s="38" t="s">
        <v>169</v>
      </c>
    </row>
    <row r="15" spans="2:6" ht="16.5" thickBot="1" x14ac:dyDescent="0.3">
      <c r="B15" s="16" t="s">
        <v>186</v>
      </c>
      <c r="C15" s="13" t="s">
        <v>187</v>
      </c>
      <c r="D15" s="37" t="s">
        <v>169</v>
      </c>
    </row>
    <row r="16" spans="2:6" ht="16.5" thickBot="1" x14ac:dyDescent="0.3">
      <c r="B16" s="17" t="s">
        <v>188</v>
      </c>
      <c r="C16" s="14" t="s">
        <v>189</v>
      </c>
      <c r="D16" s="38" t="s">
        <v>169</v>
      </c>
    </row>
    <row r="17" spans="2:5" ht="16.5" thickBot="1" x14ac:dyDescent="0.3">
      <c r="B17" s="16" t="s">
        <v>190</v>
      </c>
      <c r="C17" s="13" t="s">
        <v>966</v>
      </c>
      <c r="D17" s="37" t="s">
        <v>169</v>
      </c>
    </row>
    <row r="18" spans="2:5" ht="16.5" thickBot="1" x14ac:dyDescent="0.3">
      <c r="B18" s="17" t="s">
        <v>191</v>
      </c>
      <c r="C18" s="89" t="s">
        <v>967</v>
      </c>
      <c r="D18" s="38" t="s">
        <v>169</v>
      </c>
    </row>
    <row r="19" spans="2:5" ht="19.5" customHeight="1" thickBot="1" x14ac:dyDescent="0.3">
      <c r="B19" s="16" t="s">
        <v>192</v>
      </c>
      <c r="C19" s="90" t="s">
        <v>193</v>
      </c>
      <c r="D19" s="37" t="s">
        <v>965</v>
      </c>
      <c r="E19" s="43" t="str">
        <f>IF(AND('Profile selection'!$C$4="Yes",OR(D19="… ",D19="",NOT(ISERROR(FIND("&lt;",D19))))),"&lt;-- This field is required and must be &gt;= 1,","")</f>
        <v>&lt;-- This field is required and must be &gt;= 1,</v>
      </c>
    </row>
    <row r="20" spans="2:5" ht="16.5" thickBot="1" x14ac:dyDescent="0.3">
      <c r="B20" s="17"/>
      <c r="C20" s="14"/>
      <c r="D20" s="70"/>
      <c r="E20" s="21"/>
    </row>
    <row r="21" spans="2:5" ht="16.5" thickBot="1" x14ac:dyDescent="0.3">
      <c r="B21" s="16"/>
      <c r="C21" s="13"/>
      <c r="D21" s="67"/>
    </row>
    <row r="22" spans="2:5" ht="16.5" thickBot="1" x14ac:dyDescent="0.3">
      <c r="B22" s="53" t="s">
        <v>13</v>
      </c>
      <c r="C22" s="51" t="s">
        <v>961</v>
      </c>
      <c r="D22" s="59" t="s">
        <v>892</v>
      </c>
    </row>
    <row r="23" spans="2:5" ht="16.5" thickBot="1" x14ac:dyDescent="0.3">
      <c r="B23" s="16" t="s">
        <v>194</v>
      </c>
      <c r="C23" s="13" t="s">
        <v>1247</v>
      </c>
      <c r="D23" s="37" t="s">
        <v>169</v>
      </c>
      <c r="E23" s="43" t="str">
        <f>IF(AND('Profile selection'!$C$4="Yes",OR(D23="… ",D23="")),"&lt;-- This field is required","")</f>
        <v>&lt;-- This field is required</v>
      </c>
    </row>
    <row r="24" spans="2:5" ht="16.5" thickBot="1" x14ac:dyDescent="0.3">
      <c r="B24" s="17" t="s">
        <v>195</v>
      </c>
      <c r="C24" s="14" t="s">
        <v>196</v>
      </c>
      <c r="D24" s="38" t="s">
        <v>169</v>
      </c>
      <c r="E24" s="43" t="str">
        <f>IF(AND('Profile selection'!$C$4="Yes",OR(D24="… ",D24="")),"&lt;-- This field is required","")</f>
        <v>&lt;-- This field is required</v>
      </c>
    </row>
    <row r="25" spans="2:5" ht="16.5" thickBot="1" x14ac:dyDescent="0.3">
      <c r="B25" s="16"/>
      <c r="C25" s="13"/>
      <c r="D25" s="67"/>
    </row>
    <row r="26" spans="2:5" ht="16.5" thickBot="1" x14ac:dyDescent="0.3">
      <c r="B26" s="53" t="s">
        <v>13</v>
      </c>
      <c r="C26" s="52" t="s">
        <v>140</v>
      </c>
      <c r="D26" s="59" t="s">
        <v>892</v>
      </c>
    </row>
    <row r="27" spans="2:5" ht="16.5" thickBot="1" x14ac:dyDescent="0.3">
      <c r="B27" s="16" t="s">
        <v>197</v>
      </c>
      <c r="C27" s="13" t="s">
        <v>198</v>
      </c>
      <c r="D27" s="37" t="s">
        <v>169</v>
      </c>
      <c r="E27" s="43" t="str">
        <f>IF(AND(VLOOKUP("LA-0",'Optional features'!B:D,3,FALSE)="Yes",OR(D27="… ",D27="")),"&lt;-- This field is required","")</f>
        <v/>
      </c>
    </row>
    <row r="28" spans="2:5" ht="16.5" thickBot="1" x14ac:dyDescent="0.3">
      <c r="B28" s="17" t="s">
        <v>199</v>
      </c>
      <c r="C28" s="14" t="s">
        <v>200</v>
      </c>
      <c r="D28" s="38" t="s">
        <v>169</v>
      </c>
      <c r="E28" s="43" t="str">
        <f>IF(AND(VLOOKUP("LA-0",'Optional features'!B:D,3,FALSE)="Yes",OR(D28="… ",D28="")),"&lt;-- This field is required","")</f>
        <v/>
      </c>
    </row>
    <row r="29" spans="2:5" ht="16.5" thickBot="1" x14ac:dyDescent="0.3">
      <c r="B29" s="16" t="s">
        <v>201</v>
      </c>
      <c r="C29" s="13" t="s">
        <v>202</v>
      </c>
      <c r="D29" s="37" t="s">
        <v>169</v>
      </c>
      <c r="E29" s="43" t="str">
        <f>IF(AND(VLOOKUP("LA-0",'Optional features'!B:D,3,FALSE)="Yes",OR(D29="… ",D29="")),"&lt;-- This field is required","")</f>
        <v/>
      </c>
    </row>
    <row r="30" spans="2:5" ht="16.5" thickBot="1" x14ac:dyDescent="0.3">
      <c r="B30" s="17"/>
      <c r="C30" s="14"/>
      <c r="D30" s="70"/>
    </row>
    <row r="31" spans="2:5" ht="16.5" thickBot="1" x14ac:dyDescent="0.3">
      <c r="B31" s="71" t="s">
        <v>13</v>
      </c>
      <c r="C31" s="72" t="s">
        <v>112</v>
      </c>
      <c r="D31" s="73" t="s">
        <v>892</v>
      </c>
    </row>
    <row r="32" spans="2:5" ht="16.5" thickBot="1" x14ac:dyDescent="0.3">
      <c r="B32" s="17" t="s">
        <v>203</v>
      </c>
      <c r="C32" s="14" t="s">
        <v>204</v>
      </c>
      <c r="D32" s="38" t="s">
        <v>169</v>
      </c>
      <c r="E32" s="43" t="str">
        <f>IF(AND('Profile selection'!$C$6="Yes",OR(D32="… ",D32="")),"&lt;-- This field is required","")</f>
        <v/>
      </c>
    </row>
    <row r="33" spans="2:5" ht="16.5" thickBot="1" x14ac:dyDescent="0.3">
      <c r="B33" s="16" t="s">
        <v>205</v>
      </c>
      <c r="C33" s="13" t="s">
        <v>206</v>
      </c>
      <c r="D33" s="37" t="s">
        <v>169</v>
      </c>
      <c r="E33" s="43" t="str">
        <f>IF(AND('Profile selection'!$C$6="Yes",OR(D33="… ",D33="")),"&lt;-- This field is required","")</f>
        <v/>
      </c>
    </row>
    <row r="34" spans="2:5" ht="16.5" thickBot="1" x14ac:dyDescent="0.3">
      <c r="B34" s="17" t="s">
        <v>1047</v>
      </c>
      <c r="C34" s="14" t="s">
        <v>1048</v>
      </c>
      <c r="D34" s="38" t="s">
        <v>169</v>
      </c>
      <c r="E34" s="43" t="str">
        <f>IF(AND('Profile selection'!$C$6="Yes",OR(D34="… ",D34="")),"&lt;-- This field is required","")</f>
        <v/>
      </c>
    </row>
    <row r="35" spans="2:5" ht="16.5" thickBot="1" x14ac:dyDescent="0.3">
      <c r="B35" s="16"/>
      <c r="C35" s="13"/>
      <c r="D35" s="67"/>
    </row>
    <row r="36" spans="2:5" ht="16.5" thickBot="1" x14ac:dyDescent="0.3">
      <c r="B36" s="53" t="s">
        <v>13</v>
      </c>
      <c r="C36" s="51" t="s">
        <v>963</v>
      </c>
      <c r="D36" s="59" t="s">
        <v>892</v>
      </c>
    </row>
    <row r="37" spans="2:5" ht="16.5" thickBot="1" x14ac:dyDescent="0.3">
      <c r="B37" s="16" t="s">
        <v>207</v>
      </c>
      <c r="C37" s="13" t="s">
        <v>208</v>
      </c>
      <c r="D37" s="37" t="s">
        <v>1210</v>
      </c>
      <c r="E37" s="91" t="str">
        <f>IF(AND(NOT(ISBLANK(B37)),ISBLANK(D37)),"&lt;--- Please select the supporteded file transfer protocol(s) from the list.",IF(NOT(ISERROR(FIND("&lt;",D37))),"&lt;--- Please select the supporteded file transfer protocol(s) from the list.",IF(ISERROR(MATCH(D37, MD!$P$1:$P$31, 0)), "&lt;---- This field must be filled from the drop-down menu", "")))</f>
        <v>&lt;--- Please select the supporteded file transfer protocol(s) from the list.</v>
      </c>
    </row>
    <row r="38" spans="2:5" ht="16.5" thickBot="1" x14ac:dyDescent="0.3">
      <c r="B38" s="17"/>
      <c r="C38" s="14"/>
      <c r="D38" s="70"/>
    </row>
    <row r="39" spans="2:5" ht="16.5" thickBot="1" x14ac:dyDescent="0.3">
      <c r="B39" s="71" t="s">
        <v>13</v>
      </c>
      <c r="C39" s="72" t="s">
        <v>1787</v>
      </c>
      <c r="D39" s="73" t="s">
        <v>892</v>
      </c>
    </row>
    <row r="40" spans="2:5" ht="16.5" thickBot="1" x14ac:dyDescent="0.3">
      <c r="B40" s="17" t="s">
        <v>209</v>
      </c>
      <c r="C40" s="14" t="s">
        <v>210</v>
      </c>
      <c r="D40" s="38" t="s">
        <v>169</v>
      </c>
      <c r="E40" s="43" t="str">
        <f>IF(AND(VLOOKUP("DM-0",'Optional features'!B:D,3,FALSE)="Yes",OR(D40="… ",D40="")),"&lt;-- This field is required",IF(AND(VLOOKUP("DM-0",'Optional features'!B:D,3,FALSE)="No", AND(D40&lt;&gt;"… ",D40&lt;&gt;"")), "&lt;-- This field must be left empty", ""))</f>
        <v/>
      </c>
    </row>
    <row r="41" spans="2:5" ht="16.5" thickBot="1" x14ac:dyDescent="0.3">
      <c r="B41" s="16" t="s">
        <v>211</v>
      </c>
      <c r="C41" s="13" t="s">
        <v>212</v>
      </c>
      <c r="D41" s="37" t="s">
        <v>169</v>
      </c>
      <c r="E41" s="43" t="str">
        <f>IF(AND(VLOOKUP("DM-0",'Optional features'!B:D,3,FALSE)="Yes",OR(D41="… ",D41="")),"&lt;-- This field is required",IF(AND(VLOOKUP("DM-0",'Optional features'!B:D,3,FALSE)="No", AND(D41&lt;&gt;"… ",D41&lt;&gt;"")), "&lt;-- This field must be left empty", ""))</f>
        <v/>
      </c>
    </row>
    <row r="42" spans="2:5" ht="16.5" thickBot="1" x14ac:dyDescent="0.3">
      <c r="B42" s="17" t="s">
        <v>1078</v>
      </c>
      <c r="C42" s="14" t="s">
        <v>1079</v>
      </c>
      <c r="D42" s="38" t="s">
        <v>169</v>
      </c>
      <c r="E42" s="43" t="str">
        <f>IF(_xlfn.XOR(OR(D42="… ",ISBLANK(D42)),'Additional questions'!D11="No"),"&lt;-- This field is required when AQ-6 is selected and must be left empty otherwise.","")</f>
        <v/>
      </c>
    </row>
    <row r="43" spans="2:5" ht="16.5" thickBot="1" x14ac:dyDescent="0.3">
      <c r="B43" s="16" t="s">
        <v>1091</v>
      </c>
      <c r="C43" s="13" t="s">
        <v>1090</v>
      </c>
      <c r="D43" s="37" t="s">
        <v>169</v>
      </c>
      <c r="E43" s="43" t="str">
        <f>IF(_xlfn.XOR(OR(D43="… ",ISBLANK(D43)),'Additional questions'!D9="No"),"&lt;-- This field is required when AQ-5 is selected and must be left empty otherwise.","")</f>
        <v/>
      </c>
    </row>
    <row r="44" spans="2:5" ht="16.5" thickBot="1" x14ac:dyDescent="0.3">
      <c r="B44" s="17" t="s">
        <v>1092</v>
      </c>
      <c r="C44" s="14" t="s">
        <v>1080</v>
      </c>
      <c r="D44" s="38" t="s">
        <v>169</v>
      </c>
      <c r="E44" s="43" t="str">
        <f>IF(AND(VLOOKUP("DM-0",'Optional features'!B:D,3,FALSE)="Yes",OR(D44="… ", D44="")),"&lt;-- This field is required, the required format is: ComponentName[instance].Evse.Connector.VariableName[instance], where Evse, Connector and instance are optional",IF(AND(VLOOKUP("DM-0",'Optional features'!B:D,3,FALSE)="No", AND(D44&lt;&gt;"… ",D44&lt;&gt;"")), "&lt;-- This field must be left empty", ""))</f>
        <v/>
      </c>
    </row>
    <row r="45" spans="2:5" ht="16.5" thickBot="1" x14ac:dyDescent="0.3">
      <c r="B45" s="16" t="s">
        <v>1093</v>
      </c>
      <c r="C45" s="13" t="s">
        <v>1081</v>
      </c>
      <c r="D45" s="37" t="s">
        <v>169</v>
      </c>
      <c r="E45" s="43" t="str">
        <f>IF(AND(VLOOKUP("DM-0",'Optional features'!B:D,3,FALSE)="Yes",OR(D45="… ", D45="")),"&lt;-- This field is required",IF(AND(VLOOKUP("DM-0",'Optional features'!B:D,3,FALSE)="No", AND(D45&lt;&gt;"… ",D45&lt;&gt;"")), "&lt;-- This field must be left empty", ""))</f>
        <v/>
      </c>
    </row>
    <row r="46" spans="2:5" ht="16.5" thickBot="1" x14ac:dyDescent="0.3">
      <c r="B46" s="17" t="s">
        <v>1094</v>
      </c>
      <c r="C46" s="14" t="s">
        <v>1082</v>
      </c>
      <c r="D46" s="38" t="s">
        <v>169</v>
      </c>
      <c r="E46" s="43" t="str">
        <f>IF(AND(VLOOKUP("DM-0",'Optional features'!B:D,3,FALSE)="Yes",OR(D46="… ", D46="")),"&lt;-- This field is required, the required format is: ComponentName[instance].Evse.Connector.VariableName[instance], where Evse, Connector and instance are optional",IF(AND(VLOOKUP("DM-0",'Optional features'!B:D,3,FALSE)="No", AND(D46&lt;&gt;"… ",D46&lt;&gt;"")), "&lt;-- This field must be left empty", ""))</f>
        <v/>
      </c>
    </row>
    <row r="47" spans="2:5" ht="16.5" thickBot="1" x14ac:dyDescent="0.3">
      <c r="B47" s="16" t="s">
        <v>1095</v>
      </c>
      <c r="C47" s="13" t="s">
        <v>1083</v>
      </c>
      <c r="D47" s="37" t="s">
        <v>169</v>
      </c>
      <c r="E47" s="43" t="str">
        <f>IF(AND(VLOOKUP("DM-0",'Optional features'!B:D,3,FALSE)="Yes",OR(D47="… ", D47="")),"&lt;-- This field is required",IF(AND(VLOOKUP("DM-0",'Optional features'!B:D,3,FALSE)="No", AND(D47&lt;&gt;"… ",D47&lt;&gt;"")), "&lt;-- This field must be left empty", ""))</f>
        <v/>
      </c>
    </row>
    <row r="48" spans="2:5" ht="16.5" thickBot="1" x14ac:dyDescent="0.3">
      <c r="B48" s="17" t="s">
        <v>1096</v>
      </c>
      <c r="C48" s="14" t="s">
        <v>1084</v>
      </c>
      <c r="D48" s="38" t="s">
        <v>169</v>
      </c>
      <c r="E48" s="43" t="str">
        <f>IF(AND(VLOOKUP("DM-0",'Optional features'!B:D,3,FALSE)="Yes",OR(D48="… ", D48="")),"&lt;-- This field is required, the required format is: ComponentName[instance].Evse.Connector.VariableName[instance], where Evse, Connector and instance are optional",IF(AND(VLOOKUP("DM-0",'Optional features'!B:D,3,FALSE)="No", AND(D48&lt;&gt;"… ",D48&lt;&gt;"")), "&lt;-- This field must be left empty", ""))</f>
        <v/>
      </c>
    </row>
    <row r="49" spans="2:5" ht="16.5" thickBot="1" x14ac:dyDescent="0.3">
      <c r="B49" s="16" t="s">
        <v>1097</v>
      </c>
      <c r="C49" s="13" t="s">
        <v>1085</v>
      </c>
      <c r="D49" s="37" t="s">
        <v>169</v>
      </c>
      <c r="E49" s="43" t="str">
        <f>IF(AND(VLOOKUP("DM-0",'Optional features'!B:D,3,FALSE)="Yes",OR(D49="… ", D49="")),"&lt;-- This field is required",IF(AND(VLOOKUP("DM-0",'Optional features'!B:D,3,FALSE)="No", AND(D49&lt;&gt;"… ",D49&lt;&gt;"")), "&lt;-- This field must be left empty", ""))</f>
        <v/>
      </c>
    </row>
    <row r="50" spans="2:5" ht="16.5" thickBot="1" x14ac:dyDescent="0.3">
      <c r="B50" s="17" t="s">
        <v>1098</v>
      </c>
      <c r="C50" s="14" t="s">
        <v>1086</v>
      </c>
      <c r="D50" s="38" t="s">
        <v>169</v>
      </c>
      <c r="E50" s="43" t="str">
        <f>IF(AND(VLOOKUP("DM-0",'Optional features'!B:D,3,FALSE)="Yes",OR(D50="… ", D50="")),"&lt;-- This field is required, the required format is: ComponentName[instance].Evse.Connector.VariableName[instance], where Evse, Connector and instance are optional",IF(AND(VLOOKUP("DM-0",'Optional features'!B:D,3,FALSE)="No", AND(D50&lt;&gt;"… ",D50&lt;&gt;"")), "&lt;-- This field must be left empty", ""))</f>
        <v/>
      </c>
    </row>
    <row r="51" spans="2:5" ht="16.5" thickBot="1" x14ac:dyDescent="0.3">
      <c r="B51" s="16" t="s">
        <v>1099</v>
      </c>
      <c r="C51" s="13" t="s">
        <v>1087</v>
      </c>
      <c r="D51" s="37" t="s">
        <v>169</v>
      </c>
      <c r="E51" s="43" t="str">
        <f>IF(AND(VLOOKUP("DM-0",'Optional features'!B:D,3,FALSE)="Yes",OR(D51="… ", D51="")),"&lt;-- This field is required",IF(AND(VLOOKUP("DM-0",'Optional features'!B:D,3,FALSE)="No", AND(D51&lt;&gt;"… ",D51&lt;&gt;"")), "&lt;-- This field must be left empty", ""))</f>
        <v/>
      </c>
    </row>
    <row r="52" spans="2:5" ht="16.5" thickBot="1" x14ac:dyDescent="0.3">
      <c r="B52" s="17" t="s">
        <v>1100</v>
      </c>
      <c r="C52" s="14" t="s">
        <v>1088</v>
      </c>
      <c r="D52" s="38" t="s">
        <v>169</v>
      </c>
      <c r="E52" s="43" t="str">
        <f>IF(AND(VLOOKUP("DM-0",'Optional features'!B:D,3,FALSE)="Yes",OR(D52="… ", D52="")),"&lt;-- This field is required",IF(AND(VLOOKUP("DM-0",'Optional features'!B:D,3,FALSE)="No", AND(D52&lt;&gt;"… ",D52&lt;&gt;"")), "&lt;-- This field must be left empty", ""))</f>
        <v/>
      </c>
    </row>
    <row r="53" spans="2:5" ht="16.5" thickBot="1" x14ac:dyDescent="0.3">
      <c r="B53" s="16" t="s">
        <v>1101</v>
      </c>
      <c r="C53" s="13" t="s">
        <v>1089</v>
      </c>
      <c r="D53" s="37" t="s">
        <v>169</v>
      </c>
      <c r="E53" s="43" t="str">
        <f>IF(AND(VLOOKUP("DM-0",'Optional features'!B:D,3,FALSE)="Yes",OR(D53="… ", D53="")),"&lt;-- This field is required",IF(AND(VLOOKUP("DM-0",'Optional features'!B:D,3,FALSE)="No", AND(D53&lt;&gt;"… ",D53&lt;&gt;"")), "&lt;-- This field must be left empty", ""))</f>
        <v/>
      </c>
    </row>
    <row r="54" spans="2:5" ht="16.5" thickBot="1" x14ac:dyDescent="0.3">
      <c r="B54" s="17"/>
      <c r="C54" s="14"/>
      <c r="D54" s="70"/>
    </row>
    <row r="55" spans="2:5" ht="16.5" thickBot="1" x14ac:dyDescent="0.3">
      <c r="B55" s="16"/>
      <c r="C55" s="13"/>
      <c r="D55" s="67"/>
    </row>
    <row r="56" spans="2:5" ht="16.5" thickBot="1" x14ac:dyDescent="0.3">
      <c r="B56" s="53" t="s">
        <v>13</v>
      </c>
      <c r="C56" s="51" t="s">
        <v>145</v>
      </c>
      <c r="D56" s="59" t="s">
        <v>892</v>
      </c>
    </row>
    <row r="57" spans="2:5" ht="16.5" thickBot="1" x14ac:dyDescent="0.3">
      <c r="B57" s="16" t="s">
        <v>213</v>
      </c>
      <c r="C57" s="13" t="s">
        <v>214</v>
      </c>
      <c r="D57" s="37" t="s">
        <v>169</v>
      </c>
      <c r="E57" s="43" t="str">
        <f>IF(AND(VLOOKUP("UI-0",'Optional features'!B:D,3,FALSE)="Yes",OR(D57="… ",D57="")),"&lt;-- This field is required","")</f>
        <v/>
      </c>
    </row>
    <row r="58" spans="2:5" ht="16.5" thickBot="1" x14ac:dyDescent="0.3">
      <c r="B58" s="17" t="s">
        <v>1245</v>
      </c>
      <c r="C58" s="14" t="s">
        <v>1246</v>
      </c>
      <c r="D58" s="38" t="s">
        <v>918</v>
      </c>
      <c r="E58" s="43" t="str">
        <f>IF(AND(VLOOKUP("UI-0",'Optional features'!B:D,3,FALSE)="Yes",OR(D58="…", D58="")),"&lt;-- This field is required, the required format is: ComponentName[instance].Evse.Connector, where Evse, Connector and instance are optional","")</f>
        <v/>
      </c>
    </row>
    <row r="59" spans="2:5" x14ac:dyDescent="0.25">
      <c r="B59" s="199"/>
      <c r="C59" s="200"/>
      <c r="D59" s="201"/>
    </row>
    <row r="60" spans="2:5" x14ac:dyDescent="0.25">
      <c r="B60" s="3"/>
      <c r="C60" s="3"/>
    </row>
    <row r="61" spans="2:5" x14ac:dyDescent="0.25">
      <c r="B61" s="3"/>
      <c r="C61" s="3"/>
    </row>
  </sheetData>
  <sheetProtection algorithmName="SHA-512" hashValue="hY1H7IXqNqTeRK1dt1Kng/ZP9gTSxkbHPfVHQXVthoRU4yrxjEixq/1GF0ammdPkNHosLyl+5le7e7eWx+2Brw==" saltValue="oZjHK0RDAr3CWafRxixj7A==" spinCount="100000" sheet="1" objects="1" scenarios="1"/>
  <mergeCells count="2">
    <mergeCell ref="B1:D1"/>
    <mergeCell ref="C2:D2"/>
  </mergeCells>
  <conditionalFormatting sqref="F1">
    <cfRule type="cellIs" dxfId="13" priority="5" operator="equal">
      <formula>"VALID"</formula>
    </cfRule>
  </conditionalFormatting>
  <conditionalFormatting sqref="F1:F2">
    <cfRule type="cellIs" dxfId="12" priority="2" operator="equal">
      <formula>"INVALID"</formula>
    </cfRule>
  </conditionalFormatting>
  <conditionalFormatting sqref="F2">
    <cfRule type="cellIs" dxfId="11" priority="1" operator="equal">
      <formula>"VALID for a VDoC"</formula>
    </cfRule>
    <cfRule type="cellIs" dxfId="10" priority="3" operator="equal">
      <formula>"VALID for Certification"</formula>
    </cfRule>
  </conditionalFormatting>
  <dataValidations count="5">
    <dataValidation type="whole" showInputMessage="1" showErrorMessage="1" errorTitle="Invalid value" error="The WebSocketPingInterval must be set to a value between 1 and 120 for certification to ensure a stable connection between your CS and the test tool (OCTT)" sqref="D20" xr:uid="{F79F6F86-BD89-064B-9BF9-EBD2D5813CA7}">
      <formula1>1</formula1>
      <formula2>120</formula2>
    </dataValidation>
    <dataValidation type="whole" operator="greaterThanOrEqual" showInputMessage="1" showErrorMessage="1" sqref="D23 D17 D15 D5:D11 D13" xr:uid="{D026B649-786A-4245-9395-6E1C4B4BCEE3}">
      <formula1>0</formula1>
    </dataValidation>
    <dataValidation type="whole" showInputMessage="1" showErrorMessage="1" sqref="D19" xr:uid="{962208EA-857F-46C5-87A6-9B7EC55F1702}">
      <formula1>1</formula1>
      <formula2>120</formula2>
    </dataValidation>
    <dataValidation type="whole" operator="greaterThanOrEqual" allowBlank="1" showInputMessage="1" showErrorMessage="1" sqref="D42:D43" xr:uid="{4E8F6019-B2E2-704F-B4A3-1CAA42D80417}">
      <formula1>0</formula1>
    </dataValidation>
    <dataValidation type="whole" operator="greaterThanOrEqual" showInputMessage="1" showErrorMessage="1" sqref="D18 D16 D14 D12" xr:uid="{DAD1681F-BE8B-48D2-8BE6-B577EC978766}">
      <formula1>1</formula1>
    </dataValidation>
  </dataValidations>
  <pageMargins left="0.7" right="0.7" top="0.75" bottom="0.75" header="0.3" footer="0.3"/>
  <pageSetup paperSize="9" orientation="portrait" r:id="rId1"/>
  <headerFoot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showInputMessage="1" showErrorMessage="1" xr:uid="{7999BA4A-B470-D04E-8274-D18CC3D2CEC7}">
          <x14:formula1>
            <xm:f>MD!$P$1:$P$31</xm:f>
          </x14:formula1>
          <xm:sqref>D37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50" t="s">
        <v>915</v>
      </c>
      <c r="C2" s="350"/>
    </row>
    <row r="3" spans="2:4" ht="37.5" customHeight="1" x14ac:dyDescent="0.25">
      <c r="B3" s="351" t="s">
        <v>938</v>
      </c>
      <c r="C3" s="351"/>
      <c r="D3" s="351"/>
    </row>
    <row r="4" spans="2:4" x14ac:dyDescent="0.25">
      <c r="B4" s="3"/>
    </row>
    <row r="5" spans="2:4" ht="16.5" thickBot="1" x14ac:dyDescent="0.3">
      <c r="B5" s="5" t="s">
        <v>916</v>
      </c>
      <c r="C5" s="15" t="s">
        <v>917</v>
      </c>
      <c r="D5" s="59" t="s">
        <v>135</v>
      </c>
    </row>
    <row r="6" spans="2:4" ht="16.5" thickBot="1" x14ac:dyDescent="0.3">
      <c r="B6" s="92" t="s">
        <v>918</v>
      </c>
      <c r="C6" s="93" t="s">
        <v>918</v>
      </c>
      <c r="D6" s="94" t="s">
        <v>918</v>
      </c>
    </row>
    <row r="7" spans="2:4" ht="16.5" thickBot="1" x14ac:dyDescent="0.3">
      <c r="B7" s="68" t="s">
        <v>934</v>
      </c>
      <c r="C7" s="69" t="s">
        <v>937</v>
      </c>
      <c r="D7" s="38" t="s">
        <v>934</v>
      </c>
    </row>
    <row r="8" spans="2:4" ht="16.5" thickBot="1" x14ac:dyDescent="0.3">
      <c r="B8" s="92" t="s">
        <v>918</v>
      </c>
      <c r="C8" s="93" t="s">
        <v>918</v>
      </c>
      <c r="D8" s="94" t="s">
        <v>918</v>
      </c>
    </row>
    <row r="9" spans="2:4" ht="16.5" thickBot="1" x14ac:dyDescent="0.3">
      <c r="B9" s="68" t="s">
        <v>934</v>
      </c>
      <c r="C9" s="69" t="s">
        <v>937</v>
      </c>
      <c r="D9" s="38" t="s">
        <v>934</v>
      </c>
    </row>
    <row r="10" spans="2:4" ht="16.5" thickBot="1" x14ac:dyDescent="0.3">
      <c r="B10" s="92" t="s">
        <v>918</v>
      </c>
      <c r="C10" s="93" t="s">
        <v>918</v>
      </c>
      <c r="D10" s="94" t="s">
        <v>918</v>
      </c>
    </row>
    <row r="11" spans="2:4" ht="16.5" thickBot="1" x14ac:dyDescent="0.3">
      <c r="B11" s="68" t="s">
        <v>934</v>
      </c>
      <c r="C11" s="69" t="s">
        <v>937</v>
      </c>
      <c r="D11" s="38" t="s">
        <v>934</v>
      </c>
    </row>
    <row r="12" spans="2:4" ht="16.5" thickBot="1" x14ac:dyDescent="0.3">
      <c r="B12" s="92" t="s">
        <v>918</v>
      </c>
      <c r="C12" s="93" t="s">
        <v>918</v>
      </c>
      <c r="D12" s="94" t="s">
        <v>918</v>
      </c>
    </row>
    <row r="13" spans="2:4" ht="16.5" thickBot="1" x14ac:dyDescent="0.3">
      <c r="B13" s="68" t="s">
        <v>934</v>
      </c>
      <c r="C13" s="69" t="s">
        <v>937</v>
      </c>
      <c r="D13" s="38" t="s">
        <v>934</v>
      </c>
    </row>
    <row r="14" spans="2:4" ht="16.5" thickBot="1" x14ac:dyDescent="0.3">
      <c r="B14" s="92" t="s">
        <v>918</v>
      </c>
      <c r="C14" s="93" t="s">
        <v>918</v>
      </c>
      <c r="D14" s="94" t="s">
        <v>918</v>
      </c>
    </row>
    <row r="15" spans="2:4" ht="16.5" thickBot="1" x14ac:dyDescent="0.3">
      <c r="B15" s="68" t="s">
        <v>934</v>
      </c>
      <c r="C15" s="69" t="s">
        <v>937</v>
      </c>
      <c r="D15" s="38" t="s">
        <v>934</v>
      </c>
    </row>
    <row r="16" spans="2:4" ht="16.5" thickBot="1" x14ac:dyDescent="0.3">
      <c r="B16" s="92" t="s">
        <v>918</v>
      </c>
      <c r="C16" s="93" t="s">
        <v>918</v>
      </c>
      <c r="D16" s="94" t="s">
        <v>918</v>
      </c>
    </row>
    <row r="17" spans="2:4" ht="16.5" thickBot="1" x14ac:dyDescent="0.3">
      <c r="B17" s="68" t="s">
        <v>934</v>
      </c>
      <c r="C17" s="69" t="s">
        <v>937</v>
      </c>
      <c r="D17" s="38" t="s">
        <v>934</v>
      </c>
    </row>
    <row r="18" spans="2:4" ht="16.5" thickBot="1" x14ac:dyDescent="0.3">
      <c r="B18" s="92" t="s">
        <v>918</v>
      </c>
      <c r="C18" s="93" t="s">
        <v>918</v>
      </c>
      <c r="D18" s="94" t="s">
        <v>918</v>
      </c>
    </row>
    <row r="19" spans="2:4" ht="16.5" thickBot="1" x14ac:dyDescent="0.3">
      <c r="B19" s="68" t="s">
        <v>934</v>
      </c>
      <c r="C19" s="69" t="s">
        <v>937</v>
      </c>
      <c r="D19" s="38" t="s">
        <v>934</v>
      </c>
    </row>
    <row r="20" spans="2:4" ht="16.5" thickBot="1" x14ac:dyDescent="0.3">
      <c r="B20" s="92" t="s">
        <v>918</v>
      </c>
      <c r="C20" s="93" t="s">
        <v>918</v>
      </c>
      <c r="D20" s="94" t="s">
        <v>918</v>
      </c>
    </row>
    <row r="21" spans="2:4" ht="16.5" thickBot="1" x14ac:dyDescent="0.3">
      <c r="B21" s="68" t="s">
        <v>934</v>
      </c>
      <c r="C21" s="69" t="s">
        <v>937</v>
      </c>
      <c r="D21" s="38" t="s">
        <v>934</v>
      </c>
    </row>
    <row r="22" spans="2:4" ht="16.5" thickBot="1" x14ac:dyDescent="0.3">
      <c r="B22" s="92" t="s">
        <v>918</v>
      </c>
      <c r="C22" s="93" t="s">
        <v>918</v>
      </c>
      <c r="D22" s="94" t="s">
        <v>918</v>
      </c>
    </row>
    <row r="23" spans="2:4" ht="16.5" thickBot="1" x14ac:dyDescent="0.3">
      <c r="B23" s="68" t="s">
        <v>934</v>
      </c>
      <c r="C23" s="69" t="s">
        <v>937</v>
      </c>
      <c r="D23" s="38" t="s">
        <v>934</v>
      </c>
    </row>
    <row r="24" spans="2:4" ht="16.5" thickBot="1" x14ac:dyDescent="0.3">
      <c r="B24" s="92" t="s">
        <v>918</v>
      </c>
      <c r="C24" s="93" t="s">
        <v>918</v>
      </c>
      <c r="D24" s="94" t="s">
        <v>918</v>
      </c>
    </row>
    <row r="25" spans="2:4" ht="16.5" thickBot="1" x14ac:dyDescent="0.3">
      <c r="B25" s="68" t="s">
        <v>934</v>
      </c>
      <c r="C25" s="69" t="s">
        <v>937</v>
      </c>
      <c r="D25" s="38" t="s">
        <v>934</v>
      </c>
    </row>
    <row r="26" spans="2:4" ht="16.5" thickBot="1" x14ac:dyDescent="0.3">
      <c r="B26" s="92" t="s">
        <v>918</v>
      </c>
      <c r="C26" s="93" t="s">
        <v>918</v>
      </c>
      <c r="D26" s="94" t="s">
        <v>918</v>
      </c>
    </row>
    <row r="27" spans="2:4" ht="16.5" thickBot="1" x14ac:dyDescent="0.3">
      <c r="B27" s="68" t="s">
        <v>934</v>
      </c>
      <c r="C27" s="69" t="s">
        <v>937</v>
      </c>
      <c r="D27" s="38" t="s">
        <v>934</v>
      </c>
    </row>
    <row r="28" spans="2:4" ht="16.5" thickBot="1" x14ac:dyDescent="0.3">
      <c r="B28" s="92" t="s">
        <v>918</v>
      </c>
      <c r="C28" s="93" t="s">
        <v>918</v>
      </c>
      <c r="D28" s="94" t="s">
        <v>918</v>
      </c>
    </row>
  </sheetData>
  <sheetProtection algorithmName="SHA-512" hashValue="QKKcGC8XaCyNKD05+EJDG02X6YBZLZ7OxO+9i19DE/WjRhkGyQmWM4T71hYk/vREEWvLjeyuQJPwZ+u39CH4TA==" saltValue="zWgLOhBlu8x88sayzrttww==" spinCount="100000" sheet="1" formatCells="0" formatColumns="0" formatRows="0"/>
  <mergeCells count="2">
    <mergeCell ref="B2:C2"/>
    <mergeCell ref="B3:D3"/>
  </mergeCells>
  <pageMargins left="0.7" right="0.7" top="0.75" bottom="0.75" header="0.3" footer="0.3"/>
  <pageSetup paperSize="9" orientation="portrait" r:id="rId1"/>
  <headerFoot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x14ac:dyDescent="0.25"/>
  <cols>
    <col min="1" max="1" width="14.625" customWidth="1"/>
    <col min="2" max="2" width="51.625" customWidth="1"/>
    <col min="3" max="5" width="19.125" customWidth="1"/>
    <col min="7" max="7" width="32.125" customWidth="1"/>
    <col min="8" max="8" width="35" bestFit="1" customWidth="1"/>
  </cols>
  <sheetData>
    <row r="1" spans="2:9" ht="73.5" customHeight="1" x14ac:dyDescent="0.25">
      <c r="B1" s="353" t="s">
        <v>226</v>
      </c>
      <c r="C1" s="353"/>
      <c r="D1" s="353"/>
      <c r="H1" s="88" t="s">
        <v>979</v>
      </c>
      <c r="I1" s="88" t="str">
        <f>IF(AND(ISERROR(FIND("&lt;",_xlfn.CONCAT(C5:C8))),_xlfn.CONCAT(H4:H8)="",ISERROR(FIND("&lt;",C17))),"VALID","INVALID")</f>
        <v>INVALID</v>
      </c>
    </row>
    <row r="2" spans="2:9" ht="80.25" customHeight="1" x14ac:dyDescent="0.25">
      <c r="B2" s="364" t="s">
        <v>1059</v>
      </c>
      <c r="C2" s="364"/>
      <c r="D2" s="364"/>
      <c r="H2" s="194" t="s">
        <v>1029</v>
      </c>
      <c r="I2" s="88" t="str">
        <f>'Statement of Approval'!$I$2</f>
        <v>INVALID</v>
      </c>
    </row>
    <row r="3" spans="2:9" ht="26.25" customHeight="1" x14ac:dyDescent="0.25">
      <c r="B3" s="291" t="s">
        <v>905</v>
      </c>
      <c r="C3" s="292"/>
    </row>
    <row r="4" spans="2:9" ht="21" customHeight="1" thickBot="1" x14ac:dyDescent="0.3">
      <c r="B4" s="293" t="s">
        <v>227</v>
      </c>
      <c r="C4" s="294" t="s">
        <v>903</v>
      </c>
      <c r="D4" s="277" t="s">
        <v>228</v>
      </c>
      <c r="E4" s="354" t="s">
        <v>229</v>
      </c>
      <c r="F4" s="354"/>
      <c r="G4" s="354"/>
    </row>
    <row r="5" spans="2:9" ht="50.1" customHeight="1" thickBot="1" x14ac:dyDescent="0.3">
      <c r="B5" s="278" t="s">
        <v>232</v>
      </c>
      <c r="C5" s="120" t="s">
        <v>935</v>
      </c>
      <c r="D5" s="288" t="s">
        <v>230</v>
      </c>
      <c r="E5" s="358" t="s">
        <v>902</v>
      </c>
      <c r="F5" s="359"/>
      <c r="G5" s="360"/>
      <c r="H5" s="91" t="str">
        <f>IF(ISBLANK(C5),"&lt;---- This field cannot be left empty!","")</f>
        <v/>
      </c>
    </row>
    <row r="6" spans="2:9" ht="59.1" customHeight="1" thickBot="1" x14ac:dyDescent="0.3">
      <c r="B6" s="281" t="s">
        <v>231</v>
      </c>
      <c r="C6" s="121" t="s">
        <v>935</v>
      </c>
      <c r="D6" s="289" t="s">
        <v>230</v>
      </c>
      <c r="E6" s="361" t="s">
        <v>982</v>
      </c>
      <c r="F6" s="362"/>
      <c r="G6" s="363"/>
      <c r="H6" s="91" t="str">
        <f>IF(ISBLANK(C6),"&lt;---- This field cannot be left empty!","")</f>
        <v/>
      </c>
    </row>
    <row r="7" spans="2:9" ht="77.099999999999994" customHeight="1" thickBot="1" x14ac:dyDescent="0.3">
      <c r="B7" s="278" t="s">
        <v>927</v>
      </c>
      <c r="C7" s="120" t="s">
        <v>935</v>
      </c>
      <c r="D7" s="288" t="s">
        <v>230</v>
      </c>
      <c r="E7" s="358" t="s">
        <v>984</v>
      </c>
      <c r="F7" s="359"/>
      <c r="G7" s="360"/>
      <c r="H7" s="91" t="str">
        <f>IF(ISBLANK(C7),"&lt;---- This field cannot be left empty!","")</f>
        <v/>
      </c>
    </row>
    <row r="8" spans="2:9" ht="89.1" customHeight="1" thickBot="1" x14ac:dyDescent="0.3">
      <c r="B8" s="286" t="s">
        <v>928</v>
      </c>
      <c r="C8" s="121" t="s">
        <v>935</v>
      </c>
      <c r="D8" s="290" t="s">
        <v>230</v>
      </c>
      <c r="E8" s="355" t="s">
        <v>983</v>
      </c>
      <c r="F8" s="356"/>
      <c r="G8" s="357"/>
      <c r="H8" s="91" t="str">
        <f>IF(ISBLANK(C8),"&lt;---- This field cannot be left empty!","")</f>
        <v/>
      </c>
    </row>
    <row r="9" spans="2:9" ht="26.25" customHeight="1" x14ac:dyDescent="0.25">
      <c r="B9" s="3"/>
    </row>
    <row r="10" spans="2:9" ht="21.75" customHeight="1" x14ac:dyDescent="0.25">
      <c r="B10" s="352" t="s">
        <v>936</v>
      </c>
      <c r="C10" s="352"/>
      <c r="D10" s="352"/>
      <c r="E10" s="352"/>
      <c r="F10" s="352"/>
    </row>
    <row r="11" spans="2:9" ht="42.75" customHeight="1" thickBot="1" x14ac:dyDescent="0.3">
      <c r="B11" s="275" t="s">
        <v>227</v>
      </c>
      <c r="C11" s="276" t="s">
        <v>904</v>
      </c>
      <c r="D11" s="276" t="s">
        <v>903</v>
      </c>
      <c r="E11" s="276" t="s">
        <v>920</v>
      </c>
      <c r="F11" s="277" t="s">
        <v>228</v>
      </c>
    </row>
    <row r="12" spans="2:9" ht="34.5" customHeight="1" thickBot="1" x14ac:dyDescent="0.3">
      <c r="B12" s="278" t="s">
        <v>232</v>
      </c>
      <c r="C12" s="279" t="str">
        <f>IFERROR(VLOOKUP("perf_Overall_min",'HIDDEN Testrun Results'!$A:$B,2,FALSE),"&lt;min.  measurement&gt;")</f>
        <v>&lt;min.  measurement&gt;</v>
      </c>
      <c r="D12" s="279" t="str">
        <f>IFERROR(VLOOKUP("perf_Overall_max",'HIDDEN Testrun Results'!$A:$B,2,FALSE),"&lt;max.  measurement&gt;")</f>
        <v>&lt;max.  measurement&gt;</v>
      </c>
      <c r="E12" s="279" t="str">
        <f>IFERROR(VLOOKUP("perf_Overall_avg",'HIDDEN Testrun Results'!$A:$B,2,FALSE),"&lt;avg.  measurement&gt;")</f>
        <v>&lt;avg.  measurement&gt;</v>
      </c>
      <c r="F12" s="280" t="s">
        <v>230</v>
      </c>
    </row>
    <row r="13" spans="2:9" ht="34.5" customHeight="1" thickBot="1" x14ac:dyDescent="0.3">
      <c r="B13" s="281" t="s">
        <v>231</v>
      </c>
      <c r="C13" s="282" t="str">
        <f>IFERROR(VLOOKUP("perf_Asynchronous_min",'HIDDEN Testrun Results'!$A:$B,2,FALSE),"&lt;min.  measurement&gt;")</f>
        <v>&lt;min.  measurement&gt;</v>
      </c>
      <c r="D13" s="282" t="str">
        <f>IFERROR(VLOOKUP("perf_Asynchronous_max",'HIDDEN Testrun Results'!$A:$B,2,FALSE),"&lt;max.  measurement&gt;")</f>
        <v>&lt;max.  measurement&gt;</v>
      </c>
      <c r="E13" s="282" t="str">
        <f>IFERROR(VLOOKUP("perf_Asynchronous_avg",'HIDDEN Testrun Results'!$A:$B,2,FALSE),"&lt;avg.  measurement&gt;")</f>
        <v>&lt;avg.  measurement&gt;</v>
      </c>
      <c r="F13" s="283" t="s">
        <v>230</v>
      </c>
    </row>
    <row r="14" spans="2:9" ht="34.5" customHeight="1" thickBot="1" x14ac:dyDescent="0.3">
      <c r="B14" s="284" t="s">
        <v>927</v>
      </c>
      <c r="C14" s="279" t="str">
        <f>IFERROR(VLOOKUP("perf_RequestStartTransaction - TransactionEvent_min",'HIDDEN Testrun Results'!$A:$B,2,FALSE),"&lt;min.  measurement&gt;")</f>
        <v>&lt;min.  measurement&gt;</v>
      </c>
      <c r="D14" s="279" t="str">
        <f>IFERROR(VLOOKUP("perf_RequestStartTransaction - TransactionEvent_max",'HIDDEN Testrun Results'!$A:$B,2,FALSE),"&lt;max.  measurement&gt;")</f>
        <v>&lt;max.  measurement&gt;</v>
      </c>
      <c r="E14" s="279" t="str">
        <f>IFERROR(VLOOKUP("perf_RequestStartTransaction - TransactionEvent_avg",'HIDDEN Testrun Results'!$A:$B,2,FALSE),"&lt;avg.  measurement&gt;")</f>
        <v>&lt;avg.  measurement&gt;</v>
      </c>
      <c r="F14" s="285" t="s">
        <v>230</v>
      </c>
    </row>
    <row r="15" spans="2:9" ht="30.75" thickBot="1" x14ac:dyDescent="0.3">
      <c r="B15" s="286" t="s">
        <v>928</v>
      </c>
      <c r="C15" s="282" t="str">
        <f>IFERROR(VLOOKUP("perf_RequestStopTransaction - TransactionEvent_min",'HIDDEN Testrun Results'!$A:$B,2,FALSE),"&lt;min.  measurement&gt;")</f>
        <v>&lt;min.  measurement&gt;</v>
      </c>
      <c r="D15" s="282" t="str">
        <f>IFERROR(VLOOKUP("perf_RequestStopTransaction - TransactionEvent_max",'HIDDEN Testrun Results'!$A:$B,2,FALSE),"&lt;max.  measurement&gt;")</f>
        <v>&lt;max.  measurement&gt;</v>
      </c>
      <c r="E15" s="282" t="str">
        <f>IFERROR(VLOOKUP("perf_RequestStopTransaction - TransactionEvent_avg",'HIDDEN Testrun Results'!$A:$B,2,FALSE),"&lt;avg.  measurement&gt;")</f>
        <v>&lt;avg.  measurement&gt;</v>
      </c>
      <c r="F15" s="287" t="s">
        <v>230</v>
      </c>
    </row>
    <row r="16" spans="2:9" x14ac:dyDescent="0.25">
      <c r="B16" s="3"/>
    </row>
    <row r="17" spans="2:4" ht="30" x14ac:dyDescent="0.25">
      <c r="B17" s="274" t="s">
        <v>906</v>
      </c>
      <c r="C17" s="74" t="s">
        <v>940</v>
      </c>
      <c r="D17" s="91" t="str">
        <f>IF(AND(C17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233</v>
      </c>
    </row>
    <row r="23" spans="2:4" x14ac:dyDescent="0.25">
      <c r="B23" s="3"/>
    </row>
  </sheetData>
  <sheetProtection algorithmName="SHA-512" hashValue="DTIDUXrvrRh+2W3hZA/zpx+uUu+sJYmUN4MJxaERQykVKcr3eLWveaCemK+mGJDPPugJRoZQuenXodJSSe6+hw==" saltValue="QdbMSPdcGb0QqN4BkdNFYg==" spinCount="100000" sheet="1" objects="1" scenarios="1"/>
  <mergeCells count="8">
    <mergeCell ref="B10:F10"/>
    <mergeCell ref="B1:D1"/>
    <mergeCell ref="E4:G4"/>
    <mergeCell ref="E8:G8"/>
    <mergeCell ref="E5:G5"/>
    <mergeCell ref="E6:G6"/>
    <mergeCell ref="E7:G7"/>
    <mergeCell ref="B2:D2"/>
  </mergeCells>
  <conditionalFormatting sqref="I1">
    <cfRule type="cellIs" dxfId="9" priority="5" operator="equal">
      <formula>"VALID"</formula>
    </cfRule>
  </conditionalFormatting>
  <conditionalFormatting sqref="I1:I2">
    <cfRule type="cellIs" dxfId="8" priority="2" operator="equal">
      <formula>"INVALID"</formula>
    </cfRule>
  </conditionalFormatting>
  <conditionalFormatting sqref="I2">
    <cfRule type="cellIs" dxfId="7" priority="1" operator="equal">
      <formula>"VALID for a VDoC"</formula>
    </cfRule>
    <cfRule type="cellIs" dxfId="6"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L445"/>
  <sheetViews>
    <sheetView zoomScale="85" zoomScaleNormal="85" workbookViewId="0">
      <pane xSplit="4" ySplit="2" topLeftCell="F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72.125" customWidth="1"/>
    <col min="4" max="4" width="42.125" customWidth="1"/>
    <col min="5" max="5" width="204.125" customWidth="1"/>
    <col min="6" max="6" width="71.625" customWidth="1"/>
    <col min="7" max="7" width="10" style="6" customWidth="1"/>
    <col min="8" max="8" width="42.5" style="6" bestFit="1" customWidth="1" collapsed="1"/>
    <col min="9" max="10" width="42.5" style="6" hidden="1" customWidth="1" outlineLevel="1"/>
    <col min="11" max="11" width="13.125" style="33" bestFit="1" customWidth="1"/>
    <col min="12" max="12" width="43.625" style="33" customWidth="1"/>
  </cols>
  <sheetData>
    <row r="1" spans="1:12" ht="70.349999999999994" customHeight="1" x14ac:dyDescent="0.25">
      <c r="A1" s="365" t="s">
        <v>1123</v>
      </c>
      <c r="B1" s="366"/>
      <c r="C1" s="366"/>
      <c r="K1"/>
      <c r="L1"/>
    </row>
    <row r="2" spans="1:12" ht="15.75" customHeight="1" x14ac:dyDescent="0.25">
      <c r="A2" s="28" t="s">
        <v>215</v>
      </c>
      <c r="B2" s="28" t="s">
        <v>134</v>
      </c>
      <c r="C2" s="28" t="s">
        <v>216</v>
      </c>
      <c r="D2" s="28" t="s">
        <v>217</v>
      </c>
      <c r="E2" s="28" t="s">
        <v>218</v>
      </c>
      <c r="F2" s="28" t="s">
        <v>219</v>
      </c>
      <c r="G2" s="29" t="s">
        <v>220</v>
      </c>
      <c r="H2" s="29" t="s">
        <v>221</v>
      </c>
      <c r="I2" s="29" t="s">
        <v>1130</v>
      </c>
      <c r="J2" s="29" t="s">
        <v>222</v>
      </c>
      <c r="K2" s="29" t="s">
        <v>1015</v>
      </c>
      <c r="L2" s="29" t="s">
        <v>1016</v>
      </c>
    </row>
    <row r="3" spans="1:12" ht="15.75" customHeight="1" x14ac:dyDescent="0.25">
      <c r="A3" t="str">
        <f>'HIDDEN import'!B2</f>
        <v>TC_A_01_CS</v>
      </c>
      <c r="B3" t="str">
        <f>'HIDDEN import'!C2</f>
        <v>Core</v>
      </c>
      <c r="C3" t="str">
        <f>'HIDDEN import'!D2</f>
        <v>Basic Authentication - Valid username/password combination</v>
      </c>
      <c r="D3" t="str">
        <f>IF(VLOOKUP(A3&amp;" "&amp;B3,'HIDDEN import'!A:G,5,FALSE)="M",MD!$A$1,(IF(AND(VLOOKUP(A3,'HIDDEN import'!B:E,4,FALSE)="C",OR(NOT(ISERROR(VLOOKUP(E3,'Optional features'!B:D,1,FALSE)=E3)),NOT(ISERROR(VLOOKUP(E3,'HIDDEN calc sheet'!A:C,1,FALSE)=E3)))),MD!$A$3,MD!$A$2)))</f>
        <v>Mandatory test for a mandatory feature</v>
      </c>
      <c r="E3" t="str">
        <f>IF('HIDDEN import'!F2=0,"",'HIDDEN import'!F2)</f>
        <v/>
      </c>
      <c r="F3" t="str">
        <f>IF('HIDDEN import'!G2=0,"",'HIDDEN import'!G2)</f>
        <v/>
      </c>
      <c r="G3" s="95" t="str">
        <f>IFERROR(VLOOKUP($A3,'HIDDEN Testrun Results'!$A:$B,2,FALSE),"")</f>
        <v/>
      </c>
      <c r="H3" s="6" t="b">
        <f>IF(NOT(J3),FALSE,IF(NOT(ISLOGICAL(I3)),I3,AND(I3,J3)))</f>
        <v>1</v>
      </c>
      <c r="I3" s="6" t="b">
        <f>IF(VLOOKUP(A3&amp;" "&amp;B3,'HIDDEN import'!A:G,5,FALSE)="M",TRUE,IFERROR(VLOOKUP(E3,'Optional features'!B:D,3,FALSE)="Yes",IFERROR(VLOOKUP(E3,'HIDDEN calc sheet'!A:B,2,FALSE),IFERROR(VLOOKUP(E3,'Additional questions'!B:D,3,FALSE)="Yes",VLOOKUP(E3,'Hardware Feature set'!B:D,3,FALSE)="No"))))</f>
        <v>1</v>
      </c>
      <c r="J3" s="6" t="b">
        <f>IF(VLOOKUP(B3,'Profile selection'!B:C,2,FALSE)="Yes",TRUE,FALSE)</f>
        <v>1</v>
      </c>
    </row>
    <row r="4" spans="1:12" ht="15.75" customHeight="1" x14ac:dyDescent="0.25">
      <c r="A4" t="str">
        <f>'HIDDEN import'!B3</f>
        <v>TC_A_09_CS</v>
      </c>
      <c r="B4" t="str">
        <f>'HIDDEN import'!C3</f>
        <v>Core</v>
      </c>
      <c r="C4" t="str">
        <f>'HIDDEN import'!D3</f>
        <v>Update Charging Station Password for HTTP Basic Authentication - Accepted</v>
      </c>
      <c r="D4" t="str">
        <f>IF(VLOOKUP(A4&amp;" "&amp;B4,'HIDDEN import'!A:G,5,FALSE)="M",MD!$A$1,(IF(AND(VLOOKUP(A4,'HIDDEN import'!B:E,4,FALSE)="C",OR(NOT(ISERROR(VLOOKUP(E4,'Optional features'!B:D,1,FALSE)=E4)),NOT(ISERROR(VLOOKUP(E4,'HIDDEN calc sheet'!A:C,1,FALSE)=E4)))),MD!$A$3,MD!$A$2)))</f>
        <v>Mandatory test for a mandatory feature</v>
      </c>
      <c r="E4" t="str">
        <f>IF('HIDDEN import'!F3=0,"",'HIDDEN import'!F3)</f>
        <v/>
      </c>
      <c r="F4" t="str">
        <f>IF('HIDDEN import'!G3=0,"",'HIDDEN import'!G3)</f>
        <v/>
      </c>
      <c r="G4" s="95" t="str">
        <f>IFERROR(VLOOKUP($A4,'HIDDEN Testrun Results'!$A:$B,2,FALSE),"")</f>
        <v/>
      </c>
      <c r="H4" s="6" t="b">
        <f t="shared" ref="H4:H67" si="0">IF(NOT(J4),FALSE,IF(NOT(ISLOGICAL(I4)),I4,AND(I4,J4)))</f>
        <v>1</v>
      </c>
      <c r="I4" s="6" t="b">
        <f>IF(VLOOKUP(A4&amp;" "&amp;B4,'HIDDEN import'!A:G,5,FALSE)="M",TRUE,IFERROR(VLOOKUP(E4,'Optional features'!B:D,3,FALSE)="Yes",IFERROR(VLOOKUP(E4,'HIDDEN calc sheet'!A:B,2,FALSE),IFERROR(VLOOKUP(E4,'Additional questions'!B:D,3,FALSE)="Yes",VLOOKUP(E4,'Hardware Feature set'!B:D,3,FALSE)="No"))))</f>
        <v>1</v>
      </c>
      <c r="J4" s="6" t="b">
        <f>IF(VLOOKUP(B4,'Profile selection'!B:C,2,FALSE)="Yes",TRUE,FALSE)</f>
        <v>1</v>
      </c>
    </row>
    <row r="5" spans="1:12" ht="15.75" customHeight="1" x14ac:dyDescent="0.25">
      <c r="A5" t="str">
        <f>'HIDDEN import'!B4</f>
        <v>TC_A_10_CS</v>
      </c>
      <c r="B5" t="str">
        <f>'HIDDEN import'!C4</f>
        <v>Core</v>
      </c>
      <c r="C5" t="str">
        <f>'HIDDEN import'!D4</f>
        <v>Update Charging Station Password for HTTP Basic Authentication - Rejected</v>
      </c>
      <c r="D5" t="str">
        <f>IF(VLOOKUP(A5&amp;" "&amp;B5,'HIDDEN import'!A:G,5,FALSE)="M",MD!$A$1,(IF(AND(VLOOKUP(A5,'HIDDEN import'!B:E,4,FALSE)="C",OR(NOT(ISERROR(VLOOKUP(E5,'Optional features'!B:D,1,FALSE)=E5)),NOT(ISERROR(VLOOKUP(E5,'HIDDEN calc sheet'!A:C,1,FALSE)=E5)))),MD!$A$3,MD!$A$2)))</f>
        <v>Mandatory test for a mandatory feature</v>
      </c>
      <c r="E5" t="str">
        <f>IF('HIDDEN import'!F4=0,"",'HIDDEN import'!F4)</f>
        <v/>
      </c>
      <c r="F5" t="str">
        <f>IF('HIDDEN import'!G4=0,"",'HIDDEN import'!G4)</f>
        <v/>
      </c>
      <c r="G5" s="95" t="str">
        <f>IFERROR(VLOOKUP($A5,'HIDDEN Testrun Results'!$A:$B,2,FALSE),"")</f>
        <v/>
      </c>
      <c r="H5" s="6" t="b">
        <f t="shared" si="0"/>
        <v>1</v>
      </c>
      <c r="I5" s="6" t="b">
        <f>IF(VLOOKUP(A5&amp;" "&amp;B5,'HIDDEN import'!A:G,5,FALSE)="M",TRUE,IFERROR(VLOOKUP(E5,'Optional features'!B:D,3,FALSE)="Yes",IFERROR(VLOOKUP(E5,'HIDDEN calc sheet'!A:B,2,FALSE),IFERROR(VLOOKUP(E5,'Additional questions'!B:D,3,FALSE)="Yes",VLOOKUP(E5,'Hardware Feature set'!B:D,3,FALSE)="No"))))</f>
        <v>1</v>
      </c>
      <c r="J5" s="6" t="b">
        <f>IF(VLOOKUP(B5,'Profile selection'!B:C,2,FALSE)="Yes",TRUE,FALSE)</f>
        <v>1</v>
      </c>
    </row>
    <row r="6" spans="1:12" ht="15.75" customHeight="1" x14ac:dyDescent="0.25">
      <c r="A6" t="str">
        <f>'HIDDEN import'!B5</f>
        <v>TC_A_04_CS</v>
      </c>
      <c r="B6" t="str">
        <f>'HIDDEN import'!C5</f>
        <v>Core</v>
      </c>
      <c r="C6" t="str">
        <f>'HIDDEN import'!D5</f>
        <v>TLS - server-side certificate - Valid certificate</v>
      </c>
      <c r="D6" t="str">
        <f>IF(VLOOKUP(A6&amp;" "&amp;B6,'HIDDEN import'!A:G,5,FALSE)="M",MD!$A$1,(IF(AND(VLOOKUP(A6,'HIDDEN import'!B:E,4,FALSE)="C",OR(NOT(ISERROR(VLOOKUP(E6,'Optional features'!B:D,1,FALSE)=E6)),NOT(ISERROR(VLOOKUP(E6,'HIDDEN calc sheet'!A:C,1,FALSE)=E6)))),MD!$A$3,MD!$A$2)))</f>
        <v>Mandatory test for a mandatory feature</v>
      </c>
      <c r="E6" t="str">
        <f>IF('HIDDEN import'!F5=0,"",'HIDDEN import'!F5)</f>
        <v/>
      </c>
      <c r="F6" t="str">
        <f>IF('HIDDEN import'!G5=0,"",'HIDDEN import'!G5)</f>
        <v/>
      </c>
      <c r="G6" s="95" t="str">
        <f>IFERROR(VLOOKUP($A6,'HIDDEN Testrun Results'!$A:$B,2,FALSE),"")</f>
        <v/>
      </c>
      <c r="H6" s="6" t="b">
        <f t="shared" si="0"/>
        <v>1</v>
      </c>
      <c r="I6" s="6" t="b">
        <f>IF(VLOOKUP(A6&amp;" "&amp;B6,'HIDDEN import'!A:G,5,FALSE)="M",TRUE,IFERROR(VLOOKUP(E6,'Optional features'!B:D,3,FALSE)="Yes",IFERROR(VLOOKUP(E6,'HIDDEN calc sheet'!A:B,2,FALSE),IFERROR(VLOOKUP(E6,'Additional questions'!B:D,3,FALSE)="Yes",VLOOKUP(E6,'Hardware Feature set'!B:D,3,FALSE)="No"))))</f>
        <v>1</v>
      </c>
      <c r="J6" s="6" t="b">
        <f>IF(VLOOKUP(B6,'Profile selection'!B:C,2,FALSE)="Yes",TRUE,FALSE)</f>
        <v>1</v>
      </c>
    </row>
    <row r="7" spans="1:12" ht="15.75" customHeight="1" x14ac:dyDescent="0.25">
      <c r="A7" t="str">
        <f>'HIDDEN import'!B6</f>
        <v>TC_A_05_CS</v>
      </c>
      <c r="B7" t="str">
        <f>'HIDDEN import'!C6</f>
        <v>Core</v>
      </c>
      <c r="C7" t="str">
        <f>'HIDDEN import'!D6</f>
        <v>TLS - server-side certificate - Invalid certificate</v>
      </c>
      <c r="D7" t="str">
        <f>IF(VLOOKUP(A7&amp;" "&amp;B7,'HIDDEN import'!A:G,5,FALSE)="M",MD!$A$1,(IF(AND(VLOOKUP(A7,'HIDDEN import'!B:E,4,FALSE)="C",OR(NOT(ISERROR(VLOOKUP(E7,'Optional features'!B:D,1,FALSE)=E7)),NOT(ISERROR(VLOOKUP(E7,'HIDDEN calc sheet'!A:C,1,FALSE)=E7)))),MD!$A$3,MD!$A$2)))</f>
        <v>Mandatory test for a mandatory feature</v>
      </c>
      <c r="E7" t="str">
        <f>IF('HIDDEN import'!F6=0,"",'HIDDEN import'!F6)</f>
        <v/>
      </c>
      <c r="F7" t="str">
        <f>IF('HIDDEN import'!G6=0,"",'HIDDEN import'!G6)</f>
        <v/>
      </c>
      <c r="G7" s="95" t="str">
        <f>IFERROR(VLOOKUP($A7,'HIDDEN Testrun Results'!$A:$B,2,FALSE),"")</f>
        <v/>
      </c>
      <c r="H7" s="6" t="b">
        <f t="shared" si="0"/>
        <v>1</v>
      </c>
      <c r="I7" s="6" t="b">
        <f>IF(VLOOKUP(A7&amp;" "&amp;B7,'HIDDEN import'!A:G,5,FALSE)="M",TRUE,IFERROR(VLOOKUP(E7,'Optional features'!B:D,3,FALSE)="Yes",IFERROR(VLOOKUP(E7,'HIDDEN calc sheet'!A:B,2,FALSE),IFERROR(VLOOKUP(E7,'Additional questions'!B:D,3,FALSE)="Yes",VLOOKUP(E7,'Hardware Feature set'!B:D,3,FALSE)="No"))))</f>
        <v>1</v>
      </c>
      <c r="J7" s="6" t="b">
        <f>IF(VLOOKUP(B7,'Profile selection'!B:C,2,FALSE)="Yes",TRUE,FALSE)</f>
        <v>1</v>
      </c>
    </row>
    <row r="8" spans="1:12" ht="15.75" customHeight="1" x14ac:dyDescent="0.25">
      <c r="A8" t="str">
        <f>'HIDDEN import'!B7</f>
        <v>TC_A_06_CS</v>
      </c>
      <c r="B8" t="str">
        <f>'HIDDEN import'!C7</f>
        <v>Core</v>
      </c>
      <c r="C8" t="str">
        <f>'HIDDEN import'!D7</f>
        <v>TLS - server-side certificate - TLS version too low</v>
      </c>
      <c r="D8" t="str">
        <f>IF(VLOOKUP(A8&amp;" "&amp;B8,'HIDDEN import'!A:G,5,FALSE)="M",MD!$A$1,(IF(AND(VLOOKUP(A8,'HIDDEN import'!B:E,4,FALSE)="C",OR(NOT(ISERROR(VLOOKUP(E8,'Optional features'!B:D,1,FALSE)=E8)),NOT(ISERROR(VLOOKUP(E8,'HIDDEN calc sheet'!A:C,1,FALSE)=E8)))),MD!$A$3,MD!$A$2)))</f>
        <v>Mandatory test for a mandatory feature</v>
      </c>
      <c r="E8" t="str">
        <f>IF('HIDDEN import'!F7=0,"",'HIDDEN import'!F7)</f>
        <v/>
      </c>
      <c r="F8" t="str">
        <f>IF('HIDDEN import'!G7=0,"",'HIDDEN import'!G7)</f>
        <v/>
      </c>
      <c r="G8" s="95" t="str">
        <f>IFERROR(VLOOKUP($A8,'HIDDEN Testrun Results'!$A:$B,2,FALSE),"")</f>
        <v/>
      </c>
      <c r="H8" s="6" t="b">
        <f t="shared" si="0"/>
        <v>1</v>
      </c>
      <c r="I8" s="6" t="b">
        <f>IF(VLOOKUP(A8&amp;" "&amp;B8,'HIDDEN import'!A:G,5,FALSE)="M",TRUE,IFERROR(VLOOKUP(E8,'Optional features'!B:D,3,FALSE)="Yes",IFERROR(VLOOKUP(E8,'HIDDEN calc sheet'!A:B,2,FALSE),IFERROR(VLOOKUP(E8,'Additional questions'!B:D,3,FALSE)="Yes",VLOOKUP(E8,'Hardware Feature set'!B:D,3,FALSE)="No"))))</f>
        <v>1</v>
      </c>
      <c r="J8" s="6" t="b">
        <f>IF(VLOOKUP(B8,'Profile selection'!B:C,2,FALSE)="Yes",TRUE,FALSE)</f>
        <v>1</v>
      </c>
    </row>
    <row r="9" spans="1:12" ht="15.75" customHeight="1" x14ac:dyDescent="0.25">
      <c r="A9" t="str">
        <f>'HIDDEN import'!B8</f>
        <v>TC_A_19_CS</v>
      </c>
      <c r="B9" t="str">
        <f>'HIDDEN import'!C8</f>
        <v>Core</v>
      </c>
      <c r="C9" t="str">
        <f>'HIDDEN import'!D8</f>
        <v>Upgrade Charging Station Security Profile - Accepted</v>
      </c>
      <c r="D9" t="str">
        <f>IF(VLOOKUP(A9&amp;" "&amp;B9,'HIDDEN import'!A:G,5,FALSE)="M",MD!$A$1,(IF(AND(VLOOKUP(A9,'HIDDEN import'!B:E,4,FALSE)="C",OR(NOT(ISERROR(VLOOKUP(E9,'Optional features'!B:D,1,FALSE)=E9)),NOT(ISERROR(VLOOKUP(E9,'HIDDEN calc sheet'!A:C,1,FALSE)=E9)))),MD!$A$3,MD!$A$2)))</f>
        <v>Mandatory for optional feature</v>
      </c>
      <c r="E9" t="str">
        <f>IF('HIDDEN import'!F8=0,"",'HIDDEN import'!F8)</f>
        <v>C-61 OR Advanced Security</v>
      </c>
      <c r="F9" t="str">
        <f>IF('HIDDEN import'!G8=0,"",'HIDDEN import'!G8)</f>
        <v/>
      </c>
      <c r="G9" s="95" t="str">
        <f>IFERROR(VLOOKUP($A9,'HIDDEN Testrun Results'!$A:$B,2,FALSE),"")</f>
        <v/>
      </c>
      <c r="H9" s="6" t="b">
        <f t="shared" si="0"/>
        <v>0</v>
      </c>
      <c r="I9" s="6" t="b">
        <f>IF(VLOOKUP(A9&amp;" "&amp;B9,'HIDDEN import'!A:G,5,FALSE)="M",TRUE,IFERROR(VLOOKUP(E9,'Optional features'!B:D,3,FALSE)="Yes",IFERROR(VLOOKUP(E9,'HIDDEN calc sheet'!A:B,2,FALSE),IFERROR(VLOOKUP(E9,'Additional questions'!B:D,3,FALSE)="Yes",VLOOKUP(E9,'Hardware Feature set'!B:D,3,FALSE)="No"))))</f>
        <v>0</v>
      </c>
      <c r="J9" s="6" t="b">
        <f>IF(VLOOKUP(B9,'Profile selection'!B:C,2,FALSE)="Yes",TRUE,FALSE)</f>
        <v>1</v>
      </c>
    </row>
    <row r="10" spans="1:12" ht="15.75" customHeight="1" x14ac:dyDescent="0.25">
      <c r="A10" t="str">
        <f>'HIDDEN import'!B9</f>
        <v>TC_A_20_CS</v>
      </c>
      <c r="B10" t="str">
        <f>'HIDDEN import'!C9</f>
        <v>Core</v>
      </c>
      <c r="C10" t="str">
        <f>'HIDDEN import'!D9</f>
        <v>Upgrade Charging Station Security Profile - No valid CSMSRootCertificate installed</v>
      </c>
      <c r="D10" t="str">
        <f>IF(VLOOKUP(A10&amp;" "&amp;B10,'HIDDEN import'!A:G,5,FALSE)="M",MD!$A$1,(IF(AND(VLOOKUP(A10,'HIDDEN import'!B:E,4,FALSE)="C",OR(NOT(ISERROR(VLOOKUP(E10,'Optional features'!B:D,1,FALSE)=E10)),NOT(ISERROR(VLOOKUP(E10,'HIDDEN calc sheet'!A:C,1,FALSE)=E10)))),MD!$A$3,MD!$A$2)))</f>
        <v>Mandatory for optional feature</v>
      </c>
      <c r="E10" t="str">
        <f>IF('HIDDEN import'!F9=0,"",'HIDDEN import'!F9)</f>
        <v>AQ-1 and C-61</v>
      </c>
      <c r="F10" t="str">
        <f>IF('HIDDEN import'!G9=0,"",'HIDDEN import'!G9)</f>
        <v>Can the last CSMSRootCertificate be removed? Security Profile 1 - Unsecured Transport with Basic Authentication</v>
      </c>
      <c r="G10" s="95" t="str">
        <f>IFERROR(VLOOKUP($A10,'HIDDEN Testrun Results'!$A:$B,2,FALSE),"")</f>
        <v/>
      </c>
      <c r="H10" s="6" t="b">
        <f t="shared" si="0"/>
        <v>0</v>
      </c>
      <c r="I10" s="6" t="b">
        <f>IF(VLOOKUP(A10&amp;" "&amp;B10,'HIDDEN import'!A:G,5,FALSE)="M",TRUE,IFERROR(VLOOKUP(E10,'Optional features'!B:D,3,FALSE)="Yes",IFERROR(VLOOKUP(E10,'HIDDEN calc sheet'!A:B,2,FALSE),IFERROR(VLOOKUP(E10,'Additional questions'!B:D,3,FALSE)="Yes",VLOOKUP(E10,'Hardware Feature set'!B:D,3,FALSE)="No"))))</f>
        <v>0</v>
      </c>
      <c r="J10" s="6" t="b">
        <f>IF(VLOOKUP(B10,'Profile selection'!B:C,2,FALSE)="Yes",TRUE,FALSE)</f>
        <v>1</v>
      </c>
    </row>
    <row r="11" spans="1:12" ht="15.75" customHeight="1" x14ac:dyDescent="0.25">
      <c r="A11" t="str">
        <f>'HIDDEN import'!B10</f>
        <v>TC_A_22_CS</v>
      </c>
      <c r="B11" t="str">
        <f>'HIDDEN import'!C10</f>
        <v>Core</v>
      </c>
      <c r="C11" t="str">
        <f>'HIDDEN import'!D10</f>
        <v>Upgrade Charging Station Security Profile - Downgrade security profile - Rejected</v>
      </c>
      <c r="D11" t="str">
        <f>IF(VLOOKUP(A11&amp;" "&amp;B11,'HIDDEN import'!A:G,5,FALSE)="M",MD!$A$1,(IF(AND(VLOOKUP(A11,'HIDDEN import'!B:E,4,FALSE)="C",OR(NOT(ISERROR(VLOOKUP(E11,'Optional features'!B:D,1,FALSE)=E11)),NOT(ISERROR(VLOOKUP(E11,'HIDDEN calc sheet'!A:C,1,FALSE)=E11)))),MD!$A$3,MD!$A$2)))</f>
        <v>Mandatory test for a mandatory feature</v>
      </c>
      <c r="E11" t="str">
        <f>IF('HIDDEN import'!F10=0,"",'HIDDEN import'!F10)</f>
        <v/>
      </c>
      <c r="F11" t="str">
        <f>IF('HIDDEN import'!G10=0,"",'HIDDEN import'!G10)</f>
        <v/>
      </c>
      <c r="G11" s="95" t="str">
        <f>IFERROR(VLOOKUP($A11,'HIDDEN Testrun Results'!$A:$B,2,FALSE),"")</f>
        <v/>
      </c>
      <c r="H11" s="6" t="b">
        <f t="shared" si="0"/>
        <v>1</v>
      </c>
      <c r="I11" s="6" t="b">
        <f>IF(VLOOKUP(A11&amp;" "&amp;B11,'HIDDEN import'!A:G,5,FALSE)="M",TRUE,IFERROR(VLOOKUP(E11,'Optional features'!B:D,3,FALSE)="Yes",IFERROR(VLOOKUP(E11,'HIDDEN calc sheet'!A:B,2,FALSE),IFERROR(VLOOKUP(E11,'Additional questions'!B:D,3,FALSE)="Yes",VLOOKUP(E11,'Hardware Feature set'!B:D,3,FALSE)="No"))))</f>
        <v>1</v>
      </c>
      <c r="J11" s="6" t="b">
        <f>IF(VLOOKUP(B11,'Profile selection'!B:C,2,FALSE)="Yes",TRUE,FALSE)</f>
        <v>1</v>
      </c>
    </row>
    <row r="12" spans="1:12" ht="15.75" customHeight="1" x14ac:dyDescent="0.25">
      <c r="A12" t="str">
        <f>'HIDDEN import'!B11</f>
        <v>TC_B_01_CS</v>
      </c>
      <c r="B12" t="str">
        <f>'HIDDEN import'!C11</f>
        <v>Core</v>
      </c>
      <c r="C12" t="str">
        <f>'HIDDEN import'!D11</f>
        <v>Cold Boot Charging Station - Accepted</v>
      </c>
      <c r="D12" t="str">
        <f>IF(VLOOKUP(A12&amp;" "&amp;B12,'HIDDEN import'!A:G,5,FALSE)="M",MD!$A$1,(IF(AND(VLOOKUP(A12,'HIDDEN import'!B:E,4,FALSE)="C",OR(NOT(ISERROR(VLOOKUP(E12,'Optional features'!B:D,1,FALSE)=E12)),NOT(ISERROR(VLOOKUP(E12,'HIDDEN calc sheet'!A:C,1,FALSE)=E12)))),MD!$A$3,MD!$A$2)))</f>
        <v>Mandatory test for a mandatory feature</v>
      </c>
      <c r="E12" t="str">
        <f>IF('HIDDEN import'!F11=0,"",'HIDDEN import'!F11)</f>
        <v/>
      </c>
      <c r="F12" t="str">
        <f>IF('HIDDEN import'!G11=0,"",'HIDDEN import'!G11)</f>
        <v/>
      </c>
      <c r="G12" s="95" t="str">
        <f>IFERROR(VLOOKUP($A12,'HIDDEN Testrun Results'!$A:$B,2,FALSE),"")</f>
        <v/>
      </c>
      <c r="H12" s="6" t="b">
        <f t="shared" si="0"/>
        <v>1</v>
      </c>
      <c r="I12" s="6" t="b">
        <f>IF(VLOOKUP(A12&amp;" "&amp;B12,'HIDDEN import'!A:G,5,FALSE)="M",TRUE,IFERROR(VLOOKUP(E12,'Optional features'!B:D,3,FALSE)="Yes",IFERROR(VLOOKUP(E12,'HIDDEN calc sheet'!A:B,2,FALSE),IFERROR(VLOOKUP(E12,'Additional questions'!B:D,3,FALSE)="Yes",VLOOKUP(E12,'Hardware Feature set'!B:D,3,FALSE)="No"))))</f>
        <v>1</v>
      </c>
      <c r="J12" s="6" t="b">
        <f>IF(VLOOKUP(B12,'Profile selection'!B:C,2,FALSE)="Yes",TRUE,FALSE)</f>
        <v>1</v>
      </c>
    </row>
    <row r="13" spans="1:12" ht="15.75" customHeight="1" x14ac:dyDescent="0.25">
      <c r="A13" t="str">
        <f>'HIDDEN import'!B12</f>
        <v>TC_B_02_CS</v>
      </c>
      <c r="B13" t="str">
        <f>'HIDDEN import'!C12</f>
        <v>Core</v>
      </c>
      <c r="C13" t="str">
        <f>'HIDDEN import'!D12</f>
        <v>Cold Boot Charging Station - Pending</v>
      </c>
      <c r="D13" t="str">
        <f>IF(VLOOKUP(A13&amp;" "&amp;B13,'HIDDEN import'!A:G,5,FALSE)="M",MD!$A$1,(IF(AND(VLOOKUP(A13,'HIDDEN import'!B:E,4,FALSE)="C",OR(NOT(ISERROR(VLOOKUP(E13,'Optional features'!B:D,1,FALSE)=E13)),NOT(ISERROR(VLOOKUP(E13,'HIDDEN calc sheet'!A:C,1,FALSE)=E13)))),MD!$A$3,MD!$A$2)))</f>
        <v>Mandatory test for a mandatory feature</v>
      </c>
      <c r="E13" t="str">
        <f>IF('HIDDEN import'!F12=0,"",'HIDDEN import'!F12)</f>
        <v>C-44</v>
      </c>
      <c r="F13" t="str">
        <f>IF('HIDDEN import'!G12=0,"",'HIDDEN import'!G12)</f>
        <v>BootNotification Pending</v>
      </c>
      <c r="G13" s="95" t="str">
        <f>IFERROR(VLOOKUP($A13,'HIDDEN Testrun Results'!$A:$B,2,FALSE),"")</f>
        <v/>
      </c>
      <c r="H13" s="6" t="b">
        <f t="shared" si="0"/>
        <v>1</v>
      </c>
      <c r="I13" s="6" t="b">
        <f>IF(VLOOKUP(A13&amp;" "&amp;B13,'HIDDEN import'!A:G,5,FALSE)="M",TRUE,IFERROR(VLOOKUP(E13,'Optional features'!B:D,3,FALSE)="Yes",IFERROR(VLOOKUP(E13,'HIDDEN calc sheet'!A:B,2,FALSE),IFERROR(VLOOKUP(E13,'Additional questions'!B:D,3,FALSE)="Yes",VLOOKUP(E13,'Hardware Feature set'!B:D,3,FALSE)="No"))))</f>
        <v>1</v>
      </c>
      <c r="J13" s="6" t="b">
        <f>IF(VLOOKUP(B13,'Profile selection'!B:C,2,FALSE)="Yes",TRUE,FALSE)</f>
        <v>1</v>
      </c>
    </row>
    <row r="14" spans="1:12" ht="15.75" customHeight="1" x14ac:dyDescent="0.25">
      <c r="A14" t="str">
        <f>'HIDDEN import'!B13</f>
        <v>TC_B_03_CS</v>
      </c>
      <c r="B14" t="str">
        <f>'HIDDEN import'!C13</f>
        <v>Core</v>
      </c>
      <c r="C14" t="str">
        <f>'HIDDEN import'!D13</f>
        <v>Cold Boot Charging Station - Rejected</v>
      </c>
      <c r="D14" t="str">
        <f>IF(VLOOKUP(A14&amp;" "&amp;B14,'HIDDEN import'!A:G,5,FALSE)="M",MD!$A$1,(IF(AND(VLOOKUP(A14,'HIDDEN import'!B:E,4,FALSE)="C",OR(NOT(ISERROR(VLOOKUP(E14,'Optional features'!B:D,1,FALSE)=E14)),NOT(ISERROR(VLOOKUP(E14,'HIDDEN calc sheet'!A:C,1,FALSE)=E14)))),MD!$A$3,MD!$A$2)))</f>
        <v>Mandatory test for a mandatory feature</v>
      </c>
      <c r="E14" t="str">
        <f>IF('HIDDEN import'!F13=0,"",'HIDDEN import'!F13)</f>
        <v/>
      </c>
      <c r="F14" t="str">
        <f>IF('HIDDEN import'!G13=0,"",'HIDDEN import'!G13)</f>
        <v/>
      </c>
      <c r="G14" s="95" t="str">
        <f>IFERROR(VLOOKUP($A14,'HIDDEN Testrun Results'!$A:$B,2,FALSE),"")</f>
        <v/>
      </c>
      <c r="H14" s="6" t="b">
        <f t="shared" si="0"/>
        <v>1</v>
      </c>
      <c r="I14" s="6" t="b">
        <f>IF(VLOOKUP(A14&amp;" "&amp;B14,'HIDDEN import'!A:G,5,FALSE)="M",TRUE,IFERROR(VLOOKUP(E14,'Optional features'!B:D,3,FALSE)="Yes",IFERROR(VLOOKUP(E14,'HIDDEN calc sheet'!A:B,2,FALSE),IFERROR(VLOOKUP(E14,'Additional questions'!B:D,3,FALSE)="Yes",VLOOKUP(E14,'Hardware Feature set'!B:D,3,FALSE)="No"))))</f>
        <v>1</v>
      </c>
      <c r="J14" s="6" t="b">
        <f>IF(VLOOKUP(B14,'Profile selection'!B:C,2,FALSE)="Yes",TRUE,FALSE)</f>
        <v>1</v>
      </c>
    </row>
    <row r="15" spans="1:12" ht="15.75" customHeight="1" x14ac:dyDescent="0.25">
      <c r="A15" t="str">
        <f>'HIDDEN import'!B14</f>
        <v>TC_B_30_CS</v>
      </c>
      <c r="B15" t="str">
        <f>'HIDDEN import'!C14</f>
        <v>Core</v>
      </c>
      <c r="C15" t="str">
        <f>'HIDDEN import'!D14</f>
        <v>Cold Boot Charging Station - Pending/Rejected - SecurityError</v>
      </c>
      <c r="D15" t="str">
        <f>IF(VLOOKUP(A15&amp;" "&amp;B15,'HIDDEN import'!A:G,5,FALSE)="M",MD!$A$1,(IF(AND(VLOOKUP(A15,'HIDDEN import'!B:E,4,FALSE)="C",OR(NOT(ISERROR(VLOOKUP(E15,'Optional features'!B:D,1,FALSE)=E15)),NOT(ISERROR(VLOOKUP(E15,'HIDDEN calc sheet'!A:C,1,FALSE)=E15)))),MD!$A$3,MD!$A$2)))</f>
        <v>Mandatory test for a mandatory feature</v>
      </c>
      <c r="E15" t="str">
        <f>IF('HIDDEN import'!F14=0,"",'HIDDEN import'!F14)</f>
        <v>C-44 or NOT AQ-16</v>
      </c>
      <c r="F15" t="str">
        <f>IF('HIDDEN import'!G14=0,"",'HIDDEN import'!G14)</f>
        <v>BootNotification Pending or Does the CSMS reject unknown Charging Stations during websocket connection setup?</v>
      </c>
      <c r="G15" s="95" t="str">
        <f>IFERROR(VLOOKUP($A15,'HIDDEN Testrun Results'!$A:$B,2,FALSE),"")</f>
        <v/>
      </c>
      <c r="H15" s="6" t="b">
        <f t="shared" si="0"/>
        <v>1</v>
      </c>
      <c r="I15" s="6" t="b">
        <f>IF(VLOOKUP(A15&amp;" "&amp;B15,'HIDDEN import'!A:G,5,FALSE)="M",TRUE,IFERROR(VLOOKUP(E15,'Optional features'!B:D,3,FALSE)="Yes",IFERROR(VLOOKUP(E15,'HIDDEN calc sheet'!A:B,2,FALSE),IFERROR(VLOOKUP(E15,'Additional questions'!B:D,3,FALSE)="Yes",VLOOKUP(E15,'Hardware Feature set'!B:D,3,FALSE)="No"))))</f>
        <v>1</v>
      </c>
      <c r="J15" s="6" t="b">
        <f>IF(VLOOKUP(B15,'Profile selection'!B:C,2,FALSE)="Yes",TRUE,FALSE)</f>
        <v>1</v>
      </c>
    </row>
    <row r="16" spans="1:12" ht="15.75" customHeight="1" x14ac:dyDescent="0.25">
      <c r="A16" t="str">
        <f>'HIDDEN import'!B15</f>
        <v>TC_B_51_CS</v>
      </c>
      <c r="B16" t="str">
        <f>'HIDDEN import'!C15</f>
        <v>Core</v>
      </c>
      <c r="C16" t="str">
        <f>'HIDDEN import'!D15</f>
        <v>Status change during offline period - &gt; Offline Threshold</v>
      </c>
      <c r="D16" t="str">
        <f>IF(VLOOKUP(A16&amp;" "&amp;B16,'HIDDEN import'!A:G,5,FALSE)="M",MD!$A$1,(IF(AND(VLOOKUP(A16,'HIDDEN import'!B:E,4,FALSE)="C",OR(NOT(ISERROR(VLOOKUP(E16,'Optional features'!B:D,1,FALSE)=E16)),NOT(ISERROR(VLOOKUP(E16,'HIDDEN calc sheet'!A:C,1,FALSE)=E16)))),MD!$A$3,MD!$A$2)))</f>
        <v>Mandatory test for a mandatory feature</v>
      </c>
      <c r="E16" t="str">
        <f>IF('HIDDEN import'!F15=0,"",'HIDDEN import'!F15)</f>
        <v/>
      </c>
      <c r="F16" t="str">
        <f>IF('HIDDEN import'!G15=0,"",'HIDDEN import'!G15)</f>
        <v/>
      </c>
      <c r="G16" s="95" t="str">
        <f>IFERROR(VLOOKUP($A16,'HIDDEN Testrun Results'!$A:$B,2,FALSE),"")</f>
        <v/>
      </c>
      <c r="H16" s="6" t="b">
        <f t="shared" si="0"/>
        <v>1</v>
      </c>
      <c r="I16" s="6" t="b">
        <f>IF(VLOOKUP(A16&amp;" "&amp;B16,'HIDDEN import'!A:G,5,FALSE)="M",TRUE,IFERROR(VLOOKUP(E16,'Optional features'!B:D,3,FALSE)="Yes",IFERROR(VLOOKUP(E16,'HIDDEN calc sheet'!A:B,2,FALSE),IFERROR(VLOOKUP(E16,'Additional questions'!B:D,3,FALSE)="Yes",VLOOKUP(E16,'Hardware Feature set'!B:D,3,FALSE)="No"))))</f>
        <v>1</v>
      </c>
      <c r="J16" s="6" t="b">
        <f>IF(VLOOKUP(B16,'Profile selection'!B:C,2,FALSE)="Yes",TRUE,FALSE)</f>
        <v>1</v>
      </c>
    </row>
    <row r="17" spans="1:10" ht="15.75" customHeight="1" x14ac:dyDescent="0.25">
      <c r="A17" t="str">
        <f>'HIDDEN import'!B16</f>
        <v>TC_B_52_CS</v>
      </c>
      <c r="B17" t="str">
        <f>'HIDDEN import'!C16</f>
        <v>Core</v>
      </c>
      <c r="C17" t="str">
        <f>'HIDDEN import'!D16</f>
        <v>Status change during offline period - &lt; Offline Threshold</v>
      </c>
      <c r="D17" t="str">
        <f>IF(VLOOKUP(A17&amp;" "&amp;B17,'HIDDEN import'!A:G,5,FALSE)="M",MD!$A$1,(IF(AND(VLOOKUP(A17,'HIDDEN import'!B:E,4,FALSE)="C",OR(NOT(ISERROR(VLOOKUP(E17,'Optional features'!B:D,1,FALSE)=E17)),NOT(ISERROR(VLOOKUP(E17,'HIDDEN calc sheet'!A:C,1,FALSE)=E17)))),MD!$A$3,MD!$A$2)))</f>
        <v>Mandatory test for a mandatory feature</v>
      </c>
      <c r="E17" t="str">
        <f>IF('HIDDEN import'!F16=0,"",'HIDDEN import'!F16)</f>
        <v/>
      </c>
      <c r="F17" t="str">
        <f>IF('HIDDEN import'!G16=0,"",'HIDDEN import'!G16)</f>
        <v/>
      </c>
      <c r="G17" s="95" t="str">
        <f>IFERROR(VLOOKUP($A17,'HIDDEN Testrun Results'!$A:$B,2,FALSE),"")</f>
        <v/>
      </c>
      <c r="H17" s="6" t="b">
        <f t="shared" si="0"/>
        <v>1</v>
      </c>
      <c r="I17" s="6" t="b">
        <f>IF(VLOOKUP(A17&amp;" "&amp;B17,'HIDDEN import'!A:G,5,FALSE)="M",TRUE,IFERROR(VLOOKUP(E17,'Optional features'!B:D,3,FALSE)="Yes",IFERROR(VLOOKUP(E17,'HIDDEN calc sheet'!A:B,2,FALSE),IFERROR(VLOOKUP(E17,'Additional questions'!B:D,3,FALSE)="Yes",VLOOKUP(E17,'Hardware Feature set'!B:D,3,FALSE)="No"))))</f>
        <v>1</v>
      </c>
      <c r="J17" s="6" t="b">
        <f>IF(VLOOKUP(B17,'Profile selection'!B:C,2,FALSE)="Yes",TRUE,FALSE)</f>
        <v>1</v>
      </c>
    </row>
    <row r="18" spans="1:10" ht="15.75" customHeight="1" x14ac:dyDescent="0.25">
      <c r="A18" t="str">
        <f>'HIDDEN import'!B17</f>
        <v>TC_B_06_CS</v>
      </c>
      <c r="B18" t="str">
        <f>'HIDDEN import'!C17</f>
        <v>Core</v>
      </c>
      <c r="C18" t="str">
        <f>'HIDDEN import'!D17</f>
        <v>Get Variables - single value</v>
      </c>
      <c r="D18" t="str">
        <f>IF(VLOOKUP(A18&amp;" "&amp;B18,'HIDDEN import'!A:G,5,FALSE)="M",MD!$A$1,(IF(AND(VLOOKUP(A18,'HIDDEN import'!B:E,4,FALSE)="C",OR(NOT(ISERROR(VLOOKUP(E18,'Optional features'!B:D,1,FALSE)=E18)),NOT(ISERROR(VLOOKUP(E18,'HIDDEN calc sheet'!A:C,1,FALSE)=E18)))),MD!$A$3,MD!$A$2)))</f>
        <v>Mandatory test for a mandatory feature</v>
      </c>
      <c r="E18" t="str">
        <f>IF('HIDDEN import'!F17=0,"",'HIDDEN import'!F17)</f>
        <v/>
      </c>
      <c r="F18" t="str">
        <f>IF('HIDDEN import'!G17=0,"",'HIDDEN import'!G17)</f>
        <v/>
      </c>
      <c r="G18" s="95" t="str">
        <f>IFERROR(VLOOKUP($A18,'HIDDEN Testrun Results'!$A:$B,2,FALSE),"")</f>
        <v/>
      </c>
      <c r="H18" s="6" t="b">
        <f t="shared" si="0"/>
        <v>1</v>
      </c>
      <c r="I18" s="6" t="b">
        <f>IF(VLOOKUP(A18&amp;" "&amp;B18,'HIDDEN import'!A:G,5,FALSE)="M",TRUE,IFERROR(VLOOKUP(E18,'Optional features'!B:D,3,FALSE)="Yes",IFERROR(VLOOKUP(E18,'HIDDEN calc sheet'!A:B,2,FALSE),IFERROR(VLOOKUP(E18,'Additional questions'!B:D,3,FALSE)="Yes",VLOOKUP(E18,'Hardware Feature set'!B:D,3,FALSE)="No"))))</f>
        <v>1</v>
      </c>
      <c r="J18" s="6" t="b">
        <f>IF(VLOOKUP(B18,'Profile selection'!B:C,2,FALSE)="Yes",TRUE,FALSE)</f>
        <v>1</v>
      </c>
    </row>
    <row r="19" spans="1:10" ht="15.75" customHeight="1" x14ac:dyDescent="0.25">
      <c r="A19" t="str">
        <f>'HIDDEN import'!B18</f>
        <v>TC_B_07_CS</v>
      </c>
      <c r="B19" t="str">
        <f>'HIDDEN import'!C18</f>
        <v>Core</v>
      </c>
      <c r="C19" t="str">
        <f>'HIDDEN import'!D18</f>
        <v>Get Variables - multiple values</v>
      </c>
      <c r="D19" t="str">
        <f>IF(VLOOKUP(A19&amp;" "&amp;B19,'HIDDEN import'!A:G,5,FALSE)="M",MD!$A$1,(IF(AND(VLOOKUP(A19,'HIDDEN import'!B:E,4,FALSE)="C",OR(NOT(ISERROR(VLOOKUP(E19,'Optional features'!B:D,1,FALSE)=E19)),NOT(ISERROR(VLOOKUP(E19,'HIDDEN calc sheet'!A:C,1,FALSE)=E19)))),MD!$A$3,MD!$A$2)))</f>
        <v>Mandatory test for a mandatory feature</v>
      </c>
      <c r="E19" t="str">
        <f>IF('HIDDEN import'!F18=0,"",'HIDDEN import'!F18)</f>
        <v>C-45</v>
      </c>
      <c r="F19" t="str">
        <f>IF('HIDDEN import'!G18=0,"",'HIDDEN import'!G18)</f>
        <v>multiple values elements GetVariablesRequest</v>
      </c>
      <c r="G19" s="95" t="str">
        <f>IFERROR(VLOOKUP($A19,'HIDDEN Testrun Results'!$A:$B,2,FALSE),"")</f>
        <v/>
      </c>
      <c r="H19" s="6" t="b">
        <f t="shared" si="0"/>
        <v>1</v>
      </c>
      <c r="I19" s="6" t="b">
        <f>IF(VLOOKUP(A19&amp;" "&amp;B19,'HIDDEN import'!A:G,5,FALSE)="M",TRUE,IFERROR(VLOOKUP(E19,'Optional features'!B:D,3,FALSE)="Yes",IFERROR(VLOOKUP(E19,'HIDDEN calc sheet'!A:B,2,FALSE),IFERROR(VLOOKUP(E19,'Additional questions'!B:D,3,FALSE)="Yes",VLOOKUP(E19,'Hardware Feature set'!B:D,3,FALSE)="No"))))</f>
        <v>1</v>
      </c>
      <c r="J19" s="6" t="b">
        <f>IF(VLOOKUP(B19,'Profile selection'!B:C,2,FALSE)="Yes",TRUE,FALSE)</f>
        <v>1</v>
      </c>
    </row>
    <row r="20" spans="1:10" ht="15.75" customHeight="1" x14ac:dyDescent="0.25">
      <c r="A20" t="str">
        <f>'HIDDEN import'!B19</f>
        <v>TC_B_32_CS</v>
      </c>
      <c r="B20" t="str">
        <f>'HIDDEN import'!C19</f>
        <v>Core</v>
      </c>
      <c r="C20" t="str">
        <f>'HIDDEN import'!D19</f>
        <v>Get Variables - Unknown component</v>
      </c>
      <c r="D20" t="str">
        <f>IF(VLOOKUP(A20&amp;" "&amp;B20,'HIDDEN import'!A:G,5,FALSE)="M",MD!$A$1,(IF(AND(VLOOKUP(A20,'HIDDEN import'!B:E,4,FALSE)="C",OR(NOT(ISERROR(VLOOKUP(E20,'Optional features'!B:D,1,FALSE)=E20)),NOT(ISERROR(VLOOKUP(E20,'HIDDEN calc sheet'!A:C,1,FALSE)=E20)))),MD!$A$3,MD!$A$2)))</f>
        <v>Mandatory test for a mandatory feature</v>
      </c>
      <c r="E20" t="str">
        <f>IF('HIDDEN import'!F19=0,"",'HIDDEN import'!F19)</f>
        <v/>
      </c>
      <c r="F20" t="str">
        <f>IF('HIDDEN import'!G19=0,"",'HIDDEN import'!G19)</f>
        <v/>
      </c>
      <c r="G20" s="95" t="str">
        <f>IFERROR(VLOOKUP($A20,'HIDDEN Testrun Results'!$A:$B,2,FALSE),"")</f>
        <v/>
      </c>
      <c r="H20" s="6" t="b">
        <f t="shared" si="0"/>
        <v>1</v>
      </c>
      <c r="I20" s="6" t="b">
        <f>IF(VLOOKUP(A20&amp;" "&amp;B20,'HIDDEN import'!A:G,5,FALSE)="M",TRUE,IFERROR(VLOOKUP(E20,'Optional features'!B:D,3,FALSE)="Yes",IFERROR(VLOOKUP(E20,'HIDDEN calc sheet'!A:B,2,FALSE),IFERROR(VLOOKUP(E20,'Additional questions'!B:D,3,FALSE)="Yes",VLOOKUP(E20,'Hardware Feature set'!B:D,3,FALSE)="No"))))</f>
        <v>1</v>
      </c>
      <c r="J20" s="6" t="b">
        <f>IF(VLOOKUP(B20,'Profile selection'!B:C,2,FALSE)="Yes",TRUE,FALSE)</f>
        <v>1</v>
      </c>
    </row>
    <row r="21" spans="1:10" ht="15.75" customHeight="1" x14ac:dyDescent="0.25">
      <c r="A21" t="str">
        <f>'HIDDEN import'!B20</f>
        <v>TC_B_33_CS</v>
      </c>
      <c r="B21" t="str">
        <f>'HIDDEN import'!C20</f>
        <v>Core</v>
      </c>
      <c r="C21" t="str">
        <f>'HIDDEN import'!D20</f>
        <v>Get Variables - Unknown variable</v>
      </c>
      <c r="D21" t="str">
        <f>IF(VLOOKUP(A21&amp;" "&amp;B21,'HIDDEN import'!A:G,5,FALSE)="M",MD!$A$1,(IF(AND(VLOOKUP(A21,'HIDDEN import'!B:E,4,FALSE)="C",OR(NOT(ISERROR(VLOOKUP(E21,'Optional features'!B:D,1,FALSE)=E21)),NOT(ISERROR(VLOOKUP(E21,'HIDDEN calc sheet'!A:C,1,FALSE)=E21)))),MD!$A$3,MD!$A$2)))</f>
        <v>Mandatory test for a mandatory feature</v>
      </c>
      <c r="E21" t="str">
        <f>IF('HIDDEN import'!F20=0,"",'HIDDEN import'!F20)</f>
        <v/>
      </c>
      <c r="F21" t="str">
        <f>IF('HIDDEN import'!G20=0,"",'HIDDEN import'!G20)</f>
        <v/>
      </c>
      <c r="G21" s="95" t="str">
        <f>IFERROR(VLOOKUP($A21,'HIDDEN Testrun Results'!$A:$B,2,FALSE),"")</f>
        <v/>
      </c>
      <c r="H21" s="6" t="b">
        <f t="shared" si="0"/>
        <v>1</v>
      </c>
      <c r="I21" s="6" t="b">
        <f>IF(VLOOKUP(A21&amp;" "&amp;B21,'HIDDEN import'!A:G,5,FALSE)="M",TRUE,IFERROR(VLOOKUP(E21,'Optional features'!B:D,3,FALSE)="Yes",IFERROR(VLOOKUP(E21,'HIDDEN calc sheet'!A:B,2,FALSE),IFERROR(VLOOKUP(E21,'Additional questions'!B:D,3,FALSE)="Yes",VLOOKUP(E21,'Hardware Feature set'!B:D,3,FALSE)="No"))))</f>
        <v>1</v>
      </c>
      <c r="J21" s="6" t="b">
        <f>IF(VLOOKUP(B21,'Profile selection'!B:C,2,FALSE)="Yes",TRUE,FALSE)</f>
        <v>1</v>
      </c>
    </row>
    <row r="22" spans="1:10" ht="15.75" customHeight="1" x14ac:dyDescent="0.25">
      <c r="A22" t="str">
        <f>'HIDDEN import'!B21</f>
        <v>TC_B_34_CS</v>
      </c>
      <c r="B22" t="str">
        <f>'HIDDEN import'!C21</f>
        <v>Core</v>
      </c>
      <c r="C22" t="str">
        <f>'HIDDEN import'!D21</f>
        <v>Get Variables - Not supported attribute type</v>
      </c>
      <c r="D22" t="str">
        <f>IF(VLOOKUP(A22&amp;" "&amp;B22,'HIDDEN import'!A:G,5,FALSE)="M",MD!$A$1,(IF(AND(VLOOKUP(A22,'HIDDEN import'!B:E,4,FALSE)="C",OR(NOT(ISERROR(VLOOKUP(E22,'Optional features'!B:D,1,FALSE)=E22)),NOT(ISERROR(VLOOKUP(E22,'HIDDEN calc sheet'!A:C,1,FALSE)=E22)))),MD!$A$3,MD!$A$2)))</f>
        <v>Mandatory test for a mandatory feature</v>
      </c>
      <c r="E22" t="str">
        <f>IF('HIDDEN import'!F21=0,"",'HIDDEN import'!F21)</f>
        <v/>
      </c>
      <c r="F22" t="str">
        <f>IF('HIDDEN import'!G21=0,"",'HIDDEN import'!G21)</f>
        <v/>
      </c>
      <c r="G22" s="95" t="str">
        <f>IFERROR(VLOOKUP($A22,'HIDDEN Testrun Results'!$A:$B,2,FALSE),"")</f>
        <v/>
      </c>
      <c r="H22" s="6" t="b">
        <f t="shared" si="0"/>
        <v>1</v>
      </c>
      <c r="I22" s="6" t="b">
        <f>IF(VLOOKUP(A22&amp;" "&amp;B22,'HIDDEN import'!A:G,5,FALSE)="M",TRUE,IFERROR(VLOOKUP(E22,'Optional features'!B:D,3,FALSE)="Yes",IFERROR(VLOOKUP(E22,'HIDDEN calc sheet'!A:B,2,FALSE),IFERROR(VLOOKUP(E22,'Additional questions'!B:D,3,FALSE)="Yes",VLOOKUP(E22,'Hardware Feature set'!B:D,3,FALSE)="No"))))</f>
        <v>1</v>
      </c>
      <c r="J22" s="6" t="b">
        <f>IF(VLOOKUP(B22,'Profile selection'!B:C,2,FALSE)="Yes",TRUE,FALSE)</f>
        <v>1</v>
      </c>
    </row>
    <row r="23" spans="1:10" ht="15.75" customHeight="1" x14ac:dyDescent="0.25">
      <c r="A23" t="str">
        <f>'HIDDEN import'!B22</f>
        <v>TC_B_09_CS</v>
      </c>
      <c r="B23" t="str">
        <f>'HIDDEN import'!C22</f>
        <v>Core</v>
      </c>
      <c r="C23" t="str">
        <f>'HIDDEN import'!D22</f>
        <v>Set Variables - single value</v>
      </c>
      <c r="D23" t="str">
        <f>IF(VLOOKUP(A23&amp;" "&amp;B23,'HIDDEN import'!A:G,5,FALSE)="M",MD!$A$1,(IF(AND(VLOOKUP(A23,'HIDDEN import'!B:E,4,FALSE)="C",OR(NOT(ISERROR(VLOOKUP(E23,'Optional features'!B:D,1,FALSE)=E23)),NOT(ISERROR(VLOOKUP(E23,'HIDDEN calc sheet'!A:C,1,FALSE)=E23)))),MD!$A$3,MD!$A$2)))</f>
        <v>Mandatory test for a mandatory feature</v>
      </c>
      <c r="E23" t="str">
        <f>IF('HIDDEN import'!F22=0,"",'HIDDEN import'!F22)</f>
        <v/>
      </c>
      <c r="F23" t="str">
        <f>IF('HIDDEN import'!G22=0,"",'HIDDEN import'!G22)</f>
        <v/>
      </c>
      <c r="G23" s="95" t="str">
        <f>IFERROR(VLOOKUP($A23,'HIDDEN Testrun Results'!$A:$B,2,FALSE),"")</f>
        <v/>
      </c>
      <c r="H23" s="6" t="b">
        <f t="shared" si="0"/>
        <v>1</v>
      </c>
      <c r="I23" s="6" t="b">
        <f>IF(VLOOKUP(A23&amp;" "&amp;B23,'HIDDEN import'!A:G,5,FALSE)="M",TRUE,IFERROR(VLOOKUP(E23,'Optional features'!B:D,3,FALSE)="Yes",IFERROR(VLOOKUP(E23,'HIDDEN calc sheet'!A:B,2,FALSE),IFERROR(VLOOKUP(E23,'Additional questions'!B:D,3,FALSE)="Yes",VLOOKUP(E23,'Hardware Feature set'!B:D,3,FALSE)="No"))))</f>
        <v>1</v>
      </c>
      <c r="J23" s="6" t="b">
        <f>IF(VLOOKUP(B23,'Profile selection'!B:C,2,FALSE)="Yes",TRUE,FALSE)</f>
        <v>1</v>
      </c>
    </row>
    <row r="24" spans="1:10" ht="15.75" customHeight="1" x14ac:dyDescent="0.25">
      <c r="A24" t="str">
        <f>'HIDDEN import'!B23</f>
        <v>TC_B_10_CS</v>
      </c>
      <c r="B24" t="str">
        <f>'HIDDEN import'!C23</f>
        <v>Core</v>
      </c>
      <c r="C24" t="str">
        <f>'HIDDEN import'!D23</f>
        <v>Set Variables - multiple values</v>
      </c>
      <c r="D24" t="str">
        <f>IF(VLOOKUP(A24&amp;" "&amp;B24,'HIDDEN import'!A:G,5,FALSE)="M",MD!$A$1,(IF(AND(VLOOKUP(A24,'HIDDEN import'!B:E,4,FALSE)="C",OR(NOT(ISERROR(VLOOKUP(E24,'Optional features'!B:D,1,FALSE)=E24)),NOT(ISERROR(VLOOKUP(E24,'HIDDEN calc sheet'!A:C,1,FALSE)=E24)))),MD!$A$3,MD!$A$2)))</f>
        <v>Mandatory test for a mandatory feature</v>
      </c>
      <c r="E24" t="str">
        <f>IF('HIDDEN import'!F23=0,"",'HIDDEN import'!F23)</f>
        <v>C-46</v>
      </c>
      <c r="F24" t="str">
        <f>IF('HIDDEN import'!G23=0,"",'HIDDEN import'!G23)</f>
        <v>multiple values elements SetVariablesRequest</v>
      </c>
      <c r="G24" s="95" t="str">
        <f>IFERROR(VLOOKUP($A24,'HIDDEN Testrun Results'!$A:$B,2,FALSE),"")</f>
        <v/>
      </c>
      <c r="H24" s="6" t="b">
        <f t="shared" si="0"/>
        <v>1</v>
      </c>
      <c r="I24" s="6" t="b">
        <f>IF(VLOOKUP(A24&amp;" "&amp;B24,'HIDDEN import'!A:G,5,FALSE)="M",TRUE,IFERROR(VLOOKUP(E24,'Optional features'!B:D,3,FALSE)="Yes",IFERROR(VLOOKUP(E24,'HIDDEN calc sheet'!A:B,2,FALSE),IFERROR(VLOOKUP(E24,'Additional questions'!B:D,3,FALSE)="Yes",VLOOKUP(E24,'Hardware Feature set'!B:D,3,FALSE)="No"))))</f>
        <v>1</v>
      </c>
      <c r="J24" s="6" t="b">
        <f>IF(VLOOKUP(B24,'Profile selection'!B:C,2,FALSE)="Yes",TRUE,FALSE)</f>
        <v>1</v>
      </c>
    </row>
    <row r="25" spans="1:10" ht="15.75" customHeight="1" x14ac:dyDescent="0.25">
      <c r="A25" t="str">
        <f>'HIDDEN import'!B24</f>
        <v>TC_B_35_CS</v>
      </c>
      <c r="B25" t="str">
        <f>'HIDDEN import'!C24</f>
        <v>Core</v>
      </c>
      <c r="C25" t="str">
        <f>'HIDDEN import'!D24</f>
        <v>Set Variables - Unknown component</v>
      </c>
      <c r="D25" t="str">
        <f>IF(VLOOKUP(A25&amp;" "&amp;B25,'HIDDEN import'!A:G,5,FALSE)="M",MD!$A$1,(IF(AND(VLOOKUP(A25,'HIDDEN import'!B:E,4,FALSE)="C",OR(NOT(ISERROR(VLOOKUP(E25,'Optional features'!B:D,1,FALSE)=E25)),NOT(ISERROR(VLOOKUP(E25,'HIDDEN calc sheet'!A:C,1,FALSE)=E25)))),MD!$A$3,MD!$A$2)))</f>
        <v>Mandatory test for a mandatory feature</v>
      </c>
      <c r="E25" t="str">
        <f>IF('HIDDEN import'!F24=0,"",'HIDDEN import'!F24)</f>
        <v/>
      </c>
      <c r="F25" t="str">
        <f>IF('HIDDEN import'!G24=0,"",'HIDDEN import'!G24)</f>
        <v/>
      </c>
      <c r="G25" s="95" t="str">
        <f>IFERROR(VLOOKUP($A25,'HIDDEN Testrun Results'!$A:$B,2,FALSE),"")</f>
        <v/>
      </c>
      <c r="H25" s="6" t="b">
        <f t="shared" si="0"/>
        <v>1</v>
      </c>
      <c r="I25" s="6" t="b">
        <f>IF(VLOOKUP(A25&amp;" "&amp;B25,'HIDDEN import'!A:G,5,FALSE)="M",TRUE,IFERROR(VLOOKUP(E25,'Optional features'!B:D,3,FALSE)="Yes",IFERROR(VLOOKUP(E25,'HIDDEN calc sheet'!A:B,2,FALSE),IFERROR(VLOOKUP(E25,'Additional questions'!B:D,3,FALSE)="Yes",VLOOKUP(E25,'Hardware Feature set'!B:D,3,FALSE)="No"))))</f>
        <v>1</v>
      </c>
      <c r="J25" s="6" t="b">
        <f>IF(VLOOKUP(B25,'Profile selection'!B:C,2,FALSE)="Yes",TRUE,FALSE)</f>
        <v>1</v>
      </c>
    </row>
    <row r="26" spans="1:10" ht="15.75" customHeight="1" x14ac:dyDescent="0.25">
      <c r="A26" t="str">
        <f>'HIDDEN import'!B25</f>
        <v>TC_B_36_CS</v>
      </c>
      <c r="B26" t="str">
        <f>'HIDDEN import'!C25</f>
        <v>Core</v>
      </c>
      <c r="C26" t="str">
        <f>'HIDDEN import'!D25</f>
        <v>Set Variables - Unknown variable</v>
      </c>
      <c r="D26" t="str">
        <f>IF(VLOOKUP(A26&amp;" "&amp;B26,'HIDDEN import'!A:G,5,FALSE)="M",MD!$A$1,(IF(AND(VLOOKUP(A26,'HIDDEN import'!B:E,4,FALSE)="C",OR(NOT(ISERROR(VLOOKUP(E26,'Optional features'!B:D,1,FALSE)=E26)),NOT(ISERROR(VLOOKUP(E26,'HIDDEN calc sheet'!A:C,1,FALSE)=E26)))),MD!$A$3,MD!$A$2)))</f>
        <v>Mandatory test for a mandatory feature</v>
      </c>
      <c r="E26" t="str">
        <f>IF('HIDDEN import'!F25=0,"",'HIDDEN import'!F25)</f>
        <v/>
      </c>
      <c r="F26" t="str">
        <f>IF('HIDDEN import'!G25=0,"",'HIDDEN import'!G25)</f>
        <v/>
      </c>
      <c r="G26" s="95" t="str">
        <f>IFERROR(VLOOKUP($A26,'HIDDEN Testrun Results'!$A:$B,2,FALSE),"")</f>
        <v/>
      </c>
      <c r="H26" s="6" t="b">
        <f t="shared" si="0"/>
        <v>1</v>
      </c>
      <c r="I26" s="6" t="b">
        <f>IF(VLOOKUP(A26&amp;" "&amp;B26,'HIDDEN import'!A:G,5,FALSE)="M",TRUE,IFERROR(VLOOKUP(E26,'Optional features'!B:D,3,FALSE)="Yes",IFERROR(VLOOKUP(E26,'HIDDEN calc sheet'!A:B,2,FALSE),IFERROR(VLOOKUP(E26,'Additional questions'!B:D,3,FALSE)="Yes",VLOOKUP(E26,'Hardware Feature set'!B:D,3,FALSE)="No"))))</f>
        <v>1</v>
      </c>
      <c r="J26" s="6" t="b">
        <f>IF(VLOOKUP(B26,'Profile selection'!B:C,2,FALSE)="Yes",TRUE,FALSE)</f>
        <v>1</v>
      </c>
    </row>
    <row r="27" spans="1:10" ht="15.75" customHeight="1" x14ac:dyDescent="0.25">
      <c r="A27" t="str">
        <f>'HIDDEN import'!B26</f>
        <v>TC_B_37_CS</v>
      </c>
      <c r="B27" t="str">
        <f>'HIDDEN import'!C26</f>
        <v>Core</v>
      </c>
      <c r="C27" t="str">
        <f>'HIDDEN import'!D26</f>
        <v>Set Variables - Not supported attribute type</v>
      </c>
      <c r="D27" t="str">
        <f>IF(VLOOKUP(A27&amp;" "&amp;B27,'HIDDEN import'!A:G,5,FALSE)="M",MD!$A$1,(IF(AND(VLOOKUP(A27,'HIDDEN import'!B:E,4,FALSE)="C",OR(NOT(ISERROR(VLOOKUP(E27,'Optional features'!B:D,1,FALSE)=E27)),NOT(ISERROR(VLOOKUP(E27,'HIDDEN calc sheet'!A:C,1,FALSE)=E27)))),MD!$A$3,MD!$A$2)))</f>
        <v>Mandatory test for a mandatory feature</v>
      </c>
      <c r="E27" t="str">
        <f>IF('HIDDEN import'!F26=0,"",'HIDDEN import'!F26)</f>
        <v/>
      </c>
      <c r="F27" t="str">
        <f>IF('HIDDEN import'!G26=0,"",'HIDDEN import'!G26)</f>
        <v/>
      </c>
      <c r="G27" s="95" t="str">
        <f>IFERROR(VLOOKUP($A27,'HIDDEN Testrun Results'!$A:$B,2,FALSE),"")</f>
        <v/>
      </c>
      <c r="H27" s="6" t="b">
        <f t="shared" si="0"/>
        <v>1</v>
      </c>
      <c r="I27" s="6" t="b">
        <f>IF(VLOOKUP(A27&amp;" "&amp;B27,'HIDDEN import'!A:G,5,FALSE)="M",TRUE,IFERROR(VLOOKUP(E27,'Optional features'!B:D,3,FALSE)="Yes",IFERROR(VLOOKUP(E27,'HIDDEN calc sheet'!A:B,2,FALSE),IFERROR(VLOOKUP(E27,'Additional questions'!B:D,3,FALSE)="Yes",VLOOKUP(E27,'Hardware Feature set'!B:D,3,FALSE)="No"))))</f>
        <v>1</v>
      </c>
      <c r="J27" s="6" t="b">
        <f>IF(VLOOKUP(B27,'Profile selection'!B:C,2,FALSE)="Yes",TRUE,FALSE)</f>
        <v>1</v>
      </c>
    </row>
    <row r="28" spans="1:10" ht="15.75" customHeight="1" x14ac:dyDescent="0.25">
      <c r="A28" t="str">
        <f>'HIDDEN import'!B27</f>
        <v>TC_B_11_CS</v>
      </c>
      <c r="B28" t="str">
        <f>'HIDDEN import'!C27</f>
        <v>Core</v>
      </c>
      <c r="C28" t="str">
        <f>'HIDDEN import'!D27</f>
        <v>Set Variables - invalidly formatted values</v>
      </c>
      <c r="D28" t="str">
        <f>IF(VLOOKUP(A28&amp;" "&amp;B28,'HIDDEN import'!A:G,5,FALSE)="M",MD!$A$1,(IF(AND(VLOOKUP(A28,'HIDDEN import'!B:E,4,FALSE)="C",OR(NOT(ISERROR(VLOOKUP(E28,'Optional features'!B:D,1,FALSE)=E28)),NOT(ISERROR(VLOOKUP(E28,'HIDDEN calc sheet'!A:C,1,FALSE)=E28)))),MD!$A$3,MD!$A$2)))</f>
        <v>Mandatory test for a mandatory feature</v>
      </c>
      <c r="E28" t="str">
        <f>IF('HIDDEN import'!F27=0,"",'HIDDEN import'!F27)</f>
        <v/>
      </c>
      <c r="F28" t="str">
        <f>IF('HIDDEN import'!G27=0,"",'HIDDEN import'!G27)</f>
        <v/>
      </c>
      <c r="G28" s="95" t="str">
        <f>IFERROR(VLOOKUP($A28,'HIDDEN Testrun Results'!$A:$B,2,FALSE),"")</f>
        <v/>
      </c>
      <c r="H28" s="6" t="b">
        <f t="shared" si="0"/>
        <v>1</v>
      </c>
      <c r="I28" s="6" t="b">
        <f>IF(VLOOKUP(A28&amp;" "&amp;B28,'HIDDEN import'!A:G,5,FALSE)="M",TRUE,IFERROR(VLOOKUP(E28,'Optional features'!B:D,3,FALSE)="Yes",IFERROR(VLOOKUP(E28,'HIDDEN calc sheet'!A:B,2,FALSE),IFERROR(VLOOKUP(E28,'Additional questions'!B:D,3,FALSE)="Yes",VLOOKUP(E28,'Hardware Feature set'!B:D,3,FALSE)="No"))))</f>
        <v>1</v>
      </c>
      <c r="J28" s="6" t="b">
        <f>IF(VLOOKUP(B28,'Profile selection'!B:C,2,FALSE)="Yes",TRUE,FALSE)</f>
        <v>1</v>
      </c>
    </row>
    <row r="29" spans="1:10" ht="15.75" customHeight="1" x14ac:dyDescent="0.25">
      <c r="A29" t="str">
        <f>'HIDDEN import'!B28</f>
        <v>TC_B_39_CS</v>
      </c>
      <c r="B29" t="str">
        <f>'HIDDEN import'!C28</f>
        <v>Core</v>
      </c>
      <c r="C29" t="str">
        <f>'HIDDEN import'!D28</f>
        <v>Set Variables - Read-only</v>
      </c>
      <c r="D29" t="str">
        <f>IF(VLOOKUP(A29&amp;" "&amp;B29,'HIDDEN import'!A:G,5,FALSE)="M",MD!$A$1,(IF(AND(VLOOKUP(A29,'HIDDEN import'!B:E,4,FALSE)="C",OR(NOT(ISERROR(VLOOKUP(E29,'Optional features'!B:D,1,FALSE)=E29)),NOT(ISERROR(VLOOKUP(E29,'HIDDEN calc sheet'!A:C,1,FALSE)=E29)))),MD!$A$3,MD!$A$2)))</f>
        <v>Mandatory test for a mandatory feature</v>
      </c>
      <c r="E29" t="str">
        <f>IF('HIDDEN import'!F28=0,"",'HIDDEN import'!F28)</f>
        <v/>
      </c>
      <c r="F29" t="str">
        <f>IF('HIDDEN import'!G28=0,"",'HIDDEN import'!G28)</f>
        <v/>
      </c>
      <c r="G29" s="95" t="str">
        <f>IFERROR(VLOOKUP($A29,'HIDDEN Testrun Results'!$A:$B,2,FALSE),"")</f>
        <v/>
      </c>
      <c r="H29" s="6" t="b">
        <f t="shared" si="0"/>
        <v>1</v>
      </c>
      <c r="I29" s="6" t="b">
        <f>IF(VLOOKUP(A29&amp;" "&amp;B29,'HIDDEN import'!A:G,5,FALSE)="M",TRUE,IFERROR(VLOOKUP(E29,'Optional features'!B:D,3,FALSE)="Yes",IFERROR(VLOOKUP(E29,'HIDDEN calc sheet'!A:B,2,FALSE),IFERROR(VLOOKUP(E29,'Additional questions'!B:D,3,FALSE)="Yes",VLOOKUP(E29,'Hardware Feature set'!B:D,3,FALSE)="No"))))</f>
        <v>1</v>
      </c>
      <c r="J29" s="6" t="b">
        <f>IF(VLOOKUP(B29,'Profile selection'!B:C,2,FALSE)="Yes",TRUE,FALSE)</f>
        <v>1</v>
      </c>
    </row>
    <row r="30" spans="1:10" ht="15.75" customHeight="1" x14ac:dyDescent="0.25">
      <c r="A30" t="str">
        <f>'HIDDEN import'!B29</f>
        <v>TC_B_12_CS</v>
      </c>
      <c r="B30" t="str">
        <f>'HIDDEN import'!C29</f>
        <v>Core</v>
      </c>
      <c r="C30" t="str">
        <f>'HIDDEN import'!D29</f>
        <v>Get Base Report - ConfigurationInventory</v>
      </c>
      <c r="D30" t="str">
        <f>IF(VLOOKUP(A30&amp;" "&amp;B30,'HIDDEN import'!A:G,5,FALSE)="M",MD!$A$1,(IF(AND(VLOOKUP(A30,'HIDDEN import'!B:E,4,FALSE)="C",OR(NOT(ISERROR(VLOOKUP(E30,'Optional features'!B:D,1,FALSE)=E30)),NOT(ISERROR(VLOOKUP(E30,'HIDDEN calc sheet'!A:C,1,FALSE)=E30)))),MD!$A$3,MD!$A$2)))</f>
        <v>Mandatory test for a mandatory feature</v>
      </c>
      <c r="E30" t="str">
        <f>IF('HIDDEN import'!F29=0,"",'HIDDEN import'!F29)</f>
        <v>C-17 OR DM-0</v>
      </c>
      <c r="F30" t="str">
        <f>IF('HIDDEN import'!G29=0,"",'HIDDEN import'!G29)</f>
        <v>ConfigurationInventory</v>
      </c>
      <c r="G30" s="95" t="str">
        <f>IFERROR(VLOOKUP($A30,'HIDDEN Testrun Results'!$A:$B,2,FALSE),"")</f>
        <v/>
      </c>
      <c r="H30" s="6" t="b">
        <f t="shared" si="0"/>
        <v>1</v>
      </c>
      <c r="I30" s="6" t="b">
        <f>IF(VLOOKUP(A30&amp;" "&amp;B30,'HIDDEN import'!A:G,5,FALSE)="M",TRUE,IFERROR(VLOOKUP(E30,'Optional features'!B:D,3,FALSE)="Yes",IFERROR(VLOOKUP(E30,'HIDDEN calc sheet'!A:B,2,FALSE),IFERROR(VLOOKUP(E30,'Additional questions'!B:D,3,FALSE)="Yes",VLOOKUP(E30,'Hardware Feature set'!B:D,3,FALSE)="No"))))</f>
        <v>1</v>
      </c>
      <c r="J30" s="6" t="b">
        <f>IF(VLOOKUP(B30,'Profile selection'!B:C,2,FALSE)="Yes",TRUE,FALSE)</f>
        <v>1</v>
      </c>
    </row>
    <row r="31" spans="1:10" ht="15.75" customHeight="1" x14ac:dyDescent="0.25">
      <c r="A31" t="str">
        <f>'HIDDEN import'!B30</f>
        <v>TC_B_13_CS</v>
      </c>
      <c r="B31" t="str">
        <f>'HIDDEN import'!C30</f>
        <v>Core</v>
      </c>
      <c r="C31" t="str">
        <f>'HIDDEN import'!D30</f>
        <v>Get Base Report - FullInventory</v>
      </c>
      <c r="D31" t="str">
        <f>IF(VLOOKUP(A31&amp;" "&amp;B31,'HIDDEN import'!A:G,5,FALSE)="M",MD!$A$1,(IF(AND(VLOOKUP(A31,'HIDDEN import'!B:E,4,FALSE)="C",OR(NOT(ISERROR(VLOOKUP(E31,'Optional features'!B:D,1,FALSE)=E31)),NOT(ISERROR(VLOOKUP(E31,'HIDDEN calc sheet'!A:C,1,FALSE)=E31)))),MD!$A$3,MD!$A$2)))</f>
        <v>Mandatory test for a mandatory feature</v>
      </c>
      <c r="E31" t="str">
        <f>IF('HIDDEN import'!F30=0,"",'HIDDEN import'!F30)</f>
        <v>C-50.2</v>
      </c>
      <c r="F31" t="str">
        <f>IF('HIDDEN import'!G30=0,"",'HIDDEN import'!G30)</f>
        <v>GetBaseReport - FullInventory - Manual trigger</v>
      </c>
      <c r="G31" s="95" t="str">
        <f>IFERROR(VLOOKUP($A31,'HIDDEN Testrun Results'!$A:$B,2,FALSE),"")</f>
        <v/>
      </c>
      <c r="H31" s="6" t="b">
        <f t="shared" si="0"/>
        <v>1</v>
      </c>
      <c r="I31" s="6" t="b">
        <f>IF(VLOOKUP(A31&amp;" "&amp;B31,'HIDDEN import'!A:G,5,FALSE)="M",TRUE,IFERROR(VLOOKUP(E31,'Optional features'!B:D,3,FALSE)="Yes",IFERROR(VLOOKUP(E31,'HIDDEN calc sheet'!A:B,2,FALSE),IFERROR(VLOOKUP(E31,'Additional questions'!B:D,3,FALSE)="Yes",VLOOKUP(E31,'Hardware Feature set'!B:D,3,FALSE)="No"))))</f>
        <v>1</v>
      </c>
      <c r="J31" s="6" t="b">
        <f>IF(VLOOKUP(B31,'Profile selection'!B:C,2,FALSE)="Yes",TRUE,FALSE)</f>
        <v>1</v>
      </c>
    </row>
    <row r="32" spans="1:10" ht="15.75" customHeight="1" x14ac:dyDescent="0.25">
      <c r="A32" t="str">
        <f>'HIDDEN import'!B31</f>
        <v>TC_B_14_CS</v>
      </c>
      <c r="B32" t="str">
        <f>'HIDDEN import'!C31</f>
        <v>Core</v>
      </c>
      <c r="C32" t="str">
        <f>'HIDDEN import'!D31</f>
        <v>Get Base Report - SummaryInventory</v>
      </c>
      <c r="D32" t="str">
        <f>IF(VLOOKUP(A32&amp;" "&amp;B32,'HIDDEN import'!A:G,5,FALSE)="M",MD!$A$1,(IF(AND(VLOOKUP(A32,'HIDDEN import'!B:E,4,FALSE)="C",OR(NOT(ISERROR(VLOOKUP(E32,'Optional features'!B:D,1,FALSE)=E32)),NOT(ISERROR(VLOOKUP(E32,'HIDDEN calc sheet'!A:C,1,FALSE)=E32)))),MD!$A$3,MD!$A$2)))</f>
        <v>Mandatory for optional feature</v>
      </c>
      <c r="E32" t="str">
        <f>IF('HIDDEN import'!F31=0,"",'HIDDEN import'!F31)</f>
        <v>C-56 OR DM-0</v>
      </c>
      <c r="F32" t="str">
        <f>IF('HIDDEN import'!G31=0,"",'HIDDEN import'!G31)</f>
        <v/>
      </c>
      <c r="G32" s="95" t="str">
        <f>IFERROR(VLOOKUP($A32,'HIDDEN Testrun Results'!$A:$B,2,FALSE),"")</f>
        <v/>
      </c>
      <c r="H32" s="6" t="b">
        <f t="shared" si="0"/>
        <v>0</v>
      </c>
      <c r="I32" s="6" t="b">
        <f>IF(VLOOKUP(A32&amp;" "&amp;B32,'HIDDEN import'!A:G,5,FALSE)="M",TRUE,IFERROR(VLOOKUP(E32,'Optional features'!B:D,3,FALSE)="Yes",IFERROR(VLOOKUP(E32,'HIDDEN calc sheet'!A:B,2,FALSE),IFERROR(VLOOKUP(E32,'Additional questions'!B:D,3,FALSE)="Yes",VLOOKUP(E32,'Hardware Feature set'!B:D,3,FALSE)="No"))))</f>
        <v>0</v>
      </c>
      <c r="J32" s="6" t="b">
        <f>IF(VLOOKUP(B32,'Profile selection'!B:C,2,FALSE)="Yes",TRUE,FALSE)</f>
        <v>1</v>
      </c>
    </row>
    <row r="33" spans="1:10" ht="15.75" customHeight="1" x14ac:dyDescent="0.25">
      <c r="A33" t="str">
        <f>'HIDDEN import'!B32</f>
        <v>TC_B_15_CS</v>
      </c>
      <c r="B33" t="str">
        <f>'HIDDEN import'!C32</f>
        <v>Core</v>
      </c>
      <c r="C33" t="str">
        <f>'HIDDEN import'!D32</f>
        <v>Get Base Report - Not Supported base report</v>
      </c>
      <c r="D33" t="str">
        <f>IF(VLOOKUP(A33&amp;" "&amp;B33,'HIDDEN import'!A:G,5,FALSE)="M",MD!$A$1,(IF(AND(VLOOKUP(A33,'HIDDEN import'!B:E,4,FALSE)="C",OR(NOT(ISERROR(VLOOKUP(E33,'Optional features'!B:D,1,FALSE)=E33)),NOT(ISERROR(VLOOKUP(E33,'HIDDEN calc sheet'!A:C,1,FALSE)=E33)))),MD!$A$3,MD!$A$2)))</f>
        <v>Mandatory for optional feature</v>
      </c>
      <c r="E33" t="str">
        <f>IF('HIDDEN import'!F32=0,"",'HIDDEN import'!F32)</f>
        <v>Not C-56</v>
      </c>
      <c r="F33" t="str">
        <f>IF('HIDDEN import'!G32=0,"",'HIDDEN import'!G32)</f>
        <v/>
      </c>
      <c r="G33" s="95" t="str">
        <f>IFERROR(VLOOKUP($A33,'HIDDEN Testrun Results'!$A:$B,2,FALSE),"")</f>
        <v/>
      </c>
      <c r="H33" s="6" t="b">
        <f t="shared" si="0"/>
        <v>1</v>
      </c>
      <c r="I33" s="6" t="b">
        <f>IF(VLOOKUP(A33&amp;" "&amp;B33,'HIDDEN import'!A:G,5,FALSE)="M",TRUE,IFERROR(VLOOKUP(E33,'Optional features'!B:D,3,FALSE)="Yes",IFERROR(VLOOKUP(E33,'HIDDEN calc sheet'!A:B,2,FALSE),IFERROR(VLOOKUP(E33,'Additional questions'!B:D,3,FALSE)="Yes",VLOOKUP(E33,'Hardware Feature set'!B:D,3,FALSE)="No"))))</f>
        <v>1</v>
      </c>
      <c r="J33" s="6" t="b">
        <f>IF(VLOOKUP(B33,'Profile selection'!B:C,2,FALSE)="Yes",TRUE,FALSE)</f>
        <v>1</v>
      </c>
    </row>
    <row r="34" spans="1:10" ht="15.75" customHeight="1" x14ac:dyDescent="0.25">
      <c r="A34" t="str">
        <f>'HIDDEN import'!B33</f>
        <v>TC_B_53_CS</v>
      </c>
      <c r="B34" t="str">
        <f>'HIDDEN import'!C33</f>
        <v>Core</v>
      </c>
      <c r="C34" t="str">
        <f>'HIDDEN import'!D33</f>
        <v>Get Base Report - Test mandatory DM variables via FullInventory</v>
      </c>
      <c r="D34" t="str">
        <f>IF(VLOOKUP(A34&amp;" "&amp;B34,'HIDDEN import'!A:G,5,FALSE)="M",MD!$A$1,(IF(AND(VLOOKUP(A34,'HIDDEN import'!B:E,4,FALSE)="C",OR(NOT(ISERROR(VLOOKUP(E34,'Optional features'!B:D,1,FALSE)=E34)),NOT(ISERROR(VLOOKUP(E34,'HIDDEN calc sheet'!A:C,1,FALSE)=E34)))),MD!$A$3,MD!$A$2)))</f>
        <v>Mandatory test for a mandatory feature</v>
      </c>
      <c r="E34" t="str">
        <f>IF('HIDDEN import'!F33=0,"",'HIDDEN import'!F33)</f>
        <v/>
      </c>
      <c r="F34" t="str">
        <f>IF('HIDDEN import'!G33=0,"",'HIDDEN import'!G33)</f>
        <v/>
      </c>
      <c r="G34" s="95" t="str">
        <f>IFERROR(VLOOKUP($A34,'HIDDEN Testrun Results'!$A:$B,2,FALSE),"")</f>
        <v/>
      </c>
      <c r="H34" s="6" t="b">
        <f t="shared" si="0"/>
        <v>1</v>
      </c>
      <c r="I34" s="6" t="b">
        <f>IF(VLOOKUP(A34&amp;" "&amp;B34,'HIDDEN import'!A:G,5,FALSE)="M",TRUE,IFERROR(VLOOKUP(E34,'Optional features'!B:D,3,FALSE)="Yes",IFERROR(VLOOKUP(E34,'HIDDEN calc sheet'!A:B,2,FALSE),IFERROR(VLOOKUP(E34,'Additional questions'!B:D,3,FALSE)="Yes",VLOOKUP(E34,'Hardware Feature set'!B:D,3,FALSE)="No"))))</f>
        <v>1</v>
      </c>
      <c r="J34" s="6" t="b">
        <f>IF(VLOOKUP(B34,'Profile selection'!B:C,2,FALSE)="Yes",TRUE,FALSE)</f>
        <v>1</v>
      </c>
    </row>
    <row r="35" spans="1:10" ht="15.75" customHeight="1" x14ac:dyDescent="0.25">
      <c r="A35" t="str">
        <f>'HIDDEN import'!B34</f>
        <v>TC_B_20_CS</v>
      </c>
      <c r="B35" t="str">
        <f>'HIDDEN import'!C34</f>
        <v>Core</v>
      </c>
      <c r="C35" t="str">
        <f>'HIDDEN import'!D34</f>
        <v>Reset Charging Station - Without ongoing transaction - OnIdle</v>
      </c>
      <c r="D35" t="str">
        <f>IF(VLOOKUP(A35&amp;" "&amp;B35,'HIDDEN import'!A:G,5,FALSE)="M",MD!$A$1,(IF(AND(VLOOKUP(A35,'HIDDEN import'!B:E,4,FALSE)="C",OR(NOT(ISERROR(VLOOKUP(E35,'Optional features'!B:D,1,FALSE)=E35)),NOT(ISERROR(VLOOKUP(E35,'HIDDEN calc sheet'!A:C,1,FALSE)=E35)))),MD!$A$3,MD!$A$2)))</f>
        <v>Mandatory test for a mandatory feature</v>
      </c>
      <c r="E35" t="str">
        <f>IF('HIDDEN import'!F34=0,"",'HIDDEN import'!F34)</f>
        <v/>
      </c>
      <c r="F35" t="str">
        <f>IF('HIDDEN import'!G34=0,"",'HIDDEN import'!G34)</f>
        <v/>
      </c>
      <c r="G35" s="95" t="str">
        <f>IFERROR(VLOOKUP($A35,'HIDDEN Testrun Results'!$A:$B,2,FALSE),"")</f>
        <v/>
      </c>
      <c r="H35" s="6" t="b">
        <f t="shared" si="0"/>
        <v>1</v>
      </c>
      <c r="I35" s="6" t="b">
        <f>IF(VLOOKUP(A35&amp;" "&amp;B35,'HIDDEN import'!A:G,5,FALSE)="M",TRUE,IFERROR(VLOOKUP(E35,'Optional features'!B:D,3,FALSE)="Yes",IFERROR(VLOOKUP(E35,'HIDDEN calc sheet'!A:B,2,FALSE),IFERROR(VLOOKUP(E35,'Additional questions'!B:D,3,FALSE)="Yes",VLOOKUP(E35,'Hardware Feature set'!B:D,3,FALSE)="No"))))</f>
        <v>1</v>
      </c>
      <c r="J35" s="6" t="b">
        <f>IF(VLOOKUP(B35,'Profile selection'!B:C,2,FALSE)="Yes",TRUE,FALSE)</f>
        <v>1</v>
      </c>
    </row>
    <row r="36" spans="1:10" ht="15.75" customHeight="1" x14ac:dyDescent="0.25">
      <c r="A36" t="str">
        <f>'HIDDEN import'!B35</f>
        <v>TC_B_21_CS</v>
      </c>
      <c r="B36" t="str">
        <f>'HIDDEN import'!C35</f>
        <v>Core</v>
      </c>
      <c r="C36" t="str">
        <f>'HIDDEN import'!D35</f>
        <v>Reset Charging Station - With Ongoing Transaction - OnIdle</v>
      </c>
      <c r="D36" t="str">
        <f>IF(VLOOKUP(A36&amp;" "&amp;B36,'HIDDEN import'!A:G,5,FALSE)="M",MD!$A$1,(IF(AND(VLOOKUP(A36,'HIDDEN import'!B:E,4,FALSE)="C",OR(NOT(ISERROR(VLOOKUP(E36,'Optional features'!B:D,1,FALSE)=E36)),NOT(ISERROR(VLOOKUP(E36,'HIDDEN calc sheet'!A:C,1,FALSE)=E36)))),MD!$A$3,MD!$A$2)))</f>
        <v>Mandatory test for a mandatory feature</v>
      </c>
      <c r="E36" t="str">
        <f>IF('HIDDEN import'!F35=0,"",'HIDDEN import'!F35)</f>
        <v/>
      </c>
      <c r="F36" t="str">
        <f>IF('HIDDEN import'!G35=0,"",'HIDDEN import'!G35)</f>
        <v/>
      </c>
      <c r="G36" s="95" t="str">
        <f>IFERROR(VLOOKUP($A36,'HIDDEN Testrun Results'!$A:$B,2,FALSE),"")</f>
        <v/>
      </c>
      <c r="H36" s="6" t="b">
        <f t="shared" si="0"/>
        <v>1</v>
      </c>
      <c r="I36" s="6" t="b">
        <f>IF(VLOOKUP(A36&amp;" "&amp;B36,'HIDDEN import'!A:G,5,FALSE)="M",TRUE,IFERROR(VLOOKUP(E36,'Optional features'!B:D,3,FALSE)="Yes",IFERROR(VLOOKUP(E36,'HIDDEN calc sheet'!A:B,2,FALSE),IFERROR(VLOOKUP(E36,'Additional questions'!B:D,3,FALSE)="Yes",VLOOKUP(E36,'Hardware Feature set'!B:D,3,FALSE)="No"))))</f>
        <v>1</v>
      </c>
      <c r="J36" s="6" t="b">
        <f>IF(VLOOKUP(B36,'Profile selection'!B:C,2,FALSE)="Yes",TRUE,FALSE)</f>
        <v>1</v>
      </c>
    </row>
    <row r="37" spans="1:10" ht="15.75" customHeight="1" x14ac:dyDescent="0.25">
      <c r="A37" t="str">
        <f>'HIDDEN import'!B36</f>
        <v>TC_B_22_CS</v>
      </c>
      <c r="B37" t="str">
        <f>'HIDDEN import'!C36</f>
        <v>Core</v>
      </c>
      <c r="C37" t="str">
        <f>'HIDDEN import'!D36</f>
        <v>Reset Charging Station - With Ongoing Transaction - Immediate</v>
      </c>
      <c r="D37" t="str">
        <f>IF(VLOOKUP(A37&amp;" "&amp;B37,'HIDDEN import'!A:G,5,FALSE)="M",MD!$A$1,(IF(AND(VLOOKUP(A37,'HIDDEN import'!B:E,4,FALSE)="C",OR(NOT(ISERROR(VLOOKUP(E37,'Optional features'!B:D,1,FALSE)=E37)),NOT(ISERROR(VLOOKUP(E37,'HIDDEN calc sheet'!A:C,1,FALSE)=E37)))),MD!$A$3,MD!$A$2)))</f>
        <v>Mandatory test for a mandatory feature</v>
      </c>
      <c r="E37" t="str">
        <f>IF('HIDDEN import'!F36=0,"",'HIDDEN import'!F36)</f>
        <v/>
      </c>
      <c r="F37" t="str">
        <f>IF('HIDDEN import'!G36=0,"",'HIDDEN import'!G36)</f>
        <v/>
      </c>
      <c r="G37" s="95" t="str">
        <f>IFERROR(VLOOKUP($A37,'HIDDEN Testrun Results'!$A:$B,2,FALSE),"")</f>
        <v/>
      </c>
      <c r="H37" s="6" t="b">
        <f t="shared" si="0"/>
        <v>1</v>
      </c>
      <c r="I37" s="6" t="b">
        <f>IF(VLOOKUP(A37&amp;" "&amp;B37,'HIDDEN import'!A:G,5,FALSE)="M",TRUE,IFERROR(VLOOKUP(E37,'Optional features'!B:D,3,FALSE)="Yes",IFERROR(VLOOKUP(E37,'HIDDEN calc sheet'!A:B,2,FALSE),IFERROR(VLOOKUP(E37,'Additional questions'!B:D,3,FALSE)="Yes",VLOOKUP(E37,'Hardware Feature set'!B:D,3,FALSE)="No"))))</f>
        <v>1</v>
      </c>
      <c r="J37" s="6" t="b">
        <f>IF(VLOOKUP(B37,'Profile selection'!B:C,2,FALSE)="Yes",TRUE,FALSE)</f>
        <v>1</v>
      </c>
    </row>
    <row r="38" spans="1:10" ht="15.75" customHeight="1" x14ac:dyDescent="0.25">
      <c r="A38" t="str">
        <f>'HIDDEN import'!B37</f>
        <v>TC_B_23_CS</v>
      </c>
      <c r="B38" t="str">
        <f>'HIDDEN import'!C37</f>
        <v>Core</v>
      </c>
      <c r="C38" t="str">
        <f>'HIDDEN import'!D37</f>
        <v>Reset Charging Station - Unavailable persists reset</v>
      </c>
      <c r="D38" t="str">
        <f>IF(VLOOKUP(A38&amp;" "&amp;B38,'HIDDEN import'!A:G,5,FALSE)="M",MD!$A$1,(IF(AND(VLOOKUP(A38,'HIDDEN import'!B:E,4,FALSE)="C",OR(NOT(ISERROR(VLOOKUP(E38,'Optional features'!B:D,1,FALSE)=E38)),NOT(ISERROR(VLOOKUP(E38,'HIDDEN calc sheet'!A:C,1,FALSE)=E38)))),MD!$A$3,MD!$A$2)))</f>
        <v>Mandatory test for a mandatory feature</v>
      </c>
      <c r="E38" t="str">
        <f>IF('HIDDEN import'!F37=0,"",'HIDDEN import'!F37)</f>
        <v/>
      </c>
      <c r="F38" t="str">
        <f>IF('HIDDEN import'!G37=0,"",'HIDDEN import'!G37)</f>
        <v/>
      </c>
      <c r="G38" s="95" t="str">
        <f>IFERROR(VLOOKUP($A38,'HIDDEN Testrun Results'!$A:$B,2,FALSE),"")</f>
        <v/>
      </c>
      <c r="H38" s="6" t="b">
        <f t="shared" si="0"/>
        <v>1</v>
      </c>
      <c r="I38" s="6" t="b">
        <f>IF(VLOOKUP(A38&amp;" "&amp;B38,'HIDDEN import'!A:G,5,FALSE)="M",TRUE,IFERROR(VLOOKUP(E38,'Optional features'!B:D,3,FALSE)="Yes",IFERROR(VLOOKUP(E38,'HIDDEN calc sheet'!A:B,2,FALSE),IFERROR(VLOOKUP(E38,'Additional questions'!B:D,3,FALSE)="Yes",VLOOKUP(E38,'Hardware Feature set'!B:D,3,FALSE)="No"))))</f>
        <v>1</v>
      </c>
      <c r="J38" s="6" t="b">
        <f>IF(VLOOKUP(B38,'Profile selection'!B:C,2,FALSE)="Yes",TRUE,FALSE)</f>
        <v>1</v>
      </c>
    </row>
    <row r="39" spans="1:10" ht="15.75" customHeight="1" x14ac:dyDescent="0.25">
      <c r="A39" t="str">
        <f>'HIDDEN import'!B38</f>
        <v>TC_B_41_CS</v>
      </c>
      <c r="B39" t="str">
        <f>'HIDDEN import'!C38</f>
        <v>Core</v>
      </c>
      <c r="C39" t="str">
        <f>'HIDDEN import'!D38</f>
        <v>Reset Charging Station - With multiple ongoing transactions - OnIdle</v>
      </c>
      <c r="D39" t="str">
        <f>IF(VLOOKUP(A39&amp;" "&amp;B39,'HIDDEN import'!A:G,5,FALSE)="M",MD!$A$1,(IF(AND(VLOOKUP(A39,'HIDDEN import'!B:E,4,FALSE)="C",OR(NOT(ISERROR(VLOOKUP(E39,'Optional features'!B:D,1,FALSE)=E39)),NOT(ISERROR(VLOOKUP(E39,'HIDDEN calc sheet'!A:C,1,FALSE)=E39)))),MD!$A$3,MD!$A$2)))</f>
        <v>Mandatory for optional feature</v>
      </c>
      <c r="E39" t="str">
        <f>IF('HIDDEN import'!F38=0,"",'HIDDEN import'!F38)</f>
        <v>HFS-8 &gt; 1</v>
      </c>
      <c r="F39" t="str">
        <f>IF('HIDDEN import'!G38=0,"",'HIDDEN import'!G38)</f>
        <v/>
      </c>
      <c r="G39" s="95" t="str">
        <f>IFERROR(VLOOKUP($A39,'HIDDEN Testrun Results'!$A:$B,2,FALSE),"")</f>
        <v/>
      </c>
      <c r="H39" s="6" t="b">
        <f t="shared" si="0"/>
        <v>0</v>
      </c>
      <c r="I39" s="6" t="b">
        <f>IF(VLOOKUP(A39&amp;" "&amp;B39,'HIDDEN import'!A:G,5,FALSE)="M",TRUE,IFERROR(VLOOKUP(E39,'Optional features'!B:D,3,FALSE)="Yes",IFERROR(VLOOKUP(E39,'HIDDEN calc sheet'!A:B,2,FALSE),IFERROR(VLOOKUP(E39,'Additional questions'!B:D,3,FALSE)="Yes",VLOOKUP(E39,'Hardware Feature set'!B:D,3,FALSE)="No"))))</f>
        <v>0</v>
      </c>
      <c r="J39" s="6" t="b">
        <f>IF(VLOOKUP(B39,'Profile selection'!B:C,2,FALSE)="Yes",TRUE,FALSE)</f>
        <v>1</v>
      </c>
    </row>
    <row r="40" spans="1:10" ht="15.75" customHeight="1" x14ac:dyDescent="0.25">
      <c r="A40" t="str">
        <f>'HIDDEN import'!B39</f>
        <v>TC_B_25_CS</v>
      </c>
      <c r="B40" t="str">
        <f>'HIDDEN import'!C39</f>
        <v>Core</v>
      </c>
      <c r="C40" t="str">
        <f>'HIDDEN import'!D39</f>
        <v>Reset EVSE - Without ongoing transaction</v>
      </c>
      <c r="D40" t="str">
        <f>IF(VLOOKUP(A40&amp;" "&amp;B40,'HIDDEN import'!A:G,5,FALSE)="M",MD!$A$1,(IF(AND(VLOOKUP(A40,'HIDDEN import'!B:E,4,FALSE)="C",OR(NOT(ISERROR(VLOOKUP(E40,'Optional features'!B:D,1,FALSE)=E40)),NOT(ISERROR(VLOOKUP(E40,'HIDDEN calc sheet'!A:C,1,FALSE)=E40)))),MD!$A$3,MD!$A$2)))</f>
        <v>Mandatory for optional feature</v>
      </c>
      <c r="E40" t="str">
        <f>IF('HIDDEN import'!F39=0,"",'HIDDEN import'!F39)</f>
        <v>C-13</v>
      </c>
      <c r="F40" t="str">
        <f>IF('HIDDEN import'!G39=0,"",'HIDDEN import'!G39)</f>
        <v>Reset per EVSE</v>
      </c>
      <c r="G40" s="95" t="str">
        <f>IFERROR(VLOOKUP($A40,'HIDDEN Testrun Results'!$A:$B,2,FALSE),"")</f>
        <v/>
      </c>
      <c r="H40" s="6" t="b">
        <f t="shared" si="0"/>
        <v>0</v>
      </c>
      <c r="I40" s="6" t="b">
        <f>IF(VLOOKUP(A40&amp;" "&amp;B40,'HIDDEN import'!A:G,5,FALSE)="M",TRUE,IFERROR(VLOOKUP(E40,'Optional features'!B:D,3,FALSE)="Yes",IFERROR(VLOOKUP(E40,'HIDDEN calc sheet'!A:B,2,FALSE),IFERROR(VLOOKUP(E40,'Additional questions'!B:D,3,FALSE)="Yes",VLOOKUP(E40,'Hardware Feature set'!B:D,3,FALSE)="No"))))</f>
        <v>0</v>
      </c>
      <c r="J40" s="6" t="b">
        <f>IF(VLOOKUP(B40,'Profile selection'!B:C,2,FALSE)="Yes",TRUE,FALSE)</f>
        <v>1</v>
      </c>
    </row>
    <row r="41" spans="1:10" ht="15.75" customHeight="1" x14ac:dyDescent="0.25">
      <c r="A41" t="str">
        <f>'HIDDEN import'!B40</f>
        <v>TC_B_26_CS</v>
      </c>
      <c r="B41" t="str">
        <f>'HIDDEN import'!C40</f>
        <v>Core</v>
      </c>
      <c r="C41" t="str">
        <f>'HIDDEN import'!D40</f>
        <v>Reset EVSE - With Ongoing Transaction - OnIdle</v>
      </c>
      <c r="D41" t="str">
        <f>IF(VLOOKUP(A41&amp;" "&amp;B41,'HIDDEN import'!A:G,5,FALSE)="M",MD!$A$1,(IF(AND(VLOOKUP(A41,'HIDDEN import'!B:E,4,FALSE)="C",OR(NOT(ISERROR(VLOOKUP(E41,'Optional features'!B:D,1,FALSE)=E41)),NOT(ISERROR(VLOOKUP(E41,'HIDDEN calc sheet'!A:C,1,FALSE)=E41)))),MD!$A$3,MD!$A$2)))</f>
        <v>Mandatory for optional feature</v>
      </c>
      <c r="E41" t="str">
        <f>IF('HIDDEN import'!F40=0,"",'HIDDEN import'!F40)</f>
        <v>C-13</v>
      </c>
      <c r="F41" t="str">
        <f>IF('HIDDEN import'!G40=0,"",'HIDDEN import'!G40)</f>
        <v>Reset per EVSE</v>
      </c>
      <c r="G41" s="95" t="str">
        <f>IFERROR(VLOOKUP($A41,'HIDDEN Testrun Results'!$A:$B,2,FALSE),"")</f>
        <v/>
      </c>
      <c r="H41" s="6" t="b">
        <f t="shared" si="0"/>
        <v>0</v>
      </c>
      <c r="I41" s="6" t="b">
        <f>IF(VLOOKUP(A41&amp;" "&amp;B41,'HIDDEN import'!A:G,5,FALSE)="M",TRUE,IFERROR(VLOOKUP(E41,'Optional features'!B:D,3,FALSE)="Yes",IFERROR(VLOOKUP(E41,'HIDDEN calc sheet'!A:B,2,FALSE),IFERROR(VLOOKUP(E41,'Additional questions'!B:D,3,FALSE)="Yes",VLOOKUP(E41,'Hardware Feature set'!B:D,3,FALSE)="No"))))</f>
        <v>0</v>
      </c>
      <c r="J41" s="6" t="b">
        <f>IF(VLOOKUP(B41,'Profile selection'!B:C,2,FALSE)="Yes",TRUE,FALSE)</f>
        <v>1</v>
      </c>
    </row>
    <row r="42" spans="1:10" ht="15.75" customHeight="1" x14ac:dyDescent="0.25">
      <c r="A42" t="str">
        <f>'HIDDEN import'!B41</f>
        <v>TC_B_27_CS</v>
      </c>
      <c r="B42" t="str">
        <f>'HIDDEN import'!C41</f>
        <v>Core</v>
      </c>
      <c r="C42" t="str">
        <f>'HIDDEN import'!D41</f>
        <v>Reset EVSE - With Ongoing Transaction - Immediate</v>
      </c>
      <c r="D42" t="str">
        <f>IF(VLOOKUP(A42&amp;" "&amp;B42,'HIDDEN import'!A:G,5,FALSE)="M",MD!$A$1,(IF(AND(VLOOKUP(A42,'HIDDEN import'!B:E,4,FALSE)="C",OR(NOT(ISERROR(VLOOKUP(E42,'Optional features'!B:D,1,FALSE)=E42)),NOT(ISERROR(VLOOKUP(E42,'HIDDEN calc sheet'!A:C,1,FALSE)=E42)))),MD!$A$3,MD!$A$2)))</f>
        <v>Mandatory for optional feature</v>
      </c>
      <c r="E42" t="str">
        <f>IF('HIDDEN import'!F41=0,"",'HIDDEN import'!F41)</f>
        <v>C-13</v>
      </c>
      <c r="F42" t="str">
        <f>IF('HIDDEN import'!G41=0,"",'HIDDEN import'!G41)</f>
        <v>Reset per EVSE</v>
      </c>
      <c r="G42" s="95" t="str">
        <f>IFERROR(VLOOKUP($A42,'HIDDEN Testrun Results'!$A:$B,2,FALSE),"")</f>
        <v/>
      </c>
      <c r="H42" s="6" t="b">
        <f t="shared" si="0"/>
        <v>0</v>
      </c>
      <c r="I42" s="6" t="b">
        <f>IF(VLOOKUP(A42&amp;" "&amp;B42,'HIDDEN import'!A:G,5,FALSE)="M",TRUE,IFERROR(VLOOKUP(E42,'Optional features'!B:D,3,FALSE)="Yes",IFERROR(VLOOKUP(E42,'HIDDEN calc sheet'!A:B,2,FALSE),IFERROR(VLOOKUP(E42,'Additional questions'!B:D,3,FALSE)="Yes",VLOOKUP(E42,'Hardware Feature set'!B:D,3,FALSE)="No"))))</f>
        <v>0</v>
      </c>
      <c r="J42" s="6" t="b">
        <f>IF(VLOOKUP(B42,'Profile selection'!B:C,2,FALSE)="Yes",TRUE,FALSE)</f>
        <v>1</v>
      </c>
    </row>
    <row r="43" spans="1:10" ht="15.75" customHeight="1" x14ac:dyDescent="0.25">
      <c r="A43" t="str">
        <f>'HIDDEN import'!B42</f>
        <v>TC_B_28_CS</v>
      </c>
      <c r="B43" t="str">
        <f>'HIDDEN import'!C42</f>
        <v>Core</v>
      </c>
      <c r="C43" t="str">
        <f>'HIDDEN import'!D42</f>
        <v>Reset EVSE - Not Supported</v>
      </c>
      <c r="D43" t="str">
        <f>IF(VLOOKUP(A43&amp;" "&amp;B43,'HIDDEN import'!A:G,5,FALSE)="M",MD!$A$1,(IF(AND(VLOOKUP(A43,'HIDDEN import'!B:E,4,FALSE)="C",OR(NOT(ISERROR(VLOOKUP(E43,'Optional features'!B:D,1,FALSE)=E43)),NOT(ISERROR(VLOOKUP(E43,'HIDDEN calc sheet'!A:C,1,FALSE)=E43)))),MD!$A$3,MD!$A$2)))</f>
        <v>Mandatory for optional feature</v>
      </c>
      <c r="E43" t="str">
        <f>IF('HIDDEN import'!F42=0,"",'HIDDEN import'!F42)</f>
        <v>NOT C-13</v>
      </c>
      <c r="F43" t="str">
        <f>IF('HIDDEN import'!G42=0,"",'HIDDEN import'!G42)</f>
        <v>Reset per EVSE</v>
      </c>
      <c r="G43" s="95" t="str">
        <f>IFERROR(VLOOKUP($A43,'HIDDEN Testrun Results'!$A:$B,2,FALSE),"")</f>
        <v/>
      </c>
      <c r="H43" s="6" t="b">
        <f t="shared" si="0"/>
        <v>1</v>
      </c>
      <c r="I43" s="6" t="b">
        <f>IF(VLOOKUP(A43&amp;" "&amp;B43,'HIDDEN import'!A:G,5,FALSE)="M",TRUE,IFERROR(VLOOKUP(E43,'Optional features'!B:D,3,FALSE)="Yes",IFERROR(VLOOKUP(E43,'HIDDEN calc sheet'!A:B,2,FALSE),IFERROR(VLOOKUP(E43,'Additional questions'!B:D,3,FALSE)="Yes",VLOOKUP(E43,'Hardware Feature set'!B:D,3,FALSE)="No"))))</f>
        <v>1</v>
      </c>
      <c r="J43" s="6" t="b">
        <f>IF(VLOOKUP(B43,'Profile selection'!B:C,2,FALSE)="Yes",TRUE,FALSE)</f>
        <v>1</v>
      </c>
    </row>
    <row r="44" spans="1:10" ht="15.75" customHeight="1" x14ac:dyDescent="0.25">
      <c r="A44" t="str">
        <f>'HIDDEN import'!B43</f>
        <v>TC_B_29_CS</v>
      </c>
      <c r="B44" t="str">
        <f>'HIDDEN import'!C43</f>
        <v>Core</v>
      </c>
      <c r="C44" t="str">
        <f>'HIDDEN import'!D43</f>
        <v>Reset EVSE - With ongoing transaction - Not Supported</v>
      </c>
      <c r="D44" t="str">
        <f>IF(VLOOKUP(A44&amp;" "&amp;B44,'HIDDEN import'!A:G,5,FALSE)="M",MD!$A$1,(IF(AND(VLOOKUP(A44,'HIDDEN import'!B:E,4,FALSE)="C",OR(NOT(ISERROR(VLOOKUP(E44,'Optional features'!B:D,1,FALSE)=E44)),NOT(ISERROR(VLOOKUP(E44,'HIDDEN calc sheet'!A:C,1,FALSE)=E44)))),MD!$A$3,MD!$A$2)))</f>
        <v>Mandatory for optional feature</v>
      </c>
      <c r="E44" t="str">
        <f>IF('HIDDEN import'!F43=0,"",'HIDDEN import'!F43)</f>
        <v>NOT C-13</v>
      </c>
      <c r="F44" t="str">
        <f>IF('HIDDEN import'!G43=0,"",'HIDDEN import'!G43)</f>
        <v>Reset per EVSE</v>
      </c>
      <c r="G44" s="95" t="str">
        <f>IFERROR(VLOOKUP($A44,'HIDDEN Testrun Results'!$A:$B,2,FALSE),"")</f>
        <v/>
      </c>
      <c r="H44" s="6" t="b">
        <f t="shared" si="0"/>
        <v>1</v>
      </c>
      <c r="I44" s="6" t="b">
        <f>IF(VLOOKUP(A44&amp;" "&amp;B44,'HIDDEN import'!A:G,5,FALSE)="M",TRUE,IFERROR(VLOOKUP(E44,'Optional features'!B:D,3,FALSE)="Yes",IFERROR(VLOOKUP(E44,'HIDDEN calc sheet'!A:B,2,FALSE),IFERROR(VLOOKUP(E44,'Additional questions'!B:D,3,FALSE)="Yes",VLOOKUP(E44,'Hardware Feature set'!B:D,3,FALSE)="No"))))</f>
        <v>1</v>
      </c>
      <c r="J44" s="6" t="b">
        <f>IF(VLOOKUP(B44,'Profile selection'!B:C,2,FALSE)="Yes",TRUE,FALSE)</f>
        <v>1</v>
      </c>
    </row>
    <row r="45" spans="1:10" ht="15.75" customHeight="1" x14ac:dyDescent="0.25">
      <c r="A45" t="str">
        <f>'HIDDEN import'!B44</f>
        <v>TC_B_43_CS</v>
      </c>
      <c r="B45" t="str">
        <f>'HIDDEN import'!C44</f>
        <v>Core</v>
      </c>
      <c r="C45" t="str">
        <f>'HIDDEN import'!D44</f>
        <v>Set new NetworkConnectionProfile - Rejected</v>
      </c>
      <c r="D45" t="str">
        <f>IF(VLOOKUP(A45&amp;" "&amp;B45,'HIDDEN import'!A:G,5,FALSE)="M",MD!$A$1,(IF(AND(VLOOKUP(A45,'HIDDEN import'!B:E,4,FALSE)="C",OR(NOT(ISERROR(VLOOKUP(E45,'Optional features'!B:D,1,FALSE)=E45)),NOT(ISERROR(VLOOKUP(E45,'HIDDEN calc sheet'!A:C,1,FALSE)=E45)))),MD!$A$3,MD!$A$2)))</f>
        <v>Mandatory test for a mandatory feature</v>
      </c>
      <c r="E45" t="str">
        <f>IF('HIDDEN import'!F44=0,"",'HIDDEN import'!F44)</f>
        <v/>
      </c>
      <c r="F45" t="str">
        <f>IF('HIDDEN import'!G44=0,"",'HIDDEN import'!G44)</f>
        <v/>
      </c>
      <c r="G45" s="95" t="str">
        <f>IFERROR(VLOOKUP($A45,'HIDDEN Testrun Results'!$A:$B,2,FALSE),"")</f>
        <v/>
      </c>
      <c r="H45" s="6" t="b">
        <f t="shared" si="0"/>
        <v>1</v>
      </c>
      <c r="I45" s="6" t="b">
        <f>IF(VLOOKUP(A45&amp;" "&amp;B45,'HIDDEN import'!A:G,5,FALSE)="M",TRUE,IFERROR(VLOOKUP(E45,'Optional features'!B:D,3,FALSE)="Yes",IFERROR(VLOOKUP(E45,'HIDDEN calc sheet'!A:B,2,FALSE),IFERROR(VLOOKUP(E45,'Additional questions'!B:D,3,FALSE)="Yes",VLOOKUP(E45,'Hardware Feature set'!B:D,3,FALSE)="No"))))</f>
        <v>1</v>
      </c>
      <c r="J45" s="6" t="b">
        <f>IF(VLOOKUP(B45,'Profile selection'!B:C,2,FALSE)="Yes",TRUE,FALSE)</f>
        <v>1</v>
      </c>
    </row>
    <row r="46" spans="1:10" ht="15.75" customHeight="1" x14ac:dyDescent="0.25">
      <c r="A46" t="str">
        <f>'HIDDEN import'!B45</f>
        <v>TC_B_45_CS</v>
      </c>
      <c r="B46" t="str">
        <f>'HIDDEN import'!C45</f>
        <v>Core</v>
      </c>
      <c r="C46" t="str">
        <f>'HIDDEN import'!D45</f>
        <v>Migrate to new ConnectionProfile - Success - Same CSMS Root</v>
      </c>
      <c r="D46" t="str">
        <f>IF(VLOOKUP(A46&amp;" "&amp;B46,'HIDDEN import'!A:G,5,FALSE)="M",MD!$A$1,(IF(AND(VLOOKUP(A46,'HIDDEN import'!B:E,4,FALSE)="C",OR(NOT(ISERROR(VLOOKUP(E46,'Optional features'!B:D,1,FALSE)=E46)),NOT(ISERROR(VLOOKUP(E46,'HIDDEN calc sheet'!A:C,1,FALSE)=E46)))),MD!$A$3,MD!$A$2)))</f>
        <v>Mandatory test for a mandatory feature</v>
      </c>
      <c r="E46" t="str">
        <f>IF('HIDDEN import'!F45=0,"",'HIDDEN import'!F45)</f>
        <v/>
      </c>
      <c r="F46" t="str">
        <f>IF('HIDDEN import'!G45=0,"",'HIDDEN import'!G45)</f>
        <v/>
      </c>
      <c r="G46" s="95" t="str">
        <f>IFERROR(VLOOKUP($A46,'HIDDEN Testrun Results'!$A:$B,2,FALSE),"")</f>
        <v/>
      </c>
      <c r="H46" s="6" t="b">
        <f t="shared" si="0"/>
        <v>1</v>
      </c>
      <c r="I46" s="6" t="b">
        <f>IF(VLOOKUP(A46&amp;" "&amp;B46,'HIDDEN import'!A:G,5,FALSE)="M",TRUE,IFERROR(VLOOKUP(E46,'Optional features'!B:D,3,FALSE)="Yes",IFERROR(VLOOKUP(E46,'HIDDEN calc sheet'!A:B,2,FALSE),IFERROR(VLOOKUP(E46,'Additional questions'!B:D,3,FALSE)="Yes",VLOOKUP(E46,'Hardware Feature set'!B:D,3,FALSE)="No"))))</f>
        <v>1</v>
      </c>
      <c r="J46" s="6" t="b">
        <f>IF(VLOOKUP(B46,'Profile selection'!B:C,2,FALSE)="Yes",TRUE,FALSE)</f>
        <v>1</v>
      </c>
    </row>
    <row r="47" spans="1:10" ht="15.75" customHeight="1" x14ac:dyDescent="0.25">
      <c r="A47" t="str">
        <f>'HIDDEN import'!B46</f>
        <v>TC_B_46_CS</v>
      </c>
      <c r="B47" t="str">
        <f>'HIDDEN import'!C46</f>
        <v>Core</v>
      </c>
      <c r="C47" t="str">
        <f>'HIDDEN import'!D46</f>
        <v>Migrate to new ConnectionProfile - Fallback mechanism - Same CSMS Root</v>
      </c>
      <c r="D47" t="str">
        <f>IF(VLOOKUP(A47&amp;" "&amp;B47,'HIDDEN import'!A:G,5,FALSE)="M",MD!$A$1,(IF(AND(VLOOKUP(A47,'HIDDEN import'!B:E,4,FALSE)="C",OR(NOT(ISERROR(VLOOKUP(E47,'Optional features'!B:D,1,FALSE)=E47)),NOT(ISERROR(VLOOKUP(E47,'HIDDEN calc sheet'!A:C,1,FALSE)=E47)))),MD!$A$3,MD!$A$2)))</f>
        <v>Mandatory test for a mandatory feature</v>
      </c>
      <c r="E47" t="str">
        <f>IF('HIDDEN import'!F46=0,"",'HIDDEN import'!F46)</f>
        <v/>
      </c>
      <c r="F47" t="str">
        <f>IF('HIDDEN import'!G46=0,"",'HIDDEN import'!G46)</f>
        <v/>
      </c>
      <c r="G47" s="95" t="str">
        <f>IFERROR(VLOOKUP($A47,'HIDDEN Testrun Results'!$A:$B,2,FALSE),"")</f>
        <v/>
      </c>
      <c r="H47" s="6" t="b">
        <f t="shared" si="0"/>
        <v>1</v>
      </c>
      <c r="I47" s="6" t="b">
        <f>IF(VLOOKUP(A47&amp;" "&amp;B47,'HIDDEN import'!A:G,5,FALSE)="M",TRUE,IFERROR(VLOOKUP(E47,'Optional features'!B:D,3,FALSE)="Yes",IFERROR(VLOOKUP(E47,'HIDDEN calc sheet'!A:B,2,FALSE),IFERROR(VLOOKUP(E47,'Additional questions'!B:D,3,FALSE)="Yes",VLOOKUP(E47,'Hardware Feature set'!B:D,3,FALSE)="No"))))</f>
        <v>1</v>
      </c>
      <c r="J47" s="6" t="b">
        <f>IF(VLOOKUP(B47,'Profile selection'!B:C,2,FALSE)="Yes",TRUE,FALSE)</f>
        <v>1</v>
      </c>
    </row>
    <row r="48" spans="1:10" ht="15.75" customHeight="1" x14ac:dyDescent="0.25">
      <c r="A48" t="str">
        <f>'HIDDEN import'!B47</f>
        <v>TC_B_47_CS</v>
      </c>
      <c r="B48" t="str">
        <f>'HIDDEN import'!C47</f>
        <v>Core</v>
      </c>
      <c r="C48" t="str">
        <f>'HIDDEN import'!D47</f>
        <v>Migrate to new ConnectionProfile - Fallback after NetworkProfileConnectionAttempts per NetworkConfigurationPriority failed - New CSMS Root - New CSMS</v>
      </c>
      <c r="D48" t="str">
        <f>IF(VLOOKUP(A48&amp;" "&amp;B48,'HIDDEN import'!A:G,5,FALSE)="M",MD!$A$1,(IF(AND(VLOOKUP(A48,'HIDDEN import'!B:E,4,FALSE)="C",OR(NOT(ISERROR(VLOOKUP(E48,'Optional features'!B:D,1,FALSE)=E48)),NOT(ISERROR(VLOOKUP(E48,'HIDDEN calc sheet'!A:C,1,FALSE)=E48)))),MD!$A$3,MD!$A$2)))</f>
        <v>Mandatory for optional feature</v>
      </c>
      <c r="E48" t="str">
        <f>IF('HIDDEN import'!F47=0,"",'HIDDEN import'!F47)</f>
        <v>AS-2 and C-47</v>
      </c>
      <c r="F48" t="str">
        <f>IF('HIDDEN import'!G47=0,"",'HIDDEN import'!G47)</f>
        <v>Additional Root Certificate check mechanism implemented &amp; Reconnect after NetworkProfileConnectionAttempts</v>
      </c>
      <c r="G48" s="95" t="str">
        <f>IFERROR(VLOOKUP($A48,'HIDDEN Testrun Results'!$A:$B,2,FALSE),"")</f>
        <v/>
      </c>
      <c r="H48" s="6" t="b">
        <f t="shared" si="0"/>
        <v>0</v>
      </c>
      <c r="I48" s="6" t="b">
        <f>IF(VLOOKUP(A48&amp;" "&amp;B48,'HIDDEN import'!A:G,5,FALSE)="M",TRUE,IFERROR(VLOOKUP(E48,'Optional features'!B:D,3,FALSE)="Yes",IFERROR(VLOOKUP(E48,'HIDDEN calc sheet'!A:B,2,FALSE),IFERROR(VLOOKUP(E48,'Additional questions'!B:D,3,FALSE)="Yes",VLOOKUP(E48,'Hardware Feature set'!B:D,3,FALSE)="No"))))</f>
        <v>0</v>
      </c>
      <c r="J48" s="6" t="b">
        <f>IF(VLOOKUP(B48,'Profile selection'!B:C,2,FALSE)="Yes",TRUE,FALSE)</f>
        <v>1</v>
      </c>
    </row>
    <row r="49" spans="1:10" ht="15.75" customHeight="1" x14ac:dyDescent="0.25">
      <c r="A49" t="str">
        <f>'HIDDEN import'!B48</f>
        <v>TC_B_49_CS</v>
      </c>
      <c r="B49" t="str">
        <f>'HIDDEN import'!C48</f>
        <v>Core</v>
      </c>
      <c r="C49" t="str">
        <f>'HIDDEN import'!D48</f>
        <v>Migrate to new ConnectionProfile - Fallback after NetworkProfileConnectionAttempts per NetworkConfigurationPriority failed - Same CSMS Root</v>
      </c>
      <c r="D49" t="str">
        <f>IF(VLOOKUP(A49&amp;" "&amp;B49,'HIDDEN import'!A:G,5,FALSE)="M",MD!$A$1,(IF(AND(VLOOKUP(A49,'HIDDEN import'!B:E,4,FALSE)="C",OR(NOT(ISERROR(VLOOKUP(E49,'Optional features'!B:D,1,FALSE)=E49)),NOT(ISERROR(VLOOKUP(E49,'HIDDEN calc sheet'!A:C,1,FALSE)=E49)))),MD!$A$3,MD!$A$2)))</f>
        <v>Mandatory for optional feature</v>
      </c>
      <c r="E49" t="str">
        <f>IF('HIDDEN import'!F48=0,"",'HIDDEN import'!F48)</f>
        <v>C-47</v>
      </c>
      <c r="F49" t="str">
        <f>IF('HIDDEN import'!G48=0,"",'HIDDEN import'!G48)</f>
        <v>Reconnect after NetworkProfileConnectionAttempts</v>
      </c>
      <c r="G49" s="95" t="str">
        <f>IFERROR(VLOOKUP($A49,'HIDDEN Testrun Results'!$A:$B,2,FALSE),"")</f>
        <v/>
      </c>
      <c r="H49" s="6" t="b">
        <f t="shared" si="0"/>
        <v>0</v>
      </c>
      <c r="I49" s="6" t="b">
        <f>IF(VLOOKUP(A49&amp;" "&amp;B49,'HIDDEN import'!A:G,5,FALSE)="M",TRUE,IFERROR(VLOOKUP(E49,'Optional features'!B:D,3,FALSE)="Yes",IFERROR(VLOOKUP(E49,'HIDDEN calc sheet'!A:B,2,FALSE),IFERROR(VLOOKUP(E49,'Additional questions'!B:D,3,FALSE)="Yes",VLOOKUP(E49,'Hardware Feature set'!B:D,3,FALSE)="No"))))</f>
        <v>0</v>
      </c>
      <c r="J49" s="6" t="b">
        <f>IF(VLOOKUP(B49,'Profile selection'!B:C,2,FALSE)="Yes",TRUE,FALSE)</f>
        <v>1</v>
      </c>
    </row>
    <row r="50" spans="1:10" ht="15.75" customHeight="1" x14ac:dyDescent="0.25">
      <c r="A50" t="str">
        <f>'HIDDEN import'!B49</f>
        <v>TC_B_50_CS</v>
      </c>
      <c r="B50" t="str">
        <f>'HIDDEN import'!C49</f>
        <v>Core</v>
      </c>
      <c r="C50" t="str">
        <f>'HIDDEN import'!D49</f>
        <v>Migrate to new ConnectionProfile - Success - New CSMS Root - New CSMS</v>
      </c>
      <c r="D50" t="str">
        <f>IF(VLOOKUP(A50&amp;" "&amp;B50,'HIDDEN import'!A:G,5,FALSE)="M",MD!$A$1,(IF(AND(VLOOKUP(A50,'HIDDEN import'!B:E,4,FALSE)="C",OR(NOT(ISERROR(VLOOKUP(E50,'Optional features'!B:D,1,FALSE)=E50)),NOT(ISERROR(VLOOKUP(E50,'HIDDEN calc sheet'!A:C,1,FALSE)=E50)))),MD!$A$3,MD!$A$2)))</f>
        <v>Mandatory test for a mandatory feature</v>
      </c>
      <c r="E50" t="str">
        <f>IF('HIDDEN import'!F49=0,"",'HIDDEN import'!F49)</f>
        <v/>
      </c>
      <c r="F50" t="str">
        <f>IF('HIDDEN import'!G49=0,"",'HIDDEN import'!G49)</f>
        <v/>
      </c>
      <c r="G50" s="95" t="str">
        <f>IFERROR(VLOOKUP($A50,'HIDDEN Testrun Results'!$A:$B,2,FALSE),"")</f>
        <v/>
      </c>
      <c r="H50" s="6" t="b">
        <f t="shared" si="0"/>
        <v>1</v>
      </c>
      <c r="I50" s="6" t="b">
        <f>IF(VLOOKUP(A50&amp;" "&amp;B50,'HIDDEN import'!A:G,5,FALSE)="M",TRUE,IFERROR(VLOOKUP(E50,'Optional features'!B:D,3,FALSE)="Yes",IFERROR(VLOOKUP(E50,'HIDDEN calc sheet'!A:B,2,FALSE),IFERROR(VLOOKUP(E50,'Additional questions'!B:D,3,FALSE)="Yes",VLOOKUP(E50,'Hardware Feature set'!B:D,3,FALSE)="No"))))</f>
        <v>1</v>
      </c>
      <c r="J50" s="6" t="b">
        <f>IF(VLOOKUP(B50,'Profile selection'!B:C,2,FALSE)="Yes",TRUE,FALSE)</f>
        <v>1</v>
      </c>
    </row>
    <row r="51" spans="1:10" ht="15.75" customHeight="1" x14ac:dyDescent="0.25">
      <c r="A51" t="str">
        <f>'HIDDEN import'!B50</f>
        <v>TC_B_57_CS</v>
      </c>
      <c r="B51" t="str">
        <f>'HIDDEN import'!C50</f>
        <v>Core</v>
      </c>
      <c r="C51" t="str">
        <f>'HIDDEN import'!D50</f>
        <v>Network Reconnection - After connection loss</v>
      </c>
      <c r="D51" t="str">
        <f>IF(VLOOKUP(A51&amp;" "&amp;B51,'HIDDEN import'!A:G,5,FALSE)="M",MD!$A$1,(IF(AND(VLOOKUP(A51,'HIDDEN import'!B:E,4,FALSE)="C",OR(NOT(ISERROR(VLOOKUP(E51,'Optional features'!B:D,1,FALSE)=E51)),NOT(ISERROR(VLOOKUP(E51,'HIDDEN calc sheet'!A:C,1,FALSE)=E51)))),MD!$A$3,MD!$A$2)))</f>
        <v>Mandatory test for a mandatory feature</v>
      </c>
      <c r="E51" t="str">
        <f>IF('HIDDEN import'!F50=0,"",'HIDDEN import'!F50)</f>
        <v/>
      </c>
      <c r="F51" t="str">
        <f>IF('HIDDEN import'!G50=0,"",'HIDDEN import'!G50)</f>
        <v/>
      </c>
      <c r="G51" s="95" t="str">
        <f>IFERROR(VLOOKUP($A51,'HIDDEN Testrun Results'!$A:$B,2,FALSE),"")</f>
        <v/>
      </c>
      <c r="H51" s="6" t="b">
        <f t="shared" si="0"/>
        <v>1</v>
      </c>
      <c r="I51" s="6" t="b">
        <f>IF(VLOOKUP(A51&amp;" "&amp;B51,'HIDDEN import'!A:G,5,FALSE)="M",TRUE,IFERROR(VLOOKUP(E51,'Optional features'!B:D,3,FALSE)="Yes",IFERROR(VLOOKUP(E51,'HIDDEN calc sheet'!A:B,2,FALSE),IFERROR(VLOOKUP(E51,'Additional questions'!B:D,3,FALSE)="Yes",VLOOKUP(E51,'Hardware Feature set'!B:D,3,FALSE)="No"))))</f>
        <v>1</v>
      </c>
      <c r="J51" s="6" t="b">
        <f>IF(VLOOKUP(B51,'Profile selection'!B:C,2,FALSE)="Yes",TRUE,FALSE)</f>
        <v>1</v>
      </c>
    </row>
    <row r="52" spans="1:10" ht="15.75" customHeight="1" x14ac:dyDescent="0.25">
      <c r="A52" t="str">
        <f>'HIDDEN import'!B51</f>
        <v>TC_C_02_CS</v>
      </c>
      <c r="B52" t="str">
        <f>'HIDDEN import'!C51</f>
        <v>Core</v>
      </c>
      <c r="C52" t="str">
        <f>'HIDDEN import'!D51</f>
        <v>Local start transaction - Authorization Invalid/Unknown</v>
      </c>
      <c r="D52" t="str">
        <f>IF(VLOOKUP(A52&amp;" "&amp;B52,'HIDDEN import'!A:G,5,FALSE)="M",MD!$A$1,(IF(AND(VLOOKUP(A52,'HIDDEN import'!B:E,4,FALSE)="C",OR(NOT(ISERROR(VLOOKUP(E52,'Optional features'!B:D,1,FALSE)=E52)),NOT(ISERROR(VLOOKUP(E52,'HIDDEN calc sheet'!A:C,1,FALSE)=E52)))),MD!$A$3,MD!$A$2)))</f>
        <v>Mandatory for optional feature</v>
      </c>
      <c r="E52" t="str">
        <f>IF('HIDDEN import'!F51=0,"",'HIDDEN import'!F51)</f>
        <v>(C-30 or C-31 or C-32) and NOT AQ-2</v>
      </c>
      <c r="F52" t="str">
        <f>IF('HIDDEN import'!G51=0,"",'HIDDEN import'!G51)</f>
        <v>Local Authorization - using RFID ISO14443 / RFID ISO15693 / KeyCode and Does the Charging Station have a cable lock, which prevents the EV driver to connect the EV and EVSE before authorization?</v>
      </c>
      <c r="G52" s="95" t="str">
        <f>IFERROR(VLOOKUP($A52,'HIDDEN Testrun Results'!$A:$B,2,FALSE),"")</f>
        <v/>
      </c>
      <c r="H52" s="6" t="b">
        <f t="shared" si="0"/>
        <v>0</v>
      </c>
      <c r="I52" s="6" t="b">
        <f>IF(VLOOKUP(A52&amp;" "&amp;B52,'HIDDEN import'!A:G,5,FALSE)="M",TRUE,IFERROR(VLOOKUP(E52,'Optional features'!B:D,3,FALSE)="Yes",IFERROR(VLOOKUP(E52,'HIDDEN calc sheet'!A:B,2,FALSE),IFERROR(VLOOKUP(E52,'Additional questions'!B:D,3,FALSE)="Yes",VLOOKUP(E52,'Hardware Feature set'!B:D,3,FALSE)="No"))))</f>
        <v>0</v>
      </c>
      <c r="J52" s="6" t="b">
        <f>IF(VLOOKUP(B52,'Profile selection'!B:C,2,FALSE)="Yes",TRUE,FALSE)</f>
        <v>1</v>
      </c>
    </row>
    <row r="53" spans="1:10" ht="15.75" customHeight="1" x14ac:dyDescent="0.25">
      <c r="A53" t="str">
        <f>'HIDDEN import'!B52</f>
        <v>TC_C_06_CS</v>
      </c>
      <c r="B53" t="str">
        <f>'HIDDEN import'!C52</f>
        <v>Core</v>
      </c>
      <c r="C53" t="str">
        <f>'HIDDEN import'!D52</f>
        <v>Local start transaction - Authorization Blocked</v>
      </c>
      <c r="D53" t="str">
        <f>IF(VLOOKUP(A53&amp;" "&amp;B53,'HIDDEN import'!A:G,5,FALSE)="M",MD!$A$1,(IF(AND(VLOOKUP(A53,'HIDDEN import'!B:E,4,FALSE)="C",OR(NOT(ISERROR(VLOOKUP(E53,'Optional features'!B:D,1,FALSE)=E53)),NOT(ISERROR(VLOOKUP(E53,'HIDDEN calc sheet'!A:C,1,FALSE)=E53)))),MD!$A$3,MD!$A$2)))</f>
        <v>Mandatory for optional feature</v>
      </c>
      <c r="E53" t="str">
        <f>IF('HIDDEN import'!F52=0,"",'HIDDEN import'!F52)</f>
        <v>NOT AQ-2 and (C-30 or C-31 or C-32)</v>
      </c>
      <c r="F53" t="str">
        <f>IF('HIDDEN import'!G52=0,"",'HIDDEN import'!G52)</f>
        <v>Local Authorization - using RFID ISO14443 / RFID ISO15693 / KeyCode</v>
      </c>
      <c r="G53" s="95" t="str">
        <f>IFERROR(VLOOKUP($A53,'HIDDEN Testrun Results'!$A:$B,2,FALSE),"")</f>
        <v/>
      </c>
      <c r="H53" s="6" t="b">
        <f t="shared" si="0"/>
        <v>0</v>
      </c>
      <c r="I53" s="6" t="b">
        <f>IF(VLOOKUP(A53&amp;" "&amp;B53,'HIDDEN import'!A:G,5,FALSE)="M",TRUE,IFERROR(VLOOKUP(E53,'Optional features'!B:D,3,FALSE)="Yes",IFERROR(VLOOKUP(E53,'HIDDEN calc sheet'!A:B,2,FALSE),IFERROR(VLOOKUP(E53,'Additional questions'!B:D,3,FALSE)="Yes",VLOOKUP(E53,'Hardware Feature set'!B:D,3,FALSE)="No"))))</f>
        <v>0</v>
      </c>
      <c r="J53" s="6" t="b">
        <f>IF(VLOOKUP(B53,'Profile selection'!B:C,2,FALSE)="Yes",TRUE,FALSE)</f>
        <v>1</v>
      </c>
    </row>
    <row r="54" spans="1:10" ht="15.75" customHeight="1" x14ac:dyDescent="0.25">
      <c r="A54" t="str">
        <f>'HIDDEN import'!B53</f>
        <v>TC_C_07_CS</v>
      </c>
      <c r="B54" t="str">
        <f>'HIDDEN import'!C53</f>
        <v>Core</v>
      </c>
      <c r="C54" t="str">
        <f>'HIDDEN import'!D53</f>
        <v>Local start transaction - Authorization Expired</v>
      </c>
      <c r="D54" t="str">
        <f>IF(VLOOKUP(A54&amp;" "&amp;B54,'HIDDEN import'!A:G,5,FALSE)="M",MD!$A$1,(IF(AND(VLOOKUP(A54,'HIDDEN import'!B:E,4,FALSE)="C",OR(NOT(ISERROR(VLOOKUP(E54,'Optional features'!B:D,1,FALSE)=E54)),NOT(ISERROR(VLOOKUP(E54,'HIDDEN calc sheet'!A:C,1,FALSE)=E54)))),MD!$A$3,MD!$A$2)))</f>
        <v>Mandatory for optional feature</v>
      </c>
      <c r="E54" t="str">
        <f>IF('HIDDEN import'!F53=0,"",'HIDDEN import'!F53)</f>
        <v>NOT AQ-2 and (C-30 or C-31 or C-32)</v>
      </c>
      <c r="F54" t="str">
        <f>IF('HIDDEN import'!G53=0,"",'HIDDEN import'!G53)</f>
        <v>Local Authorization - using RFID ISO14443 / RFID ISO15693 / KeyCode</v>
      </c>
      <c r="G54" s="95" t="str">
        <f>IFERROR(VLOOKUP($A54,'HIDDEN Testrun Results'!$A:$B,2,FALSE),"")</f>
        <v/>
      </c>
      <c r="H54" s="6" t="b">
        <f t="shared" si="0"/>
        <v>0</v>
      </c>
      <c r="I54" s="6" t="b">
        <f>IF(VLOOKUP(A54&amp;" "&amp;B54,'HIDDEN import'!A:G,5,FALSE)="M",TRUE,IFERROR(VLOOKUP(E54,'Optional features'!B:D,3,FALSE)="Yes",IFERROR(VLOOKUP(E54,'HIDDEN calc sheet'!A:B,2,FALSE),IFERROR(VLOOKUP(E54,'Additional questions'!B:D,3,FALSE)="Yes",VLOOKUP(E54,'Hardware Feature set'!B:D,3,FALSE)="No"))))</f>
        <v>0</v>
      </c>
      <c r="J54" s="6" t="b">
        <f>IF(VLOOKUP(B54,'Profile selection'!B:C,2,FALSE)="Yes",TRUE,FALSE)</f>
        <v>1</v>
      </c>
    </row>
    <row r="55" spans="1:10" ht="15.75" customHeight="1" x14ac:dyDescent="0.25">
      <c r="A55" t="str">
        <f>'HIDDEN import'!B54</f>
        <v>TC_E_38_CS</v>
      </c>
      <c r="B55" t="str">
        <f>'HIDDEN import'!C54</f>
        <v>Core</v>
      </c>
      <c r="C55" t="str">
        <f>'HIDDEN import'!D54</f>
        <v>Local start transaction - EV not ready</v>
      </c>
      <c r="D55" t="str">
        <f>IF(VLOOKUP(A55&amp;" "&amp;B55,'HIDDEN import'!A:G,5,FALSE)="M",MD!$A$1,(IF(AND(VLOOKUP(A55,'HIDDEN import'!B:E,4,FALSE)="C",OR(NOT(ISERROR(VLOOKUP(E55,'Optional features'!B:D,1,FALSE)=E55)),NOT(ISERROR(VLOOKUP(E55,'HIDDEN calc sheet'!A:C,1,FALSE)=E55)))),MD!$A$3,MD!$A$2)))</f>
        <v>Mandatory for optional feature</v>
      </c>
      <c r="E55" t="str">
        <f>IF('HIDDEN import'!F54=0,"",'HIDDEN import'!F54)</f>
        <v>NOT C-09.5 and NOT Product Subtype "Mode 1/2-only Charging Station"</v>
      </c>
      <c r="F55" t="str">
        <f>IF('HIDDEN import'!G54=0,"",'HIDDEN import'!G54)</f>
        <v>Start transaction options - EnergyTransfer</v>
      </c>
      <c r="G55" s="95" t="str">
        <f>IFERROR(VLOOKUP($A55,'HIDDEN Testrun Results'!$A:$B,2,FALSE),"")</f>
        <v/>
      </c>
      <c r="H55" s="6" t="b">
        <f t="shared" si="0"/>
        <v>1</v>
      </c>
      <c r="I55" s="6" t="b">
        <f>IF(VLOOKUP(A55&amp;" "&amp;B55,'HIDDEN import'!A:G,5,FALSE)="M",TRUE,IFERROR(VLOOKUP(E55,'Optional features'!B:D,3,FALSE)="Yes",IFERROR(VLOOKUP(E55,'HIDDEN calc sheet'!A:B,2,FALSE),IFERROR(VLOOKUP(E55,'Additional questions'!B:D,3,FALSE)="Yes",VLOOKUP(E55,'Hardware Feature set'!B:D,3,FALSE)="No"))))</f>
        <v>1</v>
      </c>
      <c r="J55" s="6" t="b">
        <f>IF(VLOOKUP(B55,'Profile selection'!B:C,2,FALSE)="Yes",TRUE,FALSE)</f>
        <v>1</v>
      </c>
    </row>
    <row r="56" spans="1:10" ht="15.75" customHeight="1" x14ac:dyDescent="0.25">
      <c r="A56" t="str">
        <f>'HIDDEN import'!B55</f>
        <v>TC_C_56_CS</v>
      </c>
      <c r="B56" t="str">
        <f>'HIDDEN import'!C55</f>
        <v>Core</v>
      </c>
      <c r="C56" t="str">
        <f>'HIDDEN import'!D55</f>
        <v>Local start transaction - Authorization Unknown</v>
      </c>
      <c r="D56" t="str">
        <f>IF(VLOOKUP(A56&amp;" "&amp;B56,'HIDDEN import'!A:G,5,FALSE)="M",MD!$A$1,(IF(AND(VLOOKUP(A56,'HIDDEN import'!B:E,4,FALSE)="C",OR(NOT(ISERROR(VLOOKUP(E56,'Optional features'!B:D,1,FALSE)=E56)),NOT(ISERROR(VLOOKUP(E56,'HIDDEN calc sheet'!A:C,1,FALSE)=E56)))),MD!$A$3,MD!$A$2)))</f>
        <v>Mandatory for optional feature</v>
      </c>
      <c r="E56" t="str">
        <f>IF('HIDDEN import'!F55=0,"",'HIDDEN import'!F55)</f>
        <v>(C-30 or C-31 or C-32) and NOT AQ-2</v>
      </c>
      <c r="F56" t="str">
        <f>IF('HIDDEN import'!G55=0,"",'HIDDEN import'!G55)</f>
        <v>Local Authorization - using RFID ISO14443 / RFID ISO15693 / KeyCode</v>
      </c>
      <c r="G56" s="95" t="str">
        <f>IFERROR(VLOOKUP($A56,'HIDDEN Testrun Results'!$A:$B,2,FALSE),"")</f>
        <v/>
      </c>
      <c r="H56" s="6" t="b">
        <f t="shared" si="0"/>
        <v>0</v>
      </c>
      <c r="I56" s="6" t="b">
        <f>IF(VLOOKUP(A56&amp;" "&amp;B56,'HIDDEN import'!A:G,5,FALSE)="M",TRUE,IFERROR(VLOOKUP(E56,'Optional features'!B:D,3,FALSE)="Yes",IFERROR(VLOOKUP(E56,'HIDDEN calc sheet'!A:B,2,FALSE),IFERROR(VLOOKUP(E56,'Additional questions'!B:D,3,FALSE)="Yes",VLOOKUP(E56,'Hardware Feature set'!B:D,3,FALSE)="No"))))</f>
        <v>0</v>
      </c>
      <c r="J56" s="6" t="b">
        <f>IF(VLOOKUP(B56,'Profile selection'!B:C,2,FALSE)="Yes",TRUE,FALSE)</f>
        <v>1</v>
      </c>
    </row>
    <row r="57" spans="1:10" ht="15.75" customHeight="1" x14ac:dyDescent="0.25">
      <c r="A57" t="str">
        <f>'HIDDEN import'!B56</f>
        <v>TC_C_05_CS</v>
      </c>
      <c r="B57" t="str">
        <f>'HIDDEN import'!C56</f>
        <v>Core</v>
      </c>
      <c r="C57" t="str">
        <f>'HIDDEN import'!D56</f>
        <v>Local start transaction - Authorization invalid - Cable lock</v>
      </c>
      <c r="D57" t="str">
        <f>IF(VLOOKUP(A57&amp;" "&amp;B57,'HIDDEN import'!A:G,5,FALSE)="M",MD!$A$1,(IF(AND(VLOOKUP(A57,'HIDDEN import'!B:E,4,FALSE)="C",OR(NOT(ISERROR(VLOOKUP(E57,'Optional features'!B:D,1,FALSE)=E57)),NOT(ISERROR(VLOOKUP(E57,'HIDDEN calc sheet'!A:C,1,FALSE)=E57)))),MD!$A$3,MD!$A$2)))</f>
        <v>Mandatory for optional feature</v>
      </c>
      <c r="E57" t="str">
        <f>IF('HIDDEN import'!F56=0,"",'HIDDEN import'!F56)</f>
        <v>(C-30 or C-31 or C-32) and AQ-2</v>
      </c>
      <c r="F57" t="str">
        <f>IF('HIDDEN import'!G56=0,"",'HIDDEN import'!G56)</f>
        <v>Local Authorization - using RFID ISO14443 / RFID ISO15693 / KeyCode</v>
      </c>
      <c r="G57" s="95" t="str">
        <f>IFERROR(VLOOKUP($A57,'HIDDEN Testrun Results'!$A:$B,2,FALSE),"")</f>
        <v/>
      </c>
      <c r="H57" s="6" t="b">
        <f t="shared" si="0"/>
        <v>0</v>
      </c>
      <c r="I57" s="6" t="b">
        <f>IF(VLOOKUP(A57&amp;" "&amp;B57,'HIDDEN import'!A:G,5,FALSE)="M",TRUE,IFERROR(VLOOKUP(E57,'Optional features'!B:D,3,FALSE)="Yes",IFERROR(VLOOKUP(E57,'HIDDEN calc sheet'!A:B,2,FALSE),IFERROR(VLOOKUP(E57,'Additional questions'!B:D,3,FALSE)="Yes",VLOOKUP(E57,'Hardware Feature set'!B:D,3,FALSE)="No"))))</f>
        <v>0</v>
      </c>
      <c r="J57" s="6" t="b">
        <f>IF(VLOOKUP(B57,'Profile selection'!B:C,2,FALSE)="Yes",TRUE,FALSE)</f>
        <v>1</v>
      </c>
    </row>
    <row r="58" spans="1:10" ht="15.75" customHeight="1" x14ac:dyDescent="0.25">
      <c r="A58" t="str">
        <f>'HIDDEN import'!B57</f>
        <v>TC_C_04_CS</v>
      </c>
      <c r="B58" t="str">
        <f>'HIDDEN import'!C57</f>
        <v>Core</v>
      </c>
      <c r="C58" t="str">
        <f>'HIDDEN import'!D57</f>
        <v>Local Stop Transaction - Different idToken</v>
      </c>
      <c r="D58" t="str">
        <f>IF(VLOOKUP(A58&amp;" "&amp;B58,'HIDDEN import'!A:G,5,FALSE)="M",MD!$A$1,(IF(AND(VLOOKUP(A58,'HIDDEN import'!B:E,4,FALSE)="C",OR(NOT(ISERROR(VLOOKUP(E58,'Optional features'!B:D,1,FALSE)=E58)),NOT(ISERROR(VLOOKUP(E58,'HIDDEN calc sheet'!A:C,1,FALSE)=E58)))),MD!$A$3,MD!$A$2)))</f>
        <v>Mandatory for optional feature</v>
      </c>
      <c r="E58" t="str">
        <f>IF('HIDDEN import'!F57=0,"",'HIDDEN import'!F57)</f>
        <v>C-70 or C-71 or C-72</v>
      </c>
      <c r="F58" t="str">
        <f>IF('HIDDEN import'!G57=0,"",'HIDDEN import'!G57)</f>
        <v>Local Authorization - using RFID ISO14443 / RFID ISO15693 / KeyCode</v>
      </c>
      <c r="G58" s="95" t="str">
        <f>IFERROR(VLOOKUP($A58,'HIDDEN Testrun Results'!$A:$B,2,FALSE),"")</f>
        <v/>
      </c>
      <c r="H58" s="6" t="b">
        <f t="shared" si="0"/>
        <v>0</v>
      </c>
      <c r="I58" s="6" t="b">
        <f>IF(VLOOKUP(A58&amp;" "&amp;B58,'HIDDEN import'!A:G,5,FALSE)="M",TRUE,IFERROR(VLOOKUP(E58,'Optional features'!B:D,3,FALSE)="Yes",IFERROR(VLOOKUP(E58,'HIDDEN calc sheet'!A:B,2,FALSE),IFERROR(VLOOKUP(E58,'Additional questions'!B:D,3,FALSE)="Yes",VLOOKUP(E58,'Hardware Feature set'!B:D,3,FALSE)="No"))))</f>
        <v>0</v>
      </c>
      <c r="J58" s="6" t="b">
        <f>IF(VLOOKUP(B58,'Profile selection'!B:C,2,FALSE)="Yes",TRUE,FALSE)</f>
        <v>1</v>
      </c>
    </row>
    <row r="59" spans="1:10" ht="15.75" customHeight="1" x14ac:dyDescent="0.25">
      <c r="A59" t="str">
        <f>'HIDDEN import'!B58</f>
        <v>TC_E_06_CS</v>
      </c>
      <c r="B59" t="str">
        <f>'HIDDEN import'!C58</f>
        <v>Core</v>
      </c>
      <c r="C59" t="str">
        <f>'HIDDEN import'!D58</f>
        <v>Local Stop Transaction - Accepted</v>
      </c>
      <c r="D59" t="str">
        <f>IF(VLOOKUP(A59&amp;" "&amp;B59,'HIDDEN import'!A:G,5,FALSE)="M",MD!$A$1,(IF(AND(VLOOKUP(A59,'HIDDEN import'!B:E,4,FALSE)="C",OR(NOT(ISERROR(VLOOKUP(E59,'Optional features'!B:D,1,FALSE)=E59)),NOT(ISERROR(VLOOKUP(E59,'HIDDEN calc sheet'!A:C,1,FALSE)=E59)))),MD!$A$3,MD!$A$2)))</f>
        <v>Mandatory for optional feature</v>
      </c>
      <c r="E59" t="str">
        <f>IF('HIDDEN import'!F58=0,"",'HIDDEN import'!F58)</f>
        <v>C-70 or C-71 or C-72 or C-75</v>
      </c>
      <c r="F59" t="str">
        <f>IF('HIDDEN import'!G58=0,"",'HIDDEN import'!G58)</f>
        <v>Local Authorization - using RFID ISO14443 / RFID ISO15693 / KeyCode / NoAuthorization</v>
      </c>
      <c r="G59" s="95" t="str">
        <f>IFERROR(VLOOKUP($A59,'HIDDEN Testrun Results'!$A:$B,2,FALSE),"")</f>
        <v/>
      </c>
      <c r="H59" s="6" t="b">
        <f t="shared" si="0"/>
        <v>0</v>
      </c>
      <c r="I59" s="6" t="b">
        <f>IF(VLOOKUP(A59&amp;" "&amp;B59,'HIDDEN import'!A:G,5,FALSE)="M",TRUE,IFERROR(VLOOKUP(E59,'Optional features'!B:D,3,FALSE)="Yes",IFERROR(VLOOKUP(E59,'HIDDEN calc sheet'!A:B,2,FALSE),IFERROR(VLOOKUP(E59,'Additional questions'!B:D,3,FALSE)="Yes",VLOOKUP(E59,'Hardware Feature set'!B:D,3,FALSE)="No"))))</f>
        <v>0</v>
      </c>
      <c r="J59" s="6" t="b">
        <f>IF(VLOOKUP(B59,'Profile selection'!B:C,2,FALSE)="Yes",TRUE,FALSE)</f>
        <v>1</v>
      </c>
    </row>
    <row r="60" spans="1:10" ht="15.75" customHeight="1" x14ac:dyDescent="0.25">
      <c r="A60" t="str">
        <f>'HIDDEN import'!B59</f>
        <v>TC_C_39_CS</v>
      </c>
      <c r="B60" t="str">
        <f>'HIDDEN import'!C59</f>
        <v>Core</v>
      </c>
      <c r="C60" t="str">
        <f>'HIDDEN import'!D59</f>
        <v>Authorization by GroupId - Success</v>
      </c>
      <c r="D60" t="str">
        <f>IF(VLOOKUP(A60&amp;" "&amp;B60,'HIDDEN import'!A:G,5,FALSE)="M",MD!$A$1,(IF(AND(VLOOKUP(A60,'HIDDEN import'!B:E,4,FALSE)="C",OR(NOT(ISERROR(VLOOKUP(E60,'Optional features'!B:D,1,FALSE)=E60)),NOT(ISERROR(VLOOKUP(E60,'HIDDEN calc sheet'!A:C,1,FALSE)=E60)))),MD!$A$3,MD!$A$2)))</f>
        <v>Mandatory for optional feature</v>
      </c>
      <c r="E60" t="str">
        <f>IF('HIDDEN import'!F59=0,"",'HIDDEN import'!F59)</f>
        <v>(C-30 and C-70) or (C-31 and C-71) or (C-32 and C-72)</v>
      </c>
      <c r="F60" t="str">
        <f>IF('HIDDEN import'!G59=0,"",'HIDDEN import'!G59)</f>
        <v>Local Authorization - using RFID ISO14443 / RFID ISO15693 / KeyCode</v>
      </c>
      <c r="G60" s="95" t="str">
        <f>IFERROR(VLOOKUP($A60,'HIDDEN Testrun Results'!$A:$B,2,FALSE),"")</f>
        <v/>
      </c>
      <c r="H60" s="6" t="b">
        <f t="shared" si="0"/>
        <v>0</v>
      </c>
      <c r="I60" s="6" t="b">
        <f>IF(VLOOKUP(A60&amp;" "&amp;B60,'HIDDEN import'!A:G,5,FALSE)="M",TRUE,IFERROR(VLOOKUP(E60,'Optional features'!B:D,3,FALSE)="Yes",IFERROR(VLOOKUP(E60,'HIDDEN calc sheet'!A:B,2,FALSE),IFERROR(VLOOKUP(E60,'Additional questions'!B:D,3,FALSE)="Yes",VLOOKUP(E60,'Hardware Feature set'!B:D,3,FALSE)="No"))))</f>
        <v>0</v>
      </c>
      <c r="J60" s="6" t="b">
        <f>IF(VLOOKUP(B60,'Profile selection'!B:C,2,FALSE)="Yes",TRUE,FALSE)</f>
        <v>1</v>
      </c>
    </row>
    <row r="61" spans="1:10" ht="15.75" customHeight="1" x14ac:dyDescent="0.25">
      <c r="A61" t="str">
        <f>'HIDDEN import'!B60</f>
        <v>TC_C_45_CS</v>
      </c>
      <c r="B61" t="str">
        <f>'HIDDEN import'!C60</f>
        <v>Core</v>
      </c>
      <c r="C61" t="str">
        <f>'HIDDEN import'!D60</f>
        <v>Authorization by GroupId - Master pass - Not able to start transaction + groupId</v>
      </c>
      <c r="D61" t="str">
        <f>IF(VLOOKUP(A61&amp;" "&amp;B61,'HIDDEN import'!A:G,5,FALSE)="M",MD!$A$1,(IF(AND(VLOOKUP(A61,'HIDDEN import'!B:E,4,FALSE)="C",OR(NOT(ISERROR(VLOOKUP(E61,'Optional features'!B:D,1,FALSE)=E61)),NOT(ISERROR(VLOOKUP(E61,'HIDDEN calc sheet'!A:C,1,FALSE)=E61)))),MD!$A$3,MD!$A$2)))</f>
        <v>Mandatory for optional feature</v>
      </c>
      <c r="E61" t="str">
        <f>IF('HIDDEN import'!F60=0,"",'HIDDEN import'!F60)</f>
        <v>((C-30 and C-70) or (C-31 and C-71) or (C-32 and C-72)) AND (C-07 OR C-08)</v>
      </c>
      <c r="F61" t="str">
        <f>IF('HIDDEN import'!G60=0,"",'HIDDEN import'!G60)</f>
        <v>Local Authorization - using RFID ISO14443 / RFID ISO15693 / KeyCode and Master Pass</v>
      </c>
      <c r="G61" s="95" t="str">
        <f>IFERROR(VLOOKUP($A61,'HIDDEN Testrun Results'!$A:$B,2,FALSE),"")</f>
        <v/>
      </c>
      <c r="H61" s="6" t="b">
        <f t="shared" si="0"/>
        <v>0</v>
      </c>
      <c r="I61" s="6" t="b">
        <f>IF(VLOOKUP(A61&amp;" "&amp;B61,'HIDDEN import'!A:G,5,FALSE)="M",TRUE,IFERROR(VLOOKUP(E61,'Optional features'!B:D,3,FALSE)="Yes",IFERROR(VLOOKUP(E61,'HIDDEN calc sheet'!A:B,2,FALSE),IFERROR(VLOOKUP(E61,'Additional questions'!B:D,3,FALSE)="Yes",VLOOKUP(E61,'Hardware Feature set'!B:D,3,FALSE)="No"))))</f>
        <v>0</v>
      </c>
      <c r="J61" s="6" t="b">
        <f>IF(VLOOKUP(B61,'Profile selection'!B:C,2,FALSE)="Yes",TRUE,FALSE)</f>
        <v>1</v>
      </c>
    </row>
    <row r="62" spans="1:10" ht="15.75" customHeight="1" x14ac:dyDescent="0.25">
      <c r="A62" t="str">
        <f>'HIDDEN import'!B61</f>
        <v>TC_C_42_CS</v>
      </c>
      <c r="B62" t="str">
        <f>'HIDDEN import'!C61</f>
        <v>Core</v>
      </c>
      <c r="C62" t="str">
        <f>'HIDDEN import'!D61</f>
        <v>Authorization by GroupId - Not stopped by GroupId</v>
      </c>
      <c r="D62" t="str">
        <f>IF(VLOOKUP(A62&amp;" "&amp;B62,'HIDDEN import'!A:G,5,FALSE)="M",MD!$A$1,(IF(AND(VLOOKUP(A62,'HIDDEN import'!B:E,4,FALSE)="C",OR(NOT(ISERROR(VLOOKUP(E62,'Optional features'!B:D,1,FALSE)=E62)),NOT(ISERROR(VLOOKUP(E62,'HIDDEN calc sheet'!A:C,1,FALSE)=E62)))),MD!$A$3,MD!$A$2)))</f>
        <v>Mandatory for optional feature</v>
      </c>
      <c r="E62" t="str">
        <f>IF('HIDDEN import'!F61=0,"",'HIDDEN import'!F61)</f>
        <v>(C-30 and C-70) or (C-31 and C-71) or (C-32 and C-72)</v>
      </c>
      <c r="F62" t="str">
        <f>IF('HIDDEN import'!G61=0,"",'HIDDEN import'!G61)</f>
        <v>Local Authorization - using RFID ISO14443 / RFID ISO15693 / KeyCode</v>
      </c>
      <c r="G62" s="95" t="str">
        <f>IFERROR(VLOOKUP($A62,'HIDDEN Testrun Results'!$A:$B,2,FALSE),"")</f>
        <v/>
      </c>
      <c r="H62" s="6" t="b">
        <f t="shared" si="0"/>
        <v>0</v>
      </c>
      <c r="I62" s="6" t="b">
        <f>IF(VLOOKUP(A62&amp;" "&amp;B62,'HIDDEN import'!A:G,5,FALSE)="M",TRUE,IFERROR(VLOOKUP(E62,'Optional features'!B:D,3,FALSE)="Yes",IFERROR(VLOOKUP(E62,'HIDDEN calc sheet'!A:B,2,FALSE),IFERROR(VLOOKUP(E62,'Additional questions'!B:D,3,FALSE)="Yes",VLOOKUP(E62,'Hardware Feature set'!B:D,3,FALSE)="No"))))</f>
        <v>0</v>
      </c>
      <c r="J62" s="6" t="b">
        <f>IF(VLOOKUP(B62,'Profile selection'!B:C,2,FALSE)="Yes",TRUE,FALSE)</f>
        <v>1</v>
      </c>
    </row>
    <row r="63" spans="1:10" ht="15.75" customHeight="1" x14ac:dyDescent="0.25">
      <c r="A63" t="str">
        <f>'HIDDEN import'!B62</f>
        <v>TC_C_26_CS</v>
      </c>
      <c r="B63" t="str">
        <f>'HIDDEN import'!C62</f>
        <v>Core</v>
      </c>
      <c r="C63" t="str">
        <f>'HIDDEN import'!D62</f>
        <v>Offline Authorization - Unknown Id</v>
      </c>
      <c r="D63" t="str">
        <f>IF(VLOOKUP(A63&amp;" "&amp;B63,'HIDDEN import'!A:G,5,FALSE)="M",MD!$A$1,(IF(AND(VLOOKUP(A63,'HIDDEN import'!B:E,4,FALSE)="C",OR(NOT(ISERROR(VLOOKUP(E63,'Optional features'!B:D,1,FALSE)=E63)),NOT(ISERROR(VLOOKUP(E63,'HIDDEN calc sheet'!A:C,1,FALSE)=E63)))),MD!$A$3,MD!$A$2)))</f>
        <v>Mandatory for optional feature</v>
      </c>
      <c r="E63" t="str">
        <f>IF('HIDDEN import'!F62=0,"",'HIDDEN import'!F62)</f>
        <v>C-02 and (C-30 or C-31 or C-32 or C-33 or C-34)</v>
      </c>
      <c r="F63" t="str">
        <f>IF('HIDDEN import'!G62=0,"",'HIDDEN import'!G62)</f>
        <v>Unknown Offline Authorization</v>
      </c>
      <c r="G63" s="95" t="str">
        <f>IFERROR(VLOOKUP($A63,'HIDDEN Testrun Results'!$A:$B,2,FALSE),"")</f>
        <v/>
      </c>
      <c r="H63" s="6" t="b">
        <f t="shared" si="0"/>
        <v>0</v>
      </c>
      <c r="I63" s="6" t="b">
        <f>IF(VLOOKUP(A63&amp;" "&amp;B63,'HIDDEN import'!A:G,5,FALSE)="M",TRUE,IFERROR(VLOOKUP(E63,'Optional features'!B:D,3,FALSE)="Yes",IFERROR(VLOOKUP(E63,'HIDDEN calc sheet'!A:B,2,FALSE),IFERROR(VLOOKUP(E63,'Additional questions'!B:D,3,FALSE)="Yes",VLOOKUP(E63,'Hardware Feature set'!B:D,3,FALSE)="No"))))</f>
        <v>0</v>
      </c>
      <c r="J63" s="6" t="b">
        <f>IF(VLOOKUP(B63,'Profile selection'!B:C,2,FALSE)="Yes",TRUE,FALSE)</f>
        <v>1</v>
      </c>
    </row>
    <row r="64" spans="1:10" ht="15.75" customHeight="1" x14ac:dyDescent="0.25">
      <c r="A64" t="str">
        <f>'HIDDEN import'!B63</f>
        <v>TC_C_47_CS</v>
      </c>
      <c r="B64" t="str">
        <f>'HIDDEN import'!C63</f>
        <v>Core</v>
      </c>
      <c r="C64" t="str">
        <f>'HIDDEN import'!D63</f>
        <v>Stop Transaction with a Master Pass - With UI - All transactions</v>
      </c>
      <c r="D64" t="str">
        <f>IF(VLOOKUP(A64&amp;" "&amp;B64,'HIDDEN import'!A:G,5,FALSE)="M",MD!$A$1,(IF(AND(VLOOKUP(A64,'HIDDEN import'!B:E,4,FALSE)="C",OR(NOT(ISERROR(VLOOKUP(E64,'Optional features'!B:D,1,FALSE)=E64)),NOT(ISERROR(VLOOKUP(E64,'HIDDEN calc sheet'!A:C,1,FALSE)=E64)))),MD!$A$3,MD!$A$2)))</f>
        <v>Mandatory for optional feature</v>
      </c>
      <c r="E64" t="str">
        <f>IF('HIDDEN import'!F63=0,"",'HIDDEN import'!F63)</f>
        <v>C-07 and (C-70 or C-71 or C-72)</v>
      </c>
      <c r="F64" t="str">
        <f>IF('HIDDEN import'!G63=0,"",'HIDDEN import'!G63)</f>
        <v>Master Pass - With UI</v>
      </c>
      <c r="G64" s="95" t="str">
        <f>IFERROR(VLOOKUP($A64,'HIDDEN Testrun Results'!$A:$B,2,FALSE),"")</f>
        <v/>
      </c>
      <c r="H64" s="6" t="b">
        <f t="shared" si="0"/>
        <v>0</v>
      </c>
      <c r="I64" s="6" t="b">
        <f>IF(VLOOKUP(A64&amp;" "&amp;B64,'HIDDEN import'!A:G,5,FALSE)="M",TRUE,IFERROR(VLOOKUP(E64,'Optional features'!B:D,3,FALSE)="Yes",IFERROR(VLOOKUP(E64,'HIDDEN calc sheet'!A:B,2,FALSE),IFERROR(VLOOKUP(E64,'Additional questions'!B:D,3,FALSE)="Yes",VLOOKUP(E64,'Hardware Feature set'!B:D,3,FALSE)="No"))))</f>
        <v>0</v>
      </c>
      <c r="J64" s="6" t="b">
        <f>IF(VLOOKUP(B64,'Profile selection'!B:C,2,FALSE)="Yes",TRUE,FALSE)</f>
        <v>1</v>
      </c>
    </row>
    <row r="65" spans="1:10" ht="15.75" customHeight="1" x14ac:dyDescent="0.25">
      <c r="A65" t="str">
        <f>'HIDDEN import'!B64</f>
        <v>TC_C_48_CS</v>
      </c>
      <c r="B65" t="str">
        <f>'HIDDEN import'!C64</f>
        <v>Core</v>
      </c>
      <c r="C65" t="str">
        <f>'HIDDEN import'!D64</f>
        <v>Stop Transaction with a Master Pass - With UI - With UI - Specific transactions</v>
      </c>
      <c r="D65" t="str">
        <f>IF(VLOOKUP(A65&amp;" "&amp;B65,'HIDDEN import'!A:G,5,FALSE)="M",MD!$A$1,(IF(AND(VLOOKUP(A65,'HIDDEN import'!B:E,4,FALSE)="C",OR(NOT(ISERROR(VLOOKUP(E65,'Optional features'!B:D,1,FALSE)=E65)),NOT(ISERROR(VLOOKUP(E65,'HIDDEN calc sheet'!A:C,1,FALSE)=E65)))),MD!$A$3,MD!$A$2)))</f>
        <v>Mandatory for optional feature</v>
      </c>
      <c r="E65" t="str">
        <f>IF('HIDDEN import'!F64=0,"",'HIDDEN import'!F64)</f>
        <v>C-07 and (C-70 or C-71 or C-72)</v>
      </c>
      <c r="F65" t="str">
        <f>IF('HIDDEN import'!G64=0,"",'HIDDEN import'!G64)</f>
        <v>Master Pass - With UI</v>
      </c>
      <c r="G65" s="95" t="str">
        <f>IFERROR(VLOOKUP($A65,'HIDDEN Testrun Results'!$A:$B,2,FALSE),"")</f>
        <v/>
      </c>
      <c r="H65" s="6" t="b">
        <f t="shared" si="0"/>
        <v>0</v>
      </c>
      <c r="I65" s="6" t="b">
        <f>IF(VLOOKUP(A65&amp;" "&amp;B65,'HIDDEN import'!A:G,5,FALSE)="M",TRUE,IFERROR(VLOOKUP(E65,'Optional features'!B:D,3,FALSE)="Yes",IFERROR(VLOOKUP(E65,'HIDDEN calc sheet'!A:B,2,FALSE),IFERROR(VLOOKUP(E65,'Additional questions'!B:D,3,FALSE)="Yes",VLOOKUP(E65,'Hardware Feature set'!B:D,3,FALSE)="No"))))</f>
        <v>0</v>
      </c>
      <c r="J65" s="6" t="b">
        <f>IF(VLOOKUP(B65,'Profile selection'!B:C,2,FALSE)="Yes",TRUE,FALSE)</f>
        <v>1</v>
      </c>
    </row>
    <row r="66" spans="1:10" ht="15.75" customHeight="1" x14ac:dyDescent="0.25">
      <c r="A66" t="str">
        <f>'HIDDEN import'!B65</f>
        <v>TC_C_49_CS</v>
      </c>
      <c r="B66" t="str">
        <f>'HIDDEN import'!C65</f>
        <v>Core</v>
      </c>
      <c r="C66" t="str">
        <f>'HIDDEN import'!D65</f>
        <v>Stop Transaction with a Master Pass - Without UI</v>
      </c>
      <c r="D66" t="str">
        <f>IF(VLOOKUP(A66&amp;" "&amp;B66,'HIDDEN import'!A:G,5,FALSE)="M",MD!$A$1,(IF(AND(VLOOKUP(A66,'HIDDEN import'!B:E,4,FALSE)="C",OR(NOT(ISERROR(VLOOKUP(E66,'Optional features'!B:D,1,FALSE)=E66)),NOT(ISERROR(VLOOKUP(E66,'HIDDEN calc sheet'!A:C,1,FALSE)=E66)))),MD!$A$3,MD!$A$2)))</f>
        <v>Mandatory for optional feature</v>
      </c>
      <c r="E66" t="str">
        <f>IF('HIDDEN import'!F65=0,"",'HIDDEN import'!F65)</f>
        <v>C-08 and (C-70 or C-71 or C-72)</v>
      </c>
      <c r="F66" t="str">
        <f>IF('HIDDEN import'!G65=0,"",'HIDDEN import'!G65)</f>
        <v>Master Pass - Without UI</v>
      </c>
      <c r="G66" s="95" t="str">
        <f>IFERROR(VLOOKUP($A66,'HIDDEN Testrun Results'!$A:$B,2,FALSE),"")</f>
        <v/>
      </c>
      <c r="H66" s="6" t="b">
        <f t="shared" si="0"/>
        <v>0</v>
      </c>
      <c r="I66" s="6" t="b">
        <f>IF(VLOOKUP(A66&amp;" "&amp;B66,'HIDDEN import'!A:G,5,FALSE)="M",TRUE,IFERROR(VLOOKUP(E66,'Optional features'!B:D,3,FALSE)="Yes",IFERROR(VLOOKUP(E66,'HIDDEN calc sheet'!A:B,2,FALSE),IFERROR(VLOOKUP(E66,'Additional questions'!B:D,3,FALSE)="Yes",VLOOKUP(E66,'Hardware Feature set'!B:D,3,FALSE)="No"))))</f>
        <v>0</v>
      </c>
      <c r="J66" s="6" t="b">
        <f>IF(VLOOKUP(B66,'Profile selection'!B:C,2,FALSE)="Yes",TRUE,FALSE)</f>
        <v>1</v>
      </c>
    </row>
    <row r="67" spans="1:10" ht="15.75" customHeight="1" x14ac:dyDescent="0.25">
      <c r="A67" t="str">
        <f>'HIDDEN import'!B66</f>
        <v>TC_C_32_CS</v>
      </c>
      <c r="B67" t="str">
        <f>'HIDDEN import'!C66</f>
        <v>Core</v>
      </c>
      <c r="C67" t="str">
        <f>'HIDDEN import'!D66</f>
        <v>Store Authorization Data in the Authorization Cache - Persistent over reboot</v>
      </c>
      <c r="D67" t="str">
        <f>IF(VLOOKUP(A67&amp;" "&amp;B67,'HIDDEN import'!A:G,5,FALSE)="M",MD!$A$1,(IF(AND(VLOOKUP(A67,'HIDDEN import'!B:E,4,FALSE)="C",OR(NOT(ISERROR(VLOOKUP(E67,'Optional features'!B:D,1,FALSE)=E67)),NOT(ISERROR(VLOOKUP(E67,'HIDDEN calc sheet'!A:C,1,FALSE)=E67)))),MD!$A$3,MD!$A$2)))</f>
        <v>Mandatory for optional feature</v>
      </c>
      <c r="E67" t="str">
        <f>IF('HIDDEN import'!F66=0,"",'HIDDEN import'!F66)</f>
        <v>C-49 and (((C-30 and C-70) or (C-31 and C-71) or (C-32 and C-72)) or (C-36 or C-37))</v>
      </c>
      <c r="F67" t="str">
        <f>IF('HIDDEN import'!G66=0,"",'HIDDEN import'!G66)</f>
        <v>Authorization Cache</v>
      </c>
      <c r="G67" s="95" t="str">
        <f>IFERROR(VLOOKUP($A67,'HIDDEN Testrun Results'!$A:$B,2,FALSE),"")</f>
        <v/>
      </c>
      <c r="H67" s="6" t="b">
        <f t="shared" si="0"/>
        <v>0</v>
      </c>
      <c r="I67" s="6" t="b">
        <f>IF(VLOOKUP(A67&amp;" "&amp;B67,'HIDDEN import'!A:G,5,FALSE)="M",TRUE,IFERROR(VLOOKUP(E67,'Optional features'!B:D,3,FALSE)="Yes",IFERROR(VLOOKUP(E67,'HIDDEN calc sheet'!A:B,2,FALSE),IFERROR(VLOOKUP(E67,'Additional questions'!B:D,3,FALSE)="Yes",VLOOKUP(E67,'Hardware Feature set'!B:D,3,FALSE)="No"))))</f>
        <v>0</v>
      </c>
      <c r="J67" s="6" t="b">
        <f>IF(VLOOKUP(B67,'Profile selection'!B:C,2,FALSE)="Yes",TRUE,FALSE)</f>
        <v>1</v>
      </c>
    </row>
    <row r="68" spans="1:10" ht="15.75" customHeight="1" x14ac:dyDescent="0.25">
      <c r="A68" t="str">
        <f>'HIDDEN import'!B67</f>
        <v>TC_C_33_CS</v>
      </c>
      <c r="B68" t="str">
        <f>'HIDDEN import'!C67</f>
        <v>Core</v>
      </c>
      <c r="C68" t="str">
        <f>'HIDDEN import'!D67</f>
        <v>Store Authorization Data in the Authorization Cache - Update on AuthorizeResponse</v>
      </c>
      <c r="D68" t="str">
        <f>IF(VLOOKUP(A68&amp;" "&amp;B68,'HIDDEN import'!A:G,5,FALSE)="M",MD!$A$1,(IF(AND(VLOOKUP(A68,'HIDDEN import'!B:E,4,FALSE)="C",OR(NOT(ISERROR(VLOOKUP(E68,'Optional features'!B:D,1,FALSE)=E68)),NOT(ISERROR(VLOOKUP(E68,'HIDDEN calc sheet'!A:C,1,FALSE)=E68)))),MD!$A$3,MD!$A$2)))</f>
        <v>Mandatory for optional feature</v>
      </c>
      <c r="E68" t="str">
        <f>IF('HIDDEN import'!F67=0,"",'HIDDEN import'!F67)</f>
        <v>C-49 and (((C-30 and C-70) or (C-31 and C-71) or (C-32 and C-72)) or (C-36 or C-37))</v>
      </c>
      <c r="F68" t="str">
        <f>IF('HIDDEN import'!G67=0,"",'HIDDEN import'!G67)</f>
        <v>Authorization Cache</v>
      </c>
      <c r="G68" s="95" t="str">
        <f>IFERROR(VLOOKUP($A68,'HIDDEN Testrun Results'!$A:$B,2,FALSE),"")</f>
        <v/>
      </c>
      <c r="H68" s="6" t="b">
        <f t="shared" ref="H68:H131" si="1">IF(NOT(J68),FALSE,IF(NOT(ISLOGICAL(I68)),I68,AND(I68,J68)))</f>
        <v>0</v>
      </c>
      <c r="I68" s="6" t="b">
        <f>IF(VLOOKUP(A68&amp;" "&amp;B68,'HIDDEN import'!A:G,5,FALSE)="M",TRUE,IFERROR(VLOOKUP(E68,'Optional features'!B:D,3,FALSE)="Yes",IFERROR(VLOOKUP(E68,'HIDDEN calc sheet'!A:B,2,FALSE),IFERROR(VLOOKUP(E68,'Additional questions'!B:D,3,FALSE)="Yes",VLOOKUP(E68,'Hardware Feature set'!B:D,3,FALSE)="No"))))</f>
        <v>0</v>
      </c>
      <c r="J68" s="6" t="b">
        <f>IF(VLOOKUP(B68,'Profile selection'!B:C,2,FALSE)="Yes",TRUE,FALSE)</f>
        <v>1</v>
      </c>
    </row>
    <row r="69" spans="1:10" ht="15.75" customHeight="1" x14ac:dyDescent="0.25">
      <c r="A69" t="str">
        <f>'HIDDEN import'!B68</f>
        <v>TC_C_34_CS</v>
      </c>
      <c r="B69" t="str">
        <f>'HIDDEN import'!C68</f>
        <v>Core</v>
      </c>
      <c r="C69" t="str">
        <f>'HIDDEN import'!D68</f>
        <v>Store Authorization Data in the Authorization Cache - Update on TransactionResponse</v>
      </c>
      <c r="D69" t="str">
        <f>IF(VLOOKUP(A69&amp;" "&amp;B69,'HIDDEN import'!A:G,5,FALSE)="M",MD!$A$1,(IF(AND(VLOOKUP(A69,'HIDDEN import'!B:E,4,FALSE)="C",OR(NOT(ISERROR(VLOOKUP(E69,'Optional features'!B:D,1,FALSE)=E69)),NOT(ISERROR(VLOOKUP(E69,'HIDDEN calc sheet'!A:C,1,FALSE)=E69)))),MD!$A$3,MD!$A$2)))</f>
        <v>Mandatory for optional feature</v>
      </c>
      <c r="E69" t="str">
        <f>IF('HIDDEN import'!F68=0,"",'HIDDEN import'!F68)</f>
        <v>C-49 and (((C-30 and C-70) or (C-31 and C-71) or (C-32 and C-72)) or (C-36 or C-37))</v>
      </c>
      <c r="F69" t="str">
        <f>IF('HIDDEN import'!G68=0,"",'HIDDEN import'!G68)</f>
        <v>Authorization Cache</v>
      </c>
      <c r="G69" s="95" t="str">
        <f>IFERROR(VLOOKUP($A69,'HIDDEN Testrun Results'!$A:$B,2,FALSE),"")</f>
        <v/>
      </c>
      <c r="H69" s="6" t="b">
        <f t="shared" si="1"/>
        <v>0</v>
      </c>
      <c r="I69" s="6" t="b">
        <f>IF(VLOOKUP(A69&amp;" "&amp;B69,'HIDDEN import'!A:G,5,FALSE)="M",TRUE,IFERROR(VLOOKUP(E69,'Optional features'!B:D,3,FALSE)="Yes",IFERROR(VLOOKUP(E69,'HIDDEN calc sheet'!A:B,2,FALSE),IFERROR(VLOOKUP(E69,'Additional questions'!B:D,3,FALSE)="Yes",VLOOKUP(E69,'Hardware Feature set'!B:D,3,FALSE)="No"))))</f>
        <v>0</v>
      </c>
      <c r="J69" s="6" t="b">
        <f>IF(VLOOKUP(B69,'Profile selection'!B:C,2,FALSE)="Yes",TRUE,FALSE)</f>
        <v>1</v>
      </c>
    </row>
    <row r="70" spans="1:10" ht="15.75" customHeight="1" x14ac:dyDescent="0.25">
      <c r="A70" t="str">
        <f>'HIDDEN import'!B69</f>
        <v>TC_C_36_CS</v>
      </c>
      <c r="B70" t="str">
        <f>'HIDDEN import'!C69</f>
        <v>Core</v>
      </c>
      <c r="C70" t="str">
        <f>'HIDDEN import'!D69</f>
        <v>Store Authorization Data in the Authorization Cache - AuthCacheCtrlr.LocalPreAuthorize = false</v>
      </c>
      <c r="D70" t="str">
        <f>IF(VLOOKUP(A70&amp;" "&amp;B70,'HIDDEN import'!A:G,5,FALSE)="M",MD!$A$1,(IF(AND(VLOOKUP(A70,'HIDDEN import'!B:E,4,FALSE)="C",OR(NOT(ISERROR(VLOOKUP(E70,'Optional features'!B:D,1,FALSE)=E70)),NOT(ISERROR(VLOOKUP(E70,'HIDDEN calc sheet'!A:C,1,FALSE)=E70)))),MD!$A$3,MD!$A$2)))</f>
        <v>Mandatory for optional feature</v>
      </c>
      <c r="E70" t="str">
        <f>IF('HIDDEN import'!F69=0,"",'HIDDEN import'!F69)</f>
        <v>C-49 and (((C-30 and C-70) or (C-31 and C-71) or (C-32 and C-72)) or (C-36 or C-37))</v>
      </c>
      <c r="F70" t="str">
        <f>IF('HIDDEN import'!G69=0,"",'HIDDEN import'!G69)</f>
        <v>Authorization Cache</v>
      </c>
      <c r="G70" s="95" t="str">
        <f>IFERROR(VLOOKUP($A70,'HIDDEN Testrun Results'!$A:$B,2,FALSE),"")</f>
        <v/>
      </c>
      <c r="H70" s="6" t="b">
        <f t="shared" si="1"/>
        <v>0</v>
      </c>
      <c r="I70" s="6" t="b">
        <f>IF(VLOOKUP(A70&amp;" "&amp;B70,'HIDDEN import'!A:G,5,FALSE)="M",TRUE,IFERROR(VLOOKUP(E70,'Optional features'!B:D,3,FALSE)="Yes",IFERROR(VLOOKUP(E70,'HIDDEN calc sheet'!A:B,2,FALSE),IFERROR(VLOOKUP(E70,'Additional questions'!B:D,3,FALSE)="Yes",VLOOKUP(E70,'Hardware Feature set'!B:D,3,FALSE)="No"))))</f>
        <v>0</v>
      </c>
      <c r="J70" s="6" t="b">
        <f>IF(VLOOKUP(B70,'Profile selection'!B:C,2,FALSE)="Yes",TRUE,FALSE)</f>
        <v>1</v>
      </c>
    </row>
    <row r="71" spans="1:10" ht="15.75" customHeight="1" x14ac:dyDescent="0.25">
      <c r="A71" t="str">
        <f>'HIDDEN import'!B70</f>
        <v>TC_C_46_CS</v>
      </c>
      <c r="B71" t="str">
        <f>'HIDDEN import'!C70</f>
        <v>Core</v>
      </c>
      <c r="C71" t="str">
        <f>'HIDDEN import'!D70</f>
        <v>Store Authorization Data in the Authorization Cache - AuthCacheLifeTime</v>
      </c>
      <c r="D71" t="str">
        <f>IF(VLOOKUP(A71&amp;" "&amp;B71,'HIDDEN import'!A:G,5,FALSE)="M",MD!$A$1,(IF(AND(VLOOKUP(A71,'HIDDEN import'!B:E,4,FALSE)="C",OR(NOT(ISERROR(VLOOKUP(E71,'Optional features'!B:D,1,FALSE)=E71)),NOT(ISERROR(VLOOKUP(E71,'HIDDEN calc sheet'!A:C,1,FALSE)=E71)))),MD!$A$3,MD!$A$2)))</f>
        <v>Mandatory for optional feature</v>
      </c>
      <c r="E71" t="str">
        <f>IF('HIDDEN import'!F70=0,"",'HIDDEN import'!F70)</f>
        <v>C-49 and C-53 and (((C-30 and C-70) or (C-31 and C-71) or (C-32 and C-72)) or (C-36 or C-37))</v>
      </c>
      <c r="F71" t="str">
        <f>IF('HIDDEN import'!G70=0,"",'HIDDEN import'!G70)</f>
        <v>Authorization Cache &amp; AuthCacheLifeTime</v>
      </c>
      <c r="G71" s="95" t="str">
        <f>IFERROR(VLOOKUP($A71,'HIDDEN Testrun Results'!$A:$B,2,FALSE),"")</f>
        <v/>
      </c>
      <c r="H71" s="6" t="b">
        <f t="shared" si="1"/>
        <v>0</v>
      </c>
      <c r="I71" s="6" t="b">
        <f>IF(VLOOKUP(A71&amp;" "&amp;B71,'HIDDEN import'!A:G,5,FALSE)="M",TRUE,IFERROR(VLOOKUP(E71,'Optional features'!B:D,3,FALSE)="Yes",IFERROR(VLOOKUP(E71,'HIDDEN calc sheet'!A:B,2,FALSE),IFERROR(VLOOKUP(E71,'Additional questions'!B:D,3,FALSE)="Yes",VLOOKUP(E71,'Hardware Feature set'!B:D,3,FALSE)="No"))))</f>
        <v>0</v>
      </c>
      <c r="J71" s="6" t="b">
        <f>IF(VLOOKUP(B71,'Profile selection'!B:C,2,FALSE)="Yes",TRUE,FALSE)</f>
        <v>1</v>
      </c>
    </row>
    <row r="72" spans="1:10" ht="15.75" customHeight="1" x14ac:dyDescent="0.25">
      <c r="A72" t="str">
        <f>'HIDDEN import'!B71</f>
        <v>TC_C_37_CS</v>
      </c>
      <c r="B72" t="str">
        <f>'HIDDEN import'!C71</f>
        <v>Core</v>
      </c>
      <c r="C72" t="str">
        <f>'HIDDEN import'!D71</f>
        <v>Clear Authorization Data in Authorization Cache - Accepted</v>
      </c>
      <c r="D72" t="str">
        <f>IF(VLOOKUP(A72&amp;" "&amp;B72,'HIDDEN import'!A:G,5,FALSE)="M",MD!$A$1,(IF(AND(VLOOKUP(A72,'HIDDEN import'!B:E,4,FALSE)="C",OR(NOT(ISERROR(VLOOKUP(E72,'Optional features'!B:D,1,FALSE)=E72)),NOT(ISERROR(VLOOKUP(E72,'HIDDEN calc sheet'!A:C,1,FALSE)=E72)))),MD!$A$3,MD!$A$2)))</f>
        <v>Mandatory for optional feature</v>
      </c>
      <c r="E72" t="str">
        <f>IF('HIDDEN import'!F71=0,"",'HIDDEN import'!F71)</f>
        <v>C-49 and (((C-30 and C-70) or (C-31 and C-71) or (C-32 and C-72)) or (C-36 or C-37))</v>
      </c>
      <c r="F72" t="str">
        <f>IF('HIDDEN import'!G71=0,"",'HIDDEN import'!G71)</f>
        <v>Authorization Cache</v>
      </c>
      <c r="G72" s="95" t="str">
        <f>IFERROR(VLOOKUP($A72,'HIDDEN Testrun Results'!$A:$B,2,FALSE),"")</f>
        <v/>
      </c>
      <c r="H72" s="6" t="b">
        <f t="shared" si="1"/>
        <v>0</v>
      </c>
      <c r="I72" s="6" t="b">
        <f>IF(VLOOKUP(A72&amp;" "&amp;B72,'HIDDEN import'!A:G,5,FALSE)="M",TRUE,IFERROR(VLOOKUP(E72,'Optional features'!B:D,3,FALSE)="Yes",IFERROR(VLOOKUP(E72,'HIDDEN calc sheet'!A:B,2,FALSE),IFERROR(VLOOKUP(E72,'Additional questions'!B:D,3,FALSE)="Yes",VLOOKUP(E72,'Hardware Feature set'!B:D,3,FALSE)="No"))))</f>
        <v>0</v>
      </c>
      <c r="J72" s="6" t="b">
        <f>IF(VLOOKUP(B72,'Profile selection'!B:C,2,FALSE)="Yes",TRUE,FALSE)</f>
        <v>1</v>
      </c>
    </row>
    <row r="73" spans="1:10" ht="15.75" customHeight="1" x14ac:dyDescent="0.25">
      <c r="A73" t="str">
        <f>'HIDDEN import'!B72</f>
        <v>TC_C_38_CS</v>
      </c>
      <c r="B73" t="str">
        <f>'HIDDEN import'!C72</f>
        <v>Core</v>
      </c>
      <c r="C73" t="str">
        <f>'HIDDEN import'!D72</f>
        <v>Clear Authorization Data in Authorization Cache - Rejected</v>
      </c>
      <c r="D73" t="str">
        <f>IF(VLOOKUP(A73&amp;" "&amp;B73,'HIDDEN import'!A:G,5,FALSE)="M",MD!$A$1,(IF(AND(VLOOKUP(A73,'HIDDEN import'!B:E,4,FALSE)="C",OR(NOT(ISERROR(VLOOKUP(E73,'Optional features'!B:D,1,FALSE)=E73)),NOT(ISERROR(VLOOKUP(E73,'HIDDEN calc sheet'!A:C,1,FALSE)=E73)))),MD!$A$3,MD!$A$2)))</f>
        <v>Mandatory for optional feature</v>
      </c>
      <c r="E73" t="str">
        <f>IF('HIDDEN import'!F72=0,"",'HIDDEN import'!F72)</f>
        <v>C-49 and (((C-30 and C-70) or (C-31 and C-71) or (C-32 and C-72)) or (C-36 or C-37))</v>
      </c>
      <c r="F73" t="str">
        <f>IF('HIDDEN import'!G72=0,"",'HIDDEN import'!G72)</f>
        <v>Authorization Cache</v>
      </c>
      <c r="G73" s="95" t="str">
        <f>IFERROR(VLOOKUP($A73,'HIDDEN Testrun Results'!$A:$B,2,FALSE),"")</f>
        <v/>
      </c>
      <c r="H73" s="6" t="b">
        <f t="shared" si="1"/>
        <v>0</v>
      </c>
      <c r="I73" s="6" t="b">
        <f>IF(VLOOKUP(A73&amp;" "&amp;B73,'HIDDEN import'!A:G,5,FALSE)="M",TRUE,IFERROR(VLOOKUP(E73,'Optional features'!B:D,3,FALSE)="Yes",IFERROR(VLOOKUP(E73,'HIDDEN calc sheet'!A:B,2,FALSE),IFERROR(VLOOKUP(E73,'Additional questions'!B:D,3,FALSE)="Yes",VLOOKUP(E73,'Hardware Feature set'!B:D,3,FALSE)="No"))))</f>
        <v>0</v>
      </c>
      <c r="J73" s="6" t="b">
        <f>IF(VLOOKUP(B73,'Profile selection'!B:C,2,FALSE)="Yes",TRUE,FALSE)</f>
        <v>1</v>
      </c>
    </row>
    <row r="74" spans="1:10" ht="15.75" customHeight="1" x14ac:dyDescent="0.25">
      <c r="A74" t="str">
        <f>'HIDDEN import'!B73</f>
        <v>TC_C_41_CS</v>
      </c>
      <c r="B74" t="str">
        <f>'HIDDEN import'!C73</f>
        <v>Core</v>
      </c>
      <c r="C74" t="str">
        <f>'HIDDEN import'!D73</f>
        <v>Authorization by GroupId - Success with Authorization Cache</v>
      </c>
      <c r="D74" t="str">
        <f>IF(VLOOKUP(A74&amp;" "&amp;B74,'HIDDEN import'!A:G,5,FALSE)="M",MD!$A$1,(IF(AND(VLOOKUP(A74,'HIDDEN import'!B:E,4,FALSE)="C",OR(NOT(ISERROR(VLOOKUP(E74,'Optional features'!B:D,1,FALSE)=E74)),NOT(ISERROR(VLOOKUP(E74,'HIDDEN calc sheet'!A:C,1,FALSE)=E74)))),MD!$A$3,MD!$A$2)))</f>
        <v>Mandatory for optional feature</v>
      </c>
      <c r="E74" t="str">
        <f>IF('HIDDEN import'!F73=0,"",'HIDDEN import'!F73)</f>
        <v>C-49 and ((C-30 and C-70) or (C-31 and C-71) or (C-32 and C-72))</v>
      </c>
      <c r="F74" t="str">
        <f>IF('HIDDEN import'!G73=0,"",'HIDDEN import'!G73)</f>
        <v>Authorization Cache</v>
      </c>
      <c r="G74" s="95" t="str">
        <f>IFERROR(VLOOKUP($A74,'HIDDEN Testrun Results'!$A:$B,2,FALSE),"")</f>
        <v/>
      </c>
      <c r="H74" s="6" t="b">
        <f t="shared" si="1"/>
        <v>0</v>
      </c>
      <c r="I74" s="6" t="b">
        <f>IF(VLOOKUP(A74&amp;" "&amp;B74,'HIDDEN import'!A:G,5,FALSE)="M",TRUE,IFERROR(VLOOKUP(E74,'Optional features'!B:D,3,FALSE)="Yes",IFERROR(VLOOKUP(E74,'HIDDEN calc sheet'!A:B,2,FALSE),IFERROR(VLOOKUP(E74,'Additional questions'!B:D,3,FALSE)="Yes",VLOOKUP(E74,'Hardware Feature set'!B:D,3,FALSE)="No"))))</f>
        <v>0</v>
      </c>
      <c r="J74" s="6" t="b">
        <f>IF(VLOOKUP(B74,'Profile selection'!B:C,2,FALSE)="Yes",TRUE,FALSE)</f>
        <v>1</v>
      </c>
    </row>
    <row r="75" spans="1:10" ht="15.75" customHeight="1" x14ac:dyDescent="0.25">
      <c r="A75" t="str">
        <f>'HIDDEN import'!B74</f>
        <v>TC_C_44_CS</v>
      </c>
      <c r="B75" t="str">
        <f>'HIDDEN import'!C74</f>
        <v>Core</v>
      </c>
      <c r="C75" t="str">
        <f>'HIDDEN import'!D74</f>
        <v>Authorization by GroupId - Invalid status with Authorization Cache</v>
      </c>
      <c r="D75" t="str">
        <f>IF(VLOOKUP(A75&amp;" "&amp;B75,'HIDDEN import'!A:G,5,FALSE)="M",MD!$A$1,(IF(AND(VLOOKUP(A75,'HIDDEN import'!B:E,4,FALSE)="C",OR(NOT(ISERROR(VLOOKUP(E75,'Optional features'!B:D,1,FALSE)=E75)),NOT(ISERROR(VLOOKUP(E75,'HIDDEN calc sheet'!A:C,1,FALSE)=E75)))),MD!$A$3,MD!$A$2)))</f>
        <v>Mandatory for optional feature</v>
      </c>
      <c r="E75" t="str">
        <f>IF('HIDDEN import'!F74=0,"",'HIDDEN import'!F74)</f>
        <v>C-49 and ((C-30 and C-70) or (C-31 and C-71) or (C-32 and C-72))</v>
      </c>
      <c r="F75" t="str">
        <f>IF('HIDDEN import'!G74=0,"",'HIDDEN import'!G74)</f>
        <v>Authorization Cache</v>
      </c>
      <c r="G75" s="95" t="str">
        <f>IFERROR(VLOOKUP($A75,'HIDDEN Testrun Results'!$A:$B,2,FALSE),"")</f>
        <v/>
      </c>
      <c r="H75" s="6" t="b">
        <f t="shared" si="1"/>
        <v>0</v>
      </c>
      <c r="I75" s="6" t="b">
        <f>IF(VLOOKUP(A75&amp;" "&amp;B75,'HIDDEN import'!A:G,5,FALSE)="M",TRUE,IFERROR(VLOOKUP(E75,'Optional features'!B:D,3,FALSE)="Yes",IFERROR(VLOOKUP(E75,'HIDDEN calc sheet'!A:B,2,FALSE),IFERROR(VLOOKUP(E75,'Additional questions'!B:D,3,FALSE)="Yes",VLOOKUP(E75,'Hardware Feature set'!B:D,3,FALSE)="No"))))</f>
        <v>0</v>
      </c>
      <c r="J75" s="6" t="b">
        <f>IF(VLOOKUP(B75,'Profile selection'!B:C,2,FALSE)="Yes",TRUE,FALSE)</f>
        <v>1</v>
      </c>
    </row>
    <row r="76" spans="1:10" ht="15.75" customHeight="1" x14ac:dyDescent="0.25">
      <c r="A76" t="str">
        <f>'HIDDEN import'!B75</f>
        <v>TC_C_08_CS</v>
      </c>
      <c r="B76" t="str">
        <f>'HIDDEN import'!C75</f>
        <v>Core</v>
      </c>
      <c r="C76" t="str">
        <f>'HIDDEN import'!D75</f>
        <v>Authorization through authorization cache - Accepted</v>
      </c>
      <c r="D76" t="str">
        <f>IF(VLOOKUP(A76&amp;" "&amp;B76,'HIDDEN import'!A:G,5,FALSE)="M",MD!$A$1,(IF(AND(VLOOKUP(A76,'HIDDEN import'!B:E,4,FALSE)="C",OR(NOT(ISERROR(VLOOKUP(E76,'Optional features'!B:D,1,FALSE)=E76)),NOT(ISERROR(VLOOKUP(E76,'HIDDEN calc sheet'!A:C,1,FALSE)=E76)))),MD!$A$3,MD!$A$2)))</f>
        <v>Mandatory for optional feature</v>
      </c>
      <c r="E76" t="str">
        <f>IF('HIDDEN import'!F75=0,"",'HIDDEN import'!F75)</f>
        <v>C-49 and (((C-30 and C-70) or (C-31 and C-71) or (C-32 and C-72)) or (C-36 or C-37))</v>
      </c>
      <c r="F76" t="str">
        <f>IF('HIDDEN import'!G75=0,"",'HIDDEN import'!G75)</f>
        <v>Authorization Cache</v>
      </c>
      <c r="G76" s="95" t="str">
        <f>IFERROR(VLOOKUP($A76,'HIDDEN Testrun Results'!$A:$B,2,FALSE),"")</f>
        <v/>
      </c>
      <c r="H76" s="6" t="b">
        <f t="shared" si="1"/>
        <v>0</v>
      </c>
      <c r="I76" s="6" t="b">
        <f>IF(VLOOKUP(A76&amp;" "&amp;B76,'HIDDEN import'!A:G,5,FALSE)="M",TRUE,IFERROR(VLOOKUP(E76,'Optional features'!B:D,3,FALSE)="Yes",IFERROR(VLOOKUP(E76,'HIDDEN calc sheet'!A:B,2,FALSE),IFERROR(VLOOKUP(E76,'Additional questions'!B:D,3,FALSE)="Yes",VLOOKUP(E76,'Hardware Feature set'!B:D,3,FALSE)="No"))))</f>
        <v>0</v>
      </c>
      <c r="J76" s="6" t="b">
        <f>IF(VLOOKUP(B76,'Profile selection'!B:C,2,FALSE)="Yes",TRUE,FALSE)</f>
        <v>1</v>
      </c>
    </row>
    <row r="77" spans="1:10" ht="15.75" customHeight="1" x14ac:dyDescent="0.25">
      <c r="A77" t="str">
        <f>'HIDDEN import'!B76</f>
        <v>TC_C_09_CS</v>
      </c>
      <c r="B77" t="str">
        <f>'HIDDEN import'!C76</f>
        <v>Core</v>
      </c>
      <c r="C77" t="str">
        <f>'HIDDEN import'!D76</f>
        <v>Authorization through authorization cache - Invalid &amp; Not Accepted</v>
      </c>
      <c r="D77" t="str">
        <f>IF(VLOOKUP(A77&amp;" "&amp;B77,'HIDDEN import'!A:G,5,FALSE)="M",MD!$A$1,(IF(AND(VLOOKUP(A77,'HIDDEN import'!B:E,4,FALSE)="C",OR(NOT(ISERROR(VLOOKUP(E77,'Optional features'!B:D,1,FALSE)=E77)),NOT(ISERROR(VLOOKUP(E77,'HIDDEN calc sheet'!A:C,1,FALSE)=E77)))),MD!$A$3,MD!$A$2)))</f>
        <v>Mandatory for optional feature</v>
      </c>
      <c r="E77" t="str">
        <f>IF('HIDDEN import'!F76=0,"",'HIDDEN import'!F76)</f>
        <v>C-49 and (((C-30 and C-70) or (C-31 and C-71) or (C-32 and C-72)) or (C-36 or C-37))</v>
      </c>
      <c r="F77" t="str">
        <f>IF('HIDDEN import'!G76=0,"",'HIDDEN import'!G76)</f>
        <v>Authorization Cache</v>
      </c>
      <c r="G77" s="95" t="str">
        <f>IFERROR(VLOOKUP($A77,'HIDDEN Testrun Results'!$A:$B,2,FALSE),"")</f>
        <v/>
      </c>
      <c r="H77" s="6" t="b">
        <f t="shared" si="1"/>
        <v>0</v>
      </c>
      <c r="I77" s="6" t="b">
        <f>IF(VLOOKUP(A77&amp;" "&amp;B77,'HIDDEN import'!A:G,5,FALSE)="M",TRUE,IFERROR(VLOOKUP(E77,'Optional features'!B:D,3,FALSE)="Yes",IFERROR(VLOOKUP(E77,'HIDDEN calc sheet'!A:B,2,FALSE),IFERROR(VLOOKUP(E77,'Additional questions'!B:D,3,FALSE)="Yes",VLOOKUP(E77,'Hardware Feature set'!B:D,3,FALSE)="No"))))</f>
        <v>0</v>
      </c>
      <c r="J77" s="6" t="b">
        <f>IF(VLOOKUP(B77,'Profile selection'!B:C,2,FALSE)="Yes",TRUE,FALSE)</f>
        <v>1</v>
      </c>
    </row>
    <row r="78" spans="1:10" x14ac:dyDescent="0.25">
      <c r="A78" t="str">
        <f>'HIDDEN import'!B77</f>
        <v>TC_C_12_CS</v>
      </c>
      <c r="B78" t="str">
        <f>'HIDDEN import'!C77</f>
        <v>Core</v>
      </c>
      <c r="C78" t="str">
        <f>'HIDDEN import'!D77</f>
        <v>Authorization through authorization cache - Invalid &amp; Accepted</v>
      </c>
      <c r="D78" t="str">
        <f>IF(VLOOKUP(A78&amp;" "&amp;B78,'HIDDEN import'!A:G,5,FALSE)="M",MD!$A$1,(IF(AND(VLOOKUP(A78,'HIDDEN import'!B:E,4,FALSE)="C",OR(NOT(ISERROR(VLOOKUP(E78,'Optional features'!B:D,1,FALSE)=E78)),NOT(ISERROR(VLOOKUP(E78,'HIDDEN calc sheet'!A:C,1,FALSE)=E78)))),MD!$A$3,MD!$A$2)))</f>
        <v>Mandatory for optional feature</v>
      </c>
      <c r="E78" t="str">
        <f>IF('HIDDEN import'!F77=0,"",'HIDDEN import'!F77)</f>
        <v>C-49 and (((C-30 and C-70) or (C-31 and C-71) or (C-32 and C-72)) or (C-36 or C-37))</v>
      </c>
      <c r="F78" t="str">
        <f>IF('HIDDEN import'!G77=0,"",'HIDDEN import'!G77)</f>
        <v>Authorization Cache</v>
      </c>
      <c r="G78" s="95" t="str">
        <f>IFERROR(VLOOKUP($A78,'HIDDEN Testrun Results'!$A:$B,2,FALSE),"")</f>
        <v/>
      </c>
      <c r="H78" s="6" t="b">
        <f t="shared" si="1"/>
        <v>0</v>
      </c>
      <c r="I78" s="6" t="b">
        <f>IF(VLOOKUP(A78&amp;" "&amp;B78,'HIDDEN import'!A:G,5,FALSE)="M",TRUE,IFERROR(VLOOKUP(E78,'Optional features'!B:D,3,FALSE)="Yes",IFERROR(VLOOKUP(E78,'HIDDEN calc sheet'!A:B,2,FALSE),IFERROR(VLOOKUP(E78,'Additional questions'!B:D,3,FALSE)="Yes",VLOOKUP(E78,'Hardware Feature set'!B:D,3,FALSE)="No"))))</f>
        <v>0</v>
      </c>
      <c r="J78" s="6" t="b">
        <f>IF(VLOOKUP(B78,'Profile selection'!B:C,2,FALSE)="Yes",TRUE,FALSE)</f>
        <v>1</v>
      </c>
    </row>
    <row r="79" spans="1:10" x14ac:dyDescent="0.25">
      <c r="A79" t="str">
        <f>'HIDDEN import'!B78</f>
        <v>TC_C_10_CS</v>
      </c>
      <c r="B79" t="str">
        <f>'HIDDEN import'!C78</f>
        <v>Core</v>
      </c>
      <c r="C79" t="str">
        <f>'HIDDEN import'!D78</f>
        <v>Authorization through authorization cache - Blocked</v>
      </c>
      <c r="D79" t="str">
        <f>IF(VLOOKUP(A79&amp;" "&amp;B79,'HIDDEN import'!A:G,5,FALSE)="M",MD!$A$1,(IF(AND(VLOOKUP(A79,'HIDDEN import'!B:E,4,FALSE)="C",OR(NOT(ISERROR(VLOOKUP(E79,'Optional features'!B:D,1,FALSE)=E79)),NOT(ISERROR(VLOOKUP(E79,'HIDDEN calc sheet'!A:C,1,FALSE)=E79)))),MD!$A$3,MD!$A$2)))</f>
        <v>Mandatory for optional feature</v>
      </c>
      <c r="E79" t="str">
        <f>IF('HIDDEN import'!F78=0,"",'HIDDEN import'!F78)</f>
        <v>C-49 and (((C-30 and C-70) or (C-31 and C-71) or (C-32 and C-72)) or (C-36 or C-37))</v>
      </c>
      <c r="F79" t="str">
        <f>IF('HIDDEN import'!G78=0,"",'HIDDEN import'!G78)</f>
        <v>Authorization Cache</v>
      </c>
      <c r="G79" s="95" t="str">
        <f>IFERROR(VLOOKUP($A79,'HIDDEN Testrun Results'!$A:$B,2,FALSE),"")</f>
        <v/>
      </c>
      <c r="H79" s="6" t="b">
        <f t="shared" si="1"/>
        <v>0</v>
      </c>
      <c r="I79" s="6" t="b">
        <f>IF(VLOOKUP(A79&amp;" "&amp;B79,'HIDDEN import'!A:G,5,FALSE)="M",TRUE,IFERROR(VLOOKUP(E79,'Optional features'!B:D,3,FALSE)="Yes",IFERROR(VLOOKUP(E79,'HIDDEN calc sheet'!A:B,2,FALSE),IFERROR(VLOOKUP(E79,'Additional questions'!B:D,3,FALSE)="Yes",VLOOKUP(E79,'Hardware Feature set'!B:D,3,FALSE)="No"))))</f>
        <v>0</v>
      </c>
      <c r="J79" s="6" t="b">
        <f>IF(VLOOKUP(B79,'Profile selection'!B:C,2,FALSE)="Yes",TRUE,FALSE)</f>
        <v>1</v>
      </c>
    </row>
    <row r="80" spans="1:10" x14ac:dyDescent="0.25">
      <c r="A80" t="str">
        <f>'HIDDEN import'!B79</f>
        <v>TC_C_11_CS</v>
      </c>
      <c r="B80" t="str">
        <f>'HIDDEN import'!C79</f>
        <v>Core</v>
      </c>
      <c r="C80" t="str">
        <f>'HIDDEN import'!D79</f>
        <v>Authorization through authorization cache - Expired</v>
      </c>
      <c r="D80" t="str">
        <f>IF(VLOOKUP(A80&amp;" "&amp;B80,'HIDDEN import'!A:G,5,FALSE)="M",MD!$A$1,(IF(AND(VLOOKUP(A80,'HIDDEN import'!B:E,4,FALSE)="C",OR(NOT(ISERROR(VLOOKUP(E80,'Optional features'!B:D,1,FALSE)=E80)),NOT(ISERROR(VLOOKUP(E80,'HIDDEN calc sheet'!A:C,1,FALSE)=E80)))),MD!$A$3,MD!$A$2)))</f>
        <v>Mandatory for optional feature</v>
      </c>
      <c r="E80" t="str">
        <f>IF('HIDDEN import'!F79=0,"",'HIDDEN import'!F79)</f>
        <v>C-49 and (((C-30 and C-70) or (C-31 and C-71) or (C-32 and C-72)) or (C-36 or C-37))</v>
      </c>
      <c r="F80" t="str">
        <f>IF('HIDDEN import'!G79=0,"",'HIDDEN import'!G79)</f>
        <v>Authorization Cache</v>
      </c>
      <c r="G80" s="95" t="str">
        <f>IFERROR(VLOOKUP($A80,'HIDDEN Testrun Results'!$A:$B,2,FALSE),"")</f>
        <v/>
      </c>
      <c r="H80" s="6" t="b">
        <f t="shared" si="1"/>
        <v>0</v>
      </c>
      <c r="I80" s="6" t="b">
        <f>IF(VLOOKUP(A80&amp;" "&amp;B80,'HIDDEN import'!A:G,5,FALSE)="M",TRUE,IFERROR(VLOOKUP(E80,'Optional features'!B:D,3,FALSE)="Yes",IFERROR(VLOOKUP(E80,'HIDDEN calc sheet'!A:B,2,FALSE),IFERROR(VLOOKUP(E80,'Additional questions'!B:D,3,FALSE)="Yes",VLOOKUP(E80,'Hardware Feature set'!B:D,3,FALSE)="No"))))</f>
        <v>0</v>
      </c>
      <c r="J80" s="6" t="b">
        <f>IF(VLOOKUP(B80,'Profile selection'!B:C,2,FALSE)="Yes",TRUE,FALSE)</f>
        <v>1</v>
      </c>
    </row>
    <row r="81" spans="1:10" x14ac:dyDescent="0.25">
      <c r="A81" t="str">
        <f>'HIDDEN import'!B80</f>
        <v>TC_C_13_CS</v>
      </c>
      <c r="B81" t="str">
        <f>'HIDDEN import'!C80</f>
        <v>Core</v>
      </c>
      <c r="C81" t="str">
        <f>'HIDDEN import'!D80</f>
        <v>Authorization through authorization cache - Accepted but cable not connected yet.</v>
      </c>
      <c r="D81" t="str">
        <f>IF(VLOOKUP(A81&amp;" "&amp;B81,'HIDDEN import'!A:G,5,FALSE)="M",MD!$A$1,(IF(AND(VLOOKUP(A81,'HIDDEN import'!B:E,4,FALSE)="C",OR(NOT(ISERROR(VLOOKUP(E81,'Optional features'!B:D,1,FALSE)=E81)),NOT(ISERROR(VLOOKUP(E81,'HIDDEN calc sheet'!A:C,1,FALSE)=E81)))),MD!$A$3,MD!$A$2)))</f>
        <v>Mandatory for optional feature</v>
      </c>
      <c r="E81" t="str">
        <f>IF('HIDDEN import'!F80=0,"",'HIDDEN import'!F80)</f>
        <v>C-49 and (((C-30 and C-70) or (C-31 and C-71) or (C-32 and C-72)) or (C-36 or C-37))</v>
      </c>
      <c r="F81" t="str">
        <f>IF('HIDDEN import'!G80=0,"",'HIDDEN import'!G80)</f>
        <v>Authorization Cache</v>
      </c>
      <c r="G81" s="95" t="str">
        <f>IFERROR(VLOOKUP($A81,'HIDDEN Testrun Results'!$A:$B,2,FALSE),"")</f>
        <v/>
      </c>
      <c r="H81" s="6" t="b">
        <f t="shared" si="1"/>
        <v>0</v>
      </c>
      <c r="I81" s="6" t="b">
        <f>IF(VLOOKUP(A81&amp;" "&amp;B81,'HIDDEN import'!A:G,5,FALSE)="M",TRUE,IFERROR(VLOOKUP(E81,'Optional features'!B:D,3,FALSE)="Yes",IFERROR(VLOOKUP(E81,'HIDDEN calc sheet'!A:B,2,FALSE),IFERROR(VLOOKUP(E81,'Additional questions'!B:D,3,FALSE)="Yes",VLOOKUP(E81,'Hardware Feature set'!B:D,3,FALSE)="No"))))</f>
        <v>0</v>
      </c>
      <c r="J81" s="6" t="b">
        <f>IF(VLOOKUP(B81,'Profile selection'!B:C,2,FALSE)="Yes",TRUE,FALSE)</f>
        <v>1</v>
      </c>
    </row>
    <row r="82" spans="1:10" x14ac:dyDescent="0.25">
      <c r="A82" t="str">
        <f>'HIDDEN import'!B81</f>
        <v>TC_C_15_CS</v>
      </c>
      <c r="B82" t="str">
        <f>'HIDDEN import'!C81</f>
        <v>Core</v>
      </c>
      <c r="C82" t="str">
        <f>'HIDDEN import'!D81</f>
        <v>Authorization through authorization cache - StopTxOnInvalidId = false, MaxEnergyOnInvalidId &gt; 0</v>
      </c>
      <c r="D82" t="str">
        <f>IF(VLOOKUP(A82&amp;" "&amp;B82,'HIDDEN import'!A:G,5,FALSE)="M",MD!$A$1,(IF(AND(VLOOKUP(A82,'HIDDEN import'!B:E,4,FALSE)="C",OR(NOT(ISERROR(VLOOKUP(E82,'Optional features'!B:D,1,FALSE)=E82)),NOT(ISERROR(VLOOKUP(E82,'HIDDEN calc sheet'!A:C,1,FALSE)=E82)))),MD!$A$3,MD!$A$2)))</f>
        <v>Mandatory for optional feature</v>
      </c>
      <c r="E82" t="str">
        <f>IF('HIDDEN import'!F81=0,"",'HIDDEN import'!F81)</f>
        <v>C-49 and C-03 and ((C-30 and C-70) or (C-31 and C-71) or (C-32 and C-72))</v>
      </c>
      <c r="F82" t="str">
        <f>IF('HIDDEN import'!G81=0,"",'HIDDEN import'!G81)</f>
        <v>Authorization Cache &amp; MaxEnergyOnInvalidId</v>
      </c>
      <c r="G82" s="95" t="str">
        <f>IFERROR(VLOOKUP($A82,'HIDDEN Testrun Results'!$A:$B,2,FALSE),"")</f>
        <v/>
      </c>
      <c r="H82" s="6" t="b">
        <f t="shared" si="1"/>
        <v>0</v>
      </c>
      <c r="I82" s="6" t="b">
        <f>IF(VLOOKUP(A82&amp;" "&amp;B82,'HIDDEN import'!A:G,5,FALSE)="M",TRUE,IFERROR(VLOOKUP(E82,'Optional features'!B:D,3,FALSE)="Yes",IFERROR(VLOOKUP(E82,'HIDDEN calc sheet'!A:B,2,FALSE),IFERROR(VLOOKUP(E82,'Additional questions'!B:D,3,FALSE)="Yes",VLOOKUP(E82,'Hardware Feature set'!B:D,3,FALSE)="No"))))</f>
        <v>0</v>
      </c>
      <c r="J82" s="6" t="b">
        <f>IF(VLOOKUP(B82,'Profile selection'!B:C,2,FALSE)="Yes",TRUE,FALSE)</f>
        <v>1</v>
      </c>
    </row>
    <row r="83" spans="1:10" x14ac:dyDescent="0.25">
      <c r="A83" t="str">
        <f>'HIDDEN import'!B82</f>
        <v>TC_C_16_CS</v>
      </c>
      <c r="B83" t="str">
        <f>'HIDDEN import'!C82</f>
        <v>Core</v>
      </c>
      <c r="C83" t="str">
        <f>'HIDDEN import'!D82</f>
        <v>Authorization through authorization cache - StopTxOnInvalidId = true</v>
      </c>
      <c r="D83" t="str">
        <f>IF(VLOOKUP(A83&amp;" "&amp;B83,'HIDDEN import'!A:G,5,FALSE)="M",MD!$A$1,(IF(AND(VLOOKUP(A83,'HIDDEN import'!B:E,4,FALSE)="C",OR(NOT(ISERROR(VLOOKUP(E83,'Optional features'!B:D,1,FALSE)=E83)),NOT(ISERROR(VLOOKUP(E83,'HIDDEN calc sheet'!A:C,1,FALSE)=E83)))),MD!$A$3,MD!$A$2)))</f>
        <v>Mandatory for optional feature</v>
      </c>
      <c r="E83" t="str">
        <f>IF('HIDDEN import'!F82=0,"",'HIDDEN import'!F82)</f>
        <v>C-49 and ((C-30 and C-70) or (C-31 and C-71) or (C-32 and C-72))</v>
      </c>
      <c r="F83" t="str">
        <f>IF('HIDDEN import'!G82=0,"",'HIDDEN import'!G82)</f>
        <v>Authorization Cache</v>
      </c>
      <c r="G83" s="95" t="str">
        <f>IFERROR(VLOOKUP($A83,'HIDDEN Testrun Results'!$A:$B,2,FALSE),"")</f>
        <v/>
      </c>
      <c r="H83" s="6" t="b">
        <f t="shared" si="1"/>
        <v>0</v>
      </c>
      <c r="I83" s="6" t="b">
        <f>IF(VLOOKUP(A83&amp;" "&amp;B83,'HIDDEN import'!A:G,5,FALSE)="M",TRUE,IFERROR(VLOOKUP(E83,'Optional features'!B:D,3,FALSE)="Yes",IFERROR(VLOOKUP(E83,'HIDDEN calc sheet'!A:B,2,FALSE),IFERROR(VLOOKUP(E83,'Additional questions'!B:D,3,FALSE)="Yes",VLOOKUP(E83,'Hardware Feature set'!B:D,3,FALSE)="No"))))</f>
        <v>0</v>
      </c>
      <c r="J83" s="6" t="b">
        <f>IF(VLOOKUP(B83,'Profile selection'!B:C,2,FALSE)="Yes",TRUE,FALSE)</f>
        <v>1</v>
      </c>
    </row>
    <row r="84" spans="1:10" x14ac:dyDescent="0.25">
      <c r="A84" t="str">
        <f>'HIDDEN import'!B83</f>
        <v>TC_C_17_CS</v>
      </c>
      <c r="B84" t="str">
        <f>'HIDDEN import'!C83</f>
        <v>Core</v>
      </c>
      <c r="C84" t="str">
        <f>'HIDDEN import'!D83</f>
        <v>Authorization through authorization cache - StopTxOnInvalidId = false</v>
      </c>
      <c r="D84" t="str">
        <f>IF(VLOOKUP(A84&amp;" "&amp;B84,'HIDDEN import'!A:G,5,FALSE)="M",MD!$A$1,(IF(AND(VLOOKUP(A84,'HIDDEN import'!B:E,4,FALSE)="C",OR(NOT(ISERROR(VLOOKUP(E84,'Optional features'!B:D,1,FALSE)=E84)),NOT(ISERROR(VLOOKUP(E84,'HIDDEN calc sheet'!A:C,1,FALSE)=E84)))),MD!$A$3,MD!$A$2)))</f>
        <v>Mandatory for optional feature</v>
      </c>
      <c r="E84" t="str">
        <f>IF('HIDDEN import'!F83=0,"",'HIDDEN import'!F83)</f>
        <v>C-49 and ((C-30 and C-70) or (C-31 and C-71) or (C-32 and C-72))</v>
      </c>
      <c r="F84" t="str">
        <f>IF('HIDDEN import'!G83=0,"",'HIDDEN import'!G83)</f>
        <v>Authorization Cache</v>
      </c>
      <c r="G84" s="95" t="str">
        <f>IFERROR(VLOOKUP($A84,'HIDDEN Testrun Results'!$A:$B,2,FALSE),"")</f>
        <v/>
      </c>
      <c r="H84" s="6" t="b">
        <f t="shared" si="1"/>
        <v>0</v>
      </c>
      <c r="I84" s="6" t="b">
        <f>IF(VLOOKUP(A84&amp;" "&amp;B84,'HIDDEN import'!A:G,5,FALSE)="M",TRUE,IFERROR(VLOOKUP(E84,'Optional features'!B:D,3,FALSE)="Yes",IFERROR(VLOOKUP(E84,'HIDDEN calc sheet'!A:B,2,FALSE),IFERROR(VLOOKUP(E84,'Additional questions'!B:D,3,FALSE)="Yes",VLOOKUP(E84,'Hardware Feature set'!B:D,3,FALSE)="No"))))</f>
        <v>0</v>
      </c>
      <c r="J84" s="6" t="b">
        <f>IF(VLOOKUP(B84,'Profile selection'!B:C,2,FALSE)="Yes",TRUE,FALSE)</f>
        <v>1</v>
      </c>
    </row>
    <row r="85" spans="1:10" x14ac:dyDescent="0.25">
      <c r="A85" t="str">
        <f>'HIDDEN import'!B84</f>
        <v>TC_C_18_CS</v>
      </c>
      <c r="B85" t="str">
        <f>'HIDDEN import'!C84</f>
        <v>Core</v>
      </c>
      <c r="C85" t="str">
        <f>'HIDDEN import'!D84</f>
        <v>Authorization through authorization cache - StopTxOnInvalidId = true, MaxEnergyOnInvalidId &gt; 0</v>
      </c>
      <c r="D85" t="str">
        <f>IF(VLOOKUP(A85&amp;" "&amp;B85,'HIDDEN import'!A:G,5,FALSE)="M",MD!$A$1,(IF(AND(VLOOKUP(A85,'HIDDEN import'!B:E,4,FALSE)="C",OR(NOT(ISERROR(VLOOKUP(E85,'Optional features'!B:D,1,FALSE)=E85)),NOT(ISERROR(VLOOKUP(E85,'HIDDEN calc sheet'!A:C,1,FALSE)=E85)))),MD!$A$3,MD!$A$2)))</f>
        <v>Mandatory for optional feature</v>
      </c>
      <c r="E85" t="str">
        <f>IF('HIDDEN import'!F84=0,"",'HIDDEN import'!F84)</f>
        <v>C-49 and C-03 and ((C-30 and C-70) or (C-31 and C-71) or (C-32 and C-72))</v>
      </c>
      <c r="F85" t="str">
        <f>IF('HIDDEN import'!G84=0,"",'HIDDEN import'!G84)</f>
        <v>Authorization Cache &amp; MaxEnergyOnInvalidId</v>
      </c>
      <c r="G85" s="95" t="str">
        <f>IFERROR(VLOOKUP($A85,'HIDDEN Testrun Results'!$A:$B,2,FALSE),"")</f>
        <v/>
      </c>
      <c r="H85" s="6" t="b">
        <f t="shared" si="1"/>
        <v>0</v>
      </c>
      <c r="I85" s="6" t="b">
        <f>IF(VLOOKUP(A85&amp;" "&amp;B85,'HIDDEN import'!A:G,5,FALSE)="M",TRUE,IFERROR(VLOOKUP(E85,'Optional features'!B:D,3,FALSE)="Yes",IFERROR(VLOOKUP(E85,'HIDDEN calc sheet'!A:B,2,FALSE),IFERROR(VLOOKUP(E85,'Additional questions'!B:D,3,FALSE)="Yes",VLOOKUP(E85,'Hardware Feature set'!B:D,3,FALSE)="No"))))</f>
        <v>0</v>
      </c>
      <c r="J85" s="6" t="b">
        <f>IF(VLOOKUP(B85,'Profile selection'!B:C,2,FALSE)="Yes",TRUE,FALSE)</f>
        <v>1</v>
      </c>
    </row>
    <row r="86" spans="1:10" x14ac:dyDescent="0.25">
      <c r="A86" t="str">
        <f>'HIDDEN import'!B85</f>
        <v>TC_C_57_CS</v>
      </c>
      <c r="B86" t="str">
        <f>'HIDDEN import'!C85</f>
        <v>Core</v>
      </c>
      <c r="C86" t="str">
        <f>'HIDDEN import'!D85</f>
        <v>Authorization through authorization cache - AuthCacheDisablePostAuthorize</v>
      </c>
      <c r="D86" t="str">
        <f>IF(VLOOKUP(A86&amp;" "&amp;B86,'HIDDEN import'!A:G,5,FALSE)="M",MD!$A$1,(IF(AND(VLOOKUP(A86,'HIDDEN import'!B:E,4,FALSE)="C",OR(NOT(ISERROR(VLOOKUP(E86,'Optional features'!B:D,1,FALSE)=E86)),NOT(ISERROR(VLOOKUP(E86,'HIDDEN calc sheet'!A:C,1,FALSE)=E86)))),MD!$A$3,MD!$A$2)))</f>
        <v>Mandatory for optional feature</v>
      </c>
      <c r="E86" t="str">
        <f>IF('HIDDEN import'!F85=0,"",'HIDDEN import'!F85)</f>
        <v>C-59 and C-49 and (((C-30 and C-70) or (C-31 and C-71) or (C-32 and C-72)) or (C-36 or C-37))</v>
      </c>
      <c r="F86" t="str">
        <f>IF('HIDDEN import'!G85=0,"",'HIDDEN import'!G85)</f>
        <v/>
      </c>
      <c r="G86" s="95" t="str">
        <f>IFERROR(VLOOKUP($A86,'HIDDEN Testrun Results'!$A:$B,2,FALSE),"")</f>
        <v/>
      </c>
      <c r="H86" s="6" t="b">
        <f t="shared" si="1"/>
        <v>0</v>
      </c>
      <c r="I86" s="6" t="b">
        <f>IF(VLOOKUP(A86&amp;" "&amp;B86,'HIDDEN import'!A:G,5,FALSE)="M",TRUE,IFERROR(VLOOKUP(E86,'Optional features'!B:D,3,FALSE)="Yes",IFERROR(VLOOKUP(E86,'HIDDEN calc sheet'!A:B,2,FALSE),IFERROR(VLOOKUP(E86,'Additional questions'!B:D,3,FALSE)="Yes",VLOOKUP(E86,'Hardware Feature set'!B:D,3,FALSE)="No"))))</f>
        <v>0</v>
      </c>
      <c r="J86" s="6" t="b">
        <f>IF(VLOOKUP(B86,'Profile selection'!B:C,2,FALSE)="Yes",TRUE,FALSE)</f>
        <v>1</v>
      </c>
    </row>
    <row r="87" spans="1:10" x14ac:dyDescent="0.25">
      <c r="A87" t="str">
        <f>'HIDDEN import'!B86</f>
        <v>TC_E_03_CS</v>
      </c>
      <c r="B87" t="str">
        <f>'HIDDEN import'!C86</f>
        <v>Core</v>
      </c>
      <c r="C87" t="str">
        <f>'HIDDEN import'!D86</f>
        <v>Local start transaction - Cable plugin first - Success</v>
      </c>
      <c r="D87" t="str">
        <f>IF(VLOOKUP(A87&amp;" "&amp;B87,'HIDDEN import'!A:G,5,FALSE)="M",MD!$A$1,(IF(AND(VLOOKUP(A87,'HIDDEN import'!B:E,4,FALSE)="C",OR(NOT(ISERROR(VLOOKUP(E87,'Optional features'!B:D,1,FALSE)=E87)),NOT(ISERROR(VLOOKUP(E87,'HIDDEN calc sheet'!A:C,1,FALSE)=E87)))),MD!$A$3,MD!$A$2)))</f>
        <v>Mandatory for optional feature</v>
      </c>
      <c r="E87" t="str">
        <f>IF('HIDDEN import'!F86=0,"",'HIDDEN import'!F86)</f>
        <v>NOT AQ-2 and (C-30 or C-31 or C-32 or C-33 or C-34 or C-35 or ISO 15118 support)</v>
      </c>
      <c r="F87" t="str">
        <f>IF('HIDDEN import'!G86=0,"",'HIDDEN import'!G86)</f>
        <v>Authorization options for local start</v>
      </c>
      <c r="G87" s="95" t="str">
        <f>IFERROR(VLOOKUP($A87,'HIDDEN Testrun Results'!$A:$B,2,FALSE),"")</f>
        <v/>
      </c>
      <c r="H87" s="6" t="b">
        <f t="shared" si="1"/>
        <v>0</v>
      </c>
      <c r="I87" s="6" t="b">
        <f>IF(VLOOKUP(A87&amp;" "&amp;B87,'HIDDEN import'!A:G,5,FALSE)="M",TRUE,IFERROR(VLOOKUP(E87,'Optional features'!B:D,3,FALSE)="Yes",IFERROR(VLOOKUP(E87,'HIDDEN calc sheet'!A:B,2,FALSE),IFERROR(VLOOKUP(E87,'Additional questions'!B:D,3,FALSE)="Yes",VLOOKUP(E87,'Hardware Feature set'!B:D,3,FALSE)="No"))))</f>
        <v>0</v>
      </c>
      <c r="J87" s="6" t="b">
        <f>IF(VLOOKUP(B87,'Profile selection'!B:C,2,FALSE)="Yes",TRUE,FALSE)</f>
        <v>1</v>
      </c>
    </row>
    <row r="88" spans="1:10" x14ac:dyDescent="0.25">
      <c r="A88" t="str">
        <f>'HIDDEN import'!B87</f>
        <v>TC_E_04_CS</v>
      </c>
      <c r="B88" t="str">
        <f>'HIDDEN import'!C87</f>
        <v>Core</v>
      </c>
      <c r="C88" t="str">
        <f>'HIDDEN import'!D87</f>
        <v>Local start transaction - Authorization first - Success</v>
      </c>
      <c r="D88" t="str">
        <f>IF(VLOOKUP(A88&amp;" "&amp;B88,'HIDDEN import'!A:G,5,FALSE)="M",MD!$A$1,(IF(AND(VLOOKUP(A88,'HIDDEN import'!B:E,4,FALSE)="C",OR(NOT(ISERROR(VLOOKUP(E88,'Optional features'!B:D,1,FALSE)=E88)),NOT(ISERROR(VLOOKUP(E88,'HIDDEN calc sheet'!A:C,1,FALSE)=E88)))),MD!$A$3,MD!$A$2)))</f>
        <v>Mandatory for optional feature</v>
      </c>
      <c r="E88" t="str">
        <f>IF('HIDDEN import'!F87=0,"",'HIDDEN import'!F87)</f>
        <v>C-30 or C-31 or C-32 or C-33 or C-35</v>
      </c>
      <c r="F88" t="str">
        <f>IF('HIDDEN import'!G87=0,"",'HIDDEN import'!G87)</f>
        <v>Authorization options for local start</v>
      </c>
      <c r="G88" s="95" t="str">
        <f>IFERROR(VLOOKUP($A88,'HIDDEN Testrun Results'!$A:$B,2,FALSE),"")</f>
        <v/>
      </c>
      <c r="H88" s="6" t="b">
        <f t="shared" si="1"/>
        <v>0</v>
      </c>
      <c r="I88" s="6" t="b">
        <f>IF(VLOOKUP(A88&amp;" "&amp;B88,'HIDDEN import'!A:G,5,FALSE)="M",TRUE,IFERROR(VLOOKUP(E88,'Optional features'!B:D,3,FALSE)="Yes",IFERROR(VLOOKUP(E88,'HIDDEN calc sheet'!A:B,2,FALSE),IFERROR(VLOOKUP(E88,'Additional questions'!B:D,3,FALSE)="Yes",VLOOKUP(E88,'Hardware Feature set'!B:D,3,FALSE)="No"))))</f>
        <v>0</v>
      </c>
      <c r="J88" s="6" t="b">
        <f>IF(VLOOKUP(B88,'Profile selection'!B:C,2,FALSE)="Yes",TRUE,FALSE)</f>
        <v>1</v>
      </c>
    </row>
    <row r="89" spans="1:10" x14ac:dyDescent="0.25">
      <c r="A89" t="str">
        <f>'HIDDEN import'!B88</f>
        <v>TC_E_05_CS</v>
      </c>
      <c r="B89" t="str">
        <f>'HIDDEN import'!C88</f>
        <v>Core</v>
      </c>
      <c r="C89" t="str">
        <f>'HIDDEN import'!D88</f>
        <v>Local start transaction - Authorization first - Cable plugin timeout</v>
      </c>
      <c r="D89" t="str">
        <f>IF(VLOOKUP(A89&amp;" "&amp;B89,'HIDDEN import'!A:G,5,FALSE)="M",MD!$A$1,(IF(AND(VLOOKUP(A89,'HIDDEN import'!B:E,4,FALSE)="C",OR(NOT(ISERROR(VLOOKUP(E89,'Optional features'!B:D,1,FALSE)=E89)),NOT(ISERROR(VLOOKUP(E89,'HIDDEN calc sheet'!A:C,1,FALSE)=E89)))),MD!$A$3,MD!$A$2)))</f>
        <v>Mandatory for optional feature</v>
      </c>
      <c r="E89" t="str">
        <f>IF('HIDDEN import'!F88=0,"",'HIDDEN import'!F88)</f>
        <v>C-30 or C-31 or C-32 or C-33 or C-35</v>
      </c>
      <c r="F89" t="str">
        <f>IF('HIDDEN import'!G88=0,"",'HIDDEN import'!G88)</f>
        <v>Authorization options for local start</v>
      </c>
      <c r="G89" s="95" t="str">
        <f>IFERROR(VLOOKUP($A89,'HIDDEN Testrun Results'!$A:$B,2,FALSE),"")</f>
        <v/>
      </c>
      <c r="H89" s="6" t="b">
        <f t="shared" si="1"/>
        <v>0</v>
      </c>
      <c r="I89" s="6" t="b">
        <f>IF(VLOOKUP(A89&amp;" "&amp;B89,'HIDDEN import'!A:G,5,FALSE)="M",TRUE,IFERROR(VLOOKUP(E89,'Optional features'!B:D,3,FALSE)="Yes",IFERROR(VLOOKUP(E89,'HIDDEN calc sheet'!A:B,2,FALSE),IFERROR(VLOOKUP(E89,'Additional questions'!B:D,3,FALSE)="Yes",VLOOKUP(E89,'Hardware Feature set'!B:D,3,FALSE)="No"))))</f>
        <v>0</v>
      </c>
      <c r="J89" s="6" t="b">
        <f>IF(VLOOKUP(B89,'Profile selection'!B:C,2,FALSE)="Yes",TRUE,FALSE)</f>
        <v>1</v>
      </c>
    </row>
    <row r="90" spans="1:10" x14ac:dyDescent="0.25">
      <c r="A90" t="str">
        <f>'HIDDEN import'!B89</f>
        <v>TC_E_52_CS</v>
      </c>
      <c r="B90" t="str">
        <f>'HIDDEN import'!C89</f>
        <v>Core</v>
      </c>
      <c r="C90" t="str">
        <f>'HIDDEN import'!D89</f>
        <v>Local start transaction - Authorization first - DisableRemoteAuthorization</v>
      </c>
      <c r="D90" t="str">
        <f>IF(VLOOKUP(A90&amp;" "&amp;B90,'HIDDEN import'!A:G,5,FALSE)="M",MD!$A$1,(IF(AND(VLOOKUP(A90,'HIDDEN import'!B:E,4,FALSE)="C",OR(NOT(ISERROR(VLOOKUP(E90,'Optional features'!B:D,1,FALSE)=E90)),NOT(ISERROR(VLOOKUP(E90,'HIDDEN calc sheet'!A:C,1,FALSE)=E90)))),MD!$A$3,MD!$A$2)))</f>
        <v>Mandatory for optional feature</v>
      </c>
      <c r="E90" t="str">
        <f>IF('HIDDEN import'!F89=0,"",'HIDDEN import'!F89)</f>
        <v>C-58 and (C-30 or C-31 or C-32) and (C-49 or Local Authorization List Management)</v>
      </c>
      <c r="F90" t="str">
        <f>IF('HIDDEN import'!G89=0,"",'HIDDEN import'!G89)</f>
        <v>Local Authorization - using RFID ISO14443 / RFID ISO15693 / KeyCode &amp;</v>
      </c>
      <c r="G90" s="95" t="str">
        <f>IFERROR(VLOOKUP($A90,'HIDDEN Testrun Results'!$A:$B,2,FALSE),"")</f>
        <v/>
      </c>
      <c r="H90" s="6" t="b">
        <f t="shared" si="1"/>
        <v>0</v>
      </c>
      <c r="I90" s="6" t="b">
        <f>IF(VLOOKUP(A90&amp;" "&amp;B90,'HIDDEN import'!A:G,5,FALSE)="M",TRUE,IFERROR(VLOOKUP(E90,'Optional features'!B:D,3,FALSE)="Yes",IFERROR(VLOOKUP(E90,'HIDDEN calc sheet'!A:B,2,FALSE),IFERROR(VLOOKUP(E90,'Additional questions'!B:D,3,FALSE)="Yes",VLOOKUP(E90,'Hardware Feature set'!B:D,3,FALSE)="No"))))</f>
        <v>0</v>
      </c>
      <c r="J90" s="6" t="b">
        <f>IF(VLOOKUP(B90,'Profile selection'!B:C,2,FALSE)="Yes",TRUE,FALSE)</f>
        <v>1</v>
      </c>
    </row>
    <row r="91" spans="1:10" x14ac:dyDescent="0.25">
      <c r="A91" t="str">
        <f>'HIDDEN import'!B90</f>
        <v>TC_E_09_CS</v>
      </c>
      <c r="B91" t="str">
        <f>'HIDDEN import'!C90</f>
        <v>Core</v>
      </c>
      <c r="C91" t="str">
        <f>'HIDDEN import'!D90</f>
        <v>Start transaction options - EVConnected</v>
      </c>
      <c r="D91" t="str">
        <f>IF(VLOOKUP(A91&amp;" "&amp;B91,'HIDDEN import'!A:G,5,FALSE)="M",MD!$A$1,(IF(AND(VLOOKUP(A91,'HIDDEN import'!B:E,4,FALSE)="C",OR(NOT(ISERROR(VLOOKUP(E91,'Optional features'!B:D,1,FALSE)=E91)),NOT(ISERROR(VLOOKUP(E91,'HIDDEN calc sheet'!A:C,1,FALSE)=E91)))),MD!$A$3,MD!$A$2)))</f>
        <v>Mandatory for optional feature</v>
      </c>
      <c r="E91" t="str">
        <f>IF('HIDDEN import'!F90=0,"",'HIDDEN import'!F90)</f>
        <v>(C-09.1 and (C-51 or NOT C-09.6)) and NOT AQ-2</v>
      </c>
      <c r="F91" t="str">
        <f>IF('HIDDEN import'!G90=0,"",'HIDDEN import'!G90)</f>
        <v/>
      </c>
      <c r="G91" s="95" t="str">
        <f>IFERROR(VLOOKUP($A91,'HIDDEN Testrun Results'!$A:$B,2,FALSE),"")</f>
        <v/>
      </c>
      <c r="H91" s="6" t="b">
        <f t="shared" si="1"/>
        <v>0</v>
      </c>
      <c r="I91" s="6" t="b">
        <f>IF(VLOOKUP(A91&amp;" "&amp;B91,'HIDDEN import'!A:G,5,FALSE)="M",TRUE,IFERROR(VLOOKUP(E91,'Optional features'!B:D,3,FALSE)="Yes",IFERROR(VLOOKUP(E91,'HIDDEN calc sheet'!A:B,2,FALSE),IFERROR(VLOOKUP(E91,'Additional questions'!B:D,3,FALSE)="Yes",VLOOKUP(E91,'Hardware Feature set'!B:D,3,FALSE)="No"))))</f>
        <v>0</v>
      </c>
      <c r="J91" s="6" t="b">
        <f>IF(VLOOKUP(B91,'Profile selection'!B:C,2,FALSE)="Yes",TRUE,FALSE)</f>
        <v>1</v>
      </c>
    </row>
    <row r="92" spans="1:10" x14ac:dyDescent="0.25">
      <c r="A92" t="str">
        <f>'HIDDEN import'!B91</f>
        <v>TC_E_10_CS</v>
      </c>
      <c r="B92" t="str">
        <f>'HIDDEN import'!C91</f>
        <v>Core</v>
      </c>
      <c r="C92" t="str">
        <f>'HIDDEN import'!D91</f>
        <v>Start transaction options - Authorized - Local</v>
      </c>
      <c r="D92" t="str">
        <f>IF(VLOOKUP(A92&amp;" "&amp;B92,'HIDDEN import'!A:G,5,FALSE)="M",MD!$A$1,(IF(AND(VLOOKUP(A92,'HIDDEN import'!B:E,4,FALSE)="C",OR(NOT(ISERROR(VLOOKUP(E92,'Optional features'!B:D,1,FALSE)=E92)),NOT(ISERROR(VLOOKUP(E92,'HIDDEN calc sheet'!A:C,1,FALSE)=E92)))),MD!$A$3,MD!$A$2)))</f>
        <v>Mandatory for optional feature</v>
      </c>
      <c r="E92" t="str">
        <f>IF('HIDDEN import'!F91=0,"",'HIDDEN import'!F91)</f>
        <v>C-09.2 and (C-30 or C-31 or C-32 or C-33 or C-34 or C-35 or ISO 15118 support)</v>
      </c>
      <c r="F92" t="str">
        <f>IF('HIDDEN import'!G91=0,"",'HIDDEN import'!G91)</f>
        <v>Supported Transaction Start Points &amp; Authorization options for local start &amp; Authorization - eMAID</v>
      </c>
      <c r="G92" s="95" t="str">
        <f>IFERROR(VLOOKUP($A92,'HIDDEN Testrun Results'!$A:$B,2,FALSE),"")</f>
        <v/>
      </c>
      <c r="H92" s="6" t="b">
        <f t="shared" si="1"/>
        <v>0</v>
      </c>
      <c r="I92" s="6" t="b">
        <f>IF(VLOOKUP(A92&amp;" "&amp;B92,'HIDDEN import'!A:G,5,FALSE)="M",TRUE,IFERROR(VLOOKUP(E92,'Optional features'!B:D,3,FALSE)="Yes",IFERROR(VLOOKUP(E92,'HIDDEN calc sheet'!A:B,2,FALSE),IFERROR(VLOOKUP(E92,'Additional questions'!B:D,3,FALSE)="Yes",VLOOKUP(E92,'Hardware Feature set'!B:D,3,FALSE)="No"))))</f>
        <v>0</v>
      </c>
      <c r="J92" s="6" t="b">
        <f>IF(VLOOKUP(B92,'Profile selection'!B:C,2,FALSE)="Yes",TRUE,FALSE)</f>
        <v>1</v>
      </c>
    </row>
    <row r="93" spans="1:10" x14ac:dyDescent="0.25">
      <c r="A93" t="str">
        <f>'HIDDEN import'!B92</f>
        <v>TC_E_13_CS</v>
      </c>
      <c r="B93" t="str">
        <f>'HIDDEN import'!C92</f>
        <v>Core</v>
      </c>
      <c r="C93" t="str">
        <f>'HIDDEN import'!D92</f>
        <v>Start transaction options - Authorized - Remote</v>
      </c>
      <c r="D93" t="str">
        <f>IF(VLOOKUP(A93&amp;" "&amp;B93,'HIDDEN import'!A:G,5,FALSE)="M",MD!$A$1,(IF(AND(VLOOKUP(A93,'HIDDEN import'!B:E,4,FALSE)="C",OR(NOT(ISERROR(VLOOKUP(E93,'Optional features'!B:D,1,FALSE)=E93)),NOT(ISERROR(VLOOKUP(E93,'HIDDEN calc sheet'!A:C,1,FALSE)=E93)))),MD!$A$3,MD!$A$2)))</f>
        <v>Mandatory for optional feature</v>
      </c>
      <c r="E93" t="str">
        <f>IF('HIDDEN import'!F92=0,"",'HIDDEN import'!F92)</f>
        <v>C-09.2</v>
      </c>
      <c r="F93" t="str">
        <f>IF('HIDDEN import'!G92=0,"",'HIDDEN import'!G92)</f>
        <v>Supported Transaction Start points</v>
      </c>
      <c r="G93" s="95" t="str">
        <f>IFERROR(VLOOKUP($A93,'HIDDEN Testrun Results'!$A:$B,2,FALSE),"")</f>
        <v/>
      </c>
      <c r="H93" s="6" t="b">
        <f t="shared" si="1"/>
        <v>0</v>
      </c>
      <c r="I93" s="6" t="b">
        <f>IF(VLOOKUP(A93&amp;" "&amp;B93,'HIDDEN import'!A:G,5,FALSE)="M",TRUE,IFERROR(VLOOKUP(E93,'Optional features'!B:D,3,FALSE)="Yes",IFERROR(VLOOKUP(E93,'HIDDEN calc sheet'!A:B,2,FALSE),IFERROR(VLOOKUP(E93,'Additional questions'!B:D,3,FALSE)="Yes",VLOOKUP(E93,'Hardware Feature set'!B:D,3,FALSE)="No"))))</f>
        <v>0</v>
      </c>
      <c r="J93" s="6" t="b">
        <f>IF(VLOOKUP(B93,'Profile selection'!B:C,2,FALSE)="Yes",TRUE,FALSE)</f>
        <v>1</v>
      </c>
    </row>
    <row r="94" spans="1:10" x14ac:dyDescent="0.25">
      <c r="A94" t="str">
        <f>'HIDDEN import'!B93</f>
        <v>TC_E_11_CS</v>
      </c>
      <c r="B94" t="str">
        <f>'HIDDEN import'!C93</f>
        <v>Core</v>
      </c>
      <c r="C94" t="str">
        <f>'HIDDEN import'!D93</f>
        <v>Start transaction options - DataSigned</v>
      </c>
      <c r="D94" t="str">
        <f>IF(VLOOKUP(A94&amp;" "&amp;B94,'HIDDEN import'!A:G,5,FALSE)="M",MD!$A$1,(IF(AND(VLOOKUP(A94,'HIDDEN import'!B:E,4,FALSE)="C",OR(NOT(ISERROR(VLOOKUP(E94,'Optional features'!B:D,1,FALSE)=E94)),NOT(ISERROR(VLOOKUP(E94,'HIDDEN calc sheet'!A:C,1,FALSE)=E94)))),MD!$A$3,MD!$A$2)))</f>
        <v>Mandatory for optional feature</v>
      </c>
      <c r="E94" t="str">
        <f>IF('HIDDEN import'!F93=0,"",'HIDDEN import'!F93)</f>
        <v>C-09.3 and (C-51 or NOT (C-09.1 or C-09.2 or C-09.6))</v>
      </c>
      <c r="F94" t="str">
        <f>IF('HIDDEN import'!G93=0,"",'HIDDEN import'!G93)</f>
        <v>Supported Transaction Start points</v>
      </c>
      <c r="G94" s="95" t="str">
        <f>IFERROR(VLOOKUP($A94,'HIDDEN Testrun Results'!$A:$B,2,FALSE),"")</f>
        <v/>
      </c>
      <c r="H94" s="6" t="b">
        <f t="shared" si="1"/>
        <v>0</v>
      </c>
      <c r="I94" s="6" t="b">
        <f>IF(VLOOKUP(A94&amp;" "&amp;B94,'HIDDEN import'!A:G,5,FALSE)="M",TRUE,IFERROR(VLOOKUP(E94,'Optional features'!B:D,3,FALSE)="Yes",IFERROR(VLOOKUP(E94,'HIDDEN calc sheet'!A:B,2,FALSE),IFERROR(VLOOKUP(E94,'Additional questions'!B:D,3,FALSE)="Yes",VLOOKUP(E94,'Hardware Feature set'!B:D,3,FALSE)="No"))))</f>
        <v>0</v>
      </c>
      <c r="J94" s="6" t="b">
        <f>IF(VLOOKUP(B94,'Profile selection'!B:C,2,FALSE)="Yes",TRUE,FALSE)</f>
        <v>1</v>
      </c>
    </row>
    <row r="95" spans="1:10" x14ac:dyDescent="0.25">
      <c r="A95" t="str">
        <f>'HIDDEN import'!B94</f>
        <v>TC_E_01_CS</v>
      </c>
      <c r="B95" t="str">
        <f>'HIDDEN import'!C94</f>
        <v>Core</v>
      </c>
      <c r="C95" t="str">
        <f>'HIDDEN import'!D94</f>
        <v>Start transaction options - PowerPathClosed</v>
      </c>
      <c r="D95" t="str">
        <f>IF(VLOOKUP(A95&amp;" "&amp;B95,'HIDDEN import'!A:G,5,FALSE)="M",MD!$A$1,(IF(AND(VLOOKUP(A95,'HIDDEN import'!B:E,4,FALSE)="C",OR(NOT(ISERROR(VLOOKUP(E95,'Optional features'!B:D,1,FALSE)=E95)),NOT(ISERROR(VLOOKUP(E95,'HIDDEN calc sheet'!A:C,1,FALSE)=E95)))),MD!$A$3,MD!$A$2)))</f>
        <v>Mandatory for optional feature</v>
      </c>
      <c r="E95" t="str">
        <f>IF('HIDDEN import'!F94=0,"",'HIDDEN import'!F94)</f>
        <v>C-09.4 and (C-51 or NOT (C-09.1 or C-09.2 or C-09.3 or C-09.6))</v>
      </c>
      <c r="F95" t="str">
        <f>IF('HIDDEN import'!G94=0,"",'HIDDEN import'!G94)</f>
        <v>Supported Transaction Start points</v>
      </c>
      <c r="G95" s="95" t="str">
        <f>IFERROR(VLOOKUP($A95,'HIDDEN Testrun Results'!$A:$B,2,FALSE),"")</f>
        <v/>
      </c>
      <c r="H95" s="6" t="b">
        <f t="shared" si="1"/>
        <v>1</v>
      </c>
      <c r="I95" s="6" t="b">
        <f>IF(VLOOKUP(A95&amp;" "&amp;B95,'HIDDEN import'!A:G,5,FALSE)="M",TRUE,IFERROR(VLOOKUP(E95,'Optional features'!B:D,3,FALSE)="Yes",IFERROR(VLOOKUP(E95,'HIDDEN calc sheet'!A:B,2,FALSE),IFERROR(VLOOKUP(E95,'Additional questions'!B:D,3,FALSE)="Yes",VLOOKUP(E95,'Hardware Feature set'!B:D,3,FALSE)="No"))))</f>
        <v>1</v>
      </c>
      <c r="J95" s="6" t="b">
        <f>IF(VLOOKUP(B95,'Profile selection'!B:C,2,FALSE)="Yes",TRUE,FALSE)</f>
        <v>1</v>
      </c>
    </row>
    <row r="96" spans="1:10" x14ac:dyDescent="0.25">
      <c r="A96" t="str">
        <f>'HIDDEN import'!B95</f>
        <v>TC_E_02_CS</v>
      </c>
      <c r="B96" t="str">
        <f>'HIDDEN import'!C95</f>
        <v>Core</v>
      </c>
      <c r="C96" t="str">
        <f>'HIDDEN import'!D95</f>
        <v>Start transaction options - EnergyTransfer</v>
      </c>
      <c r="D96" t="str">
        <f>IF(VLOOKUP(A96&amp;" "&amp;B96,'HIDDEN import'!A:G,5,FALSE)="M",MD!$A$1,(IF(AND(VLOOKUP(A96,'HIDDEN import'!B:E,4,FALSE)="C",OR(NOT(ISERROR(VLOOKUP(E96,'Optional features'!B:D,1,FALSE)=E96)),NOT(ISERROR(VLOOKUP(E96,'HIDDEN calc sheet'!A:C,1,FALSE)=E96)))),MD!$A$3,MD!$A$2)))</f>
        <v>Mandatory for optional feature</v>
      </c>
      <c r="E96" t="str">
        <f>IF('HIDDEN import'!F95=0,"",'HIDDEN import'!F95)</f>
        <v>C-09.5 and (C-51 or NOT (C-09.1 or C-09.2 or C-09.3 or C-09.4 or C-09.6))</v>
      </c>
      <c r="F96" t="str">
        <f>IF('HIDDEN import'!G95=0,"",'HIDDEN import'!G95)</f>
        <v>Supported Transaction Start points</v>
      </c>
      <c r="G96" s="95" t="str">
        <f>IFERROR(VLOOKUP($A96,'HIDDEN Testrun Results'!$A:$B,2,FALSE),"")</f>
        <v/>
      </c>
      <c r="H96" s="6" t="b">
        <f t="shared" si="1"/>
        <v>0</v>
      </c>
      <c r="I96" s="6" t="b">
        <f>IF(VLOOKUP(A96&amp;" "&amp;B96,'HIDDEN import'!A:G,5,FALSE)="M",TRUE,IFERROR(VLOOKUP(E96,'Optional features'!B:D,3,FALSE)="Yes",IFERROR(VLOOKUP(E96,'HIDDEN calc sheet'!A:B,2,FALSE),IFERROR(VLOOKUP(E96,'Additional questions'!B:D,3,FALSE)="Yes",VLOOKUP(E96,'Hardware Feature set'!B:D,3,FALSE)="No"))))</f>
        <v>0</v>
      </c>
      <c r="J96" s="6" t="b">
        <f>IF(VLOOKUP(B96,'Profile selection'!B:C,2,FALSE)="Yes",TRUE,FALSE)</f>
        <v>1</v>
      </c>
    </row>
    <row r="97" spans="1:10" x14ac:dyDescent="0.25">
      <c r="A97" t="str">
        <f>'HIDDEN import'!B96</f>
        <v>TC_E_12_CS</v>
      </c>
      <c r="B97" t="str">
        <f>'HIDDEN import'!C96</f>
        <v>Core</v>
      </c>
      <c r="C97" t="str">
        <f>'HIDDEN import'!D96</f>
        <v>Start transaction options - ParkingBayOccupied</v>
      </c>
      <c r="D97" t="str">
        <f>IF(VLOOKUP(A97&amp;" "&amp;B97,'HIDDEN import'!A:G,5,FALSE)="M",MD!$A$1,(IF(AND(VLOOKUP(A97,'HIDDEN import'!B:E,4,FALSE)="C",OR(NOT(ISERROR(VLOOKUP(E97,'Optional features'!B:D,1,FALSE)=E97)),NOT(ISERROR(VLOOKUP(E97,'HIDDEN calc sheet'!A:C,1,FALSE)=E97)))),MD!$A$3,MD!$A$2)))</f>
        <v>Mandatory for optional feature</v>
      </c>
      <c r="E97" t="str">
        <f>IF('HIDDEN import'!F96=0,"",'HIDDEN import'!F96)</f>
        <v>C-09.6</v>
      </c>
      <c r="F97" t="str">
        <f>IF('HIDDEN import'!G96=0,"",'HIDDEN import'!G96)</f>
        <v>Supported Transaction Start points</v>
      </c>
      <c r="G97" s="95" t="str">
        <f>IFERROR(VLOOKUP($A97,'HIDDEN Testrun Results'!$A:$B,2,FALSE),"")</f>
        <v/>
      </c>
      <c r="H97" s="6" t="b">
        <f t="shared" si="1"/>
        <v>0</v>
      </c>
      <c r="I97" s="6" t="b">
        <f>IF(VLOOKUP(A97&amp;" "&amp;B97,'HIDDEN import'!A:G,5,FALSE)="M",TRUE,IFERROR(VLOOKUP(E97,'Optional features'!B:D,3,FALSE)="Yes",IFERROR(VLOOKUP(E97,'HIDDEN calc sheet'!A:B,2,FALSE),IFERROR(VLOOKUP(E97,'Additional questions'!B:D,3,FALSE)="Yes",VLOOKUP(E97,'Hardware Feature set'!B:D,3,FALSE)="No"))))</f>
        <v>0</v>
      </c>
      <c r="J97" s="6" t="b">
        <f>IF(VLOOKUP(B97,'Profile selection'!B:C,2,FALSE)="Yes",TRUE,FALSE)</f>
        <v>1</v>
      </c>
    </row>
    <row r="98" spans="1:10" x14ac:dyDescent="0.25">
      <c r="A98" t="str">
        <f>'HIDDEN import'!B97</f>
        <v>TC_E_14_CS</v>
      </c>
      <c r="B98" t="str">
        <f>'HIDDEN import'!C97</f>
        <v>Core</v>
      </c>
      <c r="C98" t="str">
        <f>'HIDDEN import'!D97</f>
        <v>Stop transaction options - EVDisconnected - Charging Station side</v>
      </c>
      <c r="D98" t="str">
        <f>IF(VLOOKUP(A98&amp;" "&amp;B98,'HIDDEN import'!A:G,5,FALSE)="M",MD!$A$1,(IF(AND(VLOOKUP(A98,'HIDDEN import'!B:E,4,FALSE)="C",OR(NOT(ISERROR(VLOOKUP(E98,'Optional features'!B:D,1,FALSE)=E98)),NOT(ISERROR(VLOOKUP(E98,'HIDDEN calc sheet'!A:C,1,FALSE)=E98)))),MD!$A$3,MD!$A$2)))</f>
        <v>Mandatory for optional feature</v>
      </c>
      <c r="E98" t="str">
        <f>IF('HIDDEN import'!F97=0,"",'HIDDEN import'!F97)</f>
        <v>HFS-1 and C-10.1 and (C-52 or NOT (C-10.2 or C-10.3 or C-10.4))</v>
      </c>
      <c r="F98" t="str">
        <f>IF('HIDDEN import'!G97=0,"",'HIDDEN import'!G97)</f>
        <v>Supported Transaction Stop points</v>
      </c>
      <c r="G98" s="95" t="str">
        <f>IFERROR(VLOOKUP($A98,'HIDDEN Testrun Results'!$A:$B,2,FALSE),"")</f>
        <v/>
      </c>
      <c r="H98" s="6" t="b">
        <f t="shared" si="1"/>
        <v>0</v>
      </c>
      <c r="I98" s="6" t="b">
        <f>IF(VLOOKUP(A98&amp;" "&amp;B98,'HIDDEN import'!A:G,5,FALSE)="M",TRUE,IFERROR(VLOOKUP(E98,'Optional features'!B:D,3,FALSE)="Yes",IFERROR(VLOOKUP(E98,'HIDDEN calc sheet'!A:B,2,FALSE),IFERROR(VLOOKUP(E98,'Additional questions'!B:D,3,FALSE)="Yes",VLOOKUP(E98,'Hardware Feature set'!B:D,3,FALSE)="No"))))</f>
        <v>0</v>
      </c>
      <c r="J98" s="6" t="b">
        <f>IF(VLOOKUP(B98,'Profile selection'!B:C,2,FALSE)="Yes",TRUE,FALSE)</f>
        <v>1</v>
      </c>
    </row>
    <row r="99" spans="1:10" x14ac:dyDescent="0.25">
      <c r="A99" t="str">
        <f>'HIDDEN import'!B98</f>
        <v>TC_E_20_CS</v>
      </c>
      <c r="B99" t="str">
        <f>'HIDDEN import'!C98</f>
        <v>Core</v>
      </c>
      <c r="C99" t="str">
        <f>'HIDDEN import'!D98</f>
        <v>Stop transaction options - EVDisconnected - EV side (able to charge IEC 61851-1 EV)</v>
      </c>
      <c r="D99" t="str">
        <f>IF(VLOOKUP(A99&amp;" "&amp;B99,'HIDDEN import'!A:G,5,FALSE)="M",MD!$A$1,(IF(AND(VLOOKUP(A99,'HIDDEN import'!B:E,4,FALSE)="C",OR(NOT(ISERROR(VLOOKUP(E99,'Optional features'!B:D,1,FALSE)=E99)),NOT(ISERROR(VLOOKUP(E99,'HIDDEN calc sheet'!A:C,1,FALSE)=E99)))),MD!$A$3,MD!$A$2)))</f>
        <v>Mandatory for optional feature</v>
      </c>
      <c r="E99" t="str">
        <f>IF('HIDDEN import'!F98=0,"",'HIDDEN import'!F98)</f>
        <v>(C-10.1 AND (NOT (NOT C-52 AND (C-10.3 or C-10.4))) AND NOT (NOT C-06.1 AND NOT C-52 AND C-10.2)) AND (AQ-9 OR Product Subtype "Mode 1/2-only Charging Station") AND NOT Product Subtype "Wireless Charging Station"</v>
      </c>
      <c r="F99" t="str">
        <f>IF('HIDDEN import'!G98=0,"",'HIDDEN import'!G98)</f>
        <v>Supported Transaction Stop points</v>
      </c>
      <c r="G99" s="95" t="str">
        <f>IFERROR(VLOOKUP($A99,'HIDDEN Testrun Results'!$A:$B,2,FALSE),"")</f>
        <v/>
      </c>
      <c r="H99" s="6" t="b">
        <f t="shared" si="1"/>
        <v>0</v>
      </c>
      <c r="I99" s="6" t="b">
        <f>IF(VLOOKUP(A99&amp;" "&amp;B99,'HIDDEN import'!A:G,5,FALSE)="M",TRUE,IFERROR(VLOOKUP(E99,'Optional features'!B:D,3,FALSE)="Yes",IFERROR(VLOOKUP(E99,'HIDDEN calc sheet'!A:B,2,FALSE),IFERROR(VLOOKUP(E99,'Additional questions'!B:D,3,FALSE)="Yes",VLOOKUP(E99,'Hardware Feature set'!B:D,3,FALSE)="No"))))</f>
        <v>0</v>
      </c>
      <c r="J99" s="6" t="b">
        <f>IF(VLOOKUP(B99,'Profile selection'!B:C,2,FALSE)="Yes",TRUE,FALSE)</f>
        <v>1</v>
      </c>
    </row>
    <row r="100" spans="1:10" x14ac:dyDescent="0.25">
      <c r="A100" t="str">
        <f>'HIDDEN import'!B99</f>
        <v>TC_E_54_CS</v>
      </c>
      <c r="B100" t="str">
        <f>'HIDDEN import'!C99</f>
        <v>Core</v>
      </c>
      <c r="C100" t="str">
        <f>'HIDDEN import'!D99</f>
        <v>Stop transaction options - EVDisconnected - EV side (not able to charge IEC 61851-1 EV)</v>
      </c>
      <c r="D100" t="str">
        <f>IF(VLOOKUP(A100&amp;" "&amp;B100,'HIDDEN import'!A:G,5,FALSE)="M",MD!$A$1,(IF(AND(VLOOKUP(A100,'HIDDEN import'!B:E,4,FALSE)="C",OR(NOT(ISERROR(VLOOKUP(E100,'Optional features'!B:D,1,FALSE)=E100)),NOT(ISERROR(VLOOKUP(E100,'HIDDEN calc sheet'!A:C,1,FALSE)=E100)))),MD!$A$3,MD!$A$2)))</f>
        <v>Mandatory for optional feature</v>
      </c>
      <c r="E100" t="str">
        <f>IF('HIDDEN import'!F99=0,"",'HIDDEN import'!F99)</f>
        <v>C-10.1 AND (NOT (NOT C-52 AND (C-10.2 or C-10.3 or C-10.4))) AND (HFS-4 OR ISO 15118 support OR Product Subtype "Wireless Charging Station") AND NOT Product Subtype "Mode 1/2-only Charging Station"</v>
      </c>
      <c r="F100" t="str">
        <f>IF('HIDDEN import'!G99=0,"",'HIDDEN import'!G99)</f>
        <v>Supported Transaction Stop points</v>
      </c>
      <c r="G100" s="95" t="str">
        <f>IFERROR(VLOOKUP($A100,'HIDDEN Testrun Results'!$A:$B,2,FALSE),"")</f>
        <v/>
      </c>
      <c r="H100" s="6" t="b">
        <f t="shared" si="1"/>
        <v>0</v>
      </c>
      <c r="I100" s="6" t="b">
        <f>IF(VLOOKUP(A100&amp;" "&amp;B100,'HIDDEN import'!A:G,5,FALSE)="M",TRUE,IFERROR(VLOOKUP(E100,'Optional features'!B:D,3,FALSE)="Yes",IFERROR(VLOOKUP(E100,'HIDDEN calc sheet'!A:B,2,FALSE),IFERROR(VLOOKUP(E100,'Additional questions'!B:D,3,FALSE)="Yes",VLOOKUP(E100,'Hardware Feature set'!B:D,3,FALSE)="No"))))</f>
        <v>0</v>
      </c>
      <c r="J100" s="6" t="b">
        <f>IF(VLOOKUP(B100,'Profile selection'!B:C,2,FALSE)="Yes",TRUE,FALSE)</f>
        <v>1</v>
      </c>
    </row>
    <row r="101" spans="1:10" x14ac:dyDescent="0.25">
      <c r="A101" t="str">
        <f>'HIDDEN import'!B100</f>
        <v>TC_E_15_CS</v>
      </c>
      <c r="B101" t="str">
        <f>'HIDDEN import'!C100</f>
        <v>Core</v>
      </c>
      <c r="C101" t="str">
        <f>'HIDDEN import'!D100</f>
        <v>Stop transaction options - StopAuthorized - Local</v>
      </c>
      <c r="D101" t="str">
        <f>IF(VLOOKUP(A101&amp;" "&amp;B101,'HIDDEN import'!A:G,5,FALSE)="M",MD!$A$1,(IF(AND(VLOOKUP(A101,'HIDDEN import'!B:E,4,FALSE)="C",OR(NOT(ISERROR(VLOOKUP(E101,'Optional features'!B:D,1,FALSE)=E101)),NOT(ISERROR(VLOOKUP(E101,'HIDDEN calc sheet'!A:C,1,FALSE)=E101)))),MD!$A$3,MD!$A$2)))</f>
        <v>Mandatory for optional feature</v>
      </c>
      <c r="E101" t="str">
        <f>IF('HIDDEN import'!F100=0,"",'HIDDEN import'!F100)</f>
        <v>C-10.2 and (C-70 or C-71 or C-72 or C-75)</v>
      </c>
      <c r="F101" t="str">
        <f>IF('HIDDEN import'!G100=0,"",'HIDDEN import'!G100)</f>
        <v>Supported Transaction Stop Points &amp; Local Authorization - using RFID ISO14443 / RFID ISO15693 / KeyCode / NoAuthorization</v>
      </c>
      <c r="G101" s="95" t="str">
        <f>IFERROR(VLOOKUP($A101,'HIDDEN Testrun Results'!$A:$B,2,FALSE),"")</f>
        <v/>
      </c>
      <c r="H101" s="6" t="b">
        <f t="shared" si="1"/>
        <v>0</v>
      </c>
      <c r="I101" s="6" t="b">
        <f>IF(VLOOKUP(A101&amp;" "&amp;B101,'HIDDEN import'!A:G,5,FALSE)="M",TRUE,IFERROR(VLOOKUP(E101,'Optional features'!B:D,3,FALSE)="Yes",IFERROR(VLOOKUP(E101,'HIDDEN calc sheet'!A:B,2,FALSE),IFERROR(VLOOKUP(E101,'Additional questions'!B:D,3,FALSE)="Yes",VLOOKUP(E101,'Hardware Feature set'!B:D,3,FALSE)="No"))))</f>
        <v>0</v>
      </c>
      <c r="J101" s="6" t="b">
        <f>IF(VLOOKUP(B101,'Profile selection'!B:C,2,FALSE)="Yes",TRUE,FALSE)</f>
        <v>1</v>
      </c>
    </row>
    <row r="102" spans="1:10" x14ac:dyDescent="0.25">
      <c r="A102" t="str">
        <f>'HIDDEN import'!B101</f>
        <v>TC_E_21_CS</v>
      </c>
      <c r="B102" t="str">
        <f>'HIDDEN import'!C101</f>
        <v>Core</v>
      </c>
      <c r="C102" t="str">
        <f>'HIDDEN import'!D101</f>
        <v>Stop transaction options - StopAuthorized - Remote</v>
      </c>
      <c r="D102" t="str">
        <f>IF(VLOOKUP(A102&amp;" "&amp;B102,'HIDDEN import'!A:G,5,FALSE)="M",MD!$A$1,(IF(AND(VLOOKUP(A102,'HIDDEN import'!B:E,4,FALSE)="C",OR(NOT(ISERROR(VLOOKUP(E102,'Optional features'!B:D,1,FALSE)=E102)),NOT(ISERROR(VLOOKUP(E102,'HIDDEN calc sheet'!A:C,1,FALSE)=E102)))),MD!$A$3,MD!$A$2)))</f>
        <v>Mandatory for optional feature</v>
      </c>
      <c r="E102" t="str">
        <f>IF('HIDDEN import'!F101=0,"",'HIDDEN import'!F101)</f>
        <v>C-10.2</v>
      </c>
      <c r="F102" t="str">
        <f>IF('HIDDEN import'!G101=0,"",'HIDDEN import'!G101)</f>
        <v>Supported Transaction Stop points</v>
      </c>
      <c r="G102" s="95" t="str">
        <f>IFERROR(VLOOKUP($A102,'HIDDEN Testrun Results'!$A:$B,2,FALSE),"")</f>
        <v/>
      </c>
      <c r="H102" s="6" t="b">
        <f t="shared" si="1"/>
        <v>1</v>
      </c>
      <c r="I102" s="6" t="b">
        <f>IF(VLOOKUP(A102&amp;" "&amp;B102,'HIDDEN import'!A:G,5,FALSE)="M",TRUE,IFERROR(VLOOKUP(E102,'Optional features'!B:D,3,FALSE)="Yes",IFERROR(VLOOKUP(E102,'HIDDEN calc sheet'!A:B,2,FALSE),IFERROR(VLOOKUP(E102,'Additional questions'!B:D,3,FALSE)="Yes",VLOOKUP(E102,'Hardware Feature set'!B:D,3,FALSE)="No"))))</f>
        <v>1</v>
      </c>
      <c r="J102" s="6" t="b">
        <f>IF(VLOOKUP(B102,'Profile selection'!B:C,2,FALSE)="Yes",TRUE,FALSE)</f>
        <v>1</v>
      </c>
    </row>
    <row r="103" spans="1:10" x14ac:dyDescent="0.25">
      <c r="A103" t="str">
        <f>'HIDDEN import'!B102</f>
        <v>TC_E_16_CS</v>
      </c>
      <c r="B103" t="str">
        <f>'HIDDEN import'!C102</f>
        <v>Core</v>
      </c>
      <c r="C103" t="str">
        <f>'HIDDEN import'!D102</f>
        <v>Stop transaction options - Deauthorized - Invalid idToken</v>
      </c>
      <c r="D103" t="str">
        <f>IF(VLOOKUP(A103&amp;" "&amp;B103,'HIDDEN import'!A:G,5,FALSE)="M",MD!$A$1,(IF(AND(VLOOKUP(A103,'HIDDEN import'!B:E,4,FALSE)="C",OR(NOT(ISERROR(VLOOKUP(E103,'Optional features'!B:D,1,FALSE)=E103)),NOT(ISERROR(VLOOKUP(E103,'HIDDEN calc sheet'!A:C,1,FALSE)=E103)))),MD!$A$3,MD!$A$2)))</f>
        <v>Mandatory for optional feature</v>
      </c>
      <c r="E103" t="str">
        <f>IF('HIDDEN import'!F102=0,"",'HIDDEN import'!F102)</f>
        <v>(C-10.2 or C-10.3) and C-01 and NOT C-35</v>
      </c>
      <c r="F103" t="str">
        <f>IF('HIDDEN import'!G102=0,"",'HIDDEN import'!G102)</f>
        <v>Supported Transaction Stop Points &amp; Local Authorization options for local start</v>
      </c>
      <c r="G103" s="95" t="str">
        <f>IFERROR(VLOOKUP($A103,'HIDDEN Testrun Results'!$A:$B,2,FALSE),"")</f>
        <v/>
      </c>
      <c r="H103" s="6" t="b">
        <f t="shared" si="1"/>
        <v>0</v>
      </c>
      <c r="I103" s="6" t="b">
        <f>IF(VLOOKUP(A103&amp;" "&amp;B103,'HIDDEN import'!A:G,5,FALSE)="M",TRUE,IFERROR(VLOOKUP(E103,'Optional features'!B:D,3,FALSE)="Yes",IFERROR(VLOOKUP(E103,'HIDDEN calc sheet'!A:B,2,FALSE),IFERROR(VLOOKUP(E103,'Additional questions'!B:D,3,FALSE)="Yes",VLOOKUP(E103,'Hardware Feature set'!B:D,3,FALSE)="No"))))</f>
        <v>0</v>
      </c>
      <c r="J103" s="6" t="b">
        <f>IF(VLOOKUP(B103,'Profile selection'!B:C,2,FALSE)="Yes",TRUE,FALSE)</f>
        <v>1</v>
      </c>
    </row>
    <row r="104" spans="1:10" x14ac:dyDescent="0.25">
      <c r="A104" t="str">
        <f>'HIDDEN import'!B103</f>
        <v>TC_E_17_CS</v>
      </c>
      <c r="B104" t="str">
        <f>'HIDDEN import'!C103</f>
        <v>Core</v>
      </c>
      <c r="C104" t="str">
        <f>'HIDDEN import'!D103</f>
        <v>Stop transaction options - Deauthorized - EV side disconnect</v>
      </c>
      <c r="D104" t="str">
        <f>IF(VLOOKUP(A104&amp;" "&amp;B104,'HIDDEN import'!A:G,5,FALSE)="M",MD!$A$1,(IF(AND(VLOOKUP(A104,'HIDDEN import'!B:E,4,FALSE)="C",OR(NOT(ISERROR(VLOOKUP(E104,'Optional features'!B:D,1,FALSE)=E104)),NOT(ISERROR(VLOOKUP(E104,'HIDDEN calc sheet'!A:C,1,FALSE)=E104)))),MD!$A$3,MD!$A$2)))</f>
        <v>Mandatory for optional feature</v>
      </c>
      <c r="E104" t="str">
        <f>IF('HIDDEN import'!F103=0,"",'HIDDEN import'!F103)</f>
        <v>C-10.2 and C-06.2 and AQ-9 and NOT (NOT C-52 AND (C-10.1 OR C-10.3 OR C-10.4))</v>
      </c>
      <c r="F104" t="str">
        <f>IF('HIDDEN import'!G103=0,"",'HIDDEN import'!G103)</f>
        <v>Supported Transaction Stop points</v>
      </c>
      <c r="G104" s="95" t="str">
        <f>IFERROR(VLOOKUP($A104,'HIDDEN Testrun Results'!$A:$B,2,FALSE),"")</f>
        <v/>
      </c>
      <c r="H104" s="6" t="b">
        <f t="shared" si="1"/>
        <v>0</v>
      </c>
      <c r="I104" s="6" t="b">
        <f>IF(VLOOKUP(A104&amp;" "&amp;B104,'HIDDEN import'!A:G,5,FALSE)="M",TRUE,IFERROR(VLOOKUP(E104,'Optional features'!B:D,3,FALSE)="Yes",IFERROR(VLOOKUP(E104,'HIDDEN calc sheet'!A:B,2,FALSE),IFERROR(VLOOKUP(E104,'Additional questions'!B:D,3,FALSE)="Yes",VLOOKUP(E104,'Hardware Feature set'!B:D,3,FALSE)="No"))))</f>
        <v>0</v>
      </c>
      <c r="J104" s="6" t="b">
        <f>IF(VLOOKUP(B104,'Profile selection'!B:C,2,FALSE)="Yes",TRUE,FALSE)</f>
        <v>1</v>
      </c>
    </row>
    <row r="105" spans="1:10" x14ac:dyDescent="0.25">
      <c r="A105" t="str">
        <f>'HIDDEN import'!B104</f>
        <v>TC_E_39_CS</v>
      </c>
      <c r="B105" t="str">
        <f>'HIDDEN import'!C104</f>
        <v>Core</v>
      </c>
      <c r="C105" t="str">
        <f>'HIDDEN import'!D104</f>
        <v>Stop transaction options - Deauthorized - timeout</v>
      </c>
      <c r="D105" t="str">
        <f>IF(VLOOKUP(A105&amp;" "&amp;B105,'HIDDEN import'!A:G,5,FALSE)="M",MD!$A$1,(IF(AND(VLOOKUP(A105,'HIDDEN import'!B:E,4,FALSE)="C",OR(NOT(ISERROR(VLOOKUP(E105,'Optional features'!B:D,1,FALSE)=E105)),NOT(ISERROR(VLOOKUP(E105,'HIDDEN calc sheet'!A:C,1,FALSE)=E105)))),MD!$A$3,MD!$A$2)))</f>
        <v>Mandatory test for a mandatory feature</v>
      </c>
      <c r="E105" t="str">
        <f>IF('HIDDEN import'!F104=0,"",'HIDDEN import'!F104)</f>
        <v/>
      </c>
      <c r="F105" t="str">
        <f>IF('HIDDEN import'!G104=0,"",'HIDDEN import'!G104)</f>
        <v/>
      </c>
      <c r="G105" s="95" t="str">
        <f>IFERROR(VLOOKUP($A105,'HIDDEN Testrun Results'!$A:$B,2,FALSE),"")</f>
        <v/>
      </c>
      <c r="H105" s="6" t="b">
        <f t="shared" si="1"/>
        <v>1</v>
      </c>
      <c r="I105" s="6" t="b">
        <f>IF(VLOOKUP(A105&amp;" "&amp;B105,'HIDDEN import'!A:G,5,FALSE)="M",TRUE,IFERROR(VLOOKUP(E105,'Optional features'!B:D,3,FALSE)="Yes",IFERROR(VLOOKUP(E105,'HIDDEN calc sheet'!A:B,2,FALSE),IFERROR(VLOOKUP(E105,'Additional questions'!B:D,3,FALSE)="Yes",VLOOKUP(E105,'Hardware Feature set'!B:D,3,FALSE)="No"))))</f>
        <v>1</v>
      </c>
      <c r="J105" s="6" t="b">
        <f>IF(VLOOKUP(B105,'Profile selection'!B:C,2,FALSE)="Yes",TRUE,FALSE)</f>
        <v>1</v>
      </c>
    </row>
    <row r="106" spans="1:10" x14ac:dyDescent="0.25">
      <c r="A106" t="str">
        <f>'HIDDEN import'!B105</f>
        <v>TC_E_07_CS</v>
      </c>
      <c r="B106" t="str">
        <f>'HIDDEN import'!C105</f>
        <v>Core</v>
      </c>
      <c r="C106" t="str">
        <f>'HIDDEN import'!D105</f>
        <v>Stop transaction options - PowerPathClosed - Local stop</v>
      </c>
      <c r="D106" t="str">
        <f>IF(VLOOKUP(A106&amp;" "&amp;B106,'HIDDEN import'!A:G,5,FALSE)="M",MD!$A$1,(IF(AND(VLOOKUP(A106,'HIDDEN import'!B:E,4,FALSE)="C",OR(NOT(ISERROR(VLOOKUP(E106,'Optional features'!B:D,1,FALSE)=E106)),NOT(ISERROR(VLOOKUP(E106,'HIDDEN calc sheet'!A:C,1,FALSE)=E106)))),MD!$A$3,MD!$A$2)))</f>
        <v>Mandatory for optional feature</v>
      </c>
      <c r="E106" t="str">
        <f>IF('HIDDEN import'!F105=0,"",'HIDDEN import'!F105)</f>
        <v>C-10.3 and (C-52 or NOT C-10.2) and (C-70 or C-71 or C-72 or C-75)</v>
      </c>
      <c r="F106" t="str">
        <f>IF('HIDDEN import'!G105=0,"",'HIDDEN import'!G105)</f>
        <v>Supported Transaction Stop Points &amp; Local Authorization - using RFID ISO14443 / RFID ISO15693 / KeyCode / NoAuthorization</v>
      </c>
      <c r="G106" s="95" t="str">
        <f>IFERROR(VLOOKUP($A106,'HIDDEN Testrun Results'!$A:$B,2,FALSE),"")</f>
        <v/>
      </c>
      <c r="H106" s="6" t="b">
        <f t="shared" si="1"/>
        <v>0</v>
      </c>
      <c r="I106" s="6" t="b">
        <f>IF(VLOOKUP(A106&amp;" "&amp;B106,'HIDDEN import'!A:G,5,FALSE)="M",TRUE,IFERROR(VLOOKUP(E106,'Optional features'!B:D,3,FALSE)="Yes",IFERROR(VLOOKUP(E106,'HIDDEN calc sheet'!A:B,2,FALSE),IFERROR(VLOOKUP(E106,'Additional questions'!B:D,3,FALSE)="Yes",VLOOKUP(E106,'Hardware Feature set'!B:D,3,FALSE)="No"))))</f>
        <v>0</v>
      </c>
      <c r="J106" s="6" t="b">
        <f>IF(VLOOKUP(B106,'Profile selection'!B:C,2,FALSE)="Yes",TRUE,FALSE)</f>
        <v>1</v>
      </c>
    </row>
    <row r="107" spans="1:10" x14ac:dyDescent="0.25">
      <c r="A107" t="str">
        <f>'HIDDEN import'!B106</f>
        <v>TC_E_35_CS</v>
      </c>
      <c r="B107" t="str">
        <f>'HIDDEN import'!C106</f>
        <v>Core</v>
      </c>
      <c r="C107" t="str">
        <f>'HIDDEN import'!D106</f>
        <v>Stop transaction options - PowerPathClosed - Remote stop</v>
      </c>
      <c r="D107" t="str">
        <f>IF(VLOOKUP(A107&amp;" "&amp;B107,'HIDDEN import'!A:G,5,FALSE)="M",MD!$A$1,(IF(AND(VLOOKUP(A107,'HIDDEN import'!B:E,4,FALSE)="C",OR(NOT(ISERROR(VLOOKUP(E107,'Optional features'!B:D,1,FALSE)=E107)),NOT(ISERROR(VLOOKUP(E107,'HIDDEN calc sheet'!A:C,1,FALSE)=E107)))),MD!$A$3,MD!$A$2)))</f>
        <v>Mandatory for optional feature</v>
      </c>
      <c r="E107" t="str">
        <f>IF('HIDDEN import'!F106=0,"",'HIDDEN import'!F106)</f>
        <v>C-10.3 and (C-52 or NOT C-10.2)</v>
      </c>
      <c r="F107" t="str">
        <f>IF('HIDDEN import'!G106=0,"",'HIDDEN import'!G106)</f>
        <v>Supported Transaction Stop points</v>
      </c>
      <c r="G107" s="95" t="str">
        <f>IFERROR(VLOOKUP($A107,'HIDDEN Testrun Results'!$A:$B,2,FALSE),"")</f>
        <v/>
      </c>
      <c r="H107" s="6" t="b">
        <f t="shared" si="1"/>
        <v>0</v>
      </c>
      <c r="I107" s="6" t="b">
        <f>IF(VLOOKUP(A107&amp;" "&amp;B107,'HIDDEN import'!A:G,5,FALSE)="M",TRUE,IFERROR(VLOOKUP(E107,'Optional features'!B:D,3,FALSE)="Yes",IFERROR(VLOOKUP(E107,'HIDDEN calc sheet'!A:B,2,FALSE),IFERROR(VLOOKUP(E107,'Additional questions'!B:D,3,FALSE)="Yes",VLOOKUP(E107,'Hardware Feature set'!B:D,3,FALSE)="No"))))</f>
        <v>0</v>
      </c>
      <c r="J107" s="6" t="b">
        <f>IF(VLOOKUP(B107,'Profile selection'!B:C,2,FALSE)="Yes",TRUE,FALSE)</f>
        <v>1</v>
      </c>
    </row>
    <row r="108" spans="1:10" x14ac:dyDescent="0.25">
      <c r="A108" t="str">
        <f>'HIDDEN import'!B107</f>
        <v>TC_E_37_CS</v>
      </c>
      <c r="B108" t="str">
        <f>'HIDDEN import'!C107</f>
        <v>Core</v>
      </c>
      <c r="C108" t="str">
        <f>'HIDDEN import'!D107</f>
        <v>Stop transaction options - PowerPathClosed - EV side disconnect</v>
      </c>
      <c r="D108" t="str">
        <f>IF(VLOOKUP(A108&amp;" "&amp;B108,'HIDDEN import'!A:G,5,FALSE)="M",MD!$A$1,(IF(AND(VLOOKUP(A108,'HIDDEN import'!B:E,4,FALSE)="C",OR(NOT(ISERROR(VLOOKUP(E108,'Optional features'!B:D,1,FALSE)=E108)),NOT(ISERROR(VLOOKUP(E108,'HIDDEN calc sheet'!A:C,1,FALSE)=E108)))),MD!$A$3,MD!$A$2)))</f>
        <v>Mandatory for optional feature</v>
      </c>
      <c r="E108" t="str">
        <f>IF('HIDDEN import'!F107=0,"",'HIDDEN import'!F107)</f>
        <v>C-10.3 and (C-52 or NOT (C-10.1 or C-10.4)) AND (AQ-9 OR Product Subtype "Mode 1/2-only Charging Station" OR Product Subtype "Wireless Charging Station")</v>
      </c>
      <c r="F108" t="str">
        <f>IF('HIDDEN import'!G107=0,"",'HIDDEN import'!G107)</f>
        <v>Supported Transaction Stop points</v>
      </c>
      <c r="G108" s="95" t="str">
        <f>IFERROR(VLOOKUP($A108,'HIDDEN Testrun Results'!$A:$B,2,FALSE),"")</f>
        <v/>
      </c>
      <c r="H108" s="6" t="b">
        <f t="shared" si="1"/>
        <v>0</v>
      </c>
      <c r="I108" s="6" t="b">
        <f>IF(VLOOKUP(A108&amp;" "&amp;B108,'HIDDEN import'!A:G,5,FALSE)="M",TRUE,IFERROR(VLOOKUP(E108,'Optional features'!B:D,3,FALSE)="Yes",IFERROR(VLOOKUP(E108,'HIDDEN calc sheet'!A:B,2,FALSE),IFERROR(VLOOKUP(E108,'Additional questions'!B:D,3,FALSE)="Yes",VLOOKUP(E108,'Hardware Feature set'!B:D,3,FALSE)="No"))))</f>
        <v>0</v>
      </c>
      <c r="J108" s="6" t="b">
        <f>IF(VLOOKUP(B108,'Profile selection'!B:C,2,FALSE)="Yes",TRUE,FALSE)</f>
        <v>1</v>
      </c>
    </row>
    <row r="109" spans="1:10" x14ac:dyDescent="0.25">
      <c r="A109" t="str">
        <f>'HIDDEN import'!B108</f>
        <v>TC_E_08_CS</v>
      </c>
      <c r="B109" t="str">
        <f>'HIDDEN import'!C108</f>
        <v>Core</v>
      </c>
      <c r="C109" t="str">
        <f>'HIDDEN import'!D108</f>
        <v>Stop transaction options - EnergyTransfer stopped - StopAuthorized</v>
      </c>
      <c r="D109" t="str">
        <f>IF(VLOOKUP(A109&amp;" "&amp;B109,'HIDDEN import'!A:G,5,FALSE)="M",MD!$A$1,(IF(AND(VLOOKUP(A109,'HIDDEN import'!B:E,4,FALSE)="C",OR(NOT(ISERROR(VLOOKUP(E109,'Optional features'!B:D,1,FALSE)=E109)),NOT(ISERROR(VLOOKUP(E109,'HIDDEN calc sheet'!A:C,1,FALSE)=E109)))),MD!$A$3,MD!$A$2)))</f>
        <v>Mandatory for optional feature</v>
      </c>
      <c r="E109" t="str">
        <f>IF('HIDDEN import'!F108=0,"",'HIDDEN import'!F108)</f>
        <v>C-10.4 and (C-52 or NOT (C-10.2 or C-10.3))</v>
      </c>
      <c r="F109" t="str">
        <f>IF('HIDDEN import'!G108=0,"",'HIDDEN import'!G108)</f>
        <v>Supported Transaction Stop points</v>
      </c>
      <c r="G109" s="95" t="str">
        <f>IFERROR(VLOOKUP($A109,'HIDDEN Testrun Results'!$A:$B,2,FALSE),"")</f>
        <v/>
      </c>
      <c r="H109" s="6" t="b">
        <f t="shared" si="1"/>
        <v>0</v>
      </c>
      <c r="I109" s="6" t="b">
        <f>IF(VLOOKUP(A109&amp;" "&amp;B109,'HIDDEN import'!A:G,5,FALSE)="M",TRUE,IFERROR(VLOOKUP(E109,'Optional features'!B:D,3,FALSE)="Yes",IFERROR(VLOOKUP(E109,'HIDDEN calc sheet'!A:B,2,FALSE),IFERROR(VLOOKUP(E109,'Additional questions'!B:D,3,FALSE)="Yes",VLOOKUP(E109,'Hardware Feature set'!B:D,3,FALSE)="No"))))</f>
        <v>0</v>
      </c>
      <c r="J109" s="6" t="b">
        <f>IF(VLOOKUP(B109,'Profile selection'!B:C,2,FALSE)="Yes",TRUE,FALSE)</f>
        <v>1</v>
      </c>
    </row>
    <row r="110" spans="1:10" x14ac:dyDescent="0.25">
      <c r="A110" t="str">
        <f>'HIDDEN import'!B109</f>
        <v>TC_E_22_CS</v>
      </c>
      <c r="B110" t="str">
        <f>'HIDDEN import'!C109</f>
        <v>Core</v>
      </c>
      <c r="C110" t="str">
        <f>'HIDDEN import'!D109</f>
        <v>Stop transaction options - EnergyTransfer stopped - SuspendedEV</v>
      </c>
      <c r="D110" t="str">
        <f>IF(VLOOKUP(A110&amp;" "&amp;B110,'HIDDEN import'!A:G,5,FALSE)="M",MD!$A$1,(IF(AND(VLOOKUP(A110,'HIDDEN import'!B:E,4,FALSE)="C",OR(NOT(ISERROR(VLOOKUP(E110,'Optional features'!B:D,1,FALSE)=E110)),NOT(ISERROR(VLOOKUP(E110,'HIDDEN calc sheet'!A:C,1,FALSE)=E110)))),MD!$A$3,MD!$A$2)))</f>
        <v>Mandatory for optional feature</v>
      </c>
      <c r="E110" t="str">
        <f>IF('HIDDEN import'!F109=0,"",'HIDDEN import'!F109)</f>
        <v>C-10.4</v>
      </c>
      <c r="F110" t="str">
        <f>IF('HIDDEN import'!G109=0,"",'HIDDEN import'!G109)</f>
        <v>Supported Transaction Stop points</v>
      </c>
      <c r="G110" s="95" t="str">
        <f>IFERROR(VLOOKUP($A110,'HIDDEN Testrun Results'!$A:$B,2,FALSE),"")</f>
        <v/>
      </c>
      <c r="H110" s="6" t="b">
        <f t="shared" si="1"/>
        <v>0</v>
      </c>
      <c r="I110" s="6" t="b">
        <f>IF(VLOOKUP(A110&amp;" "&amp;B110,'HIDDEN import'!A:G,5,FALSE)="M",TRUE,IFERROR(VLOOKUP(E110,'Optional features'!B:D,3,FALSE)="Yes",IFERROR(VLOOKUP(E110,'HIDDEN calc sheet'!A:B,2,FALSE),IFERROR(VLOOKUP(E110,'Additional questions'!B:D,3,FALSE)="Yes",VLOOKUP(E110,'Hardware Feature set'!B:D,3,FALSE)="No"))))</f>
        <v>0</v>
      </c>
      <c r="J110" s="6" t="b">
        <f>IF(VLOOKUP(B110,'Profile selection'!B:C,2,FALSE)="Yes",TRUE,FALSE)</f>
        <v>1</v>
      </c>
    </row>
    <row r="111" spans="1:10" x14ac:dyDescent="0.25">
      <c r="A111" t="str">
        <f>'HIDDEN import'!B110</f>
        <v>TC_E_19_CS</v>
      </c>
      <c r="B111" t="str">
        <f>'HIDDEN import'!C110</f>
        <v>Core</v>
      </c>
      <c r="C111" t="str">
        <f>'HIDDEN import'!D110</f>
        <v>Stop transaction options - ParkingBayUnoccupied</v>
      </c>
      <c r="D111" t="str">
        <f>IF(VLOOKUP(A111&amp;" "&amp;B111,'HIDDEN import'!A:G,5,FALSE)="M",MD!$A$1,(IF(AND(VLOOKUP(A111,'HIDDEN import'!B:E,4,FALSE)="C",OR(NOT(ISERROR(VLOOKUP(E111,'Optional features'!B:D,1,FALSE)=E111)),NOT(ISERROR(VLOOKUP(E111,'HIDDEN calc sheet'!A:C,1,FALSE)=E111)))),MD!$A$3,MD!$A$2)))</f>
        <v>Mandatory for optional feature</v>
      </c>
      <c r="E111" t="str">
        <f>IF('HIDDEN import'!F110=0,"",'HIDDEN import'!F110)</f>
        <v>C-10.5 and (C-52 or NOT (C-10.1 or C-10.2 or C-10.3 or C-10.4))</v>
      </c>
      <c r="F111" t="str">
        <f>IF('HIDDEN import'!G110=0,"",'HIDDEN import'!G110)</f>
        <v>Supported Transaction Stop points</v>
      </c>
      <c r="G111" s="95" t="str">
        <f>IFERROR(VLOOKUP($A111,'HIDDEN Testrun Results'!$A:$B,2,FALSE),"")</f>
        <v/>
      </c>
      <c r="H111" s="6" t="b">
        <f t="shared" si="1"/>
        <v>0</v>
      </c>
      <c r="I111" s="6" t="b">
        <f>IF(VLOOKUP(A111&amp;" "&amp;B111,'HIDDEN import'!A:G,5,FALSE)="M",TRUE,IFERROR(VLOOKUP(E111,'Optional features'!B:D,3,FALSE)="Yes",IFERROR(VLOOKUP(E111,'HIDDEN calc sheet'!A:B,2,FALSE),IFERROR(VLOOKUP(E111,'Additional questions'!B:D,3,FALSE)="Yes",VLOOKUP(E111,'Hardware Feature set'!B:D,3,FALSE)="No"))))</f>
        <v>0</v>
      </c>
      <c r="J111" s="6" t="b">
        <f>IF(VLOOKUP(B111,'Profile selection'!B:C,2,FALSE)="Yes",TRUE,FALSE)</f>
        <v>1</v>
      </c>
    </row>
    <row r="112" spans="1:10" x14ac:dyDescent="0.25">
      <c r="A112" t="str">
        <f>'HIDDEN import'!B111</f>
        <v>TC_E_24_CS</v>
      </c>
      <c r="B112" t="str">
        <f>'HIDDEN import'!C111</f>
        <v>Core</v>
      </c>
      <c r="C112" t="str">
        <f>'HIDDEN import'!D111</f>
        <v>Disconnect cable on EV-side - Deauthorize transaction - UnlockOnEVSideDisconnect is true</v>
      </c>
      <c r="D112" t="str">
        <f>IF(VLOOKUP(A112&amp;" "&amp;B112,'HIDDEN import'!A:G,5,FALSE)="M",MD!$A$1,(IF(AND(VLOOKUP(A112,'HIDDEN import'!B:E,4,FALSE)="C",OR(NOT(ISERROR(VLOOKUP(E112,'Optional features'!B:D,1,FALSE)=E112)),NOT(ISERROR(VLOOKUP(E112,'HIDDEN calc sheet'!A:C,1,FALSE)=E112)))),MD!$A$3,MD!$A$2)))</f>
        <v>Mandatory for optional feature</v>
      </c>
      <c r="E112" t="str">
        <f>IF('HIDDEN import'!F111=0,"",'HIDDEN import'!F111)</f>
        <v>HFS-1 and C-06.2 and C-12.1 and AQ-18 and NOT (HFS-4 or (ISO 15118 support and NOT AQ-9 ))</v>
      </c>
      <c r="F112" t="str">
        <f>IF('HIDDEN import'!G111=0,"",'HIDDEN import'!G111)</f>
        <v>Support for not maintaining authorization when cable disconnected on EV side &amp; Support for unlocking connector when cable disconnected on EV side</v>
      </c>
      <c r="G112" s="95" t="str">
        <f>IFERROR(VLOOKUP($A112,'HIDDEN Testrun Results'!$A:$B,2,FALSE),"")</f>
        <v/>
      </c>
      <c r="H112" s="6" t="b">
        <f t="shared" si="1"/>
        <v>0</v>
      </c>
      <c r="I112" s="6" t="b">
        <f>IF(VLOOKUP(A112&amp;" "&amp;B112,'HIDDEN import'!A:G,5,FALSE)="M",TRUE,IFERROR(VLOOKUP(E112,'Optional features'!B:D,3,FALSE)="Yes",IFERROR(VLOOKUP(E112,'HIDDEN calc sheet'!A:B,2,FALSE),IFERROR(VLOOKUP(E112,'Additional questions'!B:D,3,FALSE)="Yes",VLOOKUP(E112,'Hardware Feature set'!B:D,3,FALSE)="No"))))</f>
        <v>0</v>
      </c>
      <c r="J112" s="6" t="b">
        <f>IF(VLOOKUP(B112,'Profile selection'!B:C,2,FALSE)="Yes",TRUE,FALSE)</f>
        <v>1</v>
      </c>
    </row>
    <row r="113" spans="1:10" x14ac:dyDescent="0.25">
      <c r="A113" t="str">
        <f>'HIDDEN import'!B112</f>
        <v>TC_E_25_CS</v>
      </c>
      <c r="B113" t="str">
        <f>'HIDDEN import'!C112</f>
        <v>Core</v>
      </c>
      <c r="C113" t="str">
        <f>'HIDDEN import'!D112</f>
        <v>Disconnect cable on EV-side - Deauthorize transaction - UnlockOnEVSideDisconnect is false</v>
      </c>
      <c r="D113" t="str">
        <f>IF(VLOOKUP(A113&amp;" "&amp;B113,'HIDDEN import'!A:G,5,FALSE)="M",MD!$A$1,(IF(AND(VLOOKUP(A113,'HIDDEN import'!B:E,4,FALSE)="C",OR(NOT(ISERROR(VLOOKUP(E113,'Optional features'!B:D,1,FALSE)=E113)),NOT(ISERROR(VLOOKUP(E113,'HIDDEN calc sheet'!A:C,1,FALSE)=E113)))),MD!$A$3,MD!$A$2)))</f>
        <v>Mandatory for optional feature</v>
      </c>
      <c r="E113" t="str">
        <f>IF('HIDDEN import'!F112=0,"",'HIDDEN import'!F112)</f>
        <v>C-06.2 and C-12.2 and AQ-18 and NOT (HFS-4 or (ISO 15118 support and NOT AQ-9 ))</v>
      </c>
      <c r="F113" t="str">
        <f>IF('HIDDEN import'!G112=0,"",'HIDDEN import'!G112)</f>
        <v>Support for not maintaining authorization when cable disconnected on EV side &amp; Support for not unlocking connector when cable disconnected on EV side</v>
      </c>
      <c r="G113" s="95" t="str">
        <f>IFERROR(VLOOKUP($A113,'HIDDEN Testrun Results'!$A:$B,2,FALSE),"")</f>
        <v/>
      </c>
      <c r="H113" s="6" t="b">
        <f t="shared" si="1"/>
        <v>0</v>
      </c>
      <c r="I113" s="6" t="b">
        <f>IF(VLOOKUP(A113&amp;" "&amp;B113,'HIDDEN import'!A:G,5,FALSE)="M",TRUE,IFERROR(VLOOKUP(E113,'Optional features'!B:D,3,FALSE)="Yes",IFERROR(VLOOKUP(E113,'HIDDEN calc sheet'!A:B,2,FALSE),IFERROR(VLOOKUP(E113,'Additional questions'!B:D,3,FALSE)="Yes",VLOOKUP(E113,'Hardware Feature set'!B:D,3,FALSE)="No"))))</f>
        <v>0</v>
      </c>
      <c r="J113" s="6" t="b">
        <f>IF(VLOOKUP(B113,'Profile selection'!B:C,2,FALSE)="Yes",TRUE,FALSE)</f>
        <v>1</v>
      </c>
    </row>
    <row r="114" spans="1:10" x14ac:dyDescent="0.25">
      <c r="A114" t="str">
        <f>'HIDDEN import'!B113</f>
        <v>TC_E_26_CS</v>
      </c>
      <c r="B114" t="str">
        <f>'HIDDEN import'!C113</f>
        <v>Core</v>
      </c>
      <c r="C114" t="str">
        <f>'HIDDEN import'!D113</f>
        <v>Disconnect cable on EV-side - Suspend transaction</v>
      </c>
      <c r="D114" t="str">
        <f>IF(VLOOKUP(A114&amp;" "&amp;B114,'HIDDEN import'!A:G,5,FALSE)="M",MD!$A$1,(IF(AND(VLOOKUP(A114,'HIDDEN import'!B:E,4,FALSE)="C",OR(NOT(ISERROR(VLOOKUP(E114,'Optional features'!B:D,1,FALSE)=E114)),NOT(ISERROR(VLOOKUP(E114,'HIDDEN calc sheet'!A:C,1,FALSE)=E114)))),MD!$A$3,MD!$A$2)))</f>
        <v>Mandatory for optional feature</v>
      </c>
      <c r="E114" t="str">
        <f>IF('HIDDEN import'!F113=0,"",'HIDDEN import'!F113)</f>
        <v>(C-10.2 or C-10.5) and (C-52 or NOT (C-10.1 or C-10.3 or C-10.4)) and C-06.1 and C-12.2 and NOT (HFS-4 or (ISO 15118 support and NOT AQ-9 )) and NOT Product Subtype "Mode 1/2-only Charging Station"</v>
      </c>
      <c r="F114" t="str">
        <f>IF('HIDDEN import'!G113=0,"",'HIDDEN import'!G113)</f>
        <v/>
      </c>
      <c r="G114" s="95" t="str">
        <f>IFERROR(VLOOKUP($A114,'HIDDEN Testrun Results'!$A:$B,2,FALSE),"")</f>
        <v/>
      </c>
      <c r="H114" s="6" t="b">
        <f t="shared" si="1"/>
        <v>0</v>
      </c>
      <c r="I114" s="6" t="b">
        <f>IF(VLOOKUP(A114&amp;" "&amp;B114,'HIDDEN import'!A:G,5,FALSE)="M",TRUE,IFERROR(VLOOKUP(E114,'Optional features'!B:D,3,FALSE)="Yes",IFERROR(VLOOKUP(E114,'HIDDEN calc sheet'!A:B,2,FALSE),IFERROR(VLOOKUP(E114,'Additional questions'!B:D,3,FALSE)="Yes",VLOOKUP(E114,'Hardware Feature set'!B:D,3,FALSE)="No"))))</f>
        <v>0</v>
      </c>
      <c r="J114" s="6" t="b">
        <f>IF(VLOOKUP(B114,'Profile selection'!B:C,2,FALSE)="Yes",TRUE,FALSE)</f>
        <v>1</v>
      </c>
    </row>
    <row r="115" spans="1:10" x14ac:dyDescent="0.25">
      <c r="A115" t="str">
        <f>'HIDDEN import'!B114</f>
        <v>TC_E_27_CS</v>
      </c>
      <c r="B115" t="str">
        <f>'HIDDEN import'!C114</f>
        <v>Core</v>
      </c>
      <c r="C115" t="str">
        <f>'HIDDEN import'!D114</f>
        <v>Disconnect cable on EV-side - Suspend transaction - Fixed cable connection timeout</v>
      </c>
      <c r="D115" t="str">
        <f>IF(VLOOKUP(A115&amp;" "&amp;B115,'HIDDEN import'!A:G,5,FALSE)="M",MD!$A$1,(IF(AND(VLOOKUP(A115,'HIDDEN import'!B:E,4,FALSE)="C",OR(NOT(ISERROR(VLOOKUP(E115,'Optional features'!B:D,1,FALSE)=E115)),NOT(ISERROR(VLOOKUP(E115,'HIDDEN calc sheet'!A:C,1,FALSE)=E115)))),MD!$A$3,MD!$A$2)))</f>
        <v>Mandatory for optional feature</v>
      </c>
      <c r="E115" t="str">
        <f>IF('HIDDEN import'!F114=0,"",'HIDDEN import'!F114)</f>
        <v>(C-10.2 or C-10.5) and (C-52 or NOT (C-10.1 or C-10.3 or C-10.4)) and C-06.1 and C-12.2 and HFS-2 and NOT (HFS-4 or (ISO 15118 support and NOT AQ-9 )) and NOT Product Subtype "Mode 1/2-only Charging Station"</v>
      </c>
      <c r="F115" t="str">
        <f>IF('HIDDEN import'!G114=0,"",'HIDDEN import'!G114)</f>
        <v/>
      </c>
      <c r="G115" s="95" t="str">
        <f>IFERROR(VLOOKUP($A115,'HIDDEN Testrun Results'!$A:$B,2,FALSE),"")</f>
        <v/>
      </c>
      <c r="H115" s="6" t="b">
        <f t="shared" si="1"/>
        <v>0</v>
      </c>
      <c r="I115" s="6" t="b">
        <f>IF(VLOOKUP(A115&amp;" "&amp;B115,'HIDDEN import'!A:G,5,FALSE)="M",TRUE,IFERROR(VLOOKUP(E115,'Optional features'!B:D,3,FALSE)="Yes",IFERROR(VLOOKUP(E115,'HIDDEN calc sheet'!A:B,2,FALSE),IFERROR(VLOOKUP(E115,'Additional questions'!B:D,3,FALSE)="Yes",VLOOKUP(E115,'Hardware Feature set'!B:D,3,FALSE)="No"))))</f>
        <v>0</v>
      </c>
      <c r="J115" s="6" t="b">
        <f>IF(VLOOKUP(B115,'Profile selection'!B:C,2,FALSE)="Yes",TRUE,FALSE)</f>
        <v>1</v>
      </c>
    </row>
    <row r="116" spans="1:10" x14ac:dyDescent="0.25">
      <c r="A116" t="str">
        <f>'HIDDEN import'!B115</f>
        <v>TC_E_41_CS</v>
      </c>
      <c r="B116" t="str">
        <f>'HIDDEN import'!C115</f>
        <v>Core</v>
      </c>
      <c r="C116" t="str">
        <f>'HIDDEN import'!D115</f>
        <v>Retry sending transaction message when failed - Max retry count reached</v>
      </c>
      <c r="D116" t="str">
        <f>IF(VLOOKUP(A116&amp;" "&amp;B116,'HIDDEN import'!A:G,5,FALSE)="M",MD!$A$1,(IF(AND(VLOOKUP(A116,'HIDDEN import'!B:E,4,FALSE)="C",OR(NOT(ISERROR(VLOOKUP(E116,'Optional features'!B:D,1,FALSE)=E116)),NOT(ISERROR(VLOOKUP(E116,'HIDDEN calc sheet'!A:C,1,FALSE)=E116)))),MD!$A$3,MD!$A$2)))</f>
        <v>Mandatory test for a mandatory feature</v>
      </c>
      <c r="E116" t="str">
        <f>IF('HIDDEN import'!F115=0,"",'HIDDEN import'!F115)</f>
        <v/>
      </c>
      <c r="F116" t="str">
        <f>IF('HIDDEN import'!G115=0,"",'HIDDEN import'!G115)</f>
        <v/>
      </c>
      <c r="G116" s="95" t="str">
        <f>IFERROR(VLOOKUP($A116,'HIDDEN Testrun Results'!$A:$B,2,FALSE),"")</f>
        <v/>
      </c>
      <c r="H116" s="6" t="b">
        <f t="shared" si="1"/>
        <v>1</v>
      </c>
      <c r="I116" s="6" t="b">
        <f>IF(VLOOKUP(A116&amp;" "&amp;B116,'HIDDEN import'!A:G,5,FALSE)="M",TRUE,IFERROR(VLOOKUP(E116,'Optional features'!B:D,3,FALSE)="Yes",IFERROR(VLOOKUP(E116,'HIDDEN calc sheet'!A:B,2,FALSE),IFERROR(VLOOKUP(E116,'Additional questions'!B:D,3,FALSE)="Yes",VLOOKUP(E116,'Hardware Feature set'!B:D,3,FALSE)="No"))))</f>
        <v>1</v>
      </c>
      <c r="J116" s="6" t="b">
        <f>IF(VLOOKUP(B116,'Profile selection'!B:C,2,FALSE)="Yes",TRUE,FALSE)</f>
        <v>1</v>
      </c>
    </row>
    <row r="117" spans="1:10" x14ac:dyDescent="0.25">
      <c r="A117" t="str">
        <f>'HIDDEN import'!B116</f>
        <v>TC_E_42_CS</v>
      </c>
      <c r="B117" t="str">
        <f>'HIDDEN import'!C116</f>
        <v>Core</v>
      </c>
      <c r="C117" t="str">
        <f>'HIDDEN import'!D116</f>
        <v>Retry sending transaction message when failed - Success before reaching the max retry count</v>
      </c>
      <c r="D117" t="str">
        <f>IF(VLOOKUP(A117&amp;" "&amp;B117,'HIDDEN import'!A:G,5,FALSE)="M",MD!$A$1,(IF(AND(VLOOKUP(A117,'HIDDEN import'!B:E,4,FALSE)="C",OR(NOT(ISERROR(VLOOKUP(E117,'Optional features'!B:D,1,FALSE)=E117)),NOT(ISERROR(VLOOKUP(E117,'HIDDEN calc sheet'!A:C,1,FALSE)=E117)))),MD!$A$3,MD!$A$2)))</f>
        <v>Mandatory test for a mandatory feature</v>
      </c>
      <c r="E117" t="str">
        <f>IF('HIDDEN import'!F116=0,"",'HIDDEN import'!F116)</f>
        <v/>
      </c>
      <c r="F117" t="str">
        <f>IF('HIDDEN import'!G116=0,"",'HIDDEN import'!G116)</f>
        <v/>
      </c>
      <c r="G117" s="95" t="str">
        <f>IFERROR(VLOOKUP($A117,'HIDDEN Testrun Results'!$A:$B,2,FALSE),"")</f>
        <v/>
      </c>
      <c r="H117" s="6" t="b">
        <f t="shared" si="1"/>
        <v>1</v>
      </c>
      <c r="I117" s="6" t="b">
        <f>IF(VLOOKUP(A117&amp;" "&amp;B117,'HIDDEN import'!A:G,5,FALSE)="M",TRUE,IFERROR(VLOOKUP(E117,'Optional features'!B:D,3,FALSE)="Yes",IFERROR(VLOOKUP(E117,'HIDDEN calc sheet'!A:B,2,FALSE),IFERROR(VLOOKUP(E117,'Additional questions'!B:D,3,FALSE)="Yes",VLOOKUP(E117,'Hardware Feature set'!B:D,3,FALSE)="No"))))</f>
        <v>1</v>
      </c>
      <c r="J117" s="6" t="b">
        <f>IF(VLOOKUP(B117,'Profile selection'!B:C,2,FALSE)="Yes",TRUE,FALSE)</f>
        <v>1</v>
      </c>
    </row>
    <row r="118" spans="1:10" x14ac:dyDescent="0.25">
      <c r="A118" t="str">
        <f>'HIDDEN import'!B117</f>
        <v>TC_E_50_CS</v>
      </c>
      <c r="B118" t="str">
        <f>'HIDDEN import'!C117</f>
        <v>Core</v>
      </c>
      <c r="C118" t="str">
        <f>'HIDDEN import'!D117</f>
        <v>Retry sending transaction message when failed - Max retry count reached - CallError</v>
      </c>
      <c r="D118" t="str">
        <f>IF(VLOOKUP(A118&amp;" "&amp;B118,'HIDDEN import'!A:G,5,FALSE)="M",MD!$A$1,(IF(AND(VLOOKUP(A118,'HIDDEN import'!B:E,4,FALSE)="C",OR(NOT(ISERROR(VLOOKUP(E118,'Optional features'!B:D,1,FALSE)=E118)),NOT(ISERROR(VLOOKUP(E118,'HIDDEN calc sheet'!A:C,1,FALSE)=E118)))),MD!$A$3,MD!$A$2)))</f>
        <v>Mandatory test for a mandatory feature</v>
      </c>
      <c r="E118" t="str">
        <f>IF('HIDDEN import'!F117=0,"",'HIDDEN import'!F117)</f>
        <v/>
      </c>
      <c r="F118" t="str">
        <f>IF('HIDDEN import'!G117=0,"",'HIDDEN import'!G117)</f>
        <v/>
      </c>
      <c r="G118" s="95" t="str">
        <f>IFERROR(VLOOKUP($A118,'HIDDEN Testrun Results'!$A:$B,2,FALSE),"")</f>
        <v/>
      </c>
      <c r="H118" s="6" t="b">
        <f t="shared" si="1"/>
        <v>1</v>
      </c>
      <c r="I118" s="6" t="b">
        <f>IF(VLOOKUP(A118&amp;" "&amp;B118,'HIDDEN import'!A:G,5,FALSE)="M",TRUE,IFERROR(VLOOKUP(E118,'Optional features'!B:D,3,FALSE)="Yes",IFERROR(VLOOKUP(E118,'HIDDEN calc sheet'!A:B,2,FALSE),IFERROR(VLOOKUP(E118,'Additional questions'!B:D,3,FALSE)="Yes",VLOOKUP(E118,'Hardware Feature set'!B:D,3,FALSE)="No"))))</f>
        <v>1</v>
      </c>
      <c r="J118" s="6" t="b">
        <f>IF(VLOOKUP(B118,'Profile selection'!B:C,2,FALSE)="Yes",TRUE,FALSE)</f>
        <v>1</v>
      </c>
    </row>
    <row r="119" spans="1:10" x14ac:dyDescent="0.25">
      <c r="A119" t="str">
        <f>'HIDDEN import'!B118</f>
        <v>TC_E_51_CS</v>
      </c>
      <c r="B119" t="str">
        <f>'HIDDEN import'!C118</f>
        <v>Core</v>
      </c>
      <c r="C119" t="str">
        <f>'HIDDEN import'!D118</f>
        <v>Retry sending transaction message when failed - Success before reaching the max retry count - CallError</v>
      </c>
      <c r="D119" t="str">
        <f>IF(VLOOKUP(A119&amp;" "&amp;B119,'HIDDEN import'!A:G,5,FALSE)="M",MD!$A$1,(IF(AND(VLOOKUP(A119,'HIDDEN import'!B:E,4,FALSE)="C",OR(NOT(ISERROR(VLOOKUP(E119,'Optional features'!B:D,1,FALSE)=E119)),NOT(ISERROR(VLOOKUP(E119,'HIDDEN calc sheet'!A:C,1,FALSE)=E119)))),MD!$A$3,MD!$A$2)))</f>
        <v>Mandatory test for a mandatory feature</v>
      </c>
      <c r="E119" t="str">
        <f>IF('HIDDEN import'!F118=0,"",'HIDDEN import'!F118)</f>
        <v/>
      </c>
      <c r="F119" t="str">
        <f>IF('HIDDEN import'!G118=0,"",'HIDDEN import'!G118)</f>
        <v/>
      </c>
      <c r="G119" s="95" t="str">
        <f>IFERROR(VLOOKUP($A119,'HIDDEN Testrun Results'!$A:$B,2,FALSE),"")</f>
        <v/>
      </c>
      <c r="H119" s="6" t="b">
        <f t="shared" si="1"/>
        <v>1</v>
      </c>
      <c r="I119" s="6" t="b">
        <f>IF(VLOOKUP(A119&amp;" "&amp;B119,'HIDDEN import'!A:G,5,FALSE)="M",TRUE,IFERROR(VLOOKUP(E119,'Optional features'!B:D,3,FALSE)="Yes",IFERROR(VLOOKUP(E119,'HIDDEN calc sheet'!A:B,2,FALSE),IFERROR(VLOOKUP(E119,'Additional questions'!B:D,3,FALSE)="Yes",VLOOKUP(E119,'Hardware Feature set'!B:D,3,FALSE)="No"))))</f>
        <v>1</v>
      </c>
      <c r="J119" s="6" t="b">
        <f>IF(VLOOKUP(B119,'Profile selection'!B:C,2,FALSE)="Yes",TRUE,FALSE)</f>
        <v>1</v>
      </c>
    </row>
    <row r="120" spans="1:10" x14ac:dyDescent="0.25">
      <c r="A120" t="str">
        <f>'HIDDEN import'!B119</f>
        <v>TC_E_40_CS</v>
      </c>
      <c r="B120" t="str">
        <f>'HIDDEN import'!C119</f>
        <v>Core</v>
      </c>
      <c r="C120" t="str">
        <f>'HIDDEN import'!D119</f>
        <v>Offline Behaviour - Connection loss during transaction</v>
      </c>
      <c r="D120" t="str">
        <f>IF(VLOOKUP(A120&amp;" "&amp;B120,'HIDDEN import'!A:G,5,FALSE)="M",MD!$A$1,(IF(AND(VLOOKUP(A120,'HIDDEN import'!B:E,4,FALSE)="C",OR(NOT(ISERROR(VLOOKUP(E120,'Optional features'!B:D,1,FALSE)=E120)),NOT(ISERROR(VLOOKUP(E120,'HIDDEN calc sheet'!A:C,1,FALSE)=E120)))),MD!$A$3,MD!$A$2)))</f>
        <v>Mandatory test for a mandatory feature</v>
      </c>
      <c r="E120" t="str">
        <f>IF('HIDDEN import'!F119=0,"",'HIDDEN import'!F119)</f>
        <v/>
      </c>
      <c r="F120" t="str">
        <f>IF('HIDDEN import'!G119=0,"",'HIDDEN import'!G119)</f>
        <v/>
      </c>
      <c r="G120" s="95" t="str">
        <f>IFERROR(VLOOKUP($A120,'HIDDEN Testrun Results'!$A:$B,2,FALSE),"")</f>
        <v/>
      </c>
      <c r="H120" s="6" t="b">
        <f t="shared" si="1"/>
        <v>1</v>
      </c>
      <c r="I120" s="6" t="b">
        <f>IF(VLOOKUP(A120&amp;" "&amp;B120,'HIDDEN import'!A:G,5,FALSE)="M",TRUE,IFERROR(VLOOKUP(E120,'Optional features'!B:D,3,FALSE)="Yes",IFERROR(VLOOKUP(E120,'HIDDEN calc sheet'!A:B,2,FALSE),IFERROR(VLOOKUP(E120,'Additional questions'!B:D,3,FALSE)="Yes",VLOOKUP(E120,'Hardware Feature set'!B:D,3,FALSE)="No"))))</f>
        <v>1</v>
      </c>
      <c r="J120" s="6" t="b">
        <f>IF(VLOOKUP(B120,'Profile selection'!B:C,2,FALSE)="Yes",TRUE,FALSE)</f>
        <v>1</v>
      </c>
    </row>
    <row r="121" spans="1:10" x14ac:dyDescent="0.25">
      <c r="A121" t="str">
        <f>'HIDDEN import'!B120</f>
        <v>TC_E_43_CS</v>
      </c>
      <c r="B121" t="str">
        <f>'HIDDEN import'!C120</f>
        <v>Core</v>
      </c>
      <c r="C121" t="str">
        <f>'HIDDEN import'!D120</f>
        <v>Offline Behaviour - Transaction during offline period</v>
      </c>
      <c r="D121" t="str">
        <f>IF(VLOOKUP(A121&amp;" "&amp;B121,'HIDDEN import'!A:G,5,FALSE)="M",MD!$A$1,(IF(AND(VLOOKUP(A121,'HIDDEN import'!B:E,4,FALSE)="C",OR(NOT(ISERROR(VLOOKUP(E121,'Optional features'!B:D,1,FALSE)=E121)),NOT(ISERROR(VLOOKUP(E121,'HIDDEN calc sheet'!A:C,1,FALSE)=E121)))),MD!$A$3,MD!$A$2)))</f>
        <v>Mandatory for optional feature</v>
      </c>
      <c r="E121" t="str">
        <f>IF('HIDDEN import'!F120=0,"",'HIDDEN import'!F120)</f>
        <v>C-01</v>
      </c>
      <c r="F121" t="str">
        <f>IF('HIDDEN import'!G120=0,"",'HIDDEN import'!G120)</f>
        <v>Offline transaction support</v>
      </c>
      <c r="G121" s="95" t="str">
        <f>IFERROR(VLOOKUP($A121,'HIDDEN Testrun Results'!$A:$B,2,FALSE),"")</f>
        <v/>
      </c>
      <c r="H121" s="6" t="b">
        <f t="shared" si="1"/>
        <v>0</v>
      </c>
      <c r="I121" s="6" t="b">
        <f>IF(VLOOKUP(A121&amp;" "&amp;B121,'HIDDEN import'!A:G,5,FALSE)="M",TRUE,IFERROR(VLOOKUP(E121,'Optional features'!B:D,3,FALSE)="Yes",IFERROR(VLOOKUP(E121,'HIDDEN calc sheet'!A:B,2,FALSE),IFERROR(VLOOKUP(E121,'Additional questions'!B:D,3,FALSE)="Yes",VLOOKUP(E121,'Hardware Feature set'!B:D,3,FALSE)="No"))))</f>
        <v>0</v>
      </c>
      <c r="J121" s="6" t="b">
        <f>IF(VLOOKUP(B121,'Profile selection'!B:C,2,FALSE)="Yes",TRUE,FALSE)</f>
        <v>1</v>
      </c>
    </row>
    <row r="122" spans="1:10" x14ac:dyDescent="0.25">
      <c r="A122" t="str">
        <f>'HIDDEN import'!B121</f>
        <v>TC_E_44_CS</v>
      </c>
      <c r="B122" t="str">
        <f>'HIDDEN import'!C121</f>
        <v>Core</v>
      </c>
      <c r="C122" t="str">
        <f>'HIDDEN import'!D121</f>
        <v>Offline Behaviour - Stop transaction during offline period</v>
      </c>
      <c r="D122" t="str">
        <f>IF(VLOOKUP(A122&amp;" "&amp;B122,'HIDDEN import'!A:G,5,FALSE)="M",MD!$A$1,(IF(AND(VLOOKUP(A122,'HIDDEN import'!B:E,4,FALSE)="C",OR(NOT(ISERROR(VLOOKUP(E122,'Optional features'!B:D,1,FALSE)=E122)),NOT(ISERROR(VLOOKUP(E122,'HIDDEN calc sheet'!A:C,1,FALSE)=E122)))),MD!$A$3,MD!$A$2)))</f>
        <v>Mandatory for optional feature</v>
      </c>
      <c r="E122" t="str">
        <f>IF('HIDDEN import'!F121=0,"",'HIDDEN import'!F121)</f>
        <v>C-70 or C-71 or C-72 or C-75 or ISO 15118 support</v>
      </c>
      <c r="F122" t="str">
        <f>IF('HIDDEN import'!G121=0,"",'HIDDEN import'!G121)</f>
        <v>Local Authorization options for local start &amp; Authorization - eMAID</v>
      </c>
      <c r="G122" s="95" t="str">
        <f>IFERROR(VLOOKUP($A122,'HIDDEN Testrun Results'!$A:$B,2,FALSE),"")</f>
        <v/>
      </c>
      <c r="H122" s="6" t="b">
        <f t="shared" si="1"/>
        <v>0</v>
      </c>
      <c r="I122" s="6" t="b">
        <f>IF(VLOOKUP(A122&amp;" "&amp;B122,'HIDDEN import'!A:G,5,FALSE)="M",TRUE,IFERROR(VLOOKUP(E122,'Optional features'!B:D,3,FALSE)="Yes",IFERROR(VLOOKUP(E122,'HIDDEN calc sheet'!A:B,2,FALSE),IFERROR(VLOOKUP(E122,'Additional questions'!B:D,3,FALSE)="Yes",VLOOKUP(E122,'Hardware Feature set'!B:D,3,FALSE)="No"))))</f>
        <v>0</v>
      </c>
      <c r="J122" s="6" t="b">
        <f>IF(VLOOKUP(B122,'Profile selection'!B:C,2,FALSE)="Yes",TRUE,FALSE)</f>
        <v>1</v>
      </c>
    </row>
    <row r="123" spans="1:10" x14ac:dyDescent="0.25">
      <c r="A123" t="str">
        <f>'HIDDEN import'!B122</f>
        <v>TC_E_45_CS</v>
      </c>
      <c r="B123" t="str">
        <f>'HIDDEN import'!C122</f>
        <v>Core</v>
      </c>
      <c r="C123" t="str">
        <f>'HIDDEN import'!D122</f>
        <v>Offline Behaviour - Stop transaction during offline period - Same GroupId</v>
      </c>
      <c r="D123" t="str">
        <f>IF(VLOOKUP(A123&amp;" "&amp;B123,'HIDDEN import'!A:G,5,FALSE)="M",MD!$A$1,(IF(AND(VLOOKUP(A123,'HIDDEN import'!B:E,4,FALSE)="C",OR(NOT(ISERROR(VLOOKUP(E123,'Optional features'!B:D,1,FALSE)=E123)),NOT(ISERROR(VLOOKUP(E123,'HIDDEN calc sheet'!A:C,1,FALSE)=E123)))),MD!$A$3,MD!$A$2)))</f>
        <v>Mandatory for optional feature</v>
      </c>
      <c r="E123" t="str">
        <f>IF('HIDDEN import'!F122=0,"",'HIDDEN import'!F122)</f>
        <v>(C-70 or C-71 or C-72) AND (Local Authorization List Management or C-49)</v>
      </c>
      <c r="F123" t="str">
        <f>IF('HIDDEN import'!G122=0,"",'HIDDEN import'!G122)</f>
        <v>Local Authorization - using RFID ISO14443 / RFID ISO15693 / KeyCode and Local Authorization List or Authorization Cache</v>
      </c>
      <c r="G123" s="95" t="str">
        <f>IFERROR(VLOOKUP($A123,'HIDDEN Testrun Results'!$A:$B,2,FALSE),"")</f>
        <v/>
      </c>
      <c r="H123" s="6" t="b">
        <f t="shared" si="1"/>
        <v>0</v>
      </c>
      <c r="I123" s="6" t="b">
        <f>IF(VLOOKUP(A123&amp;" "&amp;B123,'HIDDEN import'!A:G,5,FALSE)="M",TRUE,IFERROR(VLOOKUP(E123,'Optional features'!B:D,3,FALSE)="Yes",IFERROR(VLOOKUP(E123,'HIDDEN calc sheet'!A:B,2,FALSE),IFERROR(VLOOKUP(E123,'Additional questions'!B:D,3,FALSE)="Yes",VLOOKUP(E123,'Hardware Feature set'!B:D,3,FALSE)="No"))))</f>
        <v>0</v>
      </c>
      <c r="J123" s="6" t="b">
        <f>IF(VLOOKUP(B123,'Profile selection'!B:C,2,FALSE)="Yes",TRUE,FALSE)</f>
        <v>1</v>
      </c>
    </row>
    <row r="124" spans="1:10" x14ac:dyDescent="0.25">
      <c r="A124" t="str">
        <f>'HIDDEN import'!B123</f>
        <v>TC_E_28_CS</v>
      </c>
      <c r="B124" t="str">
        <f>'HIDDEN import'!C123</f>
        <v>Core</v>
      </c>
      <c r="C124" t="str">
        <f>'HIDDEN import'!D123</f>
        <v>Check Transaction status - TransactionId unknown</v>
      </c>
      <c r="D124" t="str">
        <f>IF(VLOOKUP(A124&amp;" "&amp;B124,'HIDDEN import'!A:G,5,FALSE)="M",MD!$A$1,(IF(AND(VLOOKUP(A124,'HIDDEN import'!B:E,4,FALSE)="C",OR(NOT(ISERROR(VLOOKUP(E124,'Optional features'!B:D,1,FALSE)=E124)),NOT(ISERROR(VLOOKUP(E124,'HIDDEN calc sheet'!A:C,1,FALSE)=E124)))),MD!$A$3,MD!$A$2)))</f>
        <v>Mandatory test for a mandatory feature</v>
      </c>
      <c r="E124" t="str">
        <f>IF('HIDDEN import'!F123=0,"",'HIDDEN import'!F123)</f>
        <v/>
      </c>
      <c r="F124" t="str">
        <f>IF('HIDDEN import'!G123=0,"",'HIDDEN import'!G123)</f>
        <v/>
      </c>
      <c r="G124" s="95" t="str">
        <f>IFERROR(VLOOKUP($A124,'HIDDEN Testrun Results'!$A:$B,2,FALSE),"")</f>
        <v/>
      </c>
      <c r="H124" s="6" t="b">
        <f t="shared" si="1"/>
        <v>1</v>
      </c>
      <c r="I124" s="6" t="b">
        <f>IF(VLOOKUP(A124&amp;" "&amp;B124,'HIDDEN import'!A:G,5,FALSE)="M",TRUE,IFERROR(VLOOKUP(E124,'Optional features'!B:D,3,FALSE)="Yes",IFERROR(VLOOKUP(E124,'HIDDEN calc sheet'!A:B,2,FALSE),IFERROR(VLOOKUP(E124,'Additional questions'!B:D,3,FALSE)="Yes",VLOOKUP(E124,'Hardware Feature set'!B:D,3,FALSE)="No"))))</f>
        <v>1</v>
      </c>
      <c r="J124" s="6" t="b">
        <f>IF(VLOOKUP(B124,'Profile selection'!B:C,2,FALSE)="Yes",TRUE,FALSE)</f>
        <v>1</v>
      </c>
    </row>
    <row r="125" spans="1:10" x14ac:dyDescent="0.25">
      <c r="A125" t="str">
        <f>'HIDDEN import'!B124</f>
        <v>TC_E_29_CS</v>
      </c>
      <c r="B125" t="str">
        <f>'HIDDEN import'!C124</f>
        <v>Core</v>
      </c>
      <c r="C125" t="str">
        <f>'HIDDEN import'!D124</f>
        <v>Check Transaction status - Transaction with id ongoing - with message in queue</v>
      </c>
      <c r="D125" t="str">
        <f>IF(VLOOKUP(A125&amp;" "&amp;B125,'HIDDEN import'!A:G,5,FALSE)="M",MD!$A$1,(IF(AND(VLOOKUP(A125,'HIDDEN import'!B:E,4,FALSE)="C",OR(NOT(ISERROR(VLOOKUP(E125,'Optional features'!B:D,1,FALSE)=E125)),NOT(ISERROR(VLOOKUP(E125,'HIDDEN calc sheet'!A:C,1,FALSE)=E125)))),MD!$A$3,MD!$A$2)))</f>
        <v>Mandatory test for a mandatory feature</v>
      </c>
      <c r="E125" t="str">
        <f>IF('HIDDEN import'!F124=0,"",'HIDDEN import'!F124)</f>
        <v>C-16</v>
      </c>
      <c r="F125" t="str">
        <f>IF('HIDDEN import'!G124=0,"",'HIDDEN import'!G124)</f>
        <v>Check TransactionStatus</v>
      </c>
      <c r="G125" s="95" t="str">
        <f>IFERROR(VLOOKUP($A125,'HIDDEN Testrun Results'!$A:$B,2,FALSE),"")</f>
        <v/>
      </c>
      <c r="H125" s="6" t="b">
        <f t="shared" si="1"/>
        <v>1</v>
      </c>
      <c r="I125" s="6" t="b">
        <f>IF(VLOOKUP(A125&amp;" "&amp;B125,'HIDDEN import'!A:G,5,FALSE)="M",TRUE,IFERROR(VLOOKUP(E125,'Optional features'!B:D,3,FALSE)="Yes",IFERROR(VLOOKUP(E125,'HIDDEN calc sheet'!A:B,2,FALSE),IFERROR(VLOOKUP(E125,'Additional questions'!B:D,3,FALSE)="Yes",VLOOKUP(E125,'Hardware Feature set'!B:D,3,FALSE)="No"))))</f>
        <v>1</v>
      </c>
      <c r="J125" s="6" t="b">
        <f>IF(VLOOKUP(B125,'Profile selection'!B:C,2,FALSE)="Yes",TRUE,FALSE)</f>
        <v>1</v>
      </c>
    </row>
    <row r="126" spans="1:10" x14ac:dyDescent="0.25">
      <c r="A126" t="str">
        <f>'HIDDEN import'!B125</f>
        <v>TC_E_30_CS</v>
      </c>
      <c r="B126" t="str">
        <f>'HIDDEN import'!C125</f>
        <v>Core</v>
      </c>
      <c r="C126" t="str">
        <f>'HIDDEN import'!D125</f>
        <v>Check Transaction status - Transaction with id ongoing - without message in queue</v>
      </c>
      <c r="D126" t="str">
        <f>IF(VLOOKUP(A126&amp;" "&amp;B126,'HIDDEN import'!A:G,5,FALSE)="M",MD!$A$1,(IF(AND(VLOOKUP(A126,'HIDDEN import'!B:E,4,FALSE)="C",OR(NOT(ISERROR(VLOOKUP(E126,'Optional features'!B:D,1,FALSE)=E126)),NOT(ISERROR(VLOOKUP(E126,'HIDDEN calc sheet'!A:C,1,FALSE)=E126)))),MD!$A$3,MD!$A$2)))</f>
        <v>Mandatory test for a mandatory feature</v>
      </c>
      <c r="E126" t="str">
        <f>IF('HIDDEN import'!F125=0,"",'HIDDEN import'!F125)</f>
        <v>C-16</v>
      </c>
      <c r="F126" t="str">
        <f>IF('HIDDEN import'!G125=0,"",'HIDDEN import'!G125)</f>
        <v>Check TransactionStatus</v>
      </c>
      <c r="G126" s="95" t="str">
        <f>IFERROR(VLOOKUP($A126,'HIDDEN Testrun Results'!$A:$B,2,FALSE),"")</f>
        <v/>
      </c>
      <c r="H126" s="6" t="b">
        <f t="shared" si="1"/>
        <v>1</v>
      </c>
      <c r="I126" s="6" t="b">
        <f>IF(VLOOKUP(A126&amp;" "&amp;B126,'HIDDEN import'!A:G,5,FALSE)="M",TRUE,IFERROR(VLOOKUP(E126,'Optional features'!B:D,3,FALSE)="Yes",IFERROR(VLOOKUP(E126,'HIDDEN calc sheet'!A:B,2,FALSE),IFERROR(VLOOKUP(E126,'Additional questions'!B:D,3,FALSE)="Yes",VLOOKUP(E126,'Hardware Feature set'!B:D,3,FALSE)="No"))))</f>
        <v>1</v>
      </c>
      <c r="J126" s="6" t="b">
        <f>IF(VLOOKUP(B126,'Profile selection'!B:C,2,FALSE)="Yes",TRUE,FALSE)</f>
        <v>1</v>
      </c>
    </row>
    <row r="127" spans="1:10" x14ac:dyDescent="0.25">
      <c r="A127" t="str">
        <f>'HIDDEN import'!B126</f>
        <v>TC_E_31_CS</v>
      </c>
      <c r="B127" t="str">
        <f>'HIDDEN import'!C126</f>
        <v>Core</v>
      </c>
      <c r="C127" t="str">
        <f>'HIDDEN import'!D126</f>
        <v>Check Transaction status - Transaction with id ended - with message in queue</v>
      </c>
      <c r="D127" t="str">
        <f>IF(VLOOKUP(A127&amp;" "&amp;B127,'HIDDEN import'!A:G,5,FALSE)="M",MD!$A$1,(IF(AND(VLOOKUP(A127,'HIDDEN import'!B:E,4,FALSE)="C",OR(NOT(ISERROR(VLOOKUP(E127,'Optional features'!B:D,1,FALSE)=E127)),NOT(ISERROR(VLOOKUP(E127,'HIDDEN calc sheet'!A:C,1,FALSE)=E127)))),MD!$A$3,MD!$A$2)))</f>
        <v>Mandatory for optional feature</v>
      </c>
      <c r="E127" t="str">
        <f>IF('HIDDEN import'!F126=0,"",'HIDDEN import'!F126)</f>
        <v>NOT (NOT ((C-30 and C-70) or (C-31 and C-71) or (C-32 and C-72) or (C-35 and C-75)) AND (NOT C-10.1 AND NOT C-10.3 AND NOT C-10.4 AND NOT C-10.5) AND NOT C-06.2)</v>
      </c>
      <c r="F127" t="str">
        <f>IF('HIDDEN import'!G126=0,"",'HIDDEN import'!G126)</f>
        <v>Check TransactionStatus</v>
      </c>
      <c r="G127" s="95" t="str">
        <f>IFERROR(VLOOKUP($A127,'HIDDEN Testrun Results'!$A:$B,2,FALSE),"")</f>
        <v/>
      </c>
      <c r="H127" s="6" t="b">
        <f t="shared" si="1"/>
        <v>1</v>
      </c>
      <c r="I127" s="6" t="b">
        <f>IF(VLOOKUP(A127&amp;" "&amp;B127,'HIDDEN import'!A:G,5,FALSE)="M",TRUE,IFERROR(VLOOKUP(E127,'Optional features'!B:D,3,FALSE)="Yes",IFERROR(VLOOKUP(E127,'HIDDEN calc sheet'!A:B,2,FALSE),IFERROR(VLOOKUP(E127,'Additional questions'!B:D,3,FALSE)="Yes",VLOOKUP(E127,'Hardware Feature set'!B:D,3,FALSE)="No"))))</f>
        <v>1</v>
      </c>
      <c r="J127" s="6" t="b">
        <f>IF(VLOOKUP(B127,'Profile selection'!B:C,2,FALSE)="Yes",TRUE,FALSE)</f>
        <v>1</v>
      </c>
    </row>
    <row r="128" spans="1:10" x14ac:dyDescent="0.25">
      <c r="A128" t="str">
        <f>'HIDDEN import'!B127</f>
        <v>TC_E_32_CS</v>
      </c>
      <c r="B128" t="str">
        <f>'HIDDEN import'!C127</f>
        <v>Core</v>
      </c>
      <c r="C128" t="str">
        <f>'HIDDEN import'!D127</f>
        <v>Check Transaction status - Transaction with id ended - without message in queue</v>
      </c>
      <c r="D128" t="str">
        <f>IF(VLOOKUP(A128&amp;" "&amp;B128,'HIDDEN import'!A:G,5,FALSE)="M",MD!$A$1,(IF(AND(VLOOKUP(A128,'HIDDEN import'!B:E,4,FALSE)="C",OR(NOT(ISERROR(VLOOKUP(E128,'Optional features'!B:D,1,FALSE)=E128)),NOT(ISERROR(VLOOKUP(E128,'HIDDEN calc sheet'!A:C,1,FALSE)=E128)))),MD!$A$3,MD!$A$2)))</f>
        <v>Mandatory test for a mandatory feature</v>
      </c>
      <c r="E128" t="str">
        <f>IF('HIDDEN import'!F127=0,"",'HIDDEN import'!F127)</f>
        <v/>
      </c>
      <c r="F128" t="str">
        <f>IF('HIDDEN import'!G127=0,"",'HIDDEN import'!G127)</f>
        <v/>
      </c>
      <c r="G128" s="95" t="str">
        <f>IFERROR(VLOOKUP($A128,'HIDDEN Testrun Results'!$A:$B,2,FALSE),"")</f>
        <v/>
      </c>
      <c r="H128" s="6" t="b">
        <f t="shared" si="1"/>
        <v>1</v>
      </c>
      <c r="I128" s="6" t="b">
        <f>IF(VLOOKUP(A128&amp;" "&amp;B128,'HIDDEN import'!A:G,5,FALSE)="M",TRUE,IFERROR(VLOOKUP(E128,'Optional features'!B:D,3,FALSE)="Yes",IFERROR(VLOOKUP(E128,'HIDDEN calc sheet'!A:B,2,FALSE),IFERROR(VLOOKUP(E128,'Additional questions'!B:D,3,FALSE)="Yes",VLOOKUP(E128,'Hardware Feature set'!B:D,3,FALSE)="No"))))</f>
        <v>1</v>
      </c>
      <c r="J128" s="6" t="b">
        <f>IF(VLOOKUP(B128,'Profile selection'!B:C,2,FALSE)="Yes",TRUE,FALSE)</f>
        <v>1</v>
      </c>
    </row>
    <row r="129" spans="1:10" x14ac:dyDescent="0.25">
      <c r="A129" t="str">
        <f>'HIDDEN import'!B128</f>
        <v>TC_E_33_CS</v>
      </c>
      <c r="B129" t="str">
        <f>'HIDDEN import'!C128</f>
        <v>Core</v>
      </c>
      <c r="C129" t="str">
        <f>'HIDDEN import'!D128</f>
        <v>Check Transaction status - Without transactionId - with message in queue</v>
      </c>
      <c r="D129" t="str">
        <f>IF(VLOOKUP(A129&amp;" "&amp;B129,'HIDDEN import'!A:G,5,FALSE)="M",MD!$A$1,(IF(AND(VLOOKUP(A129,'HIDDEN import'!B:E,4,FALSE)="C",OR(NOT(ISERROR(VLOOKUP(E129,'Optional features'!B:D,1,FALSE)=E129)),NOT(ISERROR(VLOOKUP(E129,'HIDDEN calc sheet'!A:C,1,FALSE)=E129)))),MD!$A$3,MD!$A$2)))</f>
        <v>Mandatory test for a mandatory feature</v>
      </c>
      <c r="E129" t="str">
        <f>IF('HIDDEN import'!F128=0,"",'HIDDEN import'!F128)</f>
        <v>C-16</v>
      </c>
      <c r="F129" t="str">
        <f>IF('HIDDEN import'!G128=0,"",'HIDDEN import'!G128)</f>
        <v>Check TransactionStatus</v>
      </c>
      <c r="G129" s="95" t="str">
        <f>IFERROR(VLOOKUP($A129,'HIDDEN Testrun Results'!$A:$B,2,FALSE),"")</f>
        <v/>
      </c>
      <c r="H129" s="6" t="b">
        <f t="shared" si="1"/>
        <v>1</v>
      </c>
      <c r="I129" s="6" t="b">
        <f>IF(VLOOKUP(A129&amp;" "&amp;B129,'HIDDEN import'!A:G,5,FALSE)="M",TRUE,IFERROR(VLOOKUP(E129,'Optional features'!B:D,3,FALSE)="Yes",IFERROR(VLOOKUP(E129,'HIDDEN calc sheet'!A:B,2,FALSE),IFERROR(VLOOKUP(E129,'Additional questions'!B:D,3,FALSE)="Yes",VLOOKUP(E129,'Hardware Feature set'!B:D,3,FALSE)="No"))))</f>
        <v>1</v>
      </c>
      <c r="J129" s="6" t="b">
        <f>IF(VLOOKUP(B129,'Profile selection'!B:C,2,FALSE)="Yes",TRUE,FALSE)</f>
        <v>1</v>
      </c>
    </row>
    <row r="130" spans="1:10" x14ac:dyDescent="0.25">
      <c r="A130" t="str">
        <f>'HIDDEN import'!B129</f>
        <v>TC_E_34_CS</v>
      </c>
      <c r="B130" t="str">
        <f>'HIDDEN import'!C129</f>
        <v>Core</v>
      </c>
      <c r="C130" t="str">
        <f>'HIDDEN import'!D129</f>
        <v>Check Transaction status - Without transactionId - without message in queue</v>
      </c>
      <c r="D130" t="str">
        <f>IF(VLOOKUP(A130&amp;" "&amp;B130,'HIDDEN import'!A:G,5,FALSE)="M",MD!$A$1,(IF(AND(VLOOKUP(A130,'HIDDEN import'!B:E,4,FALSE)="C",OR(NOT(ISERROR(VLOOKUP(E130,'Optional features'!B:D,1,FALSE)=E130)),NOT(ISERROR(VLOOKUP(E130,'HIDDEN calc sheet'!A:C,1,FALSE)=E130)))),MD!$A$3,MD!$A$2)))</f>
        <v>Mandatory test for a mandatory feature</v>
      </c>
      <c r="E130" t="str">
        <f>IF('HIDDEN import'!F129=0,"",'HIDDEN import'!F129)</f>
        <v>C-16</v>
      </c>
      <c r="F130" t="str">
        <f>IF('HIDDEN import'!G129=0,"",'HIDDEN import'!G129)</f>
        <v>Check TransactionStatus</v>
      </c>
      <c r="G130" s="95" t="str">
        <f>IFERROR(VLOOKUP($A130,'HIDDEN Testrun Results'!$A:$B,2,FALSE),"")</f>
        <v/>
      </c>
      <c r="H130" s="6" t="b">
        <f t="shared" si="1"/>
        <v>1</v>
      </c>
      <c r="I130" s="6" t="b">
        <f>IF(VLOOKUP(A130&amp;" "&amp;B130,'HIDDEN import'!A:G,5,FALSE)="M",TRUE,IFERROR(VLOOKUP(E130,'Optional features'!B:D,3,FALSE)="Yes",IFERROR(VLOOKUP(E130,'HIDDEN calc sheet'!A:B,2,FALSE),IFERROR(VLOOKUP(E130,'Additional questions'!B:D,3,FALSE)="Yes",VLOOKUP(E130,'Hardware Feature set'!B:D,3,FALSE)="No"))))</f>
        <v>1</v>
      </c>
      <c r="J130" s="6" t="b">
        <f>IF(VLOOKUP(B130,'Profile selection'!B:C,2,FALSE)="Yes",TRUE,FALSE)</f>
        <v>1</v>
      </c>
    </row>
    <row r="131" spans="1:10" x14ac:dyDescent="0.25">
      <c r="A131" t="str">
        <f>'HIDDEN import'!B130</f>
        <v>TC_F_01_CS</v>
      </c>
      <c r="B131" t="str">
        <f>'HIDDEN import'!C130</f>
        <v>Core</v>
      </c>
      <c r="C131" t="str">
        <f>'HIDDEN import'!D130</f>
        <v>Remote start transaction - Cable plugin first</v>
      </c>
      <c r="D131" t="str">
        <f>IF(VLOOKUP(A131&amp;" "&amp;B131,'HIDDEN import'!A:G,5,FALSE)="M",MD!$A$1,(IF(AND(VLOOKUP(A131,'HIDDEN import'!B:E,4,FALSE)="C",OR(NOT(ISERROR(VLOOKUP(E131,'Optional features'!B:D,1,FALSE)=E131)),NOT(ISERROR(VLOOKUP(E131,'HIDDEN calc sheet'!A:C,1,FALSE)=E131)))),MD!$A$3,MD!$A$2)))</f>
        <v>Mandatory for optional feature</v>
      </c>
      <c r="E131" t="str">
        <f>IF('HIDDEN import'!F130=0,"",'HIDDEN import'!F130)</f>
        <v>NOT AQ-2 and (C-36 or C-37 or C-38 or C-39)</v>
      </c>
      <c r="F131" t="str">
        <f>IF('HIDDEN import'!G130=0,"",'HIDDEN import'!G130)</f>
        <v>Authorization options for remote start</v>
      </c>
      <c r="G131" s="95" t="str">
        <f>IFERROR(VLOOKUP($A131,'HIDDEN Testrun Results'!$A:$B,2,FALSE),"")</f>
        <v/>
      </c>
      <c r="H131" s="6" t="b">
        <f t="shared" si="1"/>
        <v>1</v>
      </c>
      <c r="I131" s="6" t="b">
        <f>IF(VLOOKUP(A131&amp;" "&amp;B131,'HIDDEN import'!A:G,5,FALSE)="M",TRUE,IFERROR(VLOOKUP(E131,'Optional features'!B:D,3,FALSE)="Yes",IFERROR(VLOOKUP(E131,'HIDDEN calc sheet'!A:B,2,FALSE),IFERROR(VLOOKUP(E131,'Additional questions'!B:D,3,FALSE)="Yes",VLOOKUP(E131,'Hardware Feature set'!B:D,3,FALSE)="No"))))</f>
        <v>1</v>
      </c>
      <c r="J131" s="6" t="b">
        <f>IF(VLOOKUP(B131,'Profile selection'!B:C,2,FALSE)="Yes",TRUE,FALSE)</f>
        <v>1</v>
      </c>
    </row>
    <row r="132" spans="1:10" x14ac:dyDescent="0.25">
      <c r="A132" t="str">
        <f>'HIDDEN import'!B131</f>
        <v>TC_F_02_CS</v>
      </c>
      <c r="B132" t="str">
        <f>'HIDDEN import'!C131</f>
        <v>Core</v>
      </c>
      <c r="C132" t="str">
        <f>'HIDDEN import'!D131</f>
        <v>Remote start transaction - Remote start first - AuthorizeRemoteStart is true</v>
      </c>
      <c r="D132" t="str">
        <f>IF(VLOOKUP(A132&amp;" "&amp;B132,'HIDDEN import'!A:G,5,FALSE)="M",MD!$A$1,(IF(AND(VLOOKUP(A132,'HIDDEN import'!B:E,4,FALSE)="C",OR(NOT(ISERROR(VLOOKUP(E132,'Optional features'!B:D,1,FALSE)=E132)),NOT(ISERROR(VLOOKUP(E132,'HIDDEN calc sheet'!A:C,1,FALSE)=E132)))),MD!$A$3,MD!$A$2)))</f>
        <v>Mandatory for optional feature</v>
      </c>
      <c r="E132" t="str">
        <f>IF('HIDDEN import'!F131=0,"",'HIDDEN import'!F131)</f>
        <v>C-48.1 and (C-36 or C-37 or C-38 or C-39)</v>
      </c>
      <c r="F132" t="str">
        <f>IF('HIDDEN import'!G131=0,"",'HIDDEN import'!G131)</f>
        <v>Authorization options for remote start</v>
      </c>
      <c r="G132" s="95" t="str">
        <f>IFERROR(VLOOKUP($A132,'HIDDEN Testrun Results'!$A:$B,2,FALSE),"")</f>
        <v/>
      </c>
      <c r="H132" s="6" t="b">
        <f t="shared" ref="H132:H195" si="2">IF(NOT(J132),FALSE,IF(NOT(ISLOGICAL(I132)),I132,AND(I132,J132)))</f>
        <v>0</v>
      </c>
      <c r="I132" s="6" t="b">
        <f>IF(VLOOKUP(A132&amp;" "&amp;B132,'HIDDEN import'!A:G,5,FALSE)="M",TRUE,IFERROR(VLOOKUP(E132,'Optional features'!B:D,3,FALSE)="Yes",IFERROR(VLOOKUP(E132,'HIDDEN calc sheet'!A:B,2,FALSE),IFERROR(VLOOKUP(E132,'Additional questions'!B:D,3,FALSE)="Yes",VLOOKUP(E132,'Hardware Feature set'!B:D,3,FALSE)="No"))))</f>
        <v>0</v>
      </c>
      <c r="J132" s="6" t="b">
        <f>IF(VLOOKUP(B132,'Profile selection'!B:C,2,FALSE)="Yes",TRUE,FALSE)</f>
        <v>1</v>
      </c>
    </row>
    <row r="133" spans="1:10" x14ac:dyDescent="0.25">
      <c r="A133" t="str">
        <f>'HIDDEN import'!B132</f>
        <v>TC_F_03_CS</v>
      </c>
      <c r="B133" t="str">
        <f>'HIDDEN import'!C132</f>
        <v>Core</v>
      </c>
      <c r="C133" t="str">
        <f>'HIDDEN import'!D132</f>
        <v>Remote start transaction - Remote start first - AuthorizeRemoteStart is false</v>
      </c>
      <c r="D133" t="str">
        <f>IF(VLOOKUP(A133&amp;" "&amp;B133,'HIDDEN import'!A:G,5,FALSE)="M",MD!$A$1,(IF(AND(VLOOKUP(A133,'HIDDEN import'!B:E,4,FALSE)="C",OR(NOT(ISERROR(VLOOKUP(E133,'Optional features'!B:D,1,FALSE)=E133)),NOT(ISERROR(VLOOKUP(E133,'HIDDEN calc sheet'!A:C,1,FALSE)=E133)))),MD!$A$3,MD!$A$2)))</f>
        <v>Mandatory for optional feature</v>
      </c>
      <c r="E133" t="str">
        <f>IF('HIDDEN import'!F132=0,"",'HIDDEN import'!F132)</f>
        <v>C-48.2 and (C-36 or C-37 or C-38 or C-39)</v>
      </c>
      <c r="F133" t="str">
        <f>IF('HIDDEN import'!G132=0,"",'HIDDEN import'!G132)</f>
        <v>Authorization options for remote start</v>
      </c>
      <c r="G133" s="95" t="str">
        <f>IFERROR(VLOOKUP($A133,'HIDDEN Testrun Results'!$A:$B,2,FALSE),"")</f>
        <v/>
      </c>
      <c r="H133" s="6" t="b">
        <f t="shared" si="2"/>
        <v>1</v>
      </c>
      <c r="I133" s="6" t="b">
        <f>IF(VLOOKUP(A133&amp;" "&amp;B133,'HIDDEN import'!A:G,5,FALSE)="M",TRUE,IFERROR(VLOOKUP(E133,'Optional features'!B:D,3,FALSE)="Yes",IFERROR(VLOOKUP(E133,'HIDDEN calc sheet'!A:B,2,FALSE),IFERROR(VLOOKUP(E133,'Additional questions'!B:D,3,FALSE)="Yes",VLOOKUP(E133,'Hardware Feature set'!B:D,3,FALSE)="No"))))</f>
        <v>1</v>
      </c>
      <c r="J133" s="6" t="b">
        <f>IF(VLOOKUP(B133,'Profile selection'!B:C,2,FALSE)="Yes",TRUE,FALSE)</f>
        <v>1</v>
      </c>
    </row>
    <row r="134" spans="1:10" x14ac:dyDescent="0.25">
      <c r="A134" t="str">
        <f>'HIDDEN import'!B133</f>
        <v>TC_F_04_CS</v>
      </c>
      <c r="B134" t="str">
        <f>'HIDDEN import'!C133</f>
        <v>Core</v>
      </c>
      <c r="C134" t="str">
        <f>'HIDDEN import'!D133</f>
        <v>Remote start transaction - Remote start first - Cable plugin timeout</v>
      </c>
      <c r="D134" t="str">
        <f>IF(VLOOKUP(A134&amp;" "&amp;B134,'HIDDEN import'!A:G,5,FALSE)="M",MD!$A$1,(IF(AND(VLOOKUP(A134,'HIDDEN import'!B:E,4,FALSE)="C",OR(NOT(ISERROR(VLOOKUP(E134,'Optional features'!B:D,1,FALSE)=E134)),NOT(ISERROR(VLOOKUP(E134,'HIDDEN calc sheet'!A:C,1,FALSE)=E134)))),MD!$A$3,MD!$A$2)))</f>
        <v>Mandatory test for a mandatory feature</v>
      </c>
      <c r="E134" t="str">
        <f>IF('HIDDEN import'!F133=0,"",'HIDDEN import'!F133)</f>
        <v/>
      </c>
      <c r="F134" t="str">
        <f>IF('HIDDEN import'!G133=0,"",'HIDDEN import'!G133)</f>
        <v/>
      </c>
      <c r="G134" s="95" t="str">
        <f>IFERROR(VLOOKUP($A134,'HIDDEN Testrun Results'!$A:$B,2,FALSE),"")</f>
        <v/>
      </c>
      <c r="H134" s="6" t="b">
        <f t="shared" si="2"/>
        <v>1</v>
      </c>
      <c r="I134" s="6" t="b">
        <f>IF(VLOOKUP(A134&amp;" "&amp;B134,'HIDDEN import'!A:G,5,FALSE)="M",TRUE,IFERROR(VLOOKUP(E134,'Optional features'!B:D,3,FALSE)="Yes",IFERROR(VLOOKUP(E134,'HIDDEN calc sheet'!A:B,2,FALSE),IFERROR(VLOOKUP(E134,'Additional questions'!B:D,3,FALSE)="Yes",VLOOKUP(E134,'Hardware Feature set'!B:D,3,FALSE)="No"))))</f>
        <v>1</v>
      </c>
      <c r="J134" s="6" t="b">
        <f>IF(VLOOKUP(B134,'Profile selection'!B:C,2,FALSE)="Yes",TRUE,FALSE)</f>
        <v>1</v>
      </c>
    </row>
    <row r="135" spans="1:10" x14ac:dyDescent="0.25">
      <c r="A135" t="str">
        <f>'HIDDEN import'!B134</f>
        <v>TC_F_08_CS</v>
      </c>
      <c r="B135" t="str">
        <f>'HIDDEN import'!C134</f>
        <v>Core</v>
      </c>
      <c r="C135" t="str">
        <f>'HIDDEN import'!D134</f>
        <v>Remote stop transaction - Success</v>
      </c>
      <c r="D135" t="str">
        <f>IF(VLOOKUP(A135&amp;" "&amp;B135,'HIDDEN import'!A:G,5,FALSE)="M",MD!$A$1,(IF(AND(VLOOKUP(A135,'HIDDEN import'!B:E,4,FALSE)="C",OR(NOT(ISERROR(VLOOKUP(E135,'Optional features'!B:D,1,FALSE)=E135)),NOT(ISERROR(VLOOKUP(E135,'HIDDEN calc sheet'!A:C,1,FALSE)=E135)))),MD!$A$3,MD!$A$2)))</f>
        <v>Mandatory test for a mandatory feature</v>
      </c>
      <c r="E135" t="str">
        <f>IF('HIDDEN import'!F134=0,"",'HIDDEN import'!F134)</f>
        <v/>
      </c>
      <c r="F135" t="str">
        <f>IF('HIDDEN import'!G134=0,"",'HIDDEN import'!G134)</f>
        <v/>
      </c>
      <c r="G135" s="95" t="str">
        <f>IFERROR(VLOOKUP($A135,'HIDDEN Testrun Results'!$A:$B,2,FALSE),"")</f>
        <v/>
      </c>
      <c r="H135" s="6" t="b">
        <f t="shared" si="2"/>
        <v>1</v>
      </c>
      <c r="I135" s="6" t="b">
        <f>IF(VLOOKUP(A135&amp;" "&amp;B135,'HIDDEN import'!A:G,5,FALSE)="M",TRUE,IFERROR(VLOOKUP(E135,'Optional features'!B:D,3,FALSE)="Yes",IFERROR(VLOOKUP(E135,'HIDDEN calc sheet'!A:B,2,FALSE),IFERROR(VLOOKUP(E135,'Additional questions'!B:D,3,FALSE)="Yes",VLOOKUP(E135,'Hardware Feature set'!B:D,3,FALSE)="No"))))</f>
        <v>1</v>
      </c>
      <c r="J135" s="6" t="b">
        <f>IF(VLOOKUP(B135,'Profile selection'!B:C,2,FALSE)="Yes",TRUE,FALSE)</f>
        <v>1</v>
      </c>
    </row>
    <row r="136" spans="1:10" x14ac:dyDescent="0.25">
      <c r="A136" t="str">
        <f>'HIDDEN import'!B135</f>
        <v>TC_F_09_CS</v>
      </c>
      <c r="B136" t="str">
        <f>'HIDDEN import'!C135</f>
        <v>Core</v>
      </c>
      <c r="C136" t="str">
        <f>'HIDDEN import'!D135</f>
        <v>Remote stop transaction - Rejected</v>
      </c>
      <c r="D136" t="str">
        <f>IF(VLOOKUP(A136&amp;" "&amp;B136,'HIDDEN import'!A:G,5,FALSE)="M",MD!$A$1,(IF(AND(VLOOKUP(A136,'HIDDEN import'!B:E,4,FALSE)="C",OR(NOT(ISERROR(VLOOKUP(E136,'Optional features'!B:D,1,FALSE)=E136)),NOT(ISERROR(VLOOKUP(E136,'HIDDEN calc sheet'!A:C,1,FALSE)=E136)))),MD!$A$3,MD!$A$2)))</f>
        <v>Mandatory test for a mandatory feature</v>
      </c>
      <c r="E136" t="str">
        <f>IF('HIDDEN import'!F135=0,"",'HIDDEN import'!F135)</f>
        <v/>
      </c>
      <c r="F136" t="str">
        <f>IF('HIDDEN import'!G135=0,"",'HIDDEN import'!G135)</f>
        <v/>
      </c>
      <c r="G136" s="95" t="str">
        <f>IFERROR(VLOOKUP($A136,'HIDDEN Testrun Results'!$A:$B,2,FALSE),"")</f>
        <v/>
      </c>
      <c r="H136" s="6" t="b">
        <f t="shared" si="2"/>
        <v>1</v>
      </c>
      <c r="I136" s="6" t="b">
        <f>IF(VLOOKUP(A136&amp;" "&amp;B136,'HIDDEN import'!A:G,5,FALSE)="M",TRUE,IFERROR(VLOOKUP(E136,'Optional features'!B:D,3,FALSE)="Yes",IFERROR(VLOOKUP(E136,'HIDDEN calc sheet'!A:B,2,FALSE),IFERROR(VLOOKUP(E136,'Additional questions'!B:D,3,FALSE)="Yes",VLOOKUP(E136,'Hardware Feature set'!B:D,3,FALSE)="No"))))</f>
        <v>1</v>
      </c>
      <c r="J136" s="6" t="b">
        <f>IF(VLOOKUP(B136,'Profile selection'!B:C,2,FALSE)="Yes",TRUE,FALSE)</f>
        <v>1</v>
      </c>
    </row>
    <row r="137" spans="1:10" x14ac:dyDescent="0.25">
      <c r="A137" t="str">
        <f>'HIDDEN import'!B136</f>
        <v>TC_F_05_CS</v>
      </c>
      <c r="B137" t="str">
        <f>'HIDDEN import'!C136</f>
        <v>Core</v>
      </c>
      <c r="C137" t="str">
        <f>'HIDDEN import'!D136</f>
        <v>Remote unlock Connector - With ongoing transaction</v>
      </c>
      <c r="D137" t="str">
        <f>IF(VLOOKUP(A137&amp;" "&amp;B137,'HIDDEN import'!A:G,5,FALSE)="M",MD!$A$1,(IF(AND(VLOOKUP(A137,'HIDDEN import'!B:E,4,FALSE)="C",OR(NOT(ISERROR(VLOOKUP(E137,'Optional features'!B:D,1,FALSE)=E137)),NOT(ISERROR(VLOOKUP(E137,'HIDDEN calc sheet'!A:C,1,FALSE)=E137)))),MD!$A$3,MD!$A$2)))</f>
        <v>Mandatory for optional feature</v>
      </c>
      <c r="E137" t="str">
        <f>IF('HIDDEN import'!F136=0,"",'HIDDEN import'!F136)</f>
        <v>HFS-1 and AQ-18</v>
      </c>
      <c r="F137" t="str">
        <f>IF('HIDDEN import'!G136=0,"",'HIDDEN import'!G136)</f>
        <v/>
      </c>
      <c r="G137" s="95" t="str">
        <f>IFERROR(VLOOKUP($A137,'HIDDEN Testrun Results'!$A:$B,2,FALSE),"")</f>
        <v/>
      </c>
      <c r="H137" s="6" t="b">
        <f t="shared" si="2"/>
        <v>0</v>
      </c>
      <c r="I137" s="6" t="b">
        <f>IF(VLOOKUP(A137&amp;" "&amp;B137,'HIDDEN import'!A:G,5,FALSE)="M",TRUE,IFERROR(VLOOKUP(E137,'Optional features'!B:D,3,FALSE)="Yes",IFERROR(VLOOKUP(E137,'HIDDEN calc sheet'!A:B,2,FALSE),IFERROR(VLOOKUP(E137,'Additional questions'!B:D,3,FALSE)="Yes",VLOOKUP(E137,'Hardware Feature set'!B:D,3,FALSE)="No"))))</f>
        <v>0</v>
      </c>
      <c r="J137" s="6" t="b">
        <f>IF(VLOOKUP(B137,'Profile selection'!B:C,2,FALSE)="Yes",TRUE,FALSE)</f>
        <v>1</v>
      </c>
    </row>
    <row r="138" spans="1:10" x14ac:dyDescent="0.25">
      <c r="A138" t="str">
        <f>'HIDDEN import'!B137</f>
        <v>TC_F_06_CS</v>
      </c>
      <c r="B138" t="str">
        <f>'HIDDEN import'!C137</f>
        <v>Core</v>
      </c>
      <c r="C138" t="str">
        <f>'HIDDEN import'!D137</f>
        <v>Remote unlock Connector - Without ongoing transaction - Accepted</v>
      </c>
      <c r="D138" t="str">
        <f>IF(VLOOKUP(A138&amp;" "&amp;B138,'HIDDEN import'!A:G,5,FALSE)="M",MD!$A$1,(IF(AND(VLOOKUP(A138,'HIDDEN import'!B:E,4,FALSE)="C",OR(NOT(ISERROR(VLOOKUP(E138,'Optional features'!B:D,1,FALSE)=E138)),NOT(ISERROR(VLOOKUP(E138,'HIDDEN calc sheet'!A:C,1,FALSE)=E138)))),MD!$A$3,MD!$A$2)))</f>
        <v>Mandatory for optional feature</v>
      </c>
      <c r="E138" t="str">
        <f>IF('HIDDEN import'!F137=0,"",'HIDDEN import'!F137)</f>
        <v>HFS-1 and AQ-18</v>
      </c>
      <c r="F138" t="str">
        <f>IF('HIDDEN import'!G137=0,"",'HIDDEN import'!G137)</f>
        <v/>
      </c>
      <c r="G138" s="95" t="str">
        <f>IFERROR(VLOOKUP($A138,'HIDDEN Testrun Results'!$A:$B,2,FALSE),"")</f>
        <v/>
      </c>
      <c r="H138" s="6" t="b">
        <f t="shared" si="2"/>
        <v>0</v>
      </c>
      <c r="I138" s="6" t="b">
        <f>IF(VLOOKUP(A138&amp;" "&amp;B138,'HIDDEN import'!A:G,5,FALSE)="M",TRUE,IFERROR(VLOOKUP(E138,'Optional features'!B:D,3,FALSE)="Yes",IFERROR(VLOOKUP(E138,'HIDDEN calc sheet'!A:B,2,FALSE),IFERROR(VLOOKUP(E138,'Additional questions'!B:D,3,FALSE)="Yes",VLOOKUP(E138,'Hardware Feature set'!B:D,3,FALSE)="No"))))</f>
        <v>0</v>
      </c>
      <c r="J138" s="6" t="b">
        <f>IF(VLOOKUP(B138,'Profile selection'!B:C,2,FALSE)="Yes",TRUE,FALSE)</f>
        <v>1</v>
      </c>
    </row>
    <row r="139" spans="1:10" x14ac:dyDescent="0.25">
      <c r="A139" t="str">
        <f>'HIDDEN import'!B138</f>
        <v>TC_F_07_CS</v>
      </c>
      <c r="B139" t="str">
        <f>'HIDDEN import'!C138</f>
        <v>Core</v>
      </c>
      <c r="C139" t="str">
        <f>'HIDDEN import'!D138</f>
        <v>Remote unlock Connector - Without ongoing transaction - No cable connected</v>
      </c>
      <c r="D139" t="str">
        <f>IF(VLOOKUP(A139&amp;" "&amp;B139,'HIDDEN import'!A:G,5,FALSE)="M",MD!$A$1,(IF(AND(VLOOKUP(A139,'HIDDEN import'!B:E,4,FALSE)="C",OR(NOT(ISERROR(VLOOKUP(E139,'Optional features'!B:D,1,FALSE)=E139)),NOT(ISERROR(VLOOKUP(E139,'HIDDEN calc sheet'!A:C,1,FALSE)=E139)))),MD!$A$3,MD!$A$2)))</f>
        <v>Mandatory for optional feature</v>
      </c>
      <c r="E139" t="str">
        <f>IF('HIDDEN import'!F138=0,"",'HIDDEN import'!F138)</f>
        <v>HFS-1 and AQ-18</v>
      </c>
      <c r="F139" t="str">
        <f>IF('HIDDEN import'!G138=0,"",'HIDDEN import'!G138)</f>
        <v/>
      </c>
      <c r="G139" s="95" t="str">
        <f>IFERROR(VLOOKUP($A139,'HIDDEN Testrun Results'!$A:$B,2,FALSE),"")</f>
        <v/>
      </c>
      <c r="H139" s="6" t="b">
        <f t="shared" si="2"/>
        <v>0</v>
      </c>
      <c r="I139" s="6" t="b">
        <f>IF(VLOOKUP(A139&amp;" "&amp;B139,'HIDDEN import'!A:G,5,FALSE)="M",TRUE,IFERROR(VLOOKUP(E139,'Optional features'!B:D,3,FALSE)="Yes",IFERROR(VLOOKUP(E139,'HIDDEN calc sheet'!A:B,2,FALSE),IFERROR(VLOOKUP(E139,'Additional questions'!B:D,3,FALSE)="Yes",VLOOKUP(E139,'Hardware Feature set'!B:D,3,FALSE)="No"))))</f>
        <v>0</v>
      </c>
      <c r="J139" s="6" t="b">
        <f>IF(VLOOKUP(B139,'Profile selection'!B:C,2,FALSE)="Yes",TRUE,FALSE)</f>
        <v>1</v>
      </c>
    </row>
    <row r="140" spans="1:10" x14ac:dyDescent="0.25">
      <c r="A140" t="str">
        <f>'HIDDEN import'!B139</f>
        <v>TC_F_10_CS</v>
      </c>
      <c r="B140" t="str">
        <f>'HIDDEN import'!C139</f>
        <v>Core</v>
      </c>
      <c r="C140" t="str">
        <f>'HIDDEN import'!D139</f>
        <v>Remote unlock Connector - Without ongoing transaction - UnknownConnector</v>
      </c>
      <c r="D140" t="str">
        <f>IF(VLOOKUP(A140&amp;" "&amp;B140,'HIDDEN import'!A:G,5,FALSE)="M",MD!$A$1,(IF(AND(VLOOKUP(A140,'HIDDEN import'!B:E,4,FALSE)="C",OR(NOT(ISERROR(VLOOKUP(E140,'Optional features'!B:D,1,FALSE)=E140)),NOT(ISERROR(VLOOKUP(E140,'HIDDEN calc sheet'!A:C,1,FALSE)=E140)))),MD!$A$3,MD!$A$2)))</f>
        <v>Mandatory for optional feature</v>
      </c>
      <c r="E140" t="str">
        <f>IF('HIDDEN import'!F139=0,"",'HIDDEN import'!F139)</f>
        <v>HFS-1 and AQ-18</v>
      </c>
      <c r="F140" t="str">
        <f>IF('HIDDEN import'!G139=0,"",'HIDDEN import'!G139)</f>
        <v/>
      </c>
      <c r="G140" s="95" t="str">
        <f>IFERROR(VLOOKUP($A140,'HIDDEN Testrun Results'!$A:$B,2,FALSE),"")</f>
        <v/>
      </c>
      <c r="H140" s="6" t="b">
        <f t="shared" si="2"/>
        <v>0</v>
      </c>
      <c r="I140" s="6" t="b">
        <f>IF(VLOOKUP(A140&amp;" "&amp;B140,'HIDDEN import'!A:G,5,FALSE)="M",TRUE,IFERROR(VLOOKUP(E140,'Optional features'!B:D,3,FALSE)="Yes",IFERROR(VLOOKUP(E140,'HIDDEN calc sheet'!A:B,2,FALSE),IFERROR(VLOOKUP(E140,'Additional questions'!B:D,3,FALSE)="Yes",VLOOKUP(E140,'Hardware Feature set'!B:D,3,FALSE)="No"))))</f>
        <v>0</v>
      </c>
      <c r="J140" s="6" t="b">
        <f>IF(VLOOKUP(B140,'Profile selection'!B:C,2,FALSE)="Yes",TRUE,FALSE)</f>
        <v>1</v>
      </c>
    </row>
    <row r="141" spans="1:10" x14ac:dyDescent="0.25">
      <c r="A141" t="str">
        <f>'HIDDEN import'!B140</f>
        <v>TC_F_11_CS</v>
      </c>
      <c r="B141" t="str">
        <f>'HIDDEN import'!C140</f>
        <v>Core</v>
      </c>
      <c r="C141" t="str">
        <f>'HIDDEN import'!D140</f>
        <v>Trigger message - MeterValues - Specific EVSE</v>
      </c>
      <c r="D141" t="str">
        <f>IF(VLOOKUP(A141&amp;" "&amp;B141,'HIDDEN import'!A:G,5,FALSE)="M",MD!$A$1,(IF(AND(VLOOKUP(A141,'HIDDEN import'!B:E,4,FALSE)="C",OR(NOT(ISERROR(VLOOKUP(E141,'Optional features'!B:D,1,FALSE)=E141)),NOT(ISERROR(VLOOKUP(E141,'HIDDEN calc sheet'!A:C,1,FALSE)=E141)))),MD!$A$3,MD!$A$2)))</f>
        <v>Mandatory for optional feature</v>
      </c>
      <c r="E141" t="str">
        <f>IF('HIDDEN import'!F140=0,"",'HIDDEN import'!F140)</f>
        <v>C-29.1</v>
      </c>
      <c r="F141" t="str">
        <f>IF('HIDDEN import'!G140=0,"",'HIDDEN import'!G140)</f>
        <v>TriggerMessage</v>
      </c>
      <c r="G141" s="95" t="str">
        <f>IFERROR(VLOOKUP($A141,'HIDDEN Testrun Results'!$A:$B,2,FALSE),"")</f>
        <v/>
      </c>
      <c r="H141" s="6" t="b">
        <f t="shared" si="2"/>
        <v>0</v>
      </c>
      <c r="I141" s="6" t="b">
        <f>IF(VLOOKUP(A141&amp;" "&amp;B141,'HIDDEN import'!A:G,5,FALSE)="M",TRUE,IFERROR(VLOOKUP(E141,'Optional features'!B:D,3,FALSE)="Yes",IFERROR(VLOOKUP(E141,'HIDDEN calc sheet'!A:B,2,FALSE),IFERROR(VLOOKUP(E141,'Additional questions'!B:D,3,FALSE)="Yes",VLOOKUP(E141,'Hardware Feature set'!B:D,3,FALSE)="No"))))</f>
        <v>0</v>
      </c>
      <c r="J141" s="6" t="b">
        <f>IF(VLOOKUP(B141,'Profile selection'!B:C,2,FALSE)="Yes",TRUE,FALSE)</f>
        <v>1</v>
      </c>
    </row>
    <row r="142" spans="1:10" x14ac:dyDescent="0.25">
      <c r="A142" t="str">
        <f>'HIDDEN import'!B141</f>
        <v>TC_F_12_CS</v>
      </c>
      <c r="B142" t="str">
        <f>'HIDDEN import'!C141</f>
        <v>Core</v>
      </c>
      <c r="C142" t="str">
        <f>'HIDDEN import'!D141</f>
        <v>Trigger message - MeterValues - All EVSE</v>
      </c>
      <c r="D142" t="str">
        <f>IF(VLOOKUP(A142&amp;" "&amp;B142,'HIDDEN import'!A:G,5,FALSE)="M",MD!$A$1,(IF(AND(VLOOKUP(A142,'HIDDEN import'!B:E,4,FALSE)="C",OR(NOT(ISERROR(VLOOKUP(E142,'Optional features'!B:D,1,FALSE)=E142)),NOT(ISERROR(VLOOKUP(E142,'HIDDEN calc sheet'!A:C,1,FALSE)=E142)))),MD!$A$3,MD!$A$2)))</f>
        <v>Mandatory for optional feature</v>
      </c>
      <c r="E142" t="str">
        <f>IF('HIDDEN import'!F141=0,"",'HIDDEN import'!F141)</f>
        <v>C-29.1</v>
      </c>
      <c r="F142" t="str">
        <f>IF('HIDDEN import'!G141=0,"",'HIDDEN import'!G141)</f>
        <v>TriggerMessage</v>
      </c>
      <c r="G142" s="95" t="str">
        <f>IFERROR(VLOOKUP($A142,'HIDDEN Testrun Results'!$A:$B,2,FALSE),"")</f>
        <v/>
      </c>
      <c r="H142" s="6" t="b">
        <f t="shared" si="2"/>
        <v>0</v>
      </c>
      <c r="I142" s="6" t="b">
        <f>IF(VLOOKUP(A142&amp;" "&amp;B142,'HIDDEN import'!A:G,5,FALSE)="M",TRUE,IFERROR(VLOOKUP(E142,'Optional features'!B:D,3,FALSE)="Yes",IFERROR(VLOOKUP(E142,'HIDDEN calc sheet'!A:B,2,FALSE),IFERROR(VLOOKUP(E142,'Additional questions'!B:D,3,FALSE)="Yes",VLOOKUP(E142,'Hardware Feature set'!B:D,3,FALSE)="No"))))</f>
        <v>0</v>
      </c>
      <c r="J142" s="6" t="b">
        <f>IF(VLOOKUP(B142,'Profile selection'!B:C,2,FALSE)="Yes",TRUE,FALSE)</f>
        <v>1</v>
      </c>
    </row>
    <row r="143" spans="1:10" x14ac:dyDescent="0.25">
      <c r="A143" t="str">
        <f>'HIDDEN import'!B142</f>
        <v>TC_F_13_CS</v>
      </c>
      <c r="B143" t="str">
        <f>'HIDDEN import'!C142</f>
        <v>Core</v>
      </c>
      <c r="C143" t="str">
        <f>'HIDDEN import'!D142</f>
        <v>Trigger message - TransactionEvent - Specific EVSE</v>
      </c>
      <c r="D143" t="str">
        <f>IF(VLOOKUP(A143&amp;" "&amp;B143,'HIDDEN import'!A:G,5,FALSE)="M",MD!$A$1,(IF(AND(VLOOKUP(A143,'HIDDEN import'!B:E,4,FALSE)="C",OR(NOT(ISERROR(VLOOKUP(E143,'Optional features'!B:D,1,FALSE)=E143)),NOT(ISERROR(VLOOKUP(E143,'HIDDEN calc sheet'!A:C,1,FALSE)=E143)))),MD!$A$3,MD!$A$2)))</f>
        <v>Mandatory for optional feature</v>
      </c>
      <c r="E143" t="str">
        <f>IF('HIDDEN import'!F142=0,"",'HIDDEN import'!F142)</f>
        <v>C-29.2</v>
      </c>
      <c r="F143" t="str">
        <f>IF('HIDDEN import'!G142=0,"",'HIDDEN import'!G142)</f>
        <v>TriggerMessage</v>
      </c>
      <c r="G143" s="95" t="str">
        <f>IFERROR(VLOOKUP($A143,'HIDDEN Testrun Results'!$A:$B,2,FALSE),"")</f>
        <v/>
      </c>
      <c r="H143" s="6" t="b">
        <f t="shared" si="2"/>
        <v>0</v>
      </c>
      <c r="I143" s="6" t="b">
        <f>IF(VLOOKUP(A143&amp;" "&amp;B143,'HIDDEN import'!A:G,5,FALSE)="M",TRUE,IFERROR(VLOOKUP(E143,'Optional features'!B:D,3,FALSE)="Yes",IFERROR(VLOOKUP(E143,'HIDDEN calc sheet'!A:B,2,FALSE),IFERROR(VLOOKUP(E143,'Additional questions'!B:D,3,FALSE)="Yes",VLOOKUP(E143,'Hardware Feature set'!B:D,3,FALSE)="No"))))</f>
        <v>0</v>
      </c>
      <c r="J143" s="6" t="b">
        <f>IF(VLOOKUP(B143,'Profile selection'!B:C,2,FALSE)="Yes",TRUE,FALSE)</f>
        <v>1</v>
      </c>
    </row>
    <row r="144" spans="1:10" x14ac:dyDescent="0.25">
      <c r="A144" t="str">
        <f>'HIDDEN import'!B143</f>
        <v>TC_F_14_CS</v>
      </c>
      <c r="B144" t="str">
        <f>'HIDDEN import'!C143</f>
        <v>Core</v>
      </c>
      <c r="C144" t="str">
        <f>'HIDDEN import'!D143</f>
        <v>Trigger message - TransactionEvent - All EVSE</v>
      </c>
      <c r="D144" t="str">
        <f>IF(VLOOKUP(A144&amp;" "&amp;B144,'HIDDEN import'!A:G,5,FALSE)="M",MD!$A$1,(IF(AND(VLOOKUP(A144,'HIDDEN import'!B:E,4,FALSE)="C",OR(NOT(ISERROR(VLOOKUP(E144,'Optional features'!B:D,1,FALSE)=E144)),NOT(ISERROR(VLOOKUP(E144,'HIDDEN calc sheet'!A:C,1,FALSE)=E144)))),MD!$A$3,MD!$A$2)))</f>
        <v>Mandatory for optional feature</v>
      </c>
      <c r="E144" t="str">
        <f>IF('HIDDEN import'!F143=0,"",'HIDDEN import'!F143)</f>
        <v>C-29.2</v>
      </c>
      <c r="F144" t="str">
        <f>IF('HIDDEN import'!G143=0,"",'HIDDEN import'!G143)</f>
        <v>TriggerMessage</v>
      </c>
      <c r="G144" s="95" t="str">
        <f>IFERROR(VLOOKUP($A144,'HIDDEN Testrun Results'!$A:$B,2,FALSE),"")</f>
        <v/>
      </c>
      <c r="H144" s="6" t="b">
        <f t="shared" si="2"/>
        <v>0</v>
      </c>
      <c r="I144" s="6" t="b">
        <f>IF(VLOOKUP(A144&amp;" "&amp;B144,'HIDDEN import'!A:G,5,FALSE)="M",TRUE,IFERROR(VLOOKUP(E144,'Optional features'!B:D,3,FALSE)="Yes",IFERROR(VLOOKUP(E144,'HIDDEN calc sheet'!A:B,2,FALSE),IFERROR(VLOOKUP(E144,'Additional questions'!B:D,3,FALSE)="Yes",VLOOKUP(E144,'Hardware Feature set'!B:D,3,FALSE)="No"))))</f>
        <v>0</v>
      </c>
      <c r="J144" s="6" t="b">
        <f>IF(VLOOKUP(B144,'Profile selection'!B:C,2,FALSE)="Yes",TRUE,FALSE)</f>
        <v>1</v>
      </c>
    </row>
    <row r="145" spans="1:10" x14ac:dyDescent="0.25">
      <c r="A145" t="str">
        <f>'HIDDEN import'!B144</f>
        <v>TC_F_15_CS</v>
      </c>
      <c r="B145" t="str">
        <f>'HIDDEN import'!C144</f>
        <v>Core</v>
      </c>
      <c r="C145" t="str">
        <f>'HIDDEN import'!D144</f>
        <v>Trigger message - LogStatusNotification - Idle</v>
      </c>
      <c r="D145" t="str">
        <f>IF(VLOOKUP(A145&amp;" "&amp;B145,'HIDDEN import'!A:G,5,FALSE)="M",MD!$A$1,(IF(AND(VLOOKUP(A145,'HIDDEN import'!B:E,4,FALSE)="C",OR(NOT(ISERROR(VLOOKUP(E145,'Optional features'!B:D,1,FALSE)=E145)),NOT(ISERROR(VLOOKUP(E145,'HIDDEN calc sheet'!A:C,1,FALSE)=E145)))),MD!$A$3,MD!$A$2)))</f>
        <v>Mandatory for optional feature</v>
      </c>
      <c r="E145" t="str">
        <f>IF('HIDDEN import'!F144=0,"",'HIDDEN import'!F144)</f>
        <v>C-29.3</v>
      </c>
      <c r="F145" t="str">
        <f>IF('HIDDEN import'!G144=0,"",'HIDDEN import'!G144)</f>
        <v>TriggerMessage</v>
      </c>
      <c r="G145" s="95" t="str">
        <f>IFERROR(VLOOKUP($A145,'HIDDEN Testrun Results'!$A:$B,2,FALSE),"")</f>
        <v/>
      </c>
      <c r="H145" s="6" t="b">
        <f t="shared" si="2"/>
        <v>0</v>
      </c>
      <c r="I145" s="6" t="b">
        <f>IF(VLOOKUP(A145&amp;" "&amp;B145,'HIDDEN import'!A:G,5,FALSE)="M",TRUE,IFERROR(VLOOKUP(E145,'Optional features'!B:D,3,FALSE)="Yes",IFERROR(VLOOKUP(E145,'HIDDEN calc sheet'!A:B,2,FALSE),IFERROR(VLOOKUP(E145,'Additional questions'!B:D,3,FALSE)="Yes",VLOOKUP(E145,'Hardware Feature set'!B:D,3,FALSE)="No"))))</f>
        <v>0</v>
      </c>
      <c r="J145" s="6" t="b">
        <f>IF(VLOOKUP(B145,'Profile selection'!B:C,2,FALSE)="Yes",TRUE,FALSE)</f>
        <v>1</v>
      </c>
    </row>
    <row r="146" spans="1:10" x14ac:dyDescent="0.25">
      <c r="A146" t="str">
        <f>'HIDDEN import'!B145</f>
        <v>TC_F_16_CS</v>
      </c>
      <c r="B146" t="str">
        <f>'HIDDEN import'!C145</f>
        <v>Core</v>
      </c>
      <c r="C146" t="str">
        <f>'HIDDEN import'!D145</f>
        <v>Trigger message - LogStatusNotification - Uploading</v>
      </c>
      <c r="D146" t="str">
        <f>IF(VLOOKUP(A146&amp;" "&amp;B146,'HIDDEN import'!A:G,5,FALSE)="M",MD!$A$1,(IF(AND(VLOOKUP(A146,'HIDDEN import'!B:E,4,FALSE)="C",OR(NOT(ISERROR(VLOOKUP(E146,'Optional features'!B:D,1,FALSE)=E146)),NOT(ISERROR(VLOOKUP(E146,'HIDDEN calc sheet'!A:C,1,FALSE)=E146)))),MD!$A$3,MD!$A$2)))</f>
        <v>Mandatory for optional feature</v>
      </c>
      <c r="E146" t="str">
        <f>IF('HIDDEN import'!F145=0,"",'HIDDEN import'!F145)</f>
        <v>C-29.3</v>
      </c>
      <c r="F146" t="str">
        <f>IF('HIDDEN import'!G145=0,"",'HIDDEN import'!G145)</f>
        <v>TriggerMessage</v>
      </c>
      <c r="G146" s="95" t="str">
        <f>IFERROR(VLOOKUP($A146,'HIDDEN Testrun Results'!$A:$B,2,FALSE),"")</f>
        <v/>
      </c>
      <c r="H146" s="6" t="b">
        <f t="shared" si="2"/>
        <v>0</v>
      </c>
      <c r="I146" s="6" t="b">
        <f>IF(VLOOKUP(A146&amp;" "&amp;B146,'HIDDEN import'!A:G,5,FALSE)="M",TRUE,IFERROR(VLOOKUP(E146,'Optional features'!B:D,3,FALSE)="Yes",IFERROR(VLOOKUP(E146,'HIDDEN calc sheet'!A:B,2,FALSE),IFERROR(VLOOKUP(E146,'Additional questions'!B:D,3,FALSE)="Yes",VLOOKUP(E146,'Hardware Feature set'!B:D,3,FALSE)="No"))))</f>
        <v>0</v>
      </c>
      <c r="J146" s="6" t="b">
        <f>IF(VLOOKUP(B146,'Profile selection'!B:C,2,FALSE)="Yes",TRUE,FALSE)</f>
        <v>1</v>
      </c>
    </row>
    <row r="147" spans="1:10" x14ac:dyDescent="0.25">
      <c r="A147" t="str">
        <f>'HIDDEN import'!B146</f>
        <v>TC_F_17_CS</v>
      </c>
      <c r="B147" t="str">
        <f>'HIDDEN import'!C146</f>
        <v>Core</v>
      </c>
      <c r="C147" t="str">
        <f>'HIDDEN import'!D146</f>
        <v>Trigger message - FirmwareStatusNotification - Specific EVSE not relevant</v>
      </c>
      <c r="D147" t="str">
        <f>IF(VLOOKUP(A147&amp;" "&amp;B147,'HIDDEN import'!A:G,5,FALSE)="M",MD!$A$1,(IF(AND(VLOOKUP(A147,'HIDDEN import'!B:E,4,FALSE)="C",OR(NOT(ISERROR(VLOOKUP(E147,'Optional features'!B:D,1,FALSE)=E147)),NOT(ISERROR(VLOOKUP(E147,'HIDDEN calc sheet'!A:C,1,FALSE)=E147)))),MD!$A$3,MD!$A$2)))</f>
        <v>Mandatory for optional feature</v>
      </c>
      <c r="E147" t="str">
        <f>IF('HIDDEN import'!F146=0,"",'HIDDEN import'!F146)</f>
        <v>C-29.4</v>
      </c>
      <c r="F147" t="str">
        <f>IF('HIDDEN import'!G146=0,"",'HIDDEN import'!G146)</f>
        <v>TriggerMessage</v>
      </c>
      <c r="G147" s="95" t="str">
        <f>IFERROR(VLOOKUP($A147,'HIDDEN Testrun Results'!$A:$B,2,FALSE),"")</f>
        <v/>
      </c>
      <c r="H147" s="6" t="b">
        <f t="shared" si="2"/>
        <v>0</v>
      </c>
      <c r="I147" s="6" t="b">
        <f>IF(VLOOKUP(A147&amp;" "&amp;B147,'HIDDEN import'!A:G,5,FALSE)="M",TRUE,IFERROR(VLOOKUP(E147,'Optional features'!B:D,3,FALSE)="Yes",IFERROR(VLOOKUP(E147,'HIDDEN calc sheet'!A:B,2,FALSE),IFERROR(VLOOKUP(E147,'Additional questions'!B:D,3,FALSE)="Yes",VLOOKUP(E147,'Hardware Feature set'!B:D,3,FALSE)="No"))))</f>
        <v>0</v>
      </c>
      <c r="J147" s="6" t="b">
        <f>IF(VLOOKUP(B147,'Profile selection'!B:C,2,FALSE)="Yes",TRUE,FALSE)</f>
        <v>1</v>
      </c>
    </row>
    <row r="148" spans="1:10" x14ac:dyDescent="0.25">
      <c r="A148" t="str">
        <f>'HIDDEN import'!B147</f>
        <v>TC_F_18_CS</v>
      </c>
      <c r="B148" t="str">
        <f>'HIDDEN import'!C147</f>
        <v>Core</v>
      </c>
      <c r="C148" t="str">
        <f>'HIDDEN import'!D147</f>
        <v>Trigger message - FirmwareStatusNotification - Idle</v>
      </c>
      <c r="D148" t="str">
        <f>IF(VLOOKUP(A148&amp;" "&amp;B148,'HIDDEN import'!A:G,5,FALSE)="M",MD!$A$1,(IF(AND(VLOOKUP(A148,'HIDDEN import'!B:E,4,FALSE)="C",OR(NOT(ISERROR(VLOOKUP(E148,'Optional features'!B:D,1,FALSE)=E148)),NOT(ISERROR(VLOOKUP(E148,'HIDDEN calc sheet'!A:C,1,FALSE)=E148)))),MD!$A$3,MD!$A$2)))</f>
        <v>Mandatory for optional feature</v>
      </c>
      <c r="E148" t="str">
        <f>IF('HIDDEN import'!F147=0,"",'HIDDEN import'!F147)</f>
        <v>C-29.4</v>
      </c>
      <c r="F148" t="str">
        <f>IF('HIDDEN import'!G147=0,"",'HIDDEN import'!G147)</f>
        <v>TriggerMessage</v>
      </c>
      <c r="G148" s="95" t="str">
        <f>IFERROR(VLOOKUP($A148,'HIDDEN Testrun Results'!$A:$B,2,FALSE),"")</f>
        <v/>
      </c>
      <c r="H148" s="6" t="b">
        <f t="shared" si="2"/>
        <v>0</v>
      </c>
      <c r="I148" s="6" t="b">
        <f>IF(VLOOKUP(A148&amp;" "&amp;B148,'HIDDEN import'!A:G,5,FALSE)="M",TRUE,IFERROR(VLOOKUP(E148,'Optional features'!B:D,3,FALSE)="Yes",IFERROR(VLOOKUP(E148,'HIDDEN calc sheet'!A:B,2,FALSE),IFERROR(VLOOKUP(E148,'Additional questions'!B:D,3,FALSE)="Yes",VLOOKUP(E148,'Hardware Feature set'!B:D,3,FALSE)="No"))))</f>
        <v>0</v>
      </c>
      <c r="J148" s="6" t="b">
        <f>IF(VLOOKUP(B148,'Profile selection'!B:C,2,FALSE)="Yes",TRUE,FALSE)</f>
        <v>1</v>
      </c>
    </row>
    <row r="149" spans="1:10" x14ac:dyDescent="0.25">
      <c r="A149" t="str">
        <f>'HIDDEN import'!B148</f>
        <v>TC_F_19_CS</v>
      </c>
      <c r="B149" t="str">
        <f>'HIDDEN import'!C148</f>
        <v>Core</v>
      </c>
      <c r="C149" t="str">
        <f>'HIDDEN import'!D148</f>
        <v>Trigger message - FirmwareStatusNotification - Downloading</v>
      </c>
      <c r="D149" t="str">
        <f>IF(VLOOKUP(A149&amp;" "&amp;B149,'HIDDEN import'!A:G,5,FALSE)="M",MD!$A$1,(IF(AND(VLOOKUP(A149,'HIDDEN import'!B:E,4,FALSE)="C",OR(NOT(ISERROR(VLOOKUP(E149,'Optional features'!B:D,1,FALSE)=E149)),NOT(ISERROR(VLOOKUP(E149,'HIDDEN calc sheet'!A:C,1,FALSE)=E149)))),MD!$A$3,MD!$A$2)))</f>
        <v>Mandatory for optional feature</v>
      </c>
      <c r="E149" t="str">
        <f>IF('HIDDEN import'!F148=0,"",'HIDDEN import'!F148)</f>
        <v>C-29.4</v>
      </c>
      <c r="F149" t="str">
        <f>IF('HIDDEN import'!G148=0,"",'HIDDEN import'!G148)</f>
        <v>TriggerMessage</v>
      </c>
      <c r="G149" s="95" t="str">
        <f>IFERROR(VLOOKUP($A149,'HIDDEN Testrun Results'!$A:$B,2,FALSE),"")</f>
        <v/>
      </c>
      <c r="H149" s="6" t="b">
        <f t="shared" si="2"/>
        <v>0</v>
      </c>
      <c r="I149" s="6" t="b">
        <f>IF(VLOOKUP(A149&amp;" "&amp;B149,'HIDDEN import'!A:G,5,FALSE)="M",TRUE,IFERROR(VLOOKUP(E149,'Optional features'!B:D,3,FALSE)="Yes",IFERROR(VLOOKUP(E149,'HIDDEN calc sheet'!A:B,2,FALSE),IFERROR(VLOOKUP(E149,'Additional questions'!B:D,3,FALSE)="Yes",VLOOKUP(E149,'Hardware Feature set'!B:D,3,FALSE)="No"))))</f>
        <v>0</v>
      </c>
      <c r="J149" s="6" t="b">
        <f>IF(VLOOKUP(B149,'Profile selection'!B:C,2,FALSE)="Yes",TRUE,FALSE)</f>
        <v>1</v>
      </c>
    </row>
    <row r="150" spans="1:10" x14ac:dyDescent="0.25">
      <c r="A150" t="str">
        <f>'HIDDEN import'!B149</f>
        <v>TC_F_20_CS</v>
      </c>
      <c r="B150" t="str">
        <f>'HIDDEN import'!C149</f>
        <v>Core</v>
      </c>
      <c r="C150" t="str">
        <f>'HIDDEN import'!D149</f>
        <v>Trigger message - Heartbeat</v>
      </c>
      <c r="D150" t="str">
        <f>IF(VLOOKUP(A150&amp;" "&amp;B150,'HIDDEN import'!A:G,5,FALSE)="M",MD!$A$1,(IF(AND(VLOOKUP(A150,'HIDDEN import'!B:E,4,FALSE)="C",OR(NOT(ISERROR(VLOOKUP(E150,'Optional features'!B:D,1,FALSE)=E150)),NOT(ISERROR(VLOOKUP(E150,'HIDDEN calc sheet'!A:C,1,FALSE)=E150)))),MD!$A$3,MD!$A$2)))</f>
        <v>Mandatory test for a mandatory feature</v>
      </c>
      <c r="E150" t="str">
        <f>IF('HIDDEN import'!F149=0,"",'HIDDEN import'!F149)</f>
        <v/>
      </c>
      <c r="F150" t="str">
        <f>IF('HIDDEN import'!G149=0,"",'HIDDEN import'!G149)</f>
        <v/>
      </c>
      <c r="G150" s="95" t="str">
        <f>IFERROR(VLOOKUP($A150,'HIDDEN Testrun Results'!$A:$B,2,FALSE),"")</f>
        <v/>
      </c>
      <c r="H150" s="6" t="b">
        <f t="shared" si="2"/>
        <v>1</v>
      </c>
      <c r="I150" s="6" t="b">
        <f>IF(VLOOKUP(A150&amp;" "&amp;B150,'HIDDEN import'!A:G,5,FALSE)="M",TRUE,IFERROR(VLOOKUP(E150,'Optional features'!B:D,3,FALSE)="Yes",IFERROR(VLOOKUP(E150,'HIDDEN calc sheet'!A:B,2,FALSE),IFERROR(VLOOKUP(E150,'Additional questions'!B:D,3,FALSE)="Yes",VLOOKUP(E150,'Hardware Feature set'!B:D,3,FALSE)="No"))))</f>
        <v>1</v>
      </c>
      <c r="J150" s="6" t="b">
        <f>IF(VLOOKUP(B150,'Profile selection'!B:C,2,FALSE)="Yes",TRUE,FALSE)</f>
        <v>1</v>
      </c>
    </row>
    <row r="151" spans="1:10" x14ac:dyDescent="0.25">
      <c r="A151" t="str">
        <f>'HIDDEN import'!B150</f>
        <v>TC_F_23_CS</v>
      </c>
      <c r="B151" t="str">
        <f>'HIDDEN import'!C150</f>
        <v>Core</v>
      </c>
      <c r="C151" t="str">
        <f>'HIDDEN import'!D150</f>
        <v>Trigger message - StatusNotification - Specific EVSE - Available</v>
      </c>
      <c r="D151" t="str">
        <f>IF(VLOOKUP(A151&amp;" "&amp;B151,'HIDDEN import'!A:G,5,FALSE)="M",MD!$A$1,(IF(AND(VLOOKUP(A151,'HIDDEN import'!B:E,4,FALSE)="C",OR(NOT(ISERROR(VLOOKUP(E151,'Optional features'!B:D,1,FALSE)=E151)),NOT(ISERROR(VLOOKUP(E151,'HIDDEN calc sheet'!A:C,1,FALSE)=E151)))),MD!$A$3,MD!$A$2)))</f>
        <v>Mandatory for optional feature</v>
      </c>
      <c r="E151" t="str">
        <f>IF('HIDDEN import'!F150=0,"",'HIDDEN import'!F150)</f>
        <v>C-29.5</v>
      </c>
      <c r="F151" t="str">
        <f>IF('HIDDEN import'!G150=0,"",'HIDDEN import'!G150)</f>
        <v>TriggerMessage</v>
      </c>
      <c r="G151" s="95" t="str">
        <f>IFERROR(VLOOKUP($A151,'HIDDEN Testrun Results'!$A:$B,2,FALSE),"")</f>
        <v/>
      </c>
      <c r="H151" s="6" t="b">
        <f t="shared" si="2"/>
        <v>0</v>
      </c>
      <c r="I151" s="6" t="b">
        <f>IF(VLOOKUP(A151&amp;" "&amp;B151,'HIDDEN import'!A:G,5,FALSE)="M",TRUE,IFERROR(VLOOKUP(E151,'Optional features'!B:D,3,FALSE)="Yes",IFERROR(VLOOKUP(E151,'HIDDEN calc sheet'!A:B,2,FALSE),IFERROR(VLOOKUP(E151,'Additional questions'!B:D,3,FALSE)="Yes",VLOOKUP(E151,'Hardware Feature set'!B:D,3,FALSE)="No"))))</f>
        <v>0</v>
      </c>
      <c r="J151" s="6" t="b">
        <f>IF(VLOOKUP(B151,'Profile selection'!B:C,2,FALSE)="Yes",TRUE,FALSE)</f>
        <v>1</v>
      </c>
    </row>
    <row r="152" spans="1:10" x14ac:dyDescent="0.25">
      <c r="A152" t="str">
        <f>'HIDDEN import'!B151</f>
        <v>TC_F_24_CS</v>
      </c>
      <c r="B152" t="str">
        <f>'HIDDEN import'!C151</f>
        <v>Core</v>
      </c>
      <c r="C152" t="str">
        <f>'HIDDEN import'!D151</f>
        <v>Trigger message - StatusNotification - Specific EVSE - Occupied</v>
      </c>
      <c r="D152" t="str">
        <f>IF(VLOOKUP(A152&amp;" "&amp;B152,'HIDDEN import'!A:G,5,FALSE)="M",MD!$A$1,(IF(AND(VLOOKUP(A152,'HIDDEN import'!B:E,4,FALSE)="C",OR(NOT(ISERROR(VLOOKUP(E152,'Optional features'!B:D,1,FALSE)=E152)),NOT(ISERROR(VLOOKUP(E152,'HIDDEN calc sheet'!A:C,1,FALSE)=E152)))),MD!$A$3,MD!$A$2)))</f>
        <v>Mandatory for optional feature</v>
      </c>
      <c r="E152" t="str">
        <f>IF('HIDDEN import'!F151=0,"",'HIDDEN import'!F151)</f>
        <v>C-29.5</v>
      </c>
      <c r="F152" t="str">
        <f>IF('HIDDEN import'!G151=0,"",'HIDDEN import'!G151)</f>
        <v>TriggerMessage</v>
      </c>
      <c r="G152" s="95" t="str">
        <f>IFERROR(VLOOKUP($A152,'HIDDEN Testrun Results'!$A:$B,2,FALSE),"")</f>
        <v/>
      </c>
      <c r="H152" s="6" t="b">
        <f t="shared" si="2"/>
        <v>0</v>
      </c>
      <c r="I152" s="6" t="b">
        <f>IF(VLOOKUP(A152&amp;" "&amp;B152,'HIDDEN import'!A:G,5,FALSE)="M",TRUE,IFERROR(VLOOKUP(E152,'Optional features'!B:D,3,FALSE)="Yes",IFERROR(VLOOKUP(E152,'HIDDEN calc sheet'!A:B,2,FALSE),IFERROR(VLOOKUP(E152,'Additional questions'!B:D,3,FALSE)="Yes",VLOOKUP(E152,'Hardware Feature set'!B:D,3,FALSE)="No"))))</f>
        <v>0</v>
      </c>
      <c r="J152" s="6" t="b">
        <f>IF(VLOOKUP(B152,'Profile selection'!B:C,2,FALSE)="Yes",TRUE,FALSE)</f>
        <v>1</v>
      </c>
    </row>
    <row r="153" spans="1:10" x14ac:dyDescent="0.25">
      <c r="A153" t="str">
        <f>'HIDDEN import'!B152</f>
        <v>TC_F_26_CS</v>
      </c>
      <c r="B153" t="str">
        <f>'HIDDEN import'!C152</f>
        <v>Core</v>
      </c>
      <c r="C153" t="str">
        <f>'HIDDEN import'!D152</f>
        <v>Trigger message - BootNotification - Rejected</v>
      </c>
      <c r="D153" t="str">
        <f>IF(VLOOKUP(A153&amp;" "&amp;B153,'HIDDEN import'!A:G,5,FALSE)="M",MD!$A$1,(IF(AND(VLOOKUP(A153,'HIDDEN import'!B:E,4,FALSE)="C",OR(NOT(ISERROR(VLOOKUP(E153,'Optional features'!B:D,1,FALSE)=E153)),NOT(ISERROR(VLOOKUP(E153,'HIDDEN calc sheet'!A:C,1,FALSE)=E153)))),MD!$A$3,MD!$A$2)))</f>
        <v>Mandatory for optional feature</v>
      </c>
      <c r="E153" t="str">
        <f>IF('HIDDEN import'!F152=0,"",'HIDDEN import'!F152)</f>
        <v>C-29.6</v>
      </c>
      <c r="F153" t="str">
        <f>IF('HIDDEN import'!G152=0,"",'HIDDEN import'!G152)</f>
        <v>TriggerMessage</v>
      </c>
      <c r="G153" s="95" t="str">
        <f>IFERROR(VLOOKUP($A153,'HIDDEN Testrun Results'!$A:$B,2,FALSE),"")</f>
        <v/>
      </c>
      <c r="H153" s="6" t="b">
        <f t="shared" si="2"/>
        <v>0</v>
      </c>
      <c r="I153" s="6" t="b">
        <f>IF(VLOOKUP(A153&amp;" "&amp;B153,'HIDDEN import'!A:G,5,FALSE)="M",TRUE,IFERROR(VLOOKUP(E153,'Optional features'!B:D,3,FALSE)="Yes",IFERROR(VLOOKUP(E153,'HIDDEN calc sheet'!A:B,2,FALSE),IFERROR(VLOOKUP(E153,'Additional questions'!B:D,3,FALSE)="Yes",VLOOKUP(E153,'Hardware Feature set'!B:D,3,FALSE)="No"))))</f>
        <v>0</v>
      </c>
      <c r="J153" s="6" t="b">
        <f>IF(VLOOKUP(B153,'Profile selection'!B:C,2,FALSE)="Yes",TRUE,FALSE)</f>
        <v>1</v>
      </c>
    </row>
    <row r="154" spans="1:10" x14ac:dyDescent="0.25">
      <c r="A154" t="str">
        <f>'HIDDEN import'!B153</f>
        <v>TC_F_27_CS</v>
      </c>
      <c r="B154" t="str">
        <f>'HIDDEN import'!C153</f>
        <v>Core</v>
      </c>
      <c r="C154" t="str">
        <f>'HIDDEN import'!D153</f>
        <v>Trigger message - NotImplemented</v>
      </c>
      <c r="D154" t="str">
        <f>IF(VLOOKUP(A154&amp;" "&amp;B154,'HIDDEN import'!A:G,5,FALSE)="M",MD!$A$1,(IF(AND(VLOOKUP(A154,'HIDDEN import'!B:E,4,FALSE)="C",OR(NOT(ISERROR(VLOOKUP(E154,'Optional features'!B:D,1,FALSE)=E154)),NOT(ISERROR(VLOOKUP(E154,'HIDDEN calc sheet'!A:C,1,FALSE)=E154)))),MD!$A$3,MD!$A$2)))</f>
        <v>Mandatory for optional feature</v>
      </c>
      <c r="E154" t="str">
        <f>IF('HIDDEN import'!F153=0,"",'HIDDEN import'!F153)</f>
        <v>NOT AQ-11</v>
      </c>
      <c r="F154" t="str">
        <f>IF('HIDDEN import'!G153=0,"",'HIDDEN import'!G153)</f>
        <v/>
      </c>
      <c r="G154" s="95" t="str">
        <f>IFERROR(VLOOKUP($A154,'HIDDEN Testrun Results'!$A:$B,2,FALSE),"")</f>
        <v/>
      </c>
      <c r="H154" s="6" t="b">
        <f t="shared" si="2"/>
        <v>1</v>
      </c>
      <c r="I154" s="6" t="b">
        <f>IF(VLOOKUP(A154&amp;" "&amp;B154,'HIDDEN import'!A:G,5,FALSE)="M",TRUE,IFERROR(VLOOKUP(E154,'Optional features'!B:D,3,FALSE)="Yes",IFERROR(VLOOKUP(E154,'HIDDEN calc sheet'!A:B,2,FALSE),IFERROR(VLOOKUP(E154,'Additional questions'!B:D,3,FALSE)="Yes",VLOOKUP(E154,'Hardware Feature set'!B:D,3,FALSE)="No"))))</f>
        <v>1</v>
      </c>
      <c r="J154" s="6" t="b">
        <f>IF(VLOOKUP(B154,'Profile selection'!B:C,2,FALSE)="Yes",TRUE,FALSE)</f>
        <v>1</v>
      </c>
    </row>
    <row r="155" spans="1:10" x14ac:dyDescent="0.25">
      <c r="A155" t="str">
        <f>'HIDDEN import'!B154</f>
        <v>TC_G_01_CS</v>
      </c>
      <c r="B155" t="str">
        <f>'HIDDEN import'!C154</f>
        <v>Core</v>
      </c>
      <c r="C155" t="str">
        <f>'HIDDEN import'!D154</f>
        <v>Connector status Notification - Available to Occupied</v>
      </c>
      <c r="D155" t="str">
        <f>IF(VLOOKUP(A155&amp;" "&amp;B155,'HIDDEN import'!A:G,5,FALSE)="M",MD!$A$1,(IF(AND(VLOOKUP(A155,'HIDDEN import'!B:E,4,FALSE)="C",OR(NOT(ISERROR(VLOOKUP(E155,'Optional features'!B:D,1,FALSE)=E155)),NOT(ISERROR(VLOOKUP(E155,'HIDDEN calc sheet'!A:C,1,FALSE)=E155)))),MD!$A$3,MD!$A$2)))</f>
        <v>Mandatory test for a mandatory feature</v>
      </c>
      <c r="E155" t="str">
        <f>IF('HIDDEN import'!F154=0,"",'HIDDEN import'!F154)</f>
        <v/>
      </c>
      <c r="F155" t="str">
        <f>IF('HIDDEN import'!G154=0,"",'HIDDEN import'!G154)</f>
        <v/>
      </c>
      <c r="G155" s="95" t="str">
        <f>IFERROR(VLOOKUP($A155,'HIDDEN Testrun Results'!$A:$B,2,FALSE),"")</f>
        <v/>
      </c>
      <c r="H155" s="6" t="b">
        <f t="shared" si="2"/>
        <v>1</v>
      </c>
      <c r="I155" s="6" t="b">
        <f>IF(VLOOKUP(A155&amp;" "&amp;B155,'HIDDEN import'!A:G,5,FALSE)="M",TRUE,IFERROR(VLOOKUP(E155,'Optional features'!B:D,3,FALSE)="Yes",IFERROR(VLOOKUP(E155,'HIDDEN calc sheet'!A:B,2,FALSE),IFERROR(VLOOKUP(E155,'Additional questions'!B:D,3,FALSE)="Yes",VLOOKUP(E155,'Hardware Feature set'!B:D,3,FALSE)="No"))))</f>
        <v>1</v>
      </c>
      <c r="J155" s="6" t="b">
        <f>IF(VLOOKUP(B155,'Profile selection'!B:C,2,FALSE)="Yes",TRUE,FALSE)</f>
        <v>1</v>
      </c>
    </row>
    <row r="156" spans="1:10" x14ac:dyDescent="0.25">
      <c r="A156" t="str">
        <f>'HIDDEN import'!B155</f>
        <v>TC_G_02_CS</v>
      </c>
      <c r="B156" t="str">
        <f>'HIDDEN import'!C155</f>
        <v>Core</v>
      </c>
      <c r="C156" t="str">
        <f>'HIDDEN import'!D155</f>
        <v>Connector status Notification - Occupied to Available</v>
      </c>
      <c r="D156" t="str">
        <f>IF(VLOOKUP(A156&amp;" "&amp;B156,'HIDDEN import'!A:G,5,FALSE)="M",MD!$A$1,(IF(AND(VLOOKUP(A156,'HIDDEN import'!B:E,4,FALSE)="C",OR(NOT(ISERROR(VLOOKUP(E156,'Optional features'!B:D,1,FALSE)=E156)),NOT(ISERROR(VLOOKUP(E156,'HIDDEN calc sheet'!A:C,1,FALSE)=E156)))),MD!$A$3,MD!$A$2)))</f>
        <v>Mandatory test for a mandatory feature</v>
      </c>
      <c r="E156" t="str">
        <f>IF('HIDDEN import'!F155=0,"",'HIDDEN import'!F155)</f>
        <v/>
      </c>
      <c r="F156" t="str">
        <f>IF('HIDDEN import'!G155=0,"",'HIDDEN import'!G155)</f>
        <v/>
      </c>
      <c r="G156" s="95" t="str">
        <f>IFERROR(VLOOKUP($A156,'HIDDEN Testrun Results'!$A:$B,2,FALSE),"")</f>
        <v/>
      </c>
      <c r="H156" s="6" t="b">
        <f t="shared" si="2"/>
        <v>1</v>
      </c>
      <c r="I156" s="6" t="b">
        <f>IF(VLOOKUP(A156&amp;" "&amp;B156,'HIDDEN import'!A:G,5,FALSE)="M",TRUE,IFERROR(VLOOKUP(E156,'Optional features'!B:D,3,FALSE)="Yes",IFERROR(VLOOKUP(E156,'HIDDEN calc sheet'!A:B,2,FALSE),IFERROR(VLOOKUP(E156,'Additional questions'!B:D,3,FALSE)="Yes",VLOOKUP(E156,'Hardware Feature set'!B:D,3,FALSE)="No"))))</f>
        <v>1</v>
      </c>
      <c r="J156" s="6" t="b">
        <f>IF(VLOOKUP(B156,'Profile selection'!B:C,2,FALSE)="Yes",TRUE,FALSE)</f>
        <v>1</v>
      </c>
    </row>
    <row r="157" spans="1:10" x14ac:dyDescent="0.25">
      <c r="A157" t="str">
        <f>'HIDDEN import'!B156</f>
        <v>TC_G_03_CS</v>
      </c>
      <c r="B157" t="str">
        <f>'HIDDEN import'!C156</f>
        <v>Core</v>
      </c>
      <c r="C157" t="str">
        <f>'HIDDEN import'!D156</f>
        <v>Change Availability EVSE - Operative to inoperative</v>
      </c>
      <c r="D157" t="str">
        <f>IF(VLOOKUP(A157&amp;" "&amp;B157,'HIDDEN import'!A:G,5,FALSE)="M",MD!$A$1,(IF(AND(VLOOKUP(A157,'HIDDEN import'!B:E,4,FALSE)="C",OR(NOT(ISERROR(VLOOKUP(E157,'Optional features'!B:D,1,FALSE)=E157)),NOT(ISERROR(VLOOKUP(E157,'HIDDEN calc sheet'!A:C,1,FALSE)=E157)))),MD!$A$3,MD!$A$2)))</f>
        <v>Mandatory test for a mandatory feature</v>
      </c>
      <c r="E157" t="str">
        <f>IF('HIDDEN import'!F156=0,"",'HIDDEN import'!F156)</f>
        <v/>
      </c>
      <c r="F157" t="str">
        <f>IF('HIDDEN import'!G156=0,"",'HIDDEN import'!G156)</f>
        <v/>
      </c>
      <c r="G157" s="95" t="str">
        <f>IFERROR(VLOOKUP($A157,'HIDDEN Testrun Results'!$A:$B,2,FALSE),"")</f>
        <v/>
      </c>
      <c r="H157" s="6" t="b">
        <f t="shared" si="2"/>
        <v>1</v>
      </c>
      <c r="I157" s="6" t="b">
        <f>IF(VLOOKUP(A157&amp;" "&amp;B157,'HIDDEN import'!A:G,5,FALSE)="M",TRUE,IFERROR(VLOOKUP(E157,'Optional features'!B:D,3,FALSE)="Yes",IFERROR(VLOOKUP(E157,'HIDDEN calc sheet'!A:B,2,FALSE),IFERROR(VLOOKUP(E157,'Additional questions'!B:D,3,FALSE)="Yes",VLOOKUP(E157,'Hardware Feature set'!B:D,3,FALSE)="No"))))</f>
        <v>1</v>
      </c>
      <c r="J157" s="6" t="b">
        <f>IF(VLOOKUP(B157,'Profile selection'!B:C,2,FALSE)="Yes",TRUE,FALSE)</f>
        <v>1</v>
      </c>
    </row>
    <row r="158" spans="1:10" x14ac:dyDescent="0.25">
      <c r="A158" t="str">
        <f>'HIDDEN import'!B157</f>
        <v>TC_G_09_CS</v>
      </c>
      <c r="B158" t="str">
        <f>'HIDDEN import'!C157</f>
        <v>Core</v>
      </c>
      <c r="C158" t="str">
        <f>'HIDDEN import'!D157</f>
        <v>Change Availability EVSE - Operative to operative</v>
      </c>
      <c r="D158" t="str">
        <f>IF(VLOOKUP(A158&amp;" "&amp;B158,'HIDDEN import'!A:G,5,FALSE)="M",MD!$A$1,(IF(AND(VLOOKUP(A158,'HIDDEN import'!B:E,4,FALSE)="C",OR(NOT(ISERROR(VLOOKUP(E158,'Optional features'!B:D,1,FALSE)=E158)),NOT(ISERROR(VLOOKUP(E158,'HIDDEN calc sheet'!A:C,1,FALSE)=E158)))),MD!$A$3,MD!$A$2)))</f>
        <v>Mandatory test for a mandatory feature</v>
      </c>
      <c r="E158" t="str">
        <f>IF('HIDDEN import'!F157=0,"",'HIDDEN import'!F157)</f>
        <v/>
      </c>
      <c r="F158" t="str">
        <f>IF('HIDDEN import'!G157=0,"",'HIDDEN import'!G157)</f>
        <v/>
      </c>
      <c r="G158" s="95" t="str">
        <f>IFERROR(VLOOKUP($A158,'HIDDEN Testrun Results'!$A:$B,2,FALSE),"")</f>
        <v/>
      </c>
      <c r="H158" s="6" t="b">
        <f t="shared" si="2"/>
        <v>1</v>
      </c>
      <c r="I158" s="6" t="b">
        <f>IF(VLOOKUP(A158&amp;" "&amp;B158,'HIDDEN import'!A:G,5,FALSE)="M",TRUE,IFERROR(VLOOKUP(E158,'Optional features'!B:D,3,FALSE)="Yes",IFERROR(VLOOKUP(E158,'HIDDEN calc sheet'!A:B,2,FALSE),IFERROR(VLOOKUP(E158,'Additional questions'!B:D,3,FALSE)="Yes",VLOOKUP(E158,'Hardware Feature set'!B:D,3,FALSE)="No"))))</f>
        <v>1</v>
      </c>
      <c r="J158" s="6" t="b">
        <f>IF(VLOOKUP(B158,'Profile selection'!B:C,2,FALSE)="Yes",TRUE,FALSE)</f>
        <v>1</v>
      </c>
    </row>
    <row r="159" spans="1:10" x14ac:dyDescent="0.25">
      <c r="A159" t="str">
        <f>'HIDDEN import'!B158</f>
        <v>TC_G_04_CS</v>
      </c>
      <c r="B159" t="str">
        <f>'HIDDEN import'!C158</f>
        <v>Core</v>
      </c>
      <c r="C159" t="str">
        <f>'HIDDEN import'!D158</f>
        <v>Change Availability EVSE - Inoperative to operative</v>
      </c>
      <c r="D159" t="str">
        <f>IF(VLOOKUP(A159&amp;" "&amp;B159,'HIDDEN import'!A:G,5,FALSE)="M",MD!$A$1,(IF(AND(VLOOKUP(A159,'HIDDEN import'!B:E,4,FALSE)="C",OR(NOT(ISERROR(VLOOKUP(E159,'Optional features'!B:D,1,FALSE)=E159)),NOT(ISERROR(VLOOKUP(E159,'HIDDEN calc sheet'!A:C,1,FALSE)=E159)))),MD!$A$3,MD!$A$2)))</f>
        <v>Mandatory test for a mandatory feature</v>
      </c>
      <c r="E159" t="str">
        <f>IF('HIDDEN import'!F158=0,"",'HIDDEN import'!F158)</f>
        <v/>
      </c>
      <c r="F159" t="str">
        <f>IF('HIDDEN import'!G158=0,"",'HIDDEN import'!G158)</f>
        <v/>
      </c>
      <c r="G159" s="95" t="str">
        <f>IFERROR(VLOOKUP($A159,'HIDDEN Testrun Results'!$A:$B,2,FALSE),"")</f>
        <v/>
      </c>
      <c r="H159" s="6" t="b">
        <f t="shared" si="2"/>
        <v>1</v>
      </c>
      <c r="I159" s="6" t="b">
        <f>IF(VLOOKUP(A159&amp;" "&amp;B159,'HIDDEN import'!A:G,5,FALSE)="M",TRUE,IFERROR(VLOOKUP(E159,'Optional features'!B:D,3,FALSE)="Yes",IFERROR(VLOOKUP(E159,'HIDDEN calc sheet'!A:B,2,FALSE),IFERROR(VLOOKUP(E159,'Additional questions'!B:D,3,FALSE)="Yes",VLOOKUP(E159,'Hardware Feature set'!B:D,3,FALSE)="No"))))</f>
        <v>1</v>
      </c>
      <c r="J159" s="6" t="b">
        <f>IF(VLOOKUP(B159,'Profile selection'!B:C,2,FALSE)="Yes",TRUE,FALSE)</f>
        <v>1</v>
      </c>
    </row>
    <row r="160" spans="1:10" x14ac:dyDescent="0.25">
      <c r="A160" t="str">
        <f>'HIDDEN import'!B159</f>
        <v>TC_G_10_CS</v>
      </c>
      <c r="B160" t="str">
        <f>'HIDDEN import'!C159</f>
        <v>Core</v>
      </c>
      <c r="C160" t="str">
        <f>'HIDDEN import'!D159</f>
        <v>Change Availability EVSE - Inoperative to inoperative</v>
      </c>
      <c r="D160" t="str">
        <f>IF(VLOOKUP(A160&amp;" "&amp;B160,'HIDDEN import'!A:G,5,FALSE)="M",MD!$A$1,(IF(AND(VLOOKUP(A160,'HIDDEN import'!B:E,4,FALSE)="C",OR(NOT(ISERROR(VLOOKUP(E160,'Optional features'!B:D,1,FALSE)=E160)),NOT(ISERROR(VLOOKUP(E160,'HIDDEN calc sheet'!A:C,1,FALSE)=E160)))),MD!$A$3,MD!$A$2)))</f>
        <v>Mandatory test for a mandatory feature</v>
      </c>
      <c r="E160" t="str">
        <f>IF('HIDDEN import'!F159=0,"",'HIDDEN import'!F159)</f>
        <v/>
      </c>
      <c r="F160" t="str">
        <f>IF('HIDDEN import'!G159=0,"",'HIDDEN import'!G159)</f>
        <v/>
      </c>
      <c r="G160" s="95" t="str">
        <f>IFERROR(VLOOKUP($A160,'HIDDEN Testrun Results'!$A:$B,2,FALSE),"")</f>
        <v/>
      </c>
      <c r="H160" s="6" t="b">
        <f t="shared" si="2"/>
        <v>1</v>
      </c>
      <c r="I160" s="6" t="b">
        <f>IF(VLOOKUP(A160&amp;" "&amp;B160,'HIDDEN import'!A:G,5,FALSE)="M",TRUE,IFERROR(VLOOKUP(E160,'Optional features'!B:D,3,FALSE)="Yes",IFERROR(VLOOKUP(E160,'HIDDEN calc sheet'!A:B,2,FALSE),IFERROR(VLOOKUP(E160,'Additional questions'!B:D,3,FALSE)="Yes",VLOOKUP(E160,'Hardware Feature set'!B:D,3,FALSE)="No"))))</f>
        <v>1</v>
      </c>
      <c r="J160" s="6" t="b">
        <f>IF(VLOOKUP(B160,'Profile selection'!B:C,2,FALSE)="Yes",TRUE,FALSE)</f>
        <v>1</v>
      </c>
    </row>
    <row r="161" spans="1:10" x14ac:dyDescent="0.25">
      <c r="A161" t="str">
        <f>'HIDDEN import'!B160</f>
        <v>TC_G_11_CS</v>
      </c>
      <c r="B161" t="str">
        <f>'HIDDEN import'!C160</f>
        <v>Core</v>
      </c>
      <c r="C161" t="str">
        <f>'HIDDEN import'!D160</f>
        <v>Change Availability EVSE - With ongoing transaction</v>
      </c>
      <c r="D161" t="str">
        <f>IF(VLOOKUP(A161&amp;" "&amp;B161,'HIDDEN import'!A:G,5,FALSE)="M",MD!$A$1,(IF(AND(VLOOKUP(A161,'HIDDEN import'!B:E,4,FALSE)="C",OR(NOT(ISERROR(VLOOKUP(E161,'Optional features'!B:D,1,FALSE)=E161)),NOT(ISERROR(VLOOKUP(E161,'HIDDEN calc sheet'!A:C,1,FALSE)=E161)))),MD!$A$3,MD!$A$2)))</f>
        <v>Mandatory test for a mandatory feature</v>
      </c>
      <c r="E161" t="str">
        <f>IF('HIDDEN import'!F160=0,"",'HIDDEN import'!F160)</f>
        <v/>
      </c>
      <c r="F161" t="str">
        <f>IF('HIDDEN import'!G160=0,"",'HIDDEN import'!G160)</f>
        <v/>
      </c>
      <c r="G161" s="95" t="str">
        <f>IFERROR(VLOOKUP($A161,'HIDDEN Testrun Results'!$A:$B,2,FALSE),"")</f>
        <v/>
      </c>
      <c r="H161" s="6" t="b">
        <f t="shared" si="2"/>
        <v>1</v>
      </c>
      <c r="I161" s="6" t="b">
        <f>IF(VLOOKUP(A161&amp;" "&amp;B161,'HIDDEN import'!A:G,5,FALSE)="M",TRUE,IFERROR(VLOOKUP(E161,'Optional features'!B:D,3,FALSE)="Yes",IFERROR(VLOOKUP(E161,'HIDDEN calc sheet'!A:B,2,FALSE),IFERROR(VLOOKUP(E161,'Additional questions'!B:D,3,FALSE)="Yes",VLOOKUP(E161,'Hardware Feature set'!B:D,3,FALSE)="No"))))</f>
        <v>1</v>
      </c>
      <c r="J161" s="6" t="b">
        <f>IF(VLOOKUP(B161,'Profile selection'!B:C,2,FALSE)="Yes",TRUE,FALSE)</f>
        <v>1</v>
      </c>
    </row>
    <row r="162" spans="1:10" x14ac:dyDescent="0.25">
      <c r="A162" t="str">
        <f>'HIDDEN import'!B161</f>
        <v>TC_G_18_CS</v>
      </c>
      <c r="B162" t="str">
        <f>'HIDDEN import'!C161</f>
        <v>Core</v>
      </c>
      <c r="C162" t="str">
        <f>'HIDDEN import'!D161</f>
        <v>Change Availability EVSE - state persists across reboot</v>
      </c>
      <c r="D162" t="str">
        <f>IF(VLOOKUP(A162&amp;" "&amp;B162,'HIDDEN import'!A:G,5,FALSE)="M",MD!$A$1,(IF(AND(VLOOKUP(A162,'HIDDEN import'!B:E,4,FALSE)="C",OR(NOT(ISERROR(VLOOKUP(E162,'Optional features'!B:D,1,FALSE)=E162)),NOT(ISERROR(VLOOKUP(E162,'HIDDEN calc sheet'!A:C,1,FALSE)=E162)))),MD!$A$3,MD!$A$2)))</f>
        <v>Mandatory test for a mandatory feature</v>
      </c>
      <c r="E162" t="str">
        <f>IF('HIDDEN import'!F161=0,"",'HIDDEN import'!F161)</f>
        <v/>
      </c>
      <c r="F162" t="str">
        <f>IF('HIDDEN import'!G161=0,"",'HIDDEN import'!G161)</f>
        <v/>
      </c>
      <c r="G162" s="95" t="str">
        <f>IFERROR(VLOOKUP($A162,'HIDDEN Testrun Results'!$A:$B,2,FALSE),"")</f>
        <v/>
      </c>
      <c r="H162" s="6" t="b">
        <f t="shared" si="2"/>
        <v>1</v>
      </c>
      <c r="I162" s="6" t="b">
        <f>IF(VLOOKUP(A162&amp;" "&amp;B162,'HIDDEN import'!A:G,5,FALSE)="M",TRUE,IFERROR(VLOOKUP(E162,'Optional features'!B:D,3,FALSE)="Yes",IFERROR(VLOOKUP(E162,'HIDDEN calc sheet'!A:B,2,FALSE),IFERROR(VLOOKUP(E162,'Additional questions'!B:D,3,FALSE)="Yes",VLOOKUP(E162,'Hardware Feature set'!B:D,3,FALSE)="No"))))</f>
        <v>1</v>
      </c>
      <c r="J162" s="6" t="b">
        <f>IF(VLOOKUP(B162,'Profile selection'!B:C,2,FALSE)="Yes",TRUE,FALSE)</f>
        <v>1</v>
      </c>
    </row>
    <row r="163" spans="1:10" x14ac:dyDescent="0.25">
      <c r="A163" t="str">
        <f>'HIDDEN import'!B162</f>
        <v>TC_G_05_CS</v>
      </c>
      <c r="B163" t="str">
        <f>'HIDDEN import'!C162</f>
        <v>Core</v>
      </c>
      <c r="C163" t="str">
        <f>'HIDDEN import'!D162</f>
        <v>Change Availability Charging Station - Operative to inoperative</v>
      </c>
      <c r="D163" t="str">
        <f>IF(VLOOKUP(A163&amp;" "&amp;B163,'HIDDEN import'!A:G,5,FALSE)="M",MD!$A$1,(IF(AND(VLOOKUP(A163,'HIDDEN import'!B:E,4,FALSE)="C",OR(NOT(ISERROR(VLOOKUP(E163,'Optional features'!B:D,1,FALSE)=E163)),NOT(ISERROR(VLOOKUP(E163,'HIDDEN calc sheet'!A:C,1,FALSE)=E163)))),MD!$A$3,MD!$A$2)))</f>
        <v>Mandatory test for a mandatory feature</v>
      </c>
      <c r="E163" t="str">
        <f>IF('HIDDEN import'!F162=0,"",'HIDDEN import'!F162)</f>
        <v/>
      </c>
      <c r="F163" t="str">
        <f>IF('HIDDEN import'!G162=0,"",'HIDDEN import'!G162)</f>
        <v/>
      </c>
      <c r="G163" s="95" t="str">
        <f>IFERROR(VLOOKUP($A163,'HIDDEN Testrun Results'!$A:$B,2,FALSE),"")</f>
        <v/>
      </c>
      <c r="H163" s="6" t="b">
        <f t="shared" si="2"/>
        <v>1</v>
      </c>
      <c r="I163" s="6" t="b">
        <f>IF(VLOOKUP(A163&amp;" "&amp;B163,'HIDDEN import'!A:G,5,FALSE)="M",TRUE,IFERROR(VLOOKUP(E163,'Optional features'!B:D,3,FALSE)="Yes",IFERROR(VLOOKUP(E163,'HIDDEN calc sheet'!A:B,2,FALSE),IFERROR(VLOOKUP(E163,'Additional questions'!B:D,3,FALSE)="Yes",VLOOKUP(E163,'Hardware Feature set'!B:D,3,FALSE)="No"))))</f>
        <v>1</v>
      </c>
      <c r="J163" s="6" t="b">
        <f>IF(VLOOKUP(B163,'Profile selection'!B:C,2,FALSE)="Yes",TRUE,FALSE)</f>
        <v>1</v>
      </c>
    </row>
    <row r="164" spans="1:10" x14ac:dyDescent="0.25">
      <c r="A164" t="str">
        <f>'HIDDEN import'!B163</f>
        <v>TC_G_12_CS</v>
      </c>
      <c r="B164" t="str">
        <f>'HIDDEN import'!C163</f>
        <v>Core</v>
      </c>
      <c r="C164" t="str">
        <f>'HIDDEN import'!D163</f>
        <v>Change Availability Charging Station - Operative to operative</v>
      </c>
      <c r="D164" t="str">
        <f>IF(VLOOKUP(A164&amp;" "&amp;B164,'HIDDEN import'!A:G,5,FALSE)="M",MD!$A$1,(IF(AND(VLOOKUP(A164,'HIDDEN import'!B:E,4,FALSE)="C",OR(NOT(ISERROR(VLOOKUP(E164,'Optional features'!B:D,1,FALSE)=E164)),NOT(ISERROR(VLOOKUP(E164,'HIDDEN calc sheet'!A:C,1,FALSE)=E164)))),MD!$A$3,MD!$A$2)))</f>
        <v>Mandatory test for a mandatory feature</v>
      </c>
      <c r="E164" t="str">
        <f>IF('HIDDEN import'!F163=0,"",'HIDDEN import'!F163)</f>
        <v/>
      </c>
      <c r="F164" t="str">
        <f>IF('HIDDEN import'!G163=0,"",'HIDDEN import'!G163)</f>
        <v/>
      </c>
      <c r="G164" s="95" t="str">
        <f>IFERROR(VLOOKUP($A164,'HIDDEN Testrun Results'!$A:$B,2,FALSE),"")</f>
        <v/>
      </c>
      <c r="H164" s="6" t="b">
        <f t="shared" si="2"/>
        <v>1</v>
      </c>
      <c r="I164" s="6" t="b">
        <f>IF(VLOOKUP(A164&amp;" "&amp;B164,'HIDDEN import'!A:G,5,FALSE)="M",TRUE,IFERROR(VLOOKUP(E164,'Optional features'!B:D,3,FALSE)="Yes",IFERROR(VLOOKUP(E164,'HIDDEN calc sheet'!A:B,2,FALSE),IFERROR(VLOOKUP(E164,'Additional questions'!B:D,3,FALSE)="Yes",VLOOKUP(E164,'Hardware Feature set'!B:D,3,FALSE)="No"))))</f>
        <v>1</v>
      </c>
      <c r="J164" s="6" t="b">
        <f>IF(VLOOKUP(B164,'Profile selection'!B:C,2,FALSE)="Yes",TRUE,FALSE)</f>
        <v>1</v>
      </c>
    </row>
    <row r="165" spans="1:10" x14ac:dyDescent="0.25">
      <c r="A165" t="str">
        <f>'HIDDEN import'!B164</f>
        <v>TC_G_06_CS</v>
      </c>
      <c r="B165" t="str">
        <f>'HIDDEN import'!C164</f>
        <v>Core</v>
      </c>
      <c r="C165" t="str">
        <f>'HIDDEN import'!D164</f>
        <v>Change Availability Charging Station - Inoperative to operative</v>
      </c>
      <c r="D165" t="str">
        <f>IF(VLOOKUP(A165&amp;" "&amp;B165,'HIDDEN import'!A:G,5,FALSE)="M",MD!$A$1,(IF(AND(VLOOKUP(A165,'HIDDEN import'!B:E,4,FALSE)="C",OR(NOT(ISERROR(VLOOKUP(E165,'Optional features'!B:D,1,FALSE)=E165)),NOT(ISERROR(VLOOKUP(E165,'HIDDEN calc sheet'!A:C,1,FALSE)=E165)))),MD!$A$3,MD!$A$2)))</f>
        <v>Mandatory test for a mandatory feature</v>
      </c>
      <c r="E165" t="str">
        <f>IF('HIDDEN import'!F164=0,"",'HIDDEN import'!F164)</f>
        <v/>
      </c>
      <c r="F165" t="str">
        <f>IF('HIDDEN import'!G164=0,"",'HIDDEN import'!G164)</f>
        <v/>
      </c>
      <c r="G165" s="95" t="str">
        <f>IFERROR(VLOOKUP($A165,'HIDDEN Testrun Results'!$A:$B,2,FALSE),"")</f>
        <v/>
      </c>
      <c r="H165" s="6" t="b">
        <f t="shared" si="2"/>
        <v>1</v>
      </c>
      <c r="I165" s="6" t="b">
        <f>IF(VLOOKUP(A165&amp;" "&amp;B165,'HIDDEN import'!A:G,5,FALSE)="M",TRUE,IFERROR(VLOOKUP(E165,'Optional features'!B:D,3,FALSE)="Yes",IFERROR(VLOOKUP(E165,'HIDDEN calc sheet'!A:B,2,FALSE),IFERROR(VLOOKUP(E165,'Additional questions'!B:D,3,FALSE)="Yes",VLOOKUP(E165,'Hardware Feature set'!B:D,3,FALSE)="No"))))</f>
        <v>1</v>
      </c>
      <c r="J165" s="6" t="b">
        <f>IF(VLOOKUP(B165,'Profile selection'!B:C,2,FALSE)="Yes",TRUE,FALSE)</f>
        <v>1</v>
      </c>
    </row>
    <row r="166" spans="1:10" x14ac:dyDescent="0.25">
      <c r="A166" t="str">
        <f>'HIDDEN import'!B165</f>
        <v>TC_G_13_CS</v>
      </c>
      <c r="B166" t="str">
        <f>'HIDDEN import'!C165</f>
        <v>Core</v>
      </c>
      <c r="C166" t="str">
        <f>'HIDDEN import'!D165</f>
        <v>Change Availability Charging Station - Inoperative to inoperative</v>
      </c>
      <c r="D166" t="str">
        <f>IF(VLOOKUP(A166&amp;" "&amp;B166,'HIDDEN import'!A:G,5,FALSE)="M",MD!$A$1,(IF(AND(VLOOKUP(A166,'HIDDEN import'!B:E,4,FALSE)="C",OR(NOT(ISERROR(VLOOKUP(E166,'Optional features'!B:D,1,FALSE)=E166)),NOT(ISERROR(VLOOKUP(E166,'HIDDEN calc sheet'!A:C,1,FALSE)=E166)))),MD!$A$3,MD!$A$2)))</f>
        <v>Mandatory test for a mandatory feature</v>
      </c>
      <c r="E166" t="str">
        <f>IF('HIDDEN import'!F165=0,"",'HIDDEN import'!F165)</f>
        <v/>
      </c>
      <c r="F166" t="str">
        <f>IF('HIDDEN import'!G165=0,"",'HIDDEN import'!G165)</f>
        <v/>
      </c>
      <c r="G166" s="95" t="str">
        <f>IFERROR(VLOOKUP($A166,'HIDDEN Testrun Results'!$A:$B,2,FALSE),"")</f>
        <v/>
      </c>
      <c r="H166" s="6" t="b">
        <f t="shared" si="2"/>
        <v>1</v>
      </c>
      <c r="I166" s="6" t="b">
        <f>IF(VLOOKUP(A166&amp;" "&amp;B166,'HIDDEN import'!A:G,5,FALSE)="M",TRUE,IFERROR(VLOOKUP(E166,'Optional features'!B:D,3,FALSE)="Yes",IFERROR(VLOOKUP(E166,'HIDDEN calc sheet'!A:B,2,FALSE),IFERROR(VLOOKUP(E166,'Additional questions'!B:D,3,FALSE)="Yes",VLOOKUP(E166,'Hardware Feature set'!B:D,3,FALSE)="No"))))</f>
        <v>1</v>
      </c>
      <c r="J166" s="6" t="b">
        <f>IF(VLOOKUP(B166,'Profile selection'!B:C,2,FALSE)="Yes",TRUE,FALSE)</f>
        <v>1</v>
      </c>
    </row>
    <row r="167" spans="1:10" x14ac:dyDescent="0.25">
      <c r="A167" t="str">
        <f>'HIDDEN import'!B166</f>
        <v>TC_G_21_CS</v>
      </c>
      <c r="B167" t="str">
        <f>'HIDDEN import'!C166</f>
        <v>Core</v>
      </c>
      <c r="C167" t="str">
        <f>'HIDDEN import'!D166</f>
        <v>Change Availability Charging Station - state persists across reboot</v>
      </c>
      <c r="D167" t="str">
        <f>IF(VLOOKUP(A167&amp;" "&amp;B167,'HIDDEN import'!A:G,5,FALSE)="M",MD!$A$1,(IF(AND(VLOOKUP(A167,'HIDDEN import'!B:E,4,FALSE)="C",OR(NOT(ISERROR(VLOOKUP(E167,'Optional features'!B:D,1,FALSE)=E167)),NOT(ISERROR(VLOOKUP(E167,'HIDDEN calc sheet'!A:C,1,FALSE)=E167)))),MD!$A$3,MD!$A$2)))</f>
        <v>Mandatory test for a mandatory feature</v>
      </c>
      <c r="E167" t="str">
        <f>IF('HIDDEN import'!F166=0,"",'HIDDEN import'!F166)</f>
        <v/>
      </c>
      <c r="F167" t="str">
        <f>IF('HIDDEN import'!G166=0,"",'HIDDEN import'!G166)</f>
        <v/>
      </c>
      <c r="G167" s="95" t="str">
        <f>IFERROR(VLOOKUP($A167,'HIDDEN Testrun Results'!$A:$B,2,FALSE),"")</f>
        <v/>
      </c>
      <c r="H167" s="6" t="b">
        <f t="shared" si="2"/>
        <v>1</v>
      </c>
      <c r="I167" s="6" t="b">
        <f>IF(VLOOKUP(A167&amp;" "&amp;B167,'HIDDEN import'!A:G,5,FALSE)="M",TRUE,IFERROR(VLOOKUP(E167,'Optional features'!B:D,3,FALSE)="Yes",IFERROR(VLOOKUP(E167,'HIDDEN calc sheet'!A:B,2,FALSE),IFERROR(VLOOKUP(E167,'Additional questions'!B:D,3,FALSE)="Yes",VLOOKUP(E167,'Hardware Feature set'!B:D,3,FALSE)="No"))))</f>
        <v>1</v>
      </c>
      <c r="J167" s="6" t="b">
        <f>IF(VLOOKUP(B167,'Profile selection'!B:C,2,FALSE)="Yes",TRUE,FALSE)</f>
        <v>1</v>
      </c>
    </row>
    <row r="168" spans="1:10" x14ac:dyDescent="0.25">
      <c r="A168" t="str">
        <f>'HIDDEN import'!B167</f>
        <v>TC_G_14_CS</v>
      </c>
      <c r="B168" t="str">
        <f>'HIDDEN import'!C167</f>
        <v>Core</v>
      </c>
      <c r="C168" t="str">
        <f>'HIDDEN import'!D167</f>
        <v>Change Availability Charging Station - With ongoing transaction</v>
      </c>
      <c r="D168" t="str">
        <f>IF(VLOOKUP(A168&amp;" "&amp;B168,'HIDDEN import'!A:G,5,FALSE)="M",MD!$A$1,(IF(AND(VLOOKUP(A168,'HIDDEN import'!B:E,4,FALSE)="C",OR(NOT(ISERROR(VLOOKUP(E168,'Optional features'!B:D,1,FALSE)=E168)),NOT(ISERROR(VLOOKUP(E168,'HIDDEN calc sheet'!A:C,1,FALSE)=E168)))),MD!$A$3,MD!$A$2)))</f>
        <v>Mandatory test for a mandatory feature</v>
      </c>
      <c r="E168" t="str">
        <f>IF('HIDDEN import'!F167=0,"",'HIDDEN import'!F167)</f>
        <v/>
      </c>
      <c r="F168" t="str">
        <f>IF('HIDDEN import'!G167=0,"",'HIDDEN import'!G167)</f>
        <v/>
      </c>
      <c r="G168" s="95" t="str">
        <f>IFERROR(VLOOKUP($A168,'HIDDEN Testrun Results'!$A:$B,2,FALSE),"")</f>
        <v/>
      </c>
      <c r="H168" s="6" t="b">
        <f t="shared" si="2"/>
        <v>1</v>
      </c>
      <c r="I168" s="6" t="b">
        <f>IF(VLOOKUP(A168&amp;" "&amp;B168,'HIDDEN import'!A:G,5,FALSE)="M",TRUE,IFERROR(VLOOKUP(E168,'Optional features'!B:D,3,FALSE)="Yes",IFERROR(VLOOKUP(E168,'HIDDEN calc sheet'!A:B,2,FALSE),IFERROR(VLOOKUP(E168,'Additional questions'!B:D,3,FALSE)="Yes",VLOOKUP(E168,'Hardware Feature set'!B:D,3,FALSE)="No"))))</f>
        <v>1</v>
      </c>
      <c r="J168" s="6" t="b">
        <f>IF(VLOOKUP(B168,'Profile selection'!B:C,2,FALSE)="Yes",TRUE,FALSE)</f>
        <v>1</v>
      </c>
    </row>
    <row r="169" spans="1:10" x14ac:dyDescent="0.25">
      <c r="A169" t="str">
        <f>'HIDDEN import'!B168</f>
        <v>TC_G_07_CS</v>
      </c>
      <c r="B169" t="str">
        <f>'HIDDEN import'!C168</f>
        <v>Core</v>
      </c>
      <c r="C169" t="str">
        <f>'HIDDEN import'!D168</f>
        <v>Change Availability Connector - Operative to inoperative</v>
      </c>
      <c r="D169" t="str">
        <f>IF(VLOOKUP(A169&amp;" "&amp;B169,'HIDDEN import'!A:G,5,FALSE)="M",MD!$A$1,(IF(AND(VLOOKUP(A169,'HIDDEN import'!B:E,4,FALSE)="C",OR(NOT(ISERROR(VLOOKUP(E169,'Optional features'!B:D,1,FALSE)=E169)),NOT(ISERROR(VLOOKUP(E169,'HIDDEN calc sheet'!A:C,1,FALSE)=E169)))),MD!$A$3,MD!$A$2)))</f>
        <v>Mandatory test for a mandatory feature</v>
      </c>
      <c r="E169" t="str">
        <f>IF('HIDDEN import'!F168=0,"",'HIDDEN import'!F168)</f>
        <v/>
      </c>
      <c r="F169" t="str">
        <f>IF('HIDDEN import'!G168=0,"",'HIDDEN import'!G168)</f>
        <v/>
      </c>
      <c r="G169" s="95" t="str">
        <f>IFERROR(VLOOKUP($A169,'HIDDEN Testrun Results'!$A:$B,2,FALSE),"")</f>
        <v/>
      </c>
      <c r="H169" s="6" t="b">
        <f t="shared" si="2"/>
        <v>1</v>
      </c>
      <c r="I169" s="6" t="b">
        <f>IF(VLOOKUP(A169&amp;" "&amp;B169,'HIDDEN import'!A:G,5,FALSE)="M",TRUE,IFERROR(VLOOKUP(E169,'Optional features'!B:D,3,FALSE)="Yes",IFERROR(VLOOKUP(E169,'HIDDEN calc sheet'!A:B,2,FALSE),IFERROR(VLOOKUP(E169,'Additional questions'!B:D,3,FALSE)="Yes",VLOOKUP(E169,'Hardware Feature set'!B:D,3,FALSE)="No"))))</f>
        <v>1</v>
      </c>
      <c r="J169" s="6" t="b">
        <f>IF(VLOOKUP(B169,'Profile selection'!B:C,2,FALSE)="Yes",TRUE,FALSE)</f>
        <v>1</v>
      </c>
    </row>
    <row r="170" spans="1:10" x14ac:dyDescent="0.25">
      <c r="A170" t="str">
        <f>'HIDDEN import'!B169</f>
        <v>TC_G_15_CS</v>
      </c>
      <c r="B170" t="str">
        <f>'HIDDEN import'!C169</f>
        <v>Core</v>
      </c>
      <c r="C170" t="str">
        <f>'HIDDEN import'!D169</f>
        <v>Change Availability Connector - Operative to operative</v>
      </c>
      <c r="D170" t="str">
        <f>IF(VLOOKUP(A170&amp;" "&amp;B170,'HIDDEN import'!A:G,5,FALSE)="M",MD!$A$1,(IF(AND(VLOOKUP(A170,'HIDDEN import'!B:E,4,FALSE)="C",OR(NOT(ISERROR(VLOOKUP(E170,'Optional features'!B:D,1,FALSE)=E170)),NOT(ISERROR(VLOOKUP(E170,'HIDDEN calc sheet'!A:C,1,FALSE)=E170)))),MD!$A$3,MD!$A$2)))</f>
        <v>Mandatory test for a mandatory feature</v>
      </c>
      <c r="E170" t="str">
        <f>IF('HIDDEN import'!F169=0,"",'HIDDEN import'!F169)</f>
        <v/>
      </c>
      <c r="F170" t="str">
        <f>IF('HIDDEN import'!G169=0,"",'HIDDEN import'!G169)</f>
        <v/>
      </c>
      <c r="G170" s="95" t="str">
        <f>IFERROR(VLOOKUP($A170,'HIDDEN Testrun Results'!$A:$B,2,FALSE),"")</f>
        <v/>
      </c>
      <c r="H170" s="6" t="b">
        <f t="shared" si="2"/>
        <v>1</v>
      </c>
      <c r="I170" s="6" t="b">
        <f>IF(VLOOKUP(A170&amp;" "&amp;B170,'HIDDEN import'!A:G,5,FALSE)="M",TRUE,IFERROR(VLOOKUP(E170,'Optional features'!B:D,3,FALSE)="Yes",IFERROR(VLOOKUP(E170,'HIDDEN calc sheet'!A:B,2,FALSE),IFERROR(VLOOKUP(E170,'Additional questions'!B:D,3,FALSE)="Yes",VLOOKUP(E170,'Hardware Feature set'!B:D,3,FALSE)="No"))))</f>
        <v>1</v>
      </c>
      <c r="J170" s="6" t="b">
        <f>IF(VLOOKUP(B170,'Profile selection'!B:C,2,FALSE)="Yes",TRUE,FALSE)</f>
        <v>1</v>
      </c>
    </row>
    <row r="171" spans="1:10" x14ac:dyDescent="0.25">
      <c r="A171" t="str">
        <f>'HIDDEN import'!B170</f>
        <v>TC_G_08_CS</v>
      </c>
      <c r="B171" t="str">
        <f>'HIDDEN import'!C170</f>
        <v>Core</v>
      </c>
      <c r="C171" t="str">
        <f>'HIDDEN import'!D170</f>
        <v>Change Availability Connector - Inoperative to operative</v>
      </c>
      <c r="D171" t="str">
        <f>IF(VLOOKUP(A171&amp;" "&amp;B171,'HIDDEN import'!A:G,5,FALSE)="M",MD!$A$1,(IF(AND(VLOOKUP(A171,'HIDDEN import'!B:E,4,FALSE)="C",OR(NOT(ISERROR(VLOOKUP(E171,'Optional features'!B:D,1,FALSE)=E171)),NOT(ISERROR(VLOOKUP(E171,'HIDDEN calc sheet'!A:C,1,FALSE)=E171)))),MD!$A$3,MD!$A$2)))</f>
        <v>Mandatory test for a mandatory feature</v>
      </c>
      <c r="E171" t="str">
        <f>IF('HIDDEN import'!F170=0,"",'HIDDEN import'!F170)</f>
        <v/>
      </c>
      <c r="F171" t="str">
        <f>IF('HIDDEN import'!G170=0,"",'HIDDEN import'!G170)</f>
        <v/>
      </c>
      <c r="G171" s="95" t="str">
        <f>IFERROR(VLOOKUP($A171,'HIDDEN Testrun Results'!$A:$B,2,FALSE),"")</f>
        <v/>
      </c>
      <c r="H171" s="6" t="b">
        <f t="shared" si="2"/>
        <v>1</v>
      </c>
      <c r="I171" s="6" t="b">
        <f>IF(VLOOKUP(A171&amp;" "&amp;B171,'HIDDEN import'!A:G,5,FALSE)="M",TRUE,IFERROR(VLOOKUP(E171,'Optional features'!B:D,3,FALSE)="Yes",IFERROR(VLOOKUP(E171,'HIDDEN calc sheet'!A:B,2,FALSE),IFERROR(VLOOKUP(E171,'Additional questions'!B:D,3,FALSE)="Yes",VLOOKUP(E171,'Hardware Feature set'!B:D,3,FALSE)="No"))))</f>
        <v>1</v>
      </c>
      <c r="J171" s="6" t="b">
        <f>IF(VLOOKUP(B171,'Profile selection'!B:C,2,FALSE)="Yes",TRUE,FALSE)</f>
        <v>1</v>
      </c>
    </row>
    <row r="172" spans="1:10" x14ac:dyDescent="0.25">
      <c r="A172" t="str">
        <f>'HIDDEN import'!B171</f>
        <v>TC_G_16_CS</v>
      </c>
      <c r="B172" t="str">
        <f>'HIDDEN import'!C171</f>
        <v>Core</v>
      </c>
      <c r="C172" t="str">
        <f>'HIDDEN import'!D171</f>
        <v>Change Availability Connector - Inoperative to inoperative</v>
      </c>
      <c r="D172" t="str">
        <f>IF(VLOOKUP(A172&amp;" "&amp;B172,'HIDDEN import'!A:G,5,FALSE)="M",MD!$A$1,(IF(AND(VLOOKUP(A172,'HIDDEN import'!B:E,4,FALSE)="C",OR(NOT(ISERROR(VLOOKUP(E172,'Optional features'!B:D,1,FALSE)=E172)),NOT(ISERROR(VLOOKUP(E172,'HIDDEN calc sheet'!A:C,1,FALSE)=E172)))),MD!$A$3,MD!$A$2)))</f>
        <v>Mandatory test for a mandatory feature</v>
      </c>
      <c r="E172" t="str">
        <f>IF('HIDDEN import'!F171=0,"",'HIDDEN import'!F171)</f>
        <v/>
      </c>
      <c r="F172" t="str">
        <f>IF('HIDDEN import'!G171=0,"",'HIDDEN import'!G171)</f>
        <v/>
      </c>
      <c r="G172" s="95" t="str">
        <f>IFERROR(VLOOKUP($A172,'HIDDEN Testrun Results'!$A:$B,2,FALSE),"")</f>
        <v/>
      </c>
      <c r="H172" s="6" t="b">
        <f t="shared" si="2"/>
        <v>1</v>
      </c>
      <c r="I172" s="6" t="b">
        <f>IF(VLOOKUP(A172&amp;" "&amp;B172,'HIDDEN import'!A:G,5,FALSE)="M",TRUE,IFERROR(VLOOKUP(E172,'Optional features'!B:D,3,FALSE)="Yes",IFERROR(VLOOKUP(E172,'HIDDEN calc sheet'!A:B,2,FALSE),IFERROR(VLOOKUP(E172,'Additional questions'!B:D,3,FALSE)="Yes",VLOOKUP(E172,'Hardware Feature set'!B:D,3,FALSE)="No"))))</f>
        <v>1</v>
      </c>
      <c r="J172" s="6" t="b">
        <f>IF(VLOOKUP(B172,'Profile selection'!B:C,2,FALSE)="Yes",TRUE,FALSE)</f>
        <v>1</v>
      </c>
    </row>
    <row r="173" spans="1:10" x14ac:dyDescent="0.25">
      <c r="A173" t="str">
        <f>'HIDDEN import'!B172</f>
        <v>TC_G_17_CS</v>
      </c>
      <c r="B173" t="str">
        <f>'HIDDEN import'!C172</f>
        <v>Core</v>
      </c>
      <c r="C173" t="str">
        <f>'HIDDEN import'!D172</f>
        <v>Change Availability Connector - With ongoing transaction</v>
      </c>
      <c r="D173" t="str">
        <f>IF(VLOOKUP(A173&amp;" "&amp;B173,'HIDDEN import'!A:G,5,FALSE)="M",MD!$A$1,(IF(AND(VLOOKUP(A173,'HIDDEN import'!B:E,4,FALSE)="C",OR(NOT(ISERROR(VLOOKUP(E173,'Optional features'!B:D,1,FALSE)=E173)),NOT(ISERROR(VLOOKUP(E173,'HIDDEN calc sheet'!A:C,1,FALSE)=E173)))),MD!$A$3,MD!$A$2)))</f>
        <v>Mandatory test for a mandatory feature</v>
      </c>
      <c r="E173" t="str">
        <f>IF('HIDDEN import'!F172=0,"",'HIDDEN import'!F172)</f>
        <v/>
      </c>
      <c r="F173" t="str">
        <f>IF('HIDDEN import'!G172=0,"",'HIDDEN import'!G172)</f>
        <v/>
      </c>
      <c r="G173" s="95" t="str">
        <f>IFERROR(VLOOKUP($A173,'HIDDEN Testrun Results'!$A:$B,2,FALSE),"")</f>
        <v/>
      </c>
      <c r="H173" s="6" t="b">
        <f t="shared" si="2"/>
        <v>1</v>
      </c>
      <c r="I173" s="6" t="b">
        <f>IF(VLOOKUP(A173&amp;" "&amp;B173,'HIDDEN import'!A:G,5,FALSE)="M",TRUE,IFERROR(VLOOKUP(E173,'Optional features'!B:D,3,FALSE)="Yes",IFERROR(VLOOKUP(E173,'HIDDEN calc sheet'!A:B,2,FALSE),IFERROR(VLOOKUP(E173,'Additional questions'!B:D,3,FALSE)="Yes",VLOOKUP(E173,'Hardware Feature set'!B:D,3,FALSE)="No"))))</f>
        <v>1</v>
      </c>
      <c r="J173" s="6" t="b">
        <f>IF(VLOOKUP(B173,'Profile selection'!B:C,2,FALSE)="Yes",TRUE,FALSE)</f>
        <v>1</v>
      </c>
    </row>
    <row r="174" spans="1:10" x14ac:dyDescent="0.25">
      <c r="A174" t="str">
        <f>'HIDDEN import'!B173</f>
        <v>TC_G_19_CS</v>
      </c>
      <c r="B174" t="str">
        <f>'HIDDEN import'!C173</f>
        <v>Core</v>
      </c>
      <c r="C174" t="str">
        <f>'HIDDEN import'!D173</f>
        <v>Change Availability Connector - state persists across reboot</v>
      </c>
      <c r="D174" t="str">
        <f>IF(VLOOKUP(A174&amp;" "&amp;B174,'HIDDEN import'!A:G,5,FALSE)="M",MD!$A$1,(IF(AND(VLOOKUP(A174,'HIDDEN import'!B:E,4,FALSE)="C",OR(NOT(ISERROR(VLOOKUP(E174,'Optional features'!B:D,1,FALSE)=E174)),NOT(ISERROR(VLOOKUP(E174,'HIDDEN calc sheet'!A:C,1,FALSE)=E174)))),MD!$A$3,MD!$A$2)))</f>
        <v>Mandatory test for a mandatory feature</v>
      </c>
      <c r="E174" t="str">
        <f>IF('HIDDEN import'!F173=0,"",'HIDDEN import'!F173)</f>
        <v/>
      </c>
      <c r="F174" t="str">
        <f>IF('HIDDEN import'!G173=0,"",'HIDDEN import'!G173)</f>
        <v/>
      </c>
      <c r="G174" s="95" t="str">
        <f>IFERROR(VLOOKUP($A174,'HIDDEN Testrun Results'!$A:$B,2,FALSE),"")</f>
        <v/>
      </c>
      <c r="H174" s="6" t="b">
        <f t="shared" si="2"/>
        <v>1</v>
      </c>
      <c r="I174" s="6" t="b">
        <f>IF(VLOOKUP(A174&amp;" "&amp;B174,'HIDDEN import'!A:G,5,FALSE)="M",TRUE,IFERROR(VLOOKUP(E174,'Optional features'!B:D,3,FALSE)="Yes",IFERROR(VLOOKUP(E174,'HIDDEN calc sheet'!A:B,2,FALSE),IFERROR(VLOOKUP(E174,'Additional questions'!B:D,3,FALSE)="Yes",VLOOKUP(E174,'Hardware Feature set'!B:D,3,FALSE)="No"))))</f>
        <v>1</v>
      </c>
      <c r="J174" s="6" t="b">
        <f>IF(VLOOKUP(B174,'Profile selection'!B:C,2,FALSE)="Yes",TRUE,FALSE)</f>
        <v>1</v>
      </c>
    </row>
    <row r="175" spans="1:10" x14ac:dyDescent="0.25">
      <c r="A175" t="str">
        <f>'HIDDEN import'!B174</f>
        <v>TC_J_01_CS</v>
      </c>
      <c r="B175" t="str">
        <f>'HIDDEN import'!C174</f>
        <v>Core</v>
      </c>
      <c r="C175" t="str">
        <f>'HIDDEN import'!D174</f>
        <v>Clock-aligned Meter Values - No transaction ongoing</v>
      </c>
      <c r="D175" t="str">
        <f>IF(VLOOKUP(A175&amp;" "&amp;B175,'HIDDEN import'!A:G,5,FALSE)="M",MD!$A$1,(IF(AND(VLOOKUP(A175,'HIDDEN import'!B:E,4,FALSE)="C",OR(NOT(ISERROR(VLOOKUP(E175,'Optional features'!B:D,1,FALSE)=E175)),NOT(ISERROR(VLOOKUP(E175,'HIDDEN calc sheet'!A:C,1,FALSE)=E175)))),MD!$A$3,MD!$A$2)))</f>
        <v>Mandatory test for a mandatory feature</v>
      </c>
      <c r="E175" t="str">
        <f>IF('HIDDEN import'!F174=0,"",'HIDDEN import'!F174)</f>
        <v>C-40</v>
      </c>
      <c r="F175" t="str">
        <f>IF('HIDDEN import'!G174=0,"",'HIDDEN import'!G174)</f>
        <v>Supported MeterValue Measurands</v>
      </c>
      <c r="G175" s="95" t="str">
        <f>IFERROR(VLOOKUP($A175,'HIDDEN Testrun Results'!$A:$B,2,FALSE),"")</f>
        <v/>
      </c>
      <c r="H175" s="6" t="b">
        <f t="shared" si="2"/>
        <v>1</v>
      </c>
      <c r="I175" s="6" t="b">
        <f>IF(VLOOKUP(A175&amp;" "&amp;B175,'HIDDEN import'!A:G,5,FALSE)="M",TRUE,IFERROR(VLOOKUP(E175,'Optional features'!B:D,3,FALSE)="Yes",IFERROR(VLOOKUP(E175,'HIDDEN calc sheet'!A:B,2,FALSE),IFERROR(VLOOKUP(E175,'Additional questions'!B:D,3,FALSE)="Yes",VLOOKUP(E175,'Hardware Feature set'!B:D,3,FALSE)="No"))))</f>
        <v>1</v>
      </c>
      <c r="J175" s="6" t="b">
        <f>IF(VLOOKUP(B175,'Profile selection'!B:C,2,FALSE)="Yes",TRUE,FALSE)</f>
        <v>1</v>
      </c>
    </row>
    <row r="176" spans="1:10" x14ac:dyDescent="0.25">
      <c r="A176" t="str">
        <f>'HIDDEN import'!B175</f>
        <v>TC_J_02_CS</v>
      </c>
      <c r="B176" t="str">
        <f>'HIDDEN import'!C175</f>
        <v>Core</v>
      </c>
      <c r="C176" t="str">
        <f>'HIDDEN import'!D175</f>
        <v>Clock-aligned Meter Values - Transaction ongoing</v>
      </c>
      <c r="D176" t="str">
        <f>IF(VLOOKUP(A176&amp;" "&amp;B176,'HIDDEN import'!A:G,5,FALSE)="M",MD!$A$1,(IF(AND(VLOOKUP(A176,'HIDDEN import'!B:E,4,FALSE)="C",OR(NOT(ISERROR(VLOOKUP(E176,'Optional features'!B:D,1,FALSE)=E176)),NOT(ISERROR(VLOOKUP(E176,'HIDDEN calc sheet'!A:C,1,FALSE)=E176)))),MD!$A$3,MD!$A$2)))</f>
        <v>Mandatory test for a mandatory feature</v>
      </c>
      <c r="E176" t="str">
        <f>IF('HIDDEN import'!F175=0,"",'HIDDEN import'!F175)</f>
        <v>C-40</v>
      </c>
      <c r="F176" t="str">
        <f>IF('HIDDEN import'!G175=0,"",'HIDDEN import'!G175)</f>
        <v>Supported MeterValue Measurands</v>
      </c>
      <c r="G176" s="95" t="str">
        <f>IFERROR(VLOOKUP($A176,'HIDDEN Testrun Results'!$A:$B,2,FALSE),"")</f>
        <v/>
      </c>
      <c r="H176" s="6" t="b">
        <f t="shared" si="2"/>
        <v>1</v>
      </c>
      <c r="I176" s="6" t="b">
        <f>IF(VLOOKUP(A176&amp;" "&amp;B176,'HIDDEN import'!A:G,5,FALSE)="M",TRUE,IFERROR(VLOOKUP(E176,'Optional features'!B:D,3,FALSE)="Yes",IFERROR(VLOOKUP(E176,'HIDDEN calc sheet'!A:B,2,FALSE),IFERROR(VLOOKUP(E176,'Additional questions'!B:D,3,FALSE)="Yes",VLOOKUP(E176,'Hardware Feature set'!B:D,3,FALSE)="No"))))</f>
        <v>1</v>
      </c>
      <c r="J176" s="6" t="b">
        <f>IF(VLOOKUP(B176,'Profile selection'!B:C,2,FALSE)="Yes",TRUE,FALSE)</f>
        <v>1</v>
      </c>
    </row>
    <row r="177" spans="1:10" x14ac:dyDescent="0.25">
      <c r="A177" t="str">
        <f>'HIDDEN import'!B176</f>
        <v>TC_J_03_CS</v>
      </c>
      <c r="B177" t="str">
        <f>'HIDDEN import'!C176</f>
        <v>Core</v>
      </c>
      <c r="C177" t="str">
        <f>'HIDDEN import'!D176</f>
        <v>Clock-aligned Meter Values - EventType Ended</v>
      </c>
      <c r="D177" t="str">
        <f>IF(VLOOKUP(A177&amp;" "&amp;B177,'HIDDEN import'!A:G,5,FALSE)="M",MD!$A$1,(IF(AND(VLOOKUP(A177,'HIDDEN import'!B:E,4,FALSE)="C",OR(NOT(ISERROR(VLOOKUP(E177,'Optional features'!B:D,1,FALSE)=E177)),NOT(ISERROR(VLOOKUP(E177,'HIDDEN calc sheet'!A:C,1,FALSE)=E177)))),MD!$A$3,MD!$A$2)))</f>
        <v>Mandatory test for a mandatory feature</v>
      </c>
      <c r="E177" t="str">
        <f>IF('HIDDEN import'!F176=0,"",'HIDDEN import'!F176)</f>
        <v>C-40</v>
      </c>
      <c r="F177" t="str">
        <f>IF('HIDDEN import'!G176=0,"",'HIDDEN import'!G176)</f>
        <v>Supported MeterValue Measurands</v>
      </c>
      <c r="G177" s="95" t="str">
        <f>IFERROR(VLOOKUP($A177,'HIDDEN Testrun Results'!$A:$B,2,FALSE),"")</f>
        <v/>
      </c>
      <c r="H177" s="6" t="b">
        <f t="shared" si="2"/>
        <v>1</v>
      </c>
      <c r="I177" s="6" t="b">
        <f>IF(VLOOKUP(A177&amp;" "&amp;B177,'HIDDEN import'!A:G,5,FALSE)="M",TRUE,IFERROR(VLOOKUP(E177,'Optional features'!B:D,3,FALSE)="Yes",IFERROR(VLOOKUP(E177,'HIDDEN calc sheet'!A:B,2,FALSE),IFERROR(VLOOKUP(E177,'Additional questions'!B:D,3,FALSE)="Yes",VLOOKUP(E177,'Hardware Feature set'!B:D,3,FALSE)="No"))))</f>
        <v>1</v>
      </c>
      <c r="J177" s="6" t="b">
        <f>IF(VLOOKUP(B177,'Profile selection'!B:C,2,FALSE)="Yes",TRUE,FALSE)</f>
        <v>1</v>
      </c>
    </row>
    <row r="178" spans="1:10" x14ac:dyDescent="0.25">
      <c r="A178" t="str">
        <f>'HIDDEN import'!B177</f>
        <v>TC_J_04_CS</v>
      </c>
      <c r="B178" t="str">
        <f>'HIDDEN import'!C177</f>
        <v>Core</v>
      </c>
      <c r="C178" t="str">
        <f>'HIDDEN import'!D177</f>
        <v>Clock-aligned Meter Values - Signed</v>
      </c>
      <c r="D178" t="str">
        <f>IF(VLOOKUP(A178&amp;" "&amp;B178,'HIDDEN import'!A:G,5,FALSE)="M",MD!$A$1,(IF(AND(VLOOKUP(A178,'HIDDEN import'!B:E,4,FALSE)="C",OR(NOT(ISERROR(VLOOKUP(E178,'Optional features'!B:D,1,FALSE)=E178)),NOT(ISERROR(VLOOKUP(E178,'HIDDEN calc sheet'!A:C,1,FALSE)=E178)))),MD!$A$3,MD!$A$2)))</f>
        <v>Mandatory for optional feature</v>
      </c>
      <c r="E178" t="str">
        <f>IF('HIDDEN import'!F177=0,"",'HIDDEN import'!F177)</f>
        <v>C-42</v>
      </c>
      <c r="F178" t="str">
        <f>IF('HIDDEN import'!G177=0,"",'HIDDEN import'!G177)</f>
        <v>Supported MeterValue Measurands &amp; Signed Metervalues</v>
      </c>
      <c r="G178" s="95" t="str">
        <f>IFERROR(VLOOKUP($A178,'HIDDEN Testrun Results'!$A:$B,2,FALSE),"")</f>
        <v/>
      </c>
      <c r="H178" s="6" t="b">
        <f t="shared" si="2"/>
        <v>0</v>
      </c>
      <c r="I178" s="6" t="b">
        <f>IF(VLOOKUP(A178&amp;" "&amp;B178,'HIDDEN import'!A:G,5,FALSE)="M",TRUE,IFERROR(VLOOKUP(E178,'Optional features'!B:D,3,FALSE)="Yes",IFERROR(VLOOKUP(E178,'HIDDEN calc sheet'!A:B,2,FALSE),IFERROR(VLOOKUP(E178,'Additional questions'!B:D,3,FALSE)="Yes",VLOOKUP(E178,'Hardware Feature set'!B:D,3,FALSE)="No"))))</f>
        <v>0</v>
      </c>
      <c r="J178" s="6" t="b">
        <f>IF(VLOOKUP(B178,'Profile selection'!B:C,2,FALSE)="Yes",TRUE,FALSE)</f>
        <v>1</v>
      </c>
    </row>
    <row r="179" spans="1:10" x14ac:dyDescent="0.25">
      <c r="A179" t="str">
        <f>'HIDDEN import'!B178</f>
        <v>TC_J_06_CS</v>
      </c>
      <c r="B179" t="str">
        <f>'HIDDEN import'!C178</f>
        <v>Core</v>
      </c>
      <c r="C179" t="str">
        <f>'HIDDEN import'!D178</f>
        <v>Clock-aligned Meter Values - No Meter Values during transaction</v>
      </c>
      <c r="D179" t="str">
        <f>IF(VLOOKUP(A179&amp;" "&amp;B179,'HIDDEN import'!A:G,5,FALSE)="M",MD!$A$1,(IF(AND(VLOOKUP(A179,'HIDDEN import'!B:E,4,FALSE)="C",OR(NOT(ISERROR(VLOOKUP(E179,'Optional features'!B:D,1,FALSE)=E179)),NOT(ISERROR(VLOOKUP(E179,'HIDDEN calc sheet'!A:C,1,FALSE)=E179)))),MD!$A$3,MD!$A$2)))</f>
        <v>Mandatory for optional feature</v>
      </c>
      <c r="E179" t="str">
        <f>IF('HIDDEN import'!F178=0,"",'HIDDEN import'!F178)</f>
        <v>C-28</v>
      </c>
      <c r="F179" t="str">
        <f>IF('HIDDEN import'!G178=0,"",'HIDDEN import'!G178)</f>
        <v>AlignedDataSendDuringIdle</v>
      </c>
      <c r="G179" s="95" t="str">
        <f>IFERROR(VLOOKUP($A179,'HIDDEN Testrun Results'!$A:$B,2,FALSE),"")</f>
        <v/>
      </c>
      <c r="H179" s="6" t="b">
        <f t="shared" si="2"/>
        <v>0</v>
      </c>
      <c r="I179" s="6" t="b">
        <f>IF(VLOOKUP(A179&amp;" "&amp;B179,'HIDDEN import'!A:G,5,FALSE)="M",TRUE,IFERROR(VLOOKUP(E179,'Optional features'!B:D,3,FALSE)="Yes",IFERROR(VLOOKUP(E179,'HIDDEN calc sheet'!A:B,2,FALSE),IFERROR(VLOOKUP(E179,'Additional questions'!B:D,3,FALSE)="Yes",VLOOKUP(E179,'Hardware Feature set'!B:D,3,FALSE)="No"))))</f>
        <v>0</v>
      </c>
      <c r="J179" s="6" t="b">
        <f>IF(VLOOKUP(B179,'Profile selection'!B:C,2,FALSE)="Yes",TRUE,FALSE)</f>
        <v>1</v>
      </c>
    </row>
    <row r="180" spans="1:10" x14ac:dyDescent="0.25">
      <c r="A180" t="str">
        <f>'HIDDEN import'!B179</f>
        <v>TC_J_07_CS</v>
      </c>
      <c r="B180" t="str">
        <f>'HIDDEN import'!C179</f>
        <v>Core</v>
      </c>
      <c r="C180" t="str">
        <f>'HIDDEN import'!D179</f>
        <v>Sampled Meter Values - EventType Started - EVSE known</v>
      </c>
      <c r="D180" t="str">
        <f>IF(VLOOKUP(A180&amp;" "&amp;B180,'HIDDEN import'!A:G,5,FALSE)="M",MD!$A$1,(IF(AND(VLOOKUP(A180,'HIDDEN import'!B:E,4,FALSE)="C",OR(NOT(ISERROR(VLOOKUP(E180,'Optional features'!B:D,1,FALSE)=E180)),NOT(ISERROR(VLOOKUP(E180,'HIDDEN calc sheet'!A:C,1,FALSE)=E180)))),MD!$A$3,MD!$A$2)))</f>
        <v>Mandatory test for a mandatory feature</v>
      </c>
      <c r="E180" t="str">
        <f>IF('HIDDEN import'!F179=0,"",'HIDDEN import'!F179)</f>
        <v>C-40</v>
      </c>
      <c r="F180" t="str">
        <f>IF('HIDDEN import'!G179=0,"",'HIDDEN import'!G179)</f>
        <v>Supported MeterValue Measurands</v>
      </c>
      <c r="G180" s="95" t="str">
        <f>IFERROR(VLOOKUP($A180,'HIDDEN Testrun Results'!$A:$B,2,FALSE),"")</f>
        <v/>
      </c>
      <c r="H180" s="6" t="b">
        <f t="shared" si="2"/>
        <v>1</v>
      </c>
      <c r="I180" s="6" t="b">
        <f>IF(VLOOKUP(A180&amp;" "&amp;B180,'HIDDEN import'!A:G,5,FALSE)="M",TRUE,IFERROR(VLOOKUP(E180,'Optional features'!B:D,3,FALSE)="Yes",IFERROR(VLOOKUP(E180,'HIDDEN calc sheet'!A:B,2,FALSE),IFERROR(VLOOKUP(E180,'Additional questions'!B:D,3,FALSE)="Yes",VLOOKUP(E180,'Hardware Feature set'!B:D,3,FALSE)="No"))))</f>
        <v>1</v>
      </c>
      <c r="J180" s="6" t="b">
        <f>IF(VLOOKUP(B180,'Profile selection'!B:C,2,FALSE)="Yes",TRUE,FALSE)</f>
        <v>1</v>
      </c>
    </row>
    <row r="181" spans="1:10" x14ac:dyDescent="0.25">
      <c r="A181" t="str">
        <f>'HIDDEN import'!B180</f>
        <v>TC_J_08_CS</v>
      </c>
      <c r="B181" t="str">
        <f>'HIDDEN import'!C180</f>
        <v>Core</v>
      </c>
      <c r="C181" t="str">
        <f>'HIDDEN import'!D180</f>
        <v>Sampled Meter Values - Context Transaction.Begin - EVSE not known</v>
      </c>
      <c r="D181" t="str">
        <f>IF(VLOOKUP(A181&amp;" "&amp;B181,'HIDDEN import'!A:G,5,FALSE)="M",MD!$A$1,(IF(AND(VLOOKUP(A181,'HIDDEN import'!B:E,4,FALSE)="C",OR(NOT(ISERROR(VLOOKUP(E181,'Optional features'!B:D,1,FALSE)=E181)),NOT(ISERROR(VLOOKUP(E181,'HIDDEN calc sheet'!A:C,1,FALSE)=E181)))),MD!$A$3,MD!$A$2)))</f>
        <v>Mandatory for optional feature</v>
      </c>
      <c r="E181" t="str">
        <f>IF('HIDDEN import'!F180=0,"",'HIDDEN import'!F180)</f>
        <v>C-40 and NOT AQ-8 AND (C-09.2 OR C-09.6)</v>
      </c>
      <c r="F181" t="str">
        <f>IF('HIDDEN import'!G180=0,"",'HIDDEN import'!G180)</f>
        <v>Supported MeterValue Measurands &amp; possibility to enforce EVSE being known.</v>
      </c>
      <c r="G181" s="95" t="str">
        <f>IFERROR(VLOOKUP($A181,'HIDDEN Testrun Results'!$A:$B,2,FALSE),"")</f>
        <v/>
      </c>
      <c r="H181" s="6" t="b">
        <f t="shared" si="2"/>
        <v>0</v>
      </c>
      <c r="I181" s="6" t="b">
        <f>IF(VLOOKUP(A181&amp;" "&amp;B181,'HIDDEN import'!A:G,5,FALSE)="M",TRUE,IFERROR(VLOOKUP(E181,'Optional features'!B:D,3,FALSE)="Yes",IFERROR(VLOOKUP(E181,'HIDDEN calc sheet'!A:B,2,FALSE),IFERROR(VLOOKUP(E181,'Additional questions'!B:D,3,FALSE)="Yes",VLOOKUP(E181,'Hardware Feature set'!B:D,3,FALSE)="No"))))</f>
        <v>0</v>
      </c>
      <c r="J181" s="6" t="b">
        <f>IF(VLOOKUP(B181,'Profile selection'!B:C,2,FALSE)="Yes",TRUE,FALSE)</f>
        <v>1</v>
      </c>
    </row>
    <row r="182" spans="1:10" x14ac:dyDescent="0.25">
      <c r="A182" t="str">
        <f>'HIDDEN import'!B181</f>
        <v>TC_J_09_CS</v>
      </c>
      <c r="B182" t="str">
        <f>'HIDDEN import'!C181</f>
        <v>Core</v>
      </c>
      <c r="C182" t="str">
        <f>'HIDDEN import'!D181</f>
        <v>Sampled Meter Values - EventType Updated</v>
      </c>
      <c r="D182" t="str">
        <f>IF(VLOOKUP(A182&amp;" "&amp;B182,'HIDDEN import'!A:G,5,FALSE)="M",MD!$A$1,(IF(AND(VLOOKUP(A182,'HIDDEN import'!B:E,4,FALSE)="C",OR(NOT(ISERROR(VLOOKUP(E182,'Optional features'!B:D,1,FALSE)=E182)),NOT(ISERROR(VLOOKUP(E182,'HIDDEN calc sheet'!A:C,1,FALSE)=E182)))),MD!$A$3,MD!$A$2)))</f>
        <v>Mandatory test for a mandatory feature</v>
      </c>
      <c r="E182" t="str">
        <f>IF('HIDDEN import'!F181=0,"",'HIDDEN import'!F181)</f>
        <v>C-40</v>
      </c>
      <c r="F182" t="str">
        <f>IF('HIDDEN import'!G181=0,"",'HIDDEN import'!G181)</f>
        <v>Supported MeterValue Measurands</v>
      </c>
      <c r="G182" s="95" t="str">
        <f>IFERROR(VLOOKUP($A182,'HIDDEN Testrun Results'!$A:$B,2,FALSE),"")</f>
        <v/>
      </c>
      <c r="H182" s="6" t="b">
        <f t="shared" si="2"/>
        <v>1</v>
      </c>
      <c r="I182" s="6" t="b">
        <f>IF(VLOOKUP(A182&amp;" "&amp;B182,'HIDDEN import'!A:G,5,FALSE)="M",TRUE,IFERROR(VLOOKUP(E182,'Optional features'!B:D,3,FALSE)="Yes",IFERROR(VLOOKUP(E182,'HIDDEN calc sheet'!A:B,2,FALSE),IFERROR(VLOOKUP(E182,'Additional questions'!B:D,3,FALSE)="Yes",VLOOKUP(E182,'Hardware Feature set'!B:D,3,FALSE)="No"))))</f>
        <v>1</v>
      </c>
      <c r="J182" s="6" t="b">
        <f>IF(VLOOKUP(B182,'Profile selection'!B:C,2,FALSE)="Yes",TRUE,FALSE)</f>
        <v>1</v>
      </c>
    </row>
    <row r="183" spans="1:10" x14ac:dyDescent="0.25">
      <c r="A183" t="str">
        <f>'HIDDEN import'!B182</f>
        <v>TC_J_10_CS</v>
      </c>
      <c r="B183" t="str">
        <f>'HIDDEN import'!C182</f>
        <v>Core</v>
      </c>
      <c r="C183" t="str">
        <f>'HIDDEN import'!D182</f>
        <v>Sampled Meter Values - EventType Ended</v>
      </c>
      <c r="D183" t="str">
        <f>IF(VLOOKUP(A183&amp;" "&amp;B183,'HIDDEN import'!A:G,5,FALSE)="M",MD!$A$1,(IF(AND(VLOOKUP(A183,'HIDDEN import'!B:E,4,FALSE)="C",OR(NOT(ISERROR(VLOOKUP(E183,'Optional features'!B:D,1,FALSE)=E183)),NOT(ISERROR(VLOOKUP(E183,'HIDDEN calc sheet'!A:C,1,FALSE)=E183)))),MD!$A$3,MD!$A$2)))</f>
        <v>Mandatory test for a mandatory feature</v>
      </c>
      <c r="E183" t="str">
        <f>IF('HIDDEN import'!F182=0,"",'HIDDEN import'!F182)</f>
        <v>C-40</v>
      </c>
      <c r="F183" t="str">
        <f>IF('HIDDEN import'!G182=0,"",'HIDDEN import'!G182)</f>
        <v>Supported MeterValue Measurands</v>
      </c>
      <c r="G183" s="95" t="str">
        <f>IFERROR(VLOOKUP($A183,'HIDDEN Testrun Results'!$A:$B,2,FALSE),"")</f>
        <v/>
      </c>
      <c r="H183" s="6" t="b">
        <f t="shared" si="2"/>
        <v>1</v>
      </c>
      <c r="I183" s="6" t="b">
        <f>IF(VLOOKUP(A183&amp;" "&amp;B183,'HIDDEN import'!A:G,5,FALSE)="M",TRUE,IFERROR(VLOOKUP(E183,'Optional features'!B:D,3,FALSE)="Yes",IFERROR(VLOOKUP(E183,'HIDDEN calc sheet'!A:B,2,FALSE),IFERROR(VLOOKUP(E183,'Additional questions'!B:D,3,FALSE)="Yes",VLOOKUP(E183,'Hardware Feature set'!B:D,3,FALSE)="No"))))</f>
        <v>1</v>
      </c>
      <c r="J183" s="6" t="b">
        <f>IF(VLOOKUP(B183,'Profile selection'!B:C,2,FALSE)="Yes",TRUE,FALSE)</f>
        <v>1</v>
      </c>
    </row>
    <row r="184" spans="1:10" x14ac:dyDescent="0.25">
      <c r="A184" t="str">
        <f>'HIDDEN import'!B183</f>
        <v>TC_J_11_CS</v>
      </c>
      <c r="B184" t="str">
        <f>'HIDDEN import'!C183</f>
        <v>Core</v>
      </c>
      <c r="C184" t="str">
        <f>'HIDDEN import'!D183</f>
        <v>Sampled Meter Values - Signed</v>
      </c>
      <c r="D184" t="str">
        <f>IF(VLOOKUP(A184&amp;" "&amp;B184,'HIDDEN import'!A:G,5,FALSE)="M",MD!$A$1,(IF(AND(VLOOKUP(A184,'HIDDEN import'!B:E,4,FALSE)="C",OR(NOT(ISERROR(VLOOKUP(E184,'Optional features'!B:D,1,FALSE)=E184)),NOT(ISERROR(VLOOKUP(E184,'HIDDEN calc sheet'!A:C,1,FALSE)=E184)))),MD!$A$3,MD!$A$2)))</f>
        <v>Mandatory for optional feature</v>
      </c>
      <c r="E184" t="str">
        <f>IF('HIDDEN import'!F183=0,"",'HIDDEN import'!F183)</f>
        <v>C-42</v>
      </c>
      <c r="F184" t="str">
        <f>IF('HIDDEN import'!G183=0,"",'HIDDEN import'!G183)</f>
        <v>Supported MeterValue Measurands &amp; Signed Metervalues</v>
      </c>
      <c r="G184" s="95" t="str">
        <f>IFERROR(VLOOKUP($A184,'HIDDEN Testrun Results'!$A:$B,2,FALSE),"")</f>
        <v/>
      </c>
      <c r="H184" s="6" t="b">
        <f t="shared" si="2"/>
        <v>0</v>
      </c>
      <c r="I184" s="6" t="b">
        <f>IF(VLOOKUP(A184&amp;" "&amp;B184,'HIDDEN import'!A:G,5,FALSE)="M",TRUE,IFERROR(VLOOKUP(E184,'Optional features'!B:D,3,FALSE)="Yes",IFERROR(VLOOKUP(E184,'HIDDEN calc sheet'!A:B,2,FALSE),IFERROR(VLOOKUP(E184,'Additional questions'!B:D,3,FALSE)="Yes",VLOOKUP(E184,'Hardware Feature set'!B:D,3,FALSE)="No"))))</f>
        <v>0</v>
      </c>
      <c r="J184" s="6" t="b">
        <f>IF(VLOOKUP(B184,'Profile selection'!B:C,2,FALSE)="Yes",TRUE,FALSE)</f>
        <v>1</v>
      </c>
    </row>
    <row r="185" spans="1:10" x14ac:dyDescent="0.25">
      <c r="A185" t="str">
        <f>'HIDDEN import'!B184</f>
        <v>TC_K_38_CS</v>
      </c>
      <c r="B185" t="str">
        <f>'HIDDEN import'!C184</f>
        <v>Core</v>
      </c>
      <c r="C185" t="str">
        <f>'HIDDEN import'!D184</f>
        <v>Remote start transaction with charging profile - Ignore chargingProfile</v>
      </c>
      <c r="D185" t="str">
        <f>IF(VLOOKUP(A185&amp;" "&amp;B185,'HIDDEN import'!A:G,5,FALSE)="M",MD!$A$1,(IF(AND(VLOOKUP(A185,'HIDDEN import'!B:E,4,FALSE)="C",OR(NOT(ISERROR(VLOOKUP(E185,'Optional features'!B:D,1,FALSE)=E185)),NOT(ISERROR(VLOOKUP(E185,'HIDDEN calc sheet'!A:C,1,FALSE)=E185)))),MD!$A$3,MD!$A$2)))</f>
        <v>Mandatory for optional feature</v>
      </c>
      <c r="E185" t="str">
        <f>IF('HIDDEN import'!F184=0,"",'HIDDEN import'!F184)</f>
        <v>NOT Smart Charging</v>
      </c>
      <c r="F185" t="str">
        <f>IF('HIDDEN import'!G184=0,"",'HIDDEN import'!G184)</f>
        <v/>
      </c>
      <c r="G185" s="95" t="str">
        <f>IFERROR(VLOOKUP($A185,'HIDDEN Testrun Results'!$A:$B,2,FALSE),"")</f>
        <v/>
      </c>
      <c r="H185" s="6" t="b">
        <f t="shared" si="2"/>
        <v>1</v>
      </c>
      <c r="I185" s="6" t="b">
        <f>IF(VLOOKUP(A185&amp;" "&amp;B185,'HIDDEN import'!A:G,5,FALSE)="M",TRUE,IFERROR(VLOOKUP(E185,'Optional features'!B:D,3,FALSE)="Yes",IFERROR(VLOOKUP(E185,'HIDDEN calc sheet'!A:B,2,FALSE),IFERROR(VLOOKUP(E185,'Additional questions'!B:D,3,FALSE)="Yes",VLOOKUP(E185,'Hardware Feature set'!B:D,3,FALSE)="No"))))</f>
        <v>1</v>
      </c>
      <c r="J185" s="6" t="b">
        <f>IF(VLOOKUP(B185,'Profile selection'!B:C,2,FALSE)="Yes",TRUE,FALSE)</f>
        <v>1</v>
      </c>
    </row>
    <row r="186" spans="1:10" x14ac:dyDescent="0.25">
      <c r="A186" t="str">
        <f>'HIDDEN import'!B185</f>
        <v>TC_L_01_CS</v>
      </c>
      <c r="B186" t="str">
        <f>'HIDDEN import'!C185</f>
        <v>Core</v>
      </c>
      <c r="C186" t="str">
        <f>'HIDDEN import'!D185</f>
        <v>Secure Firmware Update - Installation successful</v>
      </c>
      <c r="D186" t="str">
        <f>IF(VLOOKUP(A186&amp;" "&amp;B186,'HIDDEN import'!A:G,5,FALSE)="M",MD!$A$1,(IF(AND(VLOOKUP(A186,'HIDDEN import'!B:E,4,FALSE)="C",OR(NOT(ISERROR(VLOOKUP(E186,'Optional features'!B:D,1,FALSE)=E186)),NOT(ISERROR(VLOOKUP(E186,'HIDDEN calc sheet'!A:C,1,FALSE)=E186)))),MD!$A$3,MD!$A$2)))</f>
        <v>Mandatory test for a mandatory feature</v>
      </c>
      <c r="E186" t="str">
        <f>IF('HIDDEN import'!F185=0,"",'HIDDEN import'!F185)</f>
        <v/>
      </c>
      <c r="F186" t="str">
        <f>IF('HIDDEN import'!G185=0,"",'HIDDEN import'!G185)</f>
        <v/>
      </c>
      <c r="G186" s="95" t="str">
        <f>IFERROR(VLOOKUP($A186,'HIDDEN Testrun Results'!$A:$B,2,FALSE),"")</f>
        <v/>
      </c>
      <c r="H186" s="6" t="b">
        <f t="shared" si="2"/>
        <v>1</v>
      </c>
      <c r="I186" s="6" t="b">
        <f>IF(VLOOKUP(A186&amp;" "&amp;B186,'HIDDEN import'!A:G,5,FALSE)="M",TRUE,IFERROR(VLOOKUP(E186,'Optional features'!B:D,3,FALSE)="Yes",IFERROR(VLOOKUP(E186,'HIDDEN calc sheet'!A:B,2,FALSE),IFERROR(VLOOKUP(E186,'Additional questions'!B:D,3,FALSE)="Yes",VLOOKUP(E186,'Hardware Feature set'!B:D,3,FALSE)="No"))))</f>
        <v>1</v>
      </c>
      <c r="J186" s="6" t="b">
        <f>IF(VLOOKUP(B186,'Profile selection'!B:C,2,FALSE)="Yes",TRUE,FALSE)</f>
        <v>1</v>
      </c>
    </row>
    <row r="187" spans="1:10" x14ac:dyDescent="0.25">
      <c r="A187" t="str">
        <f>'HIDDEN import'!B186</f>
        <v>TC_L_02_CS</v>
      </c>
      <c r="B187" t="str">
        <f>'HIDDEN import'!C186</f>
        <v>Core</v>
      </c>
      <c r="C187" t="str">
        <f>'HIDDEN import'!D186</f>
        <v>Secure Firmware Update - InstallScheduled</v>
      </c>
      <c r="D187" t="str">
        <f>IF(VLOOKUP(A187&amp;" "&amp;B187,'HIDDEN import'!A:G,5,FALSE)="M",MD!$A$1,(IF(AND(VLOOKUP(A187,'HIDDEN import'!B:E,4,FALSE)="C",OR(NOT(ISERROR(VLOOKUP(E187,'Optional features'!B:D,1,FALSE)=E187)),NOT(ISERROR(VLOOKUP(E187,'HIDDEN calc sheet'!A:C,1,FALSE)=E187)))),MD!$A$3,MD!$A$2)))</f>
        <v>Mandatory test for a mandatory feature</v>
      </c>
      <c r="E187" t="str">
        <f>IF('HIDDEN import'!F186=0,"",'HIDDEN import'!F186)</f>
        <v>C-15</v>
      </c>
      <c r="F187" t="str">
        <f>IF('HIDDEN import'!G186=0,"",'HIDDEN import'!G186)</f>
        <v>Scheduled firmware updates</v>
      </c>
      <c r="G187" s="95" t="str">
        <f>IFERROR(VLOOKUP($A187,'HIDDEN Testrun Results'!$A:$B,2,FALSE),"")</f>
        <v/>
      </c>
      <c r="H187" s="6" t="b">
        <f t="shared" si="2"/>
        <v>1</v>
      </c>
      <c r="I187" s="6" t="b">
        <f>IF(VLOOKUP(A187&amp;" "&amp;B187,'HIDDEN import'!A:G,5,FALSE)="M",TRUE,IFERROR(VLOOKUP(E187,'Optional features'!B:D,3,FALSE)="Yes",IFERROR(VLOOKUP(E187,'HIDDEN calc sheet'!A:B,2,FALSE),IFERROR(VLOOKUP(E187,'Additional questions'!B:D,3,FALSE)="Yes",VLOOKUP(E187,'Hardware Feature set'!B:D,3,FALSE)="No"))))</f>
        <v>1</v>
      </c>
      <c r="J187" s="6" t="b">
        <f>IF(VLOOKUP(B187,'Profile selection'!B:C,2,FALSE)="Yes",TRUE,FALSE)</f>
        <v>1</v>
      </c>
    </row>
    <row r="188" spans="1:10" x14ac:dyDescent="0.25">
      <c r="A188" t="str">
        <f>'HIDDEN import'!B187</f>
        <v>TC_L_03_CS</v>
      </c>
      <c r="B188" t="str">
        <f>'HIDDEN import'!C187</f>
        <v>Core</v>
      </c>
      <c r="C188" t="str">
        <f>'HIDDEN import'!D187</f>
        <v>Secure Firmware Update - DownloadScheduled</v>
      </c>
      <c r="D188" t="str">
        <f>IF(VLOOKUP(A188&amp;" "&amp;B188,'HIDDEN import'!A:G,5,FALSE)="M",MD!$A$1,(IF(AND(VLOOKUP(A188,'HIDDEN import'!B:E,4,FALSE)="C",OR(NOT(ISERROR(VLOOKUP(E188,'Optional features'!B:D,1,FALSE)=E188)),NOT(ISERROR(VLOOKUP(E188,'HIDDEN calc sheet'!A:C,1,FALSE)=E188)))),MD!$A$3,MD!$A$2)))</f>
        <v>Mandatory test for a mandatory feature</v>
      </c>
      <c r="E188" t="str">
        <f>IF('HIDDEN import'!F187=0,"",'HIDDEN import'!F187)</f>
        <v>C-15</v>
      </c>
      <c r="F188" t="str">
        <f>IF('HIDDEN import'!G187=0,"",'HIDDEN import'!G187)</f>
        <v>Scheduled firmware updates</v>
      </c>
      <c r="G188" s="95" t="str">
        <f>IFERROR(VLOOKUP($A188,'HIDDEN Testrun Results'!$A:$B,2,FALSE),"")</f>
        <v/>
      </c>
      <c r="H188" s="6" t="b">
        <f t="shared" si="2"/>
        <v>1</v>
      </c>
      <c r="I188" s="6" t="b">
        <f>IF(VLOOKUP(A188&amp;" "&amp;B188,'HIDDEN import'!A:G,5,FALSE)="M",TRUE,IFERROR(VLOOKUP(E188,'Optional features'!B:D,3,FALSE)="Yes",IFERROR(VLOOKUP(E188,'HIDDEN calc sheet'!A:B,2,FALSE),IFERROR(VLOOKUP(E188,'Additional questions'!B:D,3,FALSE)="Yes",VLOOKUP(E188,'Hardware Feature set'!B:D,3,FALSE)="No"))))</f>
        <v>1</v>
      </c>
      <c r="J188" s="6" t="b">
        <f>IF(VLOOKUP(B188,'Profile selection'!B:C,2,FALSE)="Yes",TRUE,FALSE)</f>
        <v>1</v>
      </c>
    </row>
    <row r="189" spans="1:10" x14ac:dyDescent="0.25">
      <c r="A189" t="str">
        <f>'HIDDEN import'!B188</f>
        <v>TC_L_05_CS</v>
      </c>
      <c r="B189" t="str">
        <f>'HIDDEN import'!C188</f>
        <v>Core</v>
      </c>
      <c r="C189" t="str">
        <f>'HIDDEN import'!D188</f>
        <v>Secure Firmware Update - InvalidCertificate</v>
      </c>
      <c r="D189" t="str">
        <f>IF(VLOOKUP(A189&amp;" "&amp;B189,'HIDDEN import'!A:G,5,FALSE)="M",MD!$A$1,(IF(AND(VLOOKUP(A189,'HIDDEN import'!B:E,4,FALSE)="C",OR(NOT(ISERROR(VLOOKUP(E189,'Optional features'!B:D,1,FALSE)=E189)),NOT(ISERROR(VLOOKUP(E189,'HIDDEN calc sheet'!A:C,1,FALSE)=E189)))),MD!$A$3,MD!$A$2)))</f>
        <v>Mandatory test for a mandatory feature</v>
      </c>
      <c r="E189" t="str">
        <f>IF('HIDDEN import'!F188=0,"",'HIDDEN import'!F188)</f>
        <v/>
      </c>
      <c r="F189" t="str">
        <f>IF('HIDDEN import'!G188=0,"",'HIDDEN import'!G188)</f>
        <v/>
      </c>
      <c r="G189" s="95" t="str">
        <f>IFERROR(VLOOKUP($A189,'HIDDEN Testrun Results'!$A:$B,2,FALSE),"")</f>
        <v/>
      </c>
      <c r="H189" s="6" t="b">
        <f t="shared" si="2"/>
        <v>1</v>
      </c>
      <c r="I189" s="6" t="b">
        <f>IF(VLOOKUP(A189&amp;" "&amp;B189,'HIDDEN import'!A:G,5,FALSE)="M",TRUE,IFERROR(VLOOKUP(E189,'Optional features'!B:D,3,FALSE)="Yes",IFERROR(VLOOKUP(E189,'HIDDEN calc sheet'!A:B,2,FALSE),IFERROR(VLOOKUP(E189,'Additional questions'!B:D,3,FALSE)="Yes",VLOOKUP(E189,'Hardware Feature set'!B:D,3,FALSE)="No"))))</f>
        <v>1</v>
      </c>
      <c r="J189" s="6" t="b">
        <f>IF(VLOOKUP(B189,'Profile selection'!B:C,2,FALSE)="Yes",TRUE,FALSE)</f>
        <v>1</v>
      </c>
    </row>
    <row r="190" spans="1:10" x14ac:dyDescent="0.25">
      <c r="A190" t="str">
        <f>'HIDDEN import'!B189</f>
        <v>TC_L_06_CS</v>
      </c>
      <c r="B190" t="str">
        <f>'HIDDEN import'!C189</f>
        <v>Core</v>
      </c>
      <c r="C190" t="str">
        <f>'HIDDEN import'!D189</f>
        <v>Secure Firmware Update - InvalidSignature</v>
      </c>
      <c r="D190" t="str">
        <f>IF(VLOOKUP(A190&amp;" "&amp;B190,'HIDDEN import'!A:G,5,FALSE)="M",MD!$A$1,(IF(AND(VLOOKUP(A190,'HIDDEN import'!B:E,4,FALSE)="C",OR(NOT(ISERROR(VLOOKUP(E190,'Optional features'!B:D,1,FALSE)=E190)),NOT(ISERROR(VLOOKUP(E190,'HIDDEN calc sheet'!A:C,1,FALSE)=E190)))),MD!$A$3,MD!$A$2)))</f>
        <v>Mandatory test for a mandatory feature</v>
      </c>
      <c r="E190" t="str">
        <f>IF('HIDDEN import'!F189=0,"",'HIDDEN import'!F189)</f>
        <v/>
      </c>
      <c r="F190" t="str">
        <f>IF('HIDDEN import'!G189=0,"",'HIDDEN import'!G189)</f>
        <v/>
      </c>
      <c r="G190" s="95" t="str">
        <f>IFERROR(VLOOKUP($A190,'HIDDEN Testrun Results'!$A:$B,2,FALSE),"")</f>
        <v/>
      </c>
      <c r="H190" s="6" t="b">
        <f t="shared" si="2"/>
        <v>1</v>
      </c>
      <c r="I190" s="6" t="b">
        <f>IF(VLOOKUP(A190&amp;" "&amp;B190,'HIDDEN import'!A:G,5,FALSE)="M",TRUE,IFERROR(VLOOKUP(E190,'Optional features'!B:D,3,FALSE)="Yes",IFERROR(VLOOKUP(E190,'HIDDEN calc sheet'!A:B,2,FALSE),IFERROR(VLOOKUP(E190,'Additional questions'!B:D,3,FALSE)="Yes",VLOOKUP(E190,'Hardware Feature set'!B:D,3,FALSE)="No"))))</f>
        <v>1</v>
      </c>
      <c r="J190" s="6" t="b">
        <f>IF(VLOOKUP(B190,'Profile selection'!B:C,2,FALSE)="Yes",TRUE,FALSE)</f>
        <v>1</v>
      </c>
    </row>
    <row r="191" spans="1:10" x14ac:dyDescent="0.25">
      <c r="A191" t="str">
        <f>'HIDDEN import'!B190</f>
        <v>TC_L_07_CS</v>
      </c>
      <c r="B191" t="str">
        <f>'HIDDEN import'!C190</f>
        <v>Core</v>
      </c>
      <c r="C191" t="str">
        <f>'HIDDEN import'!D190</f>
        <v>Secure Firmware Update - DownloadFailed</v>
      </c>
      <c r="D191" t="str">
        <f>IF(VLOOKUP(A191&amp;" "&amp;B191,'HIDDEN import'!A:G,5,FALSE)="M",MD!$A$1,(IF(AND(VLOOKUP(A191,'HIDDEN import'!B:E,4,FALSE)="C",OR(NOT(ISERROR(VLOOKUP(E191,'Optional features'!B:D,1,FALSE)=E191)),NOT(ISERROR(VLOOKUP(E191,'HIDDEN calc sheet'!A:C,1,FALSE)=E191)))),MD!$A$3,MD!$A$2)))</f>
        <v>Mandatory test for a mandatory feature</v>
      </c>
      <c r="E191" t="str">
        <f>IF('HIDDEN import'!F190=0,"",'HIDDEN import'!F190)</f>
        <v/>
      </c>
      <c r="F191" t="str">
        <f>IF('HIDDEN import'!G190=0,"",'HIDDEN import'!G190)</f>
        <v/>
      </c>
      <c r="G191" s="95" t="str">
        <f>IFERROR(VLOOKUP($A191,'HIDDEN Testrun Results'!$A:$B,2,FALSE),"")</f>
        <v/>
      </c>
      <c r="H191" s="6" t="b">
        <f t="shared" si="2"/>
        <v>1</v>
      </c>
      <c r="I191" s="6" t="b">
        <f>IF(VLOOKUP(A191&amp;" "&amp;B191,'HIDDEN import'!A:G,5,FALSE)="M",TRUE,IFERROR(VLOOKUP(E191,'Optional features'!B:D,3,FALSE)="Yes",IFERROR(VLOOKUP(E191,'HIDDEN calc sheet'!A:B,2,FALSE),IFERROR(VLOOKUP(E191,'Additional questions'!B:D,3,FALSE)="Yes",VLOOKUP(E191,'Hardware Feature set'!B:D,3,FALSE)="No"))))</f>
        <v>1</v>
      </c>
      <c r="J191" s="6" t="b">
        <f>IF(VLOOKUP(B191,'Profile selection'!B:C,2,FALSE)="Yes",TRUE,FALSE)</f>
        <v>1</v>
      </c>
    </row>
    <row r="192" spans="1:10" x14ac:dyDescent="0.25">
      <c r="A192" t="str">
        <f>'HIDDEN import'!B191</f>
        <v>TC_L_08_CS</v>
      </c>
      <c r="B192" t="str">
        <f>'HIDDEN import'!C191</f>
        <v>Core</v>
      </c>
      <c r="C192" t="str">
        <f>'HIDDEN import'!D191</f>
        <v>Secure Firmware Update - InstallVerificationFailed or InstallationFailed</v>
      </c>
      <c r="D192" t="str">
        <f>IF(VLOOKUP(A192&amp;" "&amp;B192,'HIDDEN import'!A:G,5,FALSE)="M",MD!$A$1,(IF(AND(VLOOKUP(A192,'HIDDEN import'!B:E,4,FALSE)="C",OR(NOT(ISERROR(VLOOKUP(E192,'Optional features'!B:D,1,FALSE)=E192)),NOT(ISERROR(VLOOKUP(E192,'HIDDEN calc sheet'!A:C,1,FALSE)=E192)))),MD!$A$3,MD!$A$2)))</f>
        <v>Mandatory test for a mandatory feature</v>
      </c>
      <c r="E192" t="str">
        <f>IF('HIDDEN import'!F191=0,"",'HIDDEN import'!F191)</f>
        <v/>
      </c>
      <c r="F192" t="str">
        <f>IF('HIDDEN import'!G191=0,"",'HIDDEN import'!G191)</f>
        <v/>
      </c>
      <c r="G192" s="95" t="str">
        <f>IFERROR(VLOOKUP($A192,'HIDDEN Testrun Results'!$A:$B,2,FALSE),"")</f>
        <v/>
      </c>
      <c r="H192" s="6" t="b">
        <f t="shared" si="2"/>
        <v>1</v>
      </c>
      <c r="I192" s="6" t="b">
        <f>IF(VLOOKUP(A192&amp;" "&amp;B192,'HIDDEN import'!A:G,5,FALSE)="M",TRUE,IFERROR(VLOOKUP(E192,'Optional features'!B:D,3,FALSE)="Yes",IFERROR(VLOOKUP(E192,'HIDDEN calc sheet'!A:B,2,FALSE),IFERROR(VLOOKUP(E192,'Additional questions'!B:D,3,FALSE)="Yes",VLOOKUP(E192,'Hardware Feature set'!B:D,3,FALSE)="No"))))</f>
        <v>1</v>
      </c>
      <c r="J192" s="6" t="b">
        <f>IF(VLOOKUP(B192,'Profile selection'!B:C,2,FALSE)="Yes",TRUE,FALSE)</f>
        <v>1</v>
      </c>
    </row>
    <row r="193" spans="1:10" x14ac:dyDescent="0.25">
      <c r="A193" t="str">
        <f>'HIDDEN import'!B192</f>
        <v>TC_L_10_CS</v>
      </c>
      <c r="B193" t="str">
        <f>'HIDDEN import'!C192</f>
        <v>Core</v>
      </c>
      <c r="C193" t="str">
        <f>'HIDDEN import'!D192</f>
        <v>Secure Firmware Update - AcceptedCanceled</v>
      </c>
      <c r="D193" t="str">
        <f>IF(VLOOKUP(A193&amp;" "&amp;B193,'HIDDEN import'!A:G,5,FALSE)="M",MD!$A$1,(IF(AND(VLOOKUP(A193,'HIDDEN import'!B:E,4,FALSE)="C",OR(NOT(ISERROR(VLOOKUP(E193,'Optional features'!B:D,1,FALSE)=E193)),NOT(ISERROR(VLOOKUP(E193,'HIDDEN calc sheet'!A:C,1,FALSE)=E193)))),MD!$A$3,MD!$A$2)))</f>
        <v>Mandatory for optional feature</v>
      </c>
      <c r="E193" t="str">
        <f>IF('HIDDEN import'!F192=0,"",'HIDDEN import'!F192)</f>
        <v>C-60</v>
      </c>
      <c r="F193" t="str">
        <f>IF('HIDDEN import'!G192=0,"",'HIDDEN import'!G192)</f>
        <v/>
      </c>
      <c r="G193" s="95" t="str">
        <f>IFERROR(VLOOKUP($A193,'HIDDEN Testrun Results'!$A:$B,2,FALSE),"")</f>
        <v/>
      </c>
      <c r="H193" s="6" t="b">
        <f t="shared" si="2"/>
        <v>0</v>
      </c>
      <c r="I193" s="6" t="b">
        <f>IF(VLOOKUP(A193&amp;" "&amp;B193,'HIDDEN import'!A:G,5,FALSE)="M",TRUE,IFERROR(VLOOKUP(E193,'Optional features'!B:D,3,FALSE)="Yes",IFERROR(VLOOKUP(E193,'HIDDEN calc sheet'!A:B,2,FALSE),IFERROR(VLOOKUP(E193,'Additional questions'!B:D,3,FALSE)="Yes",VLOOKUP(E193,'Hardware Feature set'!B:D,3,FALSE)="No"))))</f>
        <v>0</v>
      </c>
      <c r="J193" s="6" t="b">
        <f>IF(VLOOKUP(B193,'Profile selection'!B:C,2,FALSE)="Yes",TRUE,FALSE)</f>
        <v>1</v>
      </c>
    </row>
    <row r="194" spans="1:10" x14ac:dyDescent="0.25">
      <c r="A194" t="str">
        <f>'HIDDEN import'!B193</f>
        <v>TC_L_11_CS</v>
      </c>
      <c r="B194" t="str">
        <f>'HIDDEN import'!C193</f>
        <v>Core</v>
      </c>
      <c r="C194" t="str">
        <f>'HIDDEN import'!D193</f>
        <v>Secure Firmware Update - Unable to cancel</v>
      </c>
      <c r="D194" t="str">
        <f>IF(VLOOKUP(A194&amp;" "&amp;B194,'HIDDEN import'!A:G,5,FALSE)="M",MD!$A$1,(IF(AND(VLOOKUP(A194,'HIDDEN import'!B:E,4,FALSE)="C",OR(NOT(ISERROR(VLOOKUP(E194,'Optional features'!B:D,1,FALSE)=E194)),NOT(ISERROR(VLOOKUP(E194,'HIDDEN calc sheet'!A:C,1,FALSE)=E194)))),MD!$A$3,MD!$A$2)))</f>
        <v>Mandatory for optional feature</v>
      </c>
      <c r="E194" t="str">
        <f>IF('HIDDEN import'!F193=0,"",'HIDDEN import'!F193)</f>
        <v>NOT C-60</v>
      </c>
      <c r="F194" t="str">
        <f>IF('HIDDEN import'!G193=0,"",'HIDDEN import'!G193)</f>
        <v/>
      </c>
      <c r="G194" s="95" t="str">
        <f>IFERROR(VLOOKUP($A194,'HIDDEN Testrun Results'!$A:$B,2,FALSE),"")</f>
        <v/>
      </c>
      <c r="H194" s="6" t="b">
        <f t="shared" si="2"/>
        <v>1</v>
      </c>
      <c r="I194" s="6" t="b">
        <f>IF(VLOOKUP(A194&amp;" "&amp;B194,'HIDDEN import'!A:G,5,FALSE)="M",TRUE,IFERROR(VLOOKUP(E194,'Optional features'!B:D,3,FALSE)="Yes",IFERROR(VLOOKUP(E194,'HIDDEN calc sheet'!A:B,2,FALSE),IFERROR(VLOOKUP(E194,'Additional questions'!B:D,3,FALSE)="Yes",VLOOKUP(E194,'Hardware Feature set'!B:D,3,FALSE)="No"))))</f>
        <v>1</v>
      </c>
      <c r="J194" s="6" t="b">
        <f>IF(VLOOKUP(B194,'Profile selection'!B:C,2,FALSE)="Yes",TRUE,FALSE)</f>
        <v>1</v>
      </c>
    </row>
    <row r="195" spans="1:10" x14ac:dyDescent="0.25">
      <c r="A195" t="str">
        <f>'HIDDEN import'!B194</f>
        <v>TC_L_18_CS</v>
      </c>
      <c r="B195" t="str">
        <f>'HIDDEN import'!C194</f>
        <v>Core</v>
      </c>
      <c r="C195" t="str">
        <f>'HIDDEN import'!D194</f>
        <v>Secure Firmware Update - Missing firmware signing certificate and signature</v>
      </c>
      <c r="D195" t="str">
        <f>IF(VLOOKUP(A195&amp;" "&amp;B195,'HIDDEN import'!A:G,5,FALSE)="M",MD!$A$1,(IF(AND(VLOOKUP(A195,'HIDDEN import'!B:E,4,FALSE)="C",OR(NOT(ISERROR(VLOOKUP(E195,'Optional features'!B:D,1,FALSE)=E195)),NOT(ISERROR(VLOOKUP(E195,'HIDDEN calc sheet'!A:C,1,FALSE)=E195)))),MD!$A$3,MD!$A$2)))</f>
        <v>Mandatory test for a mandatory feature</v>
      </c>
      <c r="E195" t="str">
        <f>IF('HIDDEN import'!F194=0,"",'HIDDEN import'!F194)</f>
        <v/>
      </c>
      <c r="F195" t="str">
        <f>IF('HIDDEN import'!G194=0,"",'HIDDEN import'!G194)</f>
        <v/>
      </c>
      <c r="G195" s="95" t="str">
        <f>IFERROR(VLOOKUP($A195,'HIDDEN Testrun Results'!$A:$B,2,FALSE),"")</f>
        <v/>
      </c>
      <c r="H195" s="6" t="b">
        <f t="shared" si="2"/>
        <v>1</v>
      </c>
      <c r="I195" s="6" t="b">
        <f>IF(VLOOKUP(A195&amp;" "&amp;B195,'HIDDEN import'!A:G,5,FALSE)="M",TRUE,IFERROR(VLOOKUP(E195,'Optional features'!B:D,3,FALSE)="Yes",IFERROR(VLOOKUP(E195,'HIDDEN calc sheet'!A:B,2,FALSE),IFERROR(VLOOKUP(E195,'Additional questions'!B:D,3,FALSE)="Yes",VLOOKUP(E195,'Hardware Feature set'!B:D,3,FALSE)="No"))))</f>
        <v>1</v>
      </c>
      <c r="J195" s="6" t="b">
        <f>IF(VLOOKUP(B195,'Profile selection'!B:C,2,FALSE)="Yes",TRUE,FALSE)</f>
        <v>1</v>
      </c>
    </row>
    <row r="196" spans="1:10" x14ac:dyDescent="0.25">
      <c r="A196" t="str">
        <f>'HIDDEN import'!B195</f>
        <v>TC_L_12_CS</v>
      </c>
      <c r="B196" t="str">
        <f>'HIDDEN import'!C195</f>
        <v>Core</v>
      </c>
      <c r="C196" t="str">
        <f>'HIDDEN import'!D195</f>
        <v>Secure Firmware Update - Unable to download/install firmware with ongoing transaction - AllowNewSessionsPendingFirmwareUpdate is true</v>
      </c>
      <c r="D196" t="str">
        <f>IF(VLOOKUP(A196&amp;" "&amp;B196,'HIDDEN import'!A:G,5,FALSE)="M",MD!$A$1,(IF(AND(VLOOKUP(A196,'HIDDEN import'!B:E,4,FALSE)="C",OR(NOT(ISERROR(VLOOKUP(E196,'Optional features'!B:D,1,FALSE)=E196)),NOT(ISERROR(VLOOKUP(E196,'HIDDEN calc sheet'!A:C,1,FALSE)=E196)))),MD!$A$3,MD!$A$2)))</f>
        <v>Mandatory for optional feature</v>
      </c>
      <c r="E196" t="str">
        <f>IF('HIDDEN import'!F195=0,"",'HIDDEN import'!F195)</f>
        <v>C-20 and NOT C-43 and NOT AQ-7 and HFS-8 &gt; 1</v>
      </c>
      <c r="F196" t="str">
        <f>IF('HIDDEN import'!G195=0,"",'HIDDEN import'!G195)</f>
        <v>AllowNewSessionsPendingFirmwareUpdate</v>
      </c>
      <c r="G196" s="95" t="str">
        <f>IFERROR(VLOOKUP($A196,'HIDDEN Testrun Results'!$A:$B,2,FALSE),"")</f>
        <v/>
      </c>
      <c r="H196" s="6" t="b">
        <f t="shared" ref="H196:H259" si="3">IF(NOT(J196),FALSE,IF(NOT(ISLOGICAL(I196)),I196,AND(I196,J196)))</f>
        <v>0</v>
      </c>
      <c r="I196" s="6" t="b">
        <f>IF(VLOOKUP(A196&amp;" "&amp;B196,'HIDDEN import'!A:G,5,FALSE)="M",TRUE,IFERROR(VLOOKUP(E196,'Optional features'!B:D,3,FALSE)="Yes",IFERROR(VLOOKUP(E196,'HIDDEN calc sheet'!A:B,2,FALSE),IFERROR(VLOOKUP(E196,'Additional questions'!B:D,3,FALSE)="Yes",VLOOKUP(E196,'Hardware Feature set'!B:D,3,FALSE)="No"))))</f>
        <v>0</v>
      </c>
      <c r="J196" s="6" t="b">
        <f>IF(VLOOKUP(B196,'Profile selection'!B:C,2,FALSE)="Yes",TRUE,FALSE)</f>
        <v>1</v>
      </c>
    </row>
    <row r="197" spans="1:10" x14ac:dyDescent="0.25">
      <c r="A197" t="str">
        <f>'HIDDEN import'!B196</f>
        <v>TC_L_13_CS</v>
      </c>
      <c r="B197" t="str">
        <f>'HIDDEN import'!C196</f>
        <v>Core</v>
      </c>
      <c r="C197" t="str">
        <f>'HIDDEN import'!D196</f>
        <v>Secure Firmware Update - Unable to download/install firmware with ongoing transaction - AllowNewSessionsPendingFirmwareUpdate is false</v>
      </c>
      <c r="D197" t="str">
        <f>IF(VLOOKUP(A197&amp;" "&amp;B197,'HIDDEN import'!A:G,5,FALSE)="M",MD!$A$1,(IF(AND(VLOOKUP(A197,'HIDDEN import'!B:E,4,FALSE)="C",OR(NOT(ISERROR(VLOOKUP(E197,'Optional features'!B:D,1,FALSE)=E197)),NOT(ISERROR(VLOOKUP(E197,'HIDDEN calc sheet'!A:C,1,FALSE)=E197)))),MD!$A$3,MD!$A$2)))</f>
        <v>Mandatory for optional feature</v>
      </c>
      <c r="E197" t="str">
        <f>IF('HIDDEN import'!F196=0,"",'HIDDEN import'!F196)</f>
        <v>NOT C-43 and NOT AQ-7</v>
      </c>
      <c r="F197" t="str">
        <f>IF('HIDDEN import'!G196=0,"",'HIDDEN import'!G196)</f>
        <v/>
      </c>
      <c r="G197" s="95" t="str">
        <f>IFERROR(VLOOKUP($A197,'HIDDEN Testrun Results'!$A:$B,2,FALSE),"")</f>
        <v/>
      </c>
      <c r="H197" s="6" t="b">
        <f t="shared" si="3"/>
        <v>1</v>
      </c>
      <c r="I197" s="6" t="b">
        <f>IF(VLOOKUP(A197&amp;" "&amp;B197,'HIDDEN import'!A:G,5,FALSE)="M",TRUE,IFERROR(VLOOKUP(E197,'Optional features'!B:D,3,FALSE)="Yes",IFERROR(VLOOKUP(E197,'HIDDEN calc sheet'!A:B,2,FALSE),IFERROR(VLOOKUP(E197,'Additional questions'!B:D,3,FALSE)="Yes",VLOOKUP(E197,'Hardware Feature set'!B:D,3,FALSE)="No"))))</f>
        <v>1</v>
      </c>
      <c r="J197" s="6" t="b">
        <f>IF(VLOOKUP(B197,'Profile selection'!B:C,2,FALSE)="Yes",TRUE,FALSE)</f>
        <v>1</v>
      </c>
    </row>
    <row r="198" spans="1:10" x14ac:dyDescent="0.25">
      <c r="A198" t="str">
        <f>'HIDDEN import'!B197</f>
        <v>TC_L_14_CS</v>
      </c>
      <c r="B198" t="str">
        <f>'HIDDEN import'!C197</f>
        <v>Core</v>
      </c>
      <c r="C198" t="str">
        <f>'HIDDEN import'!D197</f>
        <v>Secure Firmware Update - Unable to install and activate firmware with ongoing transaction - AllowNewSessionsPendingFirmwareUpdate is true</v>
      </c>
      <c r="D198" t="str">
        <f>IF(VLOOKUP(A198&amp;" "&amp;B198,'HIDDEN import'!A:G,5,FALSE)="M",MD!$A$1,(IF(AND(VLOOKUP(A198,'HIDDEN import'!B:E,4,FALSE)="C",OR(NOT(ISERROR(VLOOKUP(E198,'Optional features'!B:D,1,FALSE)=E198)),NOT(ISERROR(VLOOKUP(E198,'HIDDEN calc sheet'!A:C,1,FALSE)=E198)))),MD!$A$3,MD!$A$2)))</f>
        <v>Mandatory for optional feature</v>
      </c>
      <c r="E198" t="str">
        <f>IF('HIDDEN import'!F197=0,"",'HIDDEN import'!F197)</f>
        <v>C-20 and NOT C-43 and AQ-7 and HFS-8 &gt; 1</v>
      </c>
      <c r="F198" t="str">
        <f>IF('HIDDEN import'!G197=0,"",'HIDDEN import'!G197)</f>
        <v>AllowNewSessionsPendingFirmwareUpdate</v>
      </c>
      <c r="G198" s="95" t="str">
        <f>IFERROR(VLOOKUP($A198,'HIDDEN Testrun Results'!$A:$B,2,FALSE),"")</f>
        <v/>
      </c>
      <c r="H198" s="6" t="b">
        <f t="shared" si="3"/>
        <v>0</v>
      </c>
      <c r="I198" s="6" t="b">
        <f>IF(VLOOKUP(A198&amp;" "&amp;B198,'HIDDEN import'!A:G,5,FALSE)="M",TRUE,IFERROR(VLOOKUP(E198,'Optional features'!B:D,3,FALSE)="Yes",IFERROR(VLOOKUP(E198,'HIDDEN calc sheet'!A:B,2,FALSE),IFERROR(VLOOKUP(E198,'Additional questions'!B:D,3,FALSE)="Yes",VLOOKUP(E198,'Hardware Feature set'!B:D,3,FALSE)="No"))))</f>
        <v>0</v>
      </c>
      <c r="J198" s="6" t="b">
        <f>IF(VLOOKUP(B198,'Profile selection'!B:C,2,FALSE)="Yes",TRUE,FALSE)</f>
        <v>1</v>
      </c>
    </row>
    <row r="199" spans="1:10" x14ac:dyDescent="0.25">
      <c r="A199" t="str">
        <f>'HIDDEN import'!B198</f>
        <v>TC_L_15_CS</v>
      </c>
      <c r="B199" t="str">
        <f>'HIDDEN import'!C198</f>
        <v>Core</v>
      </c>
      <c r="C199" t="str">
        <f>'HIDDEN import'!D198</f>
        <v>Secure Firmware Update - Unable to install firmware with ongoing transaction - AllowNewSessionsPendingFirmwareUpdate is false</v>
      </c>
      <c r="D199" t="str">
        <f>IF(VLOOKUP(A199&amp;" "&amp;B199,'HIDDEN import'!A:G,5,FALSE)="M",MD!$A$1,(IF(AND(VLOOKUP(A199,'HIDDEN import'!B:E,4,FALSE)="C",OR(NOT(ISERROR(VLOOKUP(E199,'Optional features'!B:D,1,FALSE)=E199)),NOT(ISERROR(VLOOKUP(E199,'HIDDEN calc sheet'!A:C,1,FALSE)=E199)))),MD!$A$3,MD!$A$2)))</f>
        <v>Mandatory for optional feature</v>
      </c>
      <c r="E199" t="str">
        <f>IF('HIDDEN import'!F198=0,"",'HIDDEN import'!F198)</f>
        <v>NOT C-43 and AQ-7</v>
      </c>
      <c r="F199" t="str">
        <f>IF('HIDDEN import'!G198=0,"",'HIDDEN import'!G198)</f>
        <v/>
      </c>
      <c r="G199" s="95" t="str">
        <f>IFERROR(VLOOKUP($A199,'HIDDEN Testrun Results'!$A:$B,2,FALSE),"")</f>
        <v/>
      </c>
      <c r="H199" s="6" t="b">
        <f t="shared" si="3"/>
        <v>0</v>
      </c>
      <c r="I199" s="6" t="b">
        <f>IF(VLOOKUP(A199&amp;" "&amp;B199,'HIDDEN import'!A:G,5,FALSE)="M",TRUE,IFERROR(VLOOKUP(E199,'Optional features'!B:D,3,FALSE)="Yes",IFERROR(VLOOKUP(E199,'HIDDEN calc sheet'!A:B,2,FALSE),IFERROR(VLOOKUP(E199,'Additional questions'!B:D,3,FALSE)="Yes",VLOOKUP(E199,'Hardware Feature set'!B:D,3,FALSE)="No"))))</f>
        <v>0</v>
      </c>
      <c r="J199" s="6" t="b">
        <f>IF(VLOOKUP(B199,'Profile selection'!B:C,2,FALSE)="Yes",TRUE,FALSE)</f>
        <v>1</v>
      </c>
    </row>
    <row r="200" spans="1:10" x14ac:dyDescent="0.25">
      <c r="A200" t="str">
        <f>'HIDDEN import'!B199</f>
        <v>TC_L_16_CS</v>
      </c>
      <c r="B200" t="str">
        <f>'HIDDEN import'!C199</f>
        <v>Core</v>
      </c>
      <c r="C200" t="str">
        <f>'HIDDEN import'!D199</f>
        <v>Secure Firmware Update - Able to update firmware with ongoing transaction</v>
      </c>
      <c r="D200" t="str">
        <f>IF(VLOOKUP(A200&amp;" "&amp;B200,'HIDDEN import'!A:G,5,FALSE)="M",MD!$A$1,(IF(AND(VLOOKUP(A200,'HIDDEN import'!B:E,4,FALSE)="C",OR(NOT(ISERROR(VLOOKUP(E200,'Optional features'!B:D,1,FALSE)=E200)),NOT(ISERROR(VLOOKUP(E200,'HIDDEN calc sheet'!A:C,1,FALSE)=E200)))),MD!$A$3,MD!$A$2)))</f>
        <v>Mandatory for optional feature</v>
      </c>
      <c r="E200" t="str">
        <f>IF('HIDDEN import'!F199=0,"",'HIDDEN import'!F199)</f>
        <v>C-43</v>
      </c>
      <c r="F200" t="str">
        <f>IF('HIDDEN import'!G199=0,"",'HIDDEN import'!G199)</f>
        <v>Install Firmware with ongoing transaction(s)</v>
      </c>
      <c r="G200" s="95" t="str">
        <f>IFERROR(VLOOKUP($A200,'HIDDEN Testrun Results'!$A:$B,2,FALSE),"")</f>
        <v/>
      </c>
      <c r="H200" s="6" t="b">
        <f t="shared" si="3"/>
        <v>0</v>
      </c>
      <c r="I200" s="6" t="b">
        <f>IF(VLOOKUP(A200&amp;" "&amp;B200,'HIDDEN import'!A:G,5,FALSE)="M",TRUE,IFERROR(VLOOKUP(E200,'Optional features'!B:D,3,FALSE)="Yes",IFERROR(VLOOKUP(E200,'HIDDEN calc sheet'!A:B,2,FALSE),IFERROR(VLOOKUP(E200,'Additional questions'!B:D,3,FALSE)="Yes",VLOOKUP(E200,'Hardware Feature set'!B:D,3,FALSE)="No"))))</f>
        <v>0</v>
      </c>
      <c r="J200" s="6" t="b">
        <f>IF(VLOOKUP(B200,'Profile selection'!B:C,2,FALSE)="Yes",TRUE,FALSE)</f>
        <v>1</v>
      </c>
    </row>
    <row r="201" spans="1:10" x14ac:dyDescent="0.25">
      <c r="A201" t="str">
        <f>'HIDDEN import'!B200</f>
        <v>TC_M_12_CS</v>
      </c>
      <c r="B201" t="str">
        <f>'HIDDEN import'!C200</f>
        <v>Core</v>
      </c>
      <c r="C201" t="str">
        <f>'HIDDEN import'!D200</f>
        <v>Retrieve certificates from Charging Station - CSMSRootCertificate</v>
      </c>
      <c r="D201" t="str">
        <f>IF(VLOOKUP(A201&amp;" "&amp;B201,'HIDDEN import'!A:G,5,FALSE)="M",MD!$A$1,(IF(AND(VLOOKUP(A201,'HIDDEN import'!B:E,4,FALSE)="C",OR(NOT(ISERROR(VLOOKUP(E201,'Optional features'!B:D,1,FALSE)=E201)),NOT(ISERROR(VLOOKUP(E201,'HIDDEN calc sheet'!A:C,1,FALSE)=E201)))),MD!$A$3,MD!$A$2)))</f>
        <v>Mandatory test for a mandatory feature</v>
      </c>
      <c r="E201" t="str">
        <f>IF('HIDDEN import'!F200=0,"",'HIDDEN import'!F200)</f>
        <v/>
      </c>
      <c r="F201" t="str">
        <f>IF('HIDDEN import'!G200=0,"",'HIDDEN import'!G200)</f>
        <v/>
      </c>
      <c r="G201" s="95" t="str">
        <f>IFERROR(VLOOKUP($A201,'HIDDEN Testrun Results'!$A:$B,2,FALSE),"")</f>
        <v/>
      </c>
      <c r="H201" s="6" t="b">
        <f t="shared" si="3"/>
        <v>1</v>
      </c>
      <c r="I201" s="6" t="b">
        <f>IF(VLOOKUP(A201&amp;" "&amp;B201,'HIDDEN import'!A:G,5,FALSE)="M",TRUE,IFERROR(VLOOKUP(E201,'Optional features'!B:D,3,FALSE)="Yes",IFERROR(VLOOKUP(E201,'HIDDEN calc sheet'!A:B,2,FALSE),IFERROR(VLOOKUP(E201,'Additional questions'!B:D,3,FALSE)="Yes",VLOOKUP(E201,'Hardware Feature set'!B:D,3,FALSE)="No"))))</f>
        <v>1</v>
      </c>
      <c r="J201" s="6" t="b">
        <f>IF(VLOOKUP(B201,'Profile selection'!B:C,2,FALSE)="Yes",TRUE,FALSE)</f>
        <v>1</v>
      </c>
    </row>
    <row r="202" spans="1:10" x14ac:dyDescent="0.25">
      <c r="A202" t="str">
        <f>'HIDDEN import'!B201</f>
        <v>TC_M_13_CS</v>
      </c>
      <c r="B202" t="str">
        <f>'HIDDEN import'!C201</f>
        <v>Core</v>
      </c>
      <c r="C202" t="str">
        <f>'HIDDEN import'!D201</f>
        <v>Retrieve certificates from Charging Station - ManufacturerRootCertificate</v>
      </c>
      <c r="D202" t="str">
        <f>IF(VLOOKUP(A202&amp;" "&amp;B202,'HIDDEN import'!A:G,5,FALSE)="M",MD!$A$1,(IF(AND(VLOOKUP(A202,'HIDDEN import'!B:E,4,FALSE)="C",OR(NOT(ISERROR(VLOOKUP(E202,'Optional features'!B:D,1,FALSE)=E202)),NOT(ISERROR(VLOOKUP(E202,'HIDDEN calc sheet'!A:C,1,FALSE)=E202)))),MD!$A$3,MD!$A$2)))</f>
        <v>Mandatory test for a mandatory feature</v>
      </c>
      <c r="E202" t="str">
        <f>IF('HIDDEN import'!F201=0,"",'HIDDEN import'!F201)</f>
        <v/>
      </c>
      <c r="F202" t="str">
        <f>IF('HIDDEN import'!G201=0,"",'HIDDEN import'!G201)</f>
        <v/>
      </c>
      <c r="G202" s="95" t="str">
        <f>IFERROR(VLOOKUP($A202,'HIDDEN Testrun Results'!$A:$B,2,FALSE),"")</f>
        <v/>
      </c>
      <c r="H202" s="6" t="b">
        <f t="shared" si="3"/>
        <v>1</v>
      </c>
      <c r="I202" s="6" t="b">
        <f>IF(VLOOKUP(A202&amp;" "&amp;B202,'HIDDEN import'!A:G,5,FALSE)="M",TRUE,IFERROR(VLOOKUP(E202,'Optional features'!B:D,3,FALSE)="Yes",IFERROR(VLOOKUP(E202,'HIDDEN calc sheet'!A:B,2,FALSE),IFERROR(VLOOKUP(E202,'Additional questions'!B:D,3,FALSE)="Yes",VLOOKUP(E202,'Hardware Feature set'!B:D,3,FALSE)="No"))))</f>
        <v>1</v>
      </c>
      <c r="J202" s="6" t="b">
        <f>IF(VLOOKUP(B202,'Profile selection'!B:C,2,FALSE)="Yes",TRUE,FALSE)</f>
        <v>1</v>
      </c>
    </row>
    <row r="203" spans="1:10" x14ac:dyDescent="0.25">
      <c r="A203" t="str">
        <f>'HIDDEN import'!B202</f>
        <v>TC_M_17_CS</v>
      </c>
      <c r="B203" t="str">
        <f>'HIDDEN import'!C202</f>
        <v>Core</v>
      </c>
      <c r="C203" t="str">
        <f>'HIDDEN import'!D202</f>
        <v>Retrieve certificates from Charging Station - CSMSRootCertificate &amp; ManufacturerRootCertificate</v>
      </c>
      <c r="D203" t="str">
        <f>IF(VLOOKUP(A203&amp;" "&amp;B203,'HIDDEN import'!A:G,5,FALSE)="M",MD!$A$1,(IF(AND(VLOOKUP(A203,'HIDDEN import'!B:E,4,FALSE)="C",OR(NOT(ISERROR(VLOOKUP(E203,'Optional features'!B:D,1,FALSE)=E203)),NOT(ISERROR(VLOOKUP(E203,'HIDDEN calc sheet'!A:C,1,FALSE)=E203)))),MD!$A$3,MD!$A$2)))</f>
        <v>Mandatory test for a mandatory feature</v>
      </c>
      <c r="E203" t="str">
        <f>IF('HIDDEN import'!F202=0,"",'HIDDEN import'!F202)</f>
        <v/>
      </c>
      <c r="F203" t="str">
        <f>IF('HIDDEN import'!G202=0,"",'HIDDEN import'!G202)</f>
        <v/>
      </c>
      <c r="G203" s="95" t="str">
        <f>IFERROR(VLOOKUP($A203,'HIDDEN Testrun Results'!$A:$B,2,FALSE),"")</f>
        <v/>
      </c>
      <c r="H203" s="6" t="b">
        <f t="shared" si="3"/>
        <v>1</v>
      </c>
      <c r="I203" s="6" t="b">
        <f>IF(VLOOKUP(A203&amp;" "&amp;B203,'HIDDEN import'!A:G,5,FALSE)="M",TRUE,IFERROR(VLOOKUP(E203,'Optional features'!B:D,3,FALSE)="Yes",IFERROR(VLOOKUP(E203,'HIDDEN calc sheet'!A:B,2,FALSE),IFERROR(VLOOKUP(E203,'Additional questions'!B:D,3,FALSE)="Yes",VLOOKUP(E203,'Hardware Feature set'!B:D,3,FALSE)="No"))))</f>
        <v>1</v>
      </c>
      <c r="J203" s="6" t="b">
        <f>IF(VLOOKUP(B203,'Profile selection'!B:C,2,FALSE)="Yes",TRUE,FALSE)</f>
        <v>1</v>
      </c>
    </row>
    <row r="204" spans="1:10" x14ac:dyDescent="0.25">
      <c r="A204" t="str">
        <f>'HIDDEN import'!B203</f>
        <v>TC_M_18_CS</v>
      </c>
      <c r="B204" t="str">
        <f>'HIDDEN import'!C203</f>
        <v>Core</v>
      </c>
      <c r="C204" t="str">
        <f>'HIDDEN import'!D203</f>
        <v>Retrieve certificates from Charging Station - All certificateTypes</v>
      </c>
      <c r="D204" t="str">
        <f>IF(VLOOKUP(A204&amp;" "&amp;B204,'HIDDEN import'!A:G,5,FALSE)="M",MD!$A$1,(IF(AND(VLOOKUP(A204,'HIDDEN import'!B:E,4,FALSE)="C",OR(NOT(ISERROR(VLOOKUP(E204,'Optional features'!B:D,1,FALSE)=E204)),NOT(ISERROR(VLOOKUP(E204,'HIDDEN calc sheet'!A:C,1,FALSE)=E204)))),MD!$A$3,MD!$A$2)))</f>
        <v>Mandatory test for a mandatory feature</v>
      </c>
      <c r="E204" t="str">
        <f>IF('HIDDEN import'!F203=0,"",'HIDDEN import'!F203)</f>
        <v/>
      </c>
      <c r="F204" t="str">
        <f>IF('HIDDEN import'!G203=0,"",'HIDDEN import'!G203)</f>
        <v/>
      </c>
      <c r="G204" s="95" t="str">
        <f>IFERROR(VLOOKUP($A204,'HIDDEN Testrun Results'!$A:$B,2,FALSE),"")</f>
        <v/>
      </c>
      <c r="H204" s="6" t="b">
        <f t="shared" si="3"/>
        <v>1</v>
      </c>
      <c r="I204" s="6" t="b">
        <f>IF(VLOOKUP(A204&amp;" "&amp;B204,'HIDDEN import'!A:G,5,FALSE)="M",TRUE,IFERROR(VLOOKUP(E204,'Optional features'!B:D,3,FALSE)="Yes",IFERROR(VLOOKUP(E204,'HIDDEN calc sheet'!A:B,2,FALSE),IFERROR(VLOOKUP(E204,'Additional questions'!B:D,3,FALSE)="Yes",VLOOKUP(E204,'Hardware Feature set'!B:D,3,FALSE)="No"))))</f>
        <v>1</v>
      </c>
      <c r="J204" s="6" t="b">
        <f>IF(VLOOKUP(B204,'Profile selection'!B:C,2,FALSE)="Yes",TRUE,FALSE)</f>
        <v>1</v>
      </c>
    </row>
    <row r="205" spans="1:10" x14ac:dyDescent="0.25">
      <c r="A205" t="str">
        <f>'HIDDEN import'!B204</f>
        <v>TC_M_19_CS</v>
      </c>
      <c r="B205" t="str">
        <f>'HIDDEN import'!C204</f>
        <v>Core</v>
      </c>
      <c r="C205" t="str">
        <f>'HIDDEN import'!D204</f>
        <v>Retrieve certificates from Charging Station - No matching certificate found</v>
      </c>
      <c r="D205" t="str">
        <f>IF(VLOOKUP(A205&amp;" "&amp;B205,'HIDDEN import'!A:G,5,FALSE)="M",MD!$A$1,(IF(AND(VLOOKUP(A205,'HIDDEN import'!B:E,4,FALSE)="C",OR(NOT(ISERROR(VLOOKUP(E205,'Optional features'!B:D,1,FALSE)=E205)),NOT(ISERROR(VLOOKUP(E205,'HIDDEN calc sheet'!A:C,1,FALSE)=E205)))),MD!$A$3,MD!$A$2)))</f>
        <v>Mandatory test for a mandatory feature</v>
      </c>
      <c r="E205" t="str">
        <f>IF('HIDDEN import'!F204=0,"",'HIDDEN import'!F204)</f>
        <v/>
      </c>
      <c r="F205" t="str">
        <f>IF('HIDDEN import'!G204=0,"",'HIDDEN import'!G204)</f>
        <v/>
      </c>
      <c r="G205" s="95" t="str">
        <f>IFERROR(VLOOKUP($A205,'HIDDEN Testrun Results'!$A:$B,2,FALSE),"")</f>
        <v/>
      </c>
      <c r="H205" s="6" t="b">
        <f t="shared" si="3"/>
        <v>1</v>
      </c>
      <c r="I205" s="6" t="b">
        <f>IF(VLOOKUP(A205&amp;" "&amp;B205,'HIDDEN import'!A:G,5,FALSE)="M",TRUE,IFERROR(VLOOKUP(E205,'Optional features'!B:D,3,FALSE)="Yes",IFERROR(VLOOKUP(E205,'HIDDEN calc sheet'!A:B,2,FALSE),IFERROR(VLOOKUP(E205,'Additional questions'!B:D,3,FALSE)="Yes",VLOOKUP(E205,'Hardware Feature set'!B:D,3,FALSE)="No"))))</f>
        <v>1</v>
      </c>
      <c r="J205" s="6" t="b">
        <f>IF(VLOOKUP(B205,'Profile selection'!B:C,2,FALSE)="Yes",TRUE,FALSE)</f>
        <v>1</v>
      </c>
    </row>
    <row r="206" spans="1:10" x14ac:dyDescent="0.25">
      <c r="A206" t="str">
        <f>'HIDDEN import'!B205</f>
        <v>TC_M_20_CS</v>
      </c>
      <c r="B206" t="str">
        <f>'HIDDEN import'!C205</f>
        <v>Core</v>
      </c>
      <c r="C206" t="str">
        <f>'HIDDEN import'!D205</f>
        <v>Delete a certificate from a Charging Station - Success</v>
      </c>
      <c r="D206" t="str">
        <f>IF(VLOOKUP(A206&amp;" "&amp;B206,'HIDDEN import'!A:G,5,FALSE)="M",MD!$A$1,(IF(AND(VLOOKUP(A206,'HIDDEN import'!B:E,4,FALSE)="C",OR(NOT(ISERROR(VLOOKUP(E206,'Optional features'!B:D,1,FALSE)=E206)),NOT(ISERROR(VLOOKUP(E206,'HIDDEN calc sheet'!A:C,1,FALSE)=E206)))),MD!$A$3,MD!$A$2)))</f>
        <v>Mandatory test for a mandatory feature</v>
      </c>
      <c r="E206" t="str">
        <f>IF('HIDDEN import'!F205=0,"",'HIDDEN import'!F205)</f>
        <v/>
      </c>
      <c r="F206" t="str">
        <f>IF('HIDDEN import'!G205=0,"",'HIDDEN import'!G205)</f>
        <v/>
      </c>
      <c r="G206" s="95" t="str">
        <f>IFERROR(VLOOKUP($A206,'HIDDEN Testrun Results'!$A:$B,2,FALSE),"")</f>
        <v/>
      </c>
      <c r="H206" s="6" t="b">
        <f t="shared" si="3"/>
        <v>1</v>
      </c>
      <c r="I206" s="6" t="b">
        <f>IF(VLOOKUP(A206&amp;" "&amp;B206,'HIDDEN import'!A:G,5,FALSE)="M",TRUE,IFERROR(VLOOKUP(E206,'Optional features'!B:D,3,FALSE)="Yes",IFERROR(VLOOKUP(E206,'HIDDEN calc sheet'!A:B,2,FALSE),IFERROR(VLOOKUP(E206,'Additional questions'!B:D,3,FALSE)="Yes",VLOOKUP(E206,'Hardware Feature set'!B:D,3,FALSE)="No"))))</f>
        <v>1</v>
      </c>
      <c r="J206" s="6" t="b">
        <f>IF(VLOOKUP(B206,'Profile selection'!B:C,2,FALSE)="Yes",TRUE,FALSE)</f>
        <v>1</v>
      </c>
    </row>
    <row r="207" spans="1:10" x14ac:dyDescent="0.25">
      <c r="A207" t="str">
        <f>'HIDDEN import'!B206</f>
        <v>TC_M_22_CS</v>
      </c>
      <c r="B207" t="str">
        <f>'HIDDEN import'!C206</f>
        <v>Core</v>
      </c>
      <c r="C207" t="str">
        <f>'HIDDEN import'!D206</f>
        <v>Delete a certificate from a Charging Station - No matching certificate found</v>
      </c>
      <c r="D207" t="str">
        <f>IF(VLOOKUP(A207&amp;" "&amp;B207,'HIDDEN import'!A:G,5,FALSE)="M",MD!$A$1,(IF(AND(VLOOKUP(A207,'HIDDEN import'!B:E,4,FALSE)="C",OR(NOT(ISERROR(VLOOKUP(E207,'Optional features'!B:D,1,FALSE)=E207)),NOT(ISERROR(VLOOKUP(E207,'HIDDEN calc sheet'!A:C,1,FALSE)=E207)))),MD!$A$3,MD!$A$2)))</f>
        <v>Mandatory test for a mandatory feature</v>
      </c>
      <c r="E207" t="str">
        <f>IF('HIDDEN import'!F206=0,"",'HIDDEN import'!F206)</f>
        <v/>
      </c>
      <c r="F207" t="str">
        <f>IF('HIDDEN import'!G206=0,"",'HIDDEN import'!G206)</f>
        <v/>
      </c>
      <c r="G207" s="95" t="str">
        <f>IFERROR(VLOOKUP($A207,'HIDDEN Testrun Results'!$A:$B,2,FALSE),"")</f>
        <v/>
      </c>
      <c r="H207" s="6" t="b">
        <f t="shared" si="3"/>
        <v>1</v>
      </c>
      <c r="I207" s="6" t="b">
        <f>IF(VLOOKUP(A207&amp;" "&amp;B207,'HIDDEN import'!A:G,5,FALSE)="M",TRUE,IFERROR(VLOOKUP(E207,'Optional features'!B:D,3,FALSE)="Yes",IFERROR(VLOOKUP(E207,'HIDDEN calc sheet'!A:B,2,FALSE),IFERROR(VLOOKUP(E207,'Additional questions'!B:D,3,FALSE)="Yes",VLOOKUP(E207,'Hardware Feature set'!B:D,3,FALSE)="No"))))</f>
        <v>1</v>
      </c>
      <c r="J207" s="6" t="b">
        <f>IF(VLOOKUP(B207,'Profile selection'!B:C,2,FALSE)="Yes",TRUE,FALSE)</f>
        <v>1</v>
      </c>
    </row>
    <row r="208" spans="1:10" x14ac:dyDescent="0.25">
      <c r="A208" t="str">
        <f>'HIDDEN import'!B207</f>
        <v>TC_M_01_CS</v>
      </c>
      <c r="B208" t="str">
        <f>'HIDDEN import'!C207</f>
        <v>Core</v>
      </c>
      <c r="C208" t="str">
        <f>'HIDDEN import'!D207</f>
        <v>Install CA certificate - CSMSRootCertificate</v>
      </c>
      <c r="D208" t="str">
        <f>IF(VLOOKUP(A208&amp;" "&amp;B208,'HIDDEN import'!A:G,5,FALSE)="M",MD!$A$1,(IF(AND(VLOOKUP(A208,'HIDDEN import'!B:E,4,FALSE)="C",OR(NOT(ISERROR(VLOOKUP(E208,'Optional features'!B:D,1,FALSE)=E208)),NOT(ISERROR(VLOOKUP(E208,'HIDDEN calc sheet'!A:C,1,FALSE)=E208)))),MD!$A$3,MD!$A$2)))</f>
        <v>Mandatory test for a mandatory feature</v>
      </c>
      <c r="E208" t="str">
        <f>IF('HIDDEN import'!F207=0,"",'HIDDEN import'!F207)</f>
        <v/>
      </c>
      <c r="F208" t="str">
        <f>IF('HIDDEN import'!G207=0,"",'HIDDEN import'!G207)</f>
        <v/>
      </c>
      <c r="G208" s="95" t="str">
        <f>IFERROR(VLOOKUP($A208,'HIDDEN Testrun Results'!$A:$B,2,FALSE),"")</f>
        <v/>
      </c>
      <c r="H208" s="6" t="b">
        <f t="shared" si="3"/>
        <v>1</v>
      </c>
      <c r="I208" s="6" t="b">
        <f>IF(VLOOKUP(A208&amp;" "&amp;B208,'HIDDEN import'!A:G,5,FALSE)="M",TRUE,IFERROR(VLOOKUP(E208,'Optional features'!B:D,3,FALSE)="Yes",IFERROR(VLOOKUP(E208,'HIDDEN calc sheet'!A:B,2,FALSE),IFERROR(VLOOKUP(E208,'Additional questions'!B:D,3,FALSE)="Yes",VLOOKUP(E208,'Hardware Feature set'!B:D,3,FALSE)="No"))))</f>
        <v>1</v>
      </c>
      <c r="J208" s="6" t="b">
        <f>IF(VLOOKUP(B208,'Profile selection'!B:C,2,FALSE)="Yes",TRUE,FALSE)</f>
        <v>1</v>
      </c>
    </row>
    <row r="209" spans="1:10" x14ac:dyDescent="0.25">
      <c r="A209" t="str">
        <f>'HIDDEN import'!B208</f>
        <v>TC_M_02_CS</v>
      </c>
      <c r="B209" t="str">
        <f>'HIDDEN import'!C208</f>
        <v>Core</v>
      </c>
      <c r="C209" t="str">
        <f>'HIDDEN import'!D208</f>
        <v>Install CA certificate - ManufacturerRootCertificate</v>
      </c>
      <c r="D209" t="str">
        <f>IF(VLOOKUP(A209&amp;" "&amp;B209,'HIDDEN import'!A:G,5,FALSE)="M",MD!$A$1,(IF(AND(VLOOKUP(A209,'HIDDEN import'!B:E,4,FALSE)="C",OR(NOT(ISERROR(VLOOKUP(E209,'Optional features'!B:D,1,FALSE)=E209)),NOT(ISERROR(VLOOKUP(E209,'HIDDEN calc sheet'!A:C,1,FALSE)=E209)))),MD!$A$3,MD!$A$2)))</f>
        <v>Mandatory test for a mandatory feature</v>
      </c>
      <c r="E209" t="str">
        <f>IF('HIDDEN import'!F208=0,"",'HIDDEN import'!F208)</f>
        <v/>
      </c>
      <c r="F209" t="str">
        <f>IF('HIDDEN import'!G208=0,"",'HIDDEN import'!G208)</f>
        <v/>
      </c>
      <c r="G209" s="95" t="str">
        <f>IFERROR(VLOOKUP($A209,'HIDDEN Testrun Results'!$A:$B,2,FALSE),"")</f>
        <v/>
      </c>
      <c r="H209" s="6" t="b">
        <f t="shared" si="3"/>
        <v>1</v>
      </c>
      <c r="I209" s="6" t="b">
        <f>IF(VLOOKUP(A209&amp;" "&amp;B209,'HIDDEN import'!A:G,5,FALSE)="M",TRUE,IFERROR(VLOOKUP(E209,'Optional features'!B:D,3,FALSE)="Yes",IFERROR(VLOOKUP(E209,'HIDDEN calc sheet'!A:B,2,FALSE),IFERROR(VLOOKUP(E209,'Additional questions'!B:D,3,FALSE)="Yes",VLOOKUP(E209,'Hardware Feature set'!B:D,3,FALSE)="No"))))</f>
        <v>1</v>
      </c>
      <c r="J209" s="6" t="b">
        <f>IF(VLOOKUP(B209,'Profile selection'!B:C,2,FALSE)="Yes",TRUE,FALSE)</f>
        <v>1</v>
      </c>
    </row>
    <row r="210" spans="1:10" x14ac:dyDescent="0.25">
      <c r="A210" t="str">
        <f>'HIDDEN import'!B209</f>
        <v>TC_M_07_CS</v>
      </c>
      <c r="B210" t="str">
        <f>'HIDDEN import'!C209</f>
        <v>Core</v>
      </c>
      <c r="C210" t="str">
        <f>'HIDDEN import'!D209</f>
        <v>Install CA certificate - Rejected - Certificate invalid</v>
      </c>
      <c r="D210" t="str">
        <f>IF(VLOOKUP(A210&amp;" "&amp;B210,'HIDDEN import'!A:G,5,FALSE)="M",MD!$A$1,(IF(AND(VLOOKUP(A210,'HIDDEN import'!B:E,4,FALSE)="C",OR(NOT(ISERROR(VLOOKUP(E210,'Optional features'!B:D,1,FALSE)=E210)),NOT(ISERROR(VLOOKUP(E210,'HIDDEN calc sheet'!A:C,1,FALSE)=E210)))),MD!$A$3,MD!$A$2)))</f>
        <v>Mandatory test for a mandatory feature</v>
      </c>
      <c r="E210" t="str">
        <f>IF('HIDDEN import'!F209=0,"",'HIDDEN import'!F209)</f>
        <v/>
      </c>
      <c r="F210" t="str">
        <f>IF('HIDDEN import'!G209=0,"",'HIDDEN import'!G209)</f>
        <v/>
      </c>
      <c r="G210" s="95" t="str">
        <f>IFERROR(VLOOKUP($A210,'HIDDEN Testrun Results'!$A:$B,2,FALSE),"")</f>
        <v/>
      </c>
      <c r="H210" s="6" t="b">
        <f t="shared" si="3"/>
        <v>1</v>
      </c>
      <c r="I210" s="6" t="b">
        <f>IF(VLOOKUP(A210&amp;" "&amp;B210,'HIDDEN import'!A:G,5,FALSE)="M",TRUE,IFERROR(VLOOKUP(E210,'Optional features'!B:D,3,FALSE)="Yes",IFERROR(VLOOKUP(E210,'HIDDEN calc sheet'!A:B,2,FALSE),IFERROR(VLOOKUP(E210,'Additional questions'!B:D,3,FALSE)="Yes",VLOOKUP(E210,'Hardware Feature set'!B:D,3,FALSE)="No"))))</f>
        <v>1</v>
      </c>
      <c r="J210" s="6" t="b">
        <f>IF(VLOOKUP(B210,'Profile selection'!B:C,2,FALSE)="Yes",TRUE,FALSE)</f>
        <v>1</v>
      </c>
    </row>
    <row r="211" spans="1:10" x14ac:dyDescent="0.25">
      <c r="A211" t="str">
        <f>'HIDDEN import'!B210</f>
        <v>TC_M_09_CS</v>
      </c>
      <c r="B211" t="str">
        <f>'HIDDEN import'!C210</f>
        <v>Core</v>
      </c>
      <c r="C211" t="str">
        <f>'HIDDEN import'!D210</f>
        <v>Install CA certificate - AdditionalRootCertificateCheck - Rejected</v>
      </c>
      <c r="D211" t="str">
        <f>IF(VLOOKUP(A211&amp;" "&amp;B211,'HIDDEN import'!A:G,5,FALSE)="M",MD!$A$1,(IF(AND(VLOOKUP(A211,'HIDDEN import'!B:E,4,FALSE)="C",OR(NOT(ISERROR(VLOOKUP(E211,'Optional features'!B:D,1,FALSE)=E211)),NOT(ISERROR(VLOOKUP(E211,'HIDDEN calc sheet'!A:C,1,FALSE)=E211)))),MD!$A$3,MD!$A$2)))</f>
        <v>Mandatory for optional feature</v>
      </c>
      <c r="E211" t="str">
        <f>IF('HIDDEN import'!F210=0,"",'HIDDEN import'!F210)</f>
        <v>AS-2</v>
      </c>
      <c r="F211" t="str">
        <f>IF('HIDDEN import'!G210=0,"",'HIDDEN import'!G210)</f>
        <v>Additional Root Certificate check mechanism implemented</v>
      </c>
      <c r="G211" s="95" t="str">
        <f>IFERROR(VLOOKUP($A211,'HIDDEN Testrun Results'!$A:$B,2,FALSE),"")</f>
        <v/>
      </c>
      <c r="H211" s="6" t="b">
        <f t="shared" si="3"/>
        <v>0</v>
      </c>
      <c r="I211" s="6" t="b">
        <f>IF(VLOOKUP(A211&amp;" "&amp;B211,'HIDDEN import'!A:G,5,FALSE)="M",TRUE,IFERROR(VLOOKUP(E211,'Optional features'!B:D,3,FALSE)="Yes",IFERROR(VLOOKUP(E211,'HIDDEN calc sheet'!A:B,2,FALSE),IFERROR(VLOOKUP(E211,'Additional questions'!B:D,3,FALSE)="Yes",VLOOKUP(E211,'Hardware Feature set'!B:D,3,FALSE)="No"))))</f>
        <v>0</v>
      </c>
      <c r="J211" s="6" t="b">
        <f>IF(VLOOKUP(B211,'Profile selection'!B:C,2,FALSE)="Yes",TRUE,FALSE)</f>
        <v>1</v>
      </c>
    </row>
    <row r="212" spans="1:10" x14ac:dyDescent="0.25">
      <c r="A212" t="str">
        <f>'HIDDEN import'!B211</f>
        <v>TC_M_30_CS</v>
      </c>
      <c r="B212" t="str">
        <f>'HIDDEN import'!C211</f>
        <v>Core</v>
      </c>
      <c r="C212" t="str">
        <f>'HIDDEN import'!D211</f>
        <v>Install CA certificate - AdditionalRootCertificateCheck - Reconnect using new CSMS Root - Success</v>
      </c>
      <c r="D212" t="str">
        <f>IF(VLOOKUP(A212&amp;" "&amp;B212,'HIDDEN import'!A:G,5,FALSE)="M",MD!$A$1,(IF(AND(VLOOKUP(A212,'HIDDEN import'!B:E,4,FALSE)="C",OR(NOT(ISERROR(VLOOKUP(E212,'Optional features'!B:D,1,FALSE)=E212)),NOT(ISERROR(VLOOKUP(E212,'HIDDEN calc sheet'!A:C,1,FALSE)=E212)))),MD!$A$3,MD!$A$2)))</f>
        <v>Mandatory for optional feature</v>
      </c>
      <c r="E212" t="str">
        <f>IF('HIDDEN import'!F211=0,"",'HIDDEN import'!F211)</f>
        <v>AS-2</v>
      </c>
      <c r="F212" t="str">
        <f>IF('HIDDEN import'!G211=0,"",'HIDDEN import'!G211)</f>
        <v>Additional Root Certificate check mechanism implemented</v>
      </c>
      <c r="G212" s="95" t="str">
        <f>IFERROR(VLOOKUP($A212,'HIDDEN Testrun Results'!$A:$B,2,FALSE),"")</f>
        <v/>
      </c>
      <c r="H212" s="6" t="b">
        <f t="shared" si="3"/>
        <v>0</v>
      </c>
      <c r="I212" s="6" t="b">
        <f>IF(VLOOKUP(A212&amp;" "&amp;B212,'HIDDEN import'!A:G,5,FALSE)="M",TRUE,IFERROR(VLOOKUP(E212,'Optional features'!B:D,3,FALSE)="Yes",IFERROR(VLOOKUP(E212,'HIDDEN calc sheet'!A:B,2,FALSE),IFERROR(VLOOKUP(E212,'Additional questions'!B:D,3,FALSE)="Yes",VLOOKUP(E212,'Hardware Feature set'!B:D,3,FALSE)="No"))))</f>
        <v>0</v>
      </c>
      <c r="J212" s="6" t="b">
        <f>IF(VLOOKUP(B212,'Profile selection'!B:C,2,FALSE)="Yes",TRUE,FALSE)</f>
        <v>1</v>
      </c>
    </row>
    <row r="213" spans="1:10" x14ac:dyDescent="0.25">
      <c r="A213" t="str">
        <f>'HIDDEN import'!B212</f>
        <v>TC_M_31_CS</v>
      </c>
      <c r="B213" t="str">
        <f>'HIDDEN import'!C212</f>
        <v>Core</v>
      </c>
      <c r="C213" t="str">
        <f>'HIDDEN import'!D212</f>
        <v>Install CA certificate - AdditionalRootCertificateCheck - Reconnect using new CSMS Root - Fallback mechanism</v>
      </c>
      <c r="D213" t="str">
        <f>IF(VLOOKUP(A213&amp;" "&amp;B213,'HIDDEN import'!A:G,5,FALSE)="M",MD!$A$1,(IF(AND(VLOOKUP(A213,'HIDDEN import'!B:E,4,FALSE)="C",OR(NOT(ISERROR(VLOOKUP(E213,'Optional features'!B:D,1,FALSE)=E213)),NOT(ISERROR(VLOOKUP(E213,'HIDDEN calc sheet'!A:C,1,FALSE)=E213)))),MD!$A$3,MD!$A$2)))</f>
        <v>Mandatory for optional feature</v>
      </c>
      <c r="E213" t="str">
        <f>IF('HIDDEN import'!F212=0,"",'HIDDEN import'!F212)</f>
        <v>AS-2</v>
      </c>
      <c r="F213" t="str">
        <f>IF('HIDDEN import'!G212=0,"",'HIDDEN import'!G212)</f>
        <v>Additional Root Certificate check mechanism implemented</v>
      </c>
      <c r="G213" s="95" t="str">
        <f>IFERROR(VLOOKUP($A213,'HIDDEN Testrun Results'!$A:$B,2,FALSE),"")</f>
        <v/>
      </c>
      <c r="H213" s="6" t="b">
        <f t="shared" si="3"/>
        <v>0</v>
      </c>
      <c r="I213" s="6" t="b">
        <f>IF(VLOOKUP(A213&amp;" "&amp;B213,'HIDDEN import'!A:G,5,FALSE)="M",TRUE,IFERROR(VLOOKUP(E213,'Optional features'!B:D,3,FALSE)="Yes",IFERROR(VLOOKUP(E213,'HIDDEN calc sheet'!A:B,2,FALSE),IFERROR(VLOOKUP(E213,'Additional questions'!B:D,3,FALSE)="Yes",VLOOKUP(E213,'Hardware Feature set'!B:D,3,FALSE)="No"))))</f>
        <v>0</v>
      </c>
      <c r="J213" s="6" t="b">
        <f>IF(VLOOKUP(B213,'Profile selection'!B:C,2,FALSE)="Yes",TRUE,FALSE)</f>
        <v>1</v>
      </c>
    </row>
    <row r="214" spans="1:10" x14ac:dyDescent="0.25">
      <c r="A214" t="str">
        <f>'HIDDEN import'!B213</f>
        <v>TC_N_25_CS</v>
      </c>
      <c r="B214" t="str">
        <f>'HIDDEN import'!C213</f>
        <v>Core</v>
      </c>
      <c r="C214" t="str">
        <f>'HIDDEN import'!D213</f>
        <v>Retrieve Log Information - Diagnostics Log - Success</v>
      </c>
      <c r="D214" t="str">
        <f>IF(VLOOKUP(A214&amp;" "&amp;B214,'HIDDEN import'!A:G,5,FALSE)="M",MD!$A$1,(IF(AND(VLOOKUP(A214,'HIDDEN import'!B:E,4,FALSE)="C",OR(NOT(ISERROR(VLOOKUP(E214,'Optional features'!B:D,1,FALSE)=E214)),NOT(ISERROR(VLOOKUP(E214,'HIDDEN calc sheet'!A:C,1,FALSE)=E214)))),MD!$A$3,MD!$A$2)))</f>
        <v>Mandatory test for a mandatory feature</v>
      </c>
      <c r="E214" t="str">
        <f>IF('HIDDEN import'!F213=0,"",'HIDDEN import'!F213)</f>
        <v/>
      </c>
      <c r="F214" t="str">
        <f>IF('HIDDEN import'!G213=0,"",'HIDDEN import'!G213)</f>
        <v/>
      </c>
      <c r="G214" s="95" t="str">
        <f>IFERROR(VLOOKUP($A214,'HIDDEN Testrun Results'!$A:$B,2,FALSE),"")</f>
        <v/>
      </c>
      <c r="H214" s="6" t="b">
        <f t="shared" si="3"/>
        <v>1</v>
      </c>
      <c r="I214" s="6" t="b">
        <f>IF(VLOOKUP(A214&amp;" "&amp;B214,'HIDDEN import'!A:G,5,FALSE)="M",TRUE,IFERROR(VLOOKUP(E214,'Optional features'!B:D,3,FALSE)="Yes",IFERROR(VLOOKUP(E214,'HIDDEN calc sheet'!A:B,2,FALSE),IFERROR(VLOOKUP(E214,'Additional questions'!B:D,3,FALSE)="Yes",VLOOKUP(E214,'Hardware Feature set'!B:D,3,FALSE)="No"))))</f>
        <v>1</v>
      </c>
      <c r="J214" s="6" t="b">
        <f>IF(VLOOKUP(B214,'Profile selection'!B:C,2,FALSE)="Yes",TRUE,FALSE)</f>
        <v>1</v>
      </c>
    </row>
    <row r="215" spans="1:10" x14ac:dyDescent="0.25">
      <c r="A215" t="str">
        <f>'HIDDEN import'!B214</f>
        <v>TC_N_26_CS</v>
      </c>
      <c r="B215" t="str">
        <f>'HIDDEN import'!C214</f>
        <v>Core</v>
      </c>
      <c r="C215" t="str">
        <f>'HIDDEN import'!D214</f>
        <v>Retrieve Log Information - Diagnostics Log - Upload failed</v>
      </c>
      <c r="D215" t="str">
        <f>IF(VLOOKUP(A215&amp;" "&amp;B215,'HIDDEN import'!A:G,5,FALSE)="M",MD!$A$1,(IF(AND(VLOOKUP(A215,'HIDDEN import'!B:E,4,FALSE)="C",OR(NOT(ISERROR(VLOOKUP(E215,'Optional features'!B:D,1,FALSE)=E215)),NOT(ISERROR(VLOOKUP(E215,'HIDDEN calc sheet'!A:C,1,FALSE)=E215)))),MD!$A$3,MD!$A$2)))</f>
        <v>Mandatory test for a mandatory feature</v>
      </c>
      <c r="E215" t="str">
        <f>IF('HIDDEN import'!F214=0,"",'HIDDEN import'!F214)</f>
        <v/>
      </c>
      <c r="F215" t="str">
        <f>IF('HIDDEN import'!G214=0,"",'HIDDEN import'!G214)</f>
        <v/>
      </c>
      <c r="G215" s="95" t="str">
        <f>IFERROR(VLOOKUP($A215,'HIDDEN Testrun Results'!$A:$B,2,FALSE),"")</f>
        <v/>
      </c>
      <c r="H215" s="6" t="b">
        <f t="shared" si="3"/>
        <v>1</v>
      </c>
      <c r="I215" s="6" t="b">
        <f>IF(VLOOKUP(A215&amp;" "&amp;B215,'HIDDEN import'!A:G,5,FALSE)="M",TRUE,IFERROR(VLOOKUP(E215,'Optional features'!B:D,3,FALSE)="Yes",IFERROR(VLOOKUP(E215,'HIDDEN calc sheet'!A:B,2,FALSE),IFERROR(VLOOKUP(E215,'Additional questions'!B:D,3,FALSE)="Yes",VLOOKUP(E215,'Hardware Feature set'!B:D,3,FALSE)="No"))))</f>
        <v>1</v>
      </c>
      <c r="J215" s="6" t="b">
        <f>IF(VLOOKUP(B215,'Profile selection'!B:C,2,FALSE)="Yes",TRUE,FALSE)</f>
        <v>1</v>
      </c>
    </row>
    <row r="216" spans="1:10" x14ac:dyDescent="0.25">
      <c r="A216" t="str">
        <f>'HIDDEN import'!B215</f>
        <v>TC_N_35_CS</v>
      </c>
      <c r="B216" t="str">
        <f>'HIDDEN import'!C215</f>
        <v>Core</v>
      </c>
      <c r="C216" t="str">
        <f>'HIDDEN import'!D215</f>
        <v>Retrieve Log Information - Security Log - Success</v>
      </c>
      <c r="D216" t="str">
        <f>IF(VLOOKUP(A216&amp;" "&amp;B216,'HIDDEN import'!A:G,5,FALSE)="M",MD!$A$1,(IF(AND(VLOOKUP(A216,'HIDDEN import'!B:E,4,FALSE)="C",OR(NOT(ISERROR(VLOOKUP(E216,'Optional features'!B:D,1,FALSE)=E216)),NOT(ISERROR(VLOOKUP(E216,'HIDDEN calc sheet'!A:C,1,FALSE)=E216)))),MD!$A$3,MD!$A$2)))</f>
        <v>Mandatory test for a mandatory feature</v>
      </c>
      <c r="E216" t="str">
        <f>IF('HIDDEN import'!F215=0,"",'HIDDEN import'!F215)</f>
        <v/>
      </c>
      <c r="F216" t="str">
        <f>IF('HIDDEN import'!G215=0,"",'HIDDEN import'!G215)</f>
        <v/>
      </c>
      <c r="G216" s="95" t="str">
        <f>IFERROR(VLOOKUP($A216,'HIDDEN Testrun Results'!$A:$B,2,FALSE),"")</f>
        <v/>
      </c>
      <c r="H216" s="6" t="b">
        <f t="shared" si="3"/>
        <v>1</v>
      </c>
      <c r="I216" s="6" t="b">
        <f>IF(VLOOKUP(A216&amp;" "&amp;B216,'HIDDEN import'!A:G,5,FALSE)="M",TRUE,IFERROR(VLOOKUP(E216,'Optional features'!B:D,3,FALSE)="Yes",IFERROR(VLOOKUP(E216,'HIDDEN calc sheet'!A:B,2,FALSE),IFERROR(VLOOKUP(E216,'Additional questions'!B:D,3,FALSE)="Yes",VLOOKUP(E216,'Hardware Feature set'!B:D,3,FALSE)="No"))))</f>
        <v>1</v>
      </c>
      <c r="J216" s="6" t="b">
        <f>IF(VLOOKUP(B216,'Profile selection'!B:C,2,FALSE)="Yes",TRUE,FALSE)</f>
        <v>1</v>
      </c>
    </row>
    <row r="217" spans="1:10" x14ac:dyDescent="0.25">
      <c r="A217" t="str">
        <f>'HIDDEN import'!B216</f>
        <v>TC_N_36_CS</v>
      </c>
      <c r="B217" t="str">
        <f>'HIDDEN import'!C216</f>
        <v>Core</v>
      </c>
      <c r="C217" t="str">
        <f>'HIDDEN import'!D216</f>
        <v>Retrieve Log Information - Second Request</v>
      </c>
      <c r="D217" t="str">
        <f>IF(VLOOKUP(A217&amp;" "&amp;B217,'HIDDEN import'!A:G,5,FALSE)="M",MD!$A$1,(IF(AND(VLOOKUP(A217,'HIDDEN import'!B:E,4,FALSE)="C",OR(NOT(ISERROR(VLOOKUP(E217,'Optional features'!B:D,1,FALSE)=E217)),NOT(ISERROR(VLOOKUP(E217,'HIDDEN calc sheet'!A:C,1,FALSE)=E217)))),MD!$A$3,MD!$A$2)))</f>
        <v>Mandatory for optional feature</v>
      </c>
      <c r="E217" t="str">
        <f>IF('HIDDEN import'!F216=0,"",'HIDDEN import'!F216)</f>
        <v>C-57</v>
      </c>
      <c r="F217" t="str">
        <f>IF('HIDDEN import'!G216=0,"",'HIDDEN import'!G216)</f>
        <v/>
      </c>
      <c r="G217" s="95" t="str">
        <f>IFERROR(VLOOKUP($A217,'HIDDEN Testrun Results'!$A:$B,2,FALSE),"")</f>
        <v/>
      </c>
      <c r="H217" s="6" t="b">
        <f t="shared" si="3"/>
        <v>0</v>
      </c>
      <c r="I217" s="6" t="b">
        <f>IF(VLOOKUP(A217&amp;" "&amp;B217,'HIDDEN import'!A:G,5,FALSE)="M",TRUE,IFERROR(VLOOKUP(E217,'Optional features'!B:D,3,FALSE)="Yes",IFERROR(VLOOKUP(E217,'HIDDEN calc sheet'!A:B,2,FALSE),IFERROR(VLOOKUP(E217,'Additional questions'!B:D,3,FALSE)="Yes",VLOOKUP(E217,'Hardware Feature set'!B:D,3,FALSE)="No"))))</f>
        <v>0</v>
      </c>
      <c r="J217" s="6" t="b">
        <f>IF(VLOOKUP(B217,'Profile selection'!B:C,2,FALSE)="Yes",TRUE,FALSE)</f>
        <v>1</v>
      </c>
    </row>
    <row r="218" spans="1:10" x14ac:dyDescent="0.25">
      <c r="A218" t="str">
        <f>'HIDDEN import'!B217</f>
        <v>TC_N_27_CS</v>
      </c>
      <c r="B218" t="str">
        <f>'HIDDEN import'!C217</f>
        <v>Core</v>
      </c>
      <c r="C218" t="str">
        <f>'HIDDEN import'!D217</f>
        <v>Get Customer Information - Accepted + data</v>
      </c>
      <c r="D218" t="str">
        <f>IF(VLOOKUP(A218&amp;" "&amp;B218,'HIDDEN import'!A:G,5,FALSE)="M",MD!$A$1,(IF(AND(VLOOKUP(A218,'HIDDEN import'!B:E,4,FALSE)="C",OR(NOT(ISERROR(VLOOKUP(E218,'Optional features'!B:D,1,FALSE)=E218)),NOT(ISERROR(VLOOKUP(E218,'HIDDEN calc sheet'!A:C,1,FALSE)=E218)))),MD!$A$3,MD!$A$2)))</f>
        <v>Mandatory for optional feature</v>
      </c>
      <c r="E218" t="str">
        <f>IF('HIDDEN import'!F217=0,"",'HIDDEN import'!F217)</f>
        <v>((C-30 and C-70) or (C-31 and C-71)) and (Local Authorization List Management or C-49)</v>
      </c>
      <c r="F218" t="str">
        <f>IF('HIDDEN import'!G217=0,"",'HIDDEN import'!G217)</f>
        <v/>
      </c>
      <c r="G218" s="95" t="str">
        <f>IFERROR(VLOOKUP($A218,'HIDDEN Testrun Results'!$A:$B,2,FALSE),"")</f>
        <v/>
      </c>
      <c r="H218" s="6" t="b">
        <f t="shared" si="3"/>
        <v>0</v>
      </c>
      <c r="I218" s="6" t="b">
        <f>IF(VLOOKUP(A218&amp;" "&amp;B218,'HIDDEN import'!A:G,5,FALSE)="M",TRUE,IFERROR(VLOOKUP(E218,'Optional features'!B:D,3,FALSE)="Yes",IFERROR(VLOOKUP(E218,'HIDDEN calc sheet'!A:B,2,FALSE),IFERROR(VLOOKUP(E218,'Additional questions'!B:D,3,FALSE)="Yes",VLOOKUP(E218,'Hardware Feature set'!B:D,3,FALSE)="No"))))</f>
        <v>0</v>
      </c>
      <c r="J218" s="6" t="b">
        <f>IF(VLOOKUP(B218,'Profile selection'!B:C,2,FALSE)="Yes",TRUE,FALSE)</f>
        <v>1</v>
      </c>
    </row>
    <row r="219" spans="1:10" x14ac:dyDescent="0.25">
      <c r="A219" t="str">
        <f>'HIDDEN import'!B218</f>
        <v>TC_N_28_CS</v>
      </c>
      <c r="B219" t="str">
        <f>'HIDDEN import'!C218</f>
        <v>Core</v>
      </c>
      <c r="C219" t="str">
        <f>'HIDDEN import'!D218</f>
        <v>Get Customer Information - Accepted + no data</v>
      </c>
      <c r="D219" t="str">
        <f>IF(VLOOKUP(A219&amp;" "&amp;B219,'HIDDEN import'!A:G,5,FALSE)="M",MD!$A$1,(IF(AND(VLOOKUP(A219,'HIDDEN import'!B:E,4,FALSE)="C",OR(NOT(ISERROR(VLOOKUP(E219,'Optional features'!B:D,1,FALSE)=E219)),NOT(ISERROR(VLOOKUP(E219,'HIDDEN calc sheet'!A:C,1,FALSE)=E219)))),MD!$A$3,MD!$A$2)))</f>
        <v>Mandatory for optional feature</v>
      </c>
      <c r="E219" t="str">
        <f>IF('HIDDEN import'!F218=0,"",'HIDDEN import'!F218)</f>
        <v>((C-30 and C-70) or (C-31 and C-71)) and (Local Authorization List Management or C-49)</v>
      </c>
      <c r="F219" t="str">
        <f>IF('HIDDEN import'!G218=0,"",'HIDDEN import'!G218)</f>
        <v/>
      </c>
      <c r="G219" s="95" t="str">
        <f>IFERROR(VLOOKUP($A219,'HIDDEN Testrun Results'!$A:$B,2,FALSE),"")</f>
        <v/>
      </c>
      <c r="H219" s="6" t="b">
        <f t="shared" si="3"/>
        <v>0</v>
      </c>
      <c r="I219" s="6" t="b">
        <f>IF(VLOOKUP(A219&amp;" "&amp;B219,'HIDDEN import'!A:G,5,FALSE)="M",TRUE,IFERROR(VLOOKUP(E219,'Optional features'!B:D,3,FALSE)="Yes",IFERROR(VLOOKUP(E219,'HIDDEN calc sheet'!A:B,2,FALSE),IFERROR(VLOOKUP(E219,'Additional questions'!B:D,3,FALSE)="Yes",VLOOKUP(E219,'Hardware Feature set'!B:D,3,FALSE)="No"))))</f>
        <v>0</v>
      </c>
      <c r="J219" s="6" t="b">
        <f>IF(VLOOKUP(B219,'Profile selection'!B:C,2,FALSE)="Yes",TRUE,FALSE)</f>
        <v>1</v>
      </c>
    </row>
    <row r="220" spans="1:10" x14ac:dyDescent="0.25">
      <c r="A220" t="str">
        <f>'HIDDEN import'!B219</f>
        <v>TC_N_30_CS</v>
      </c>
      <c r="B220" t="str">
        <f>'HIDDEN import'!C219</f>
        <v>Core</v>
      </c>
      <c r="C220" t="str">
        <f>'HIDDEN import'!D219</f>
        <v>Clear Customer Information - Clear and report + data</v>
      </c>
      <c r="D220" t="str">
        <f>IF(VLOOKUP(A220&amp;" "&amp;B220,'HIDDEN import'!A:G,5,FALSE)="M",MD!$A$1,(IF(AND(VLOOKUP(A220,'HIDDEN import'!B:E,4,FALSE)="C",OR(NOT(ISERROR(VLOOKUP(E220,'Optional features'!B:D,1,FALSE)=E220)),NOT(ISERROR(VLOOKUP(E220,'HIDDEN calc sheet'!A:C,1,FALSE)=E220)))),MD!$A$3,MD!$A$2)))</f>
        <v>Mandatory for optional feature</v>
      </c>
      <c r="E220" t="str">
        <f>IF('HIDDEN import'!F219=0,"",'HIDDEN import'!F219)</f>
        <v>((C-30 and C-70) or (C-31 and C-71)) and (Local Authorization List Management or C-49)</v>
      </c>
      <c r="F220" t="str">
        <f>IF('HIDDEN import'!G219=0,"",'HIDDEN import'!G219)</f>
        <v/>
      </c>
      <c r="G220" s="95" t="str">
        <f>IFERROR(VLOOKUP($A220,'HIDDEN Testrun Results'!$A:$B,2,FALSE),"")</f>
        <v/>
      </c>
      <c r="H220" s="6" t="b">
        <f t="shared" si="3"/>
        <v>0</v>
      </c>
      <c r="I220" s="6" t="b">
        <f>IF(VLOOKUP(A220&amp;" "&amp;B220,'HIDDEN import'!A:G,5,FALSE)="M",TRUE,IFERROR(VLOOKUP(E220,'Optional features'!B:D,3,FALSE)="Yes",IFERROR(VLOOKUP(E220,'HIDDEN calc sheet'!A:B,2,FALSE),IFERROR(VLOOKUP(E220,'Additional questions'!B:D,3,FALSE)="Yes",VLOOKUP(E220,'Hardware Feature set'!B:D,3,FALSE)="No"))))</f>
        <v>0</v>
      </c>
      <c r="J220" s="6" t="b">
        <f>IF(VLOOKUP(B220,'Profile selection'!B:C,2,FALSE)="Yes",TRUE,FALSE)</f>
        <v>1</v>
      </c>
    </row>
    <row r="221" spans="1:10" x14ac:dyDescent="0.25">
      <c r="A221" t="str">
        <f>'HIDDEN import'!B220</f>
        <v>TC_N_31_CS</v>
      </c>
      <c r="B221" t="str">
        <f>'HIDDEN import'!C220</f>
        <v>Core</v>
      </c>
      <c r="C221" t="str">
        <f>'HIDDEN import'!D220</f>
        <v>Clear Customer Information - Clear and report + no data</v>
      </c>
      <c r="D221" t="str">
        <f>IF(VLOOKUP(A221&amp;" "&amp;B221,'HIDDEN import'!A:G,5,FALSE)="M",MD!$A$1,(IF(AND(VLOOKUP(A221,'HIDDEN import'!B:E,4,FALSE)="C",OR(NOT(ISERROR(VLOOKUP(E221,'Optional features'!B:D,1,FALSE)=E221)),NOT(ISERROR(VLOOKUP(E221,'HIDDEN calc sheet'!A:C,1,FALSE)=E221)))),MD!$A$3,MD!$A$2)))</f>
        <v>Mandatory for optional feature</v>
      </c>
      <c r="E221" t="str">
        <f>IF('HIDDEN import'!F220=0,"",'HIDDEN import'!F220)</f>
        <v>((C-30 and C-70) or (C-31 and C-71)) and (Local Authorization List Management or C-49)</v>
      </c>
      <c r="F221" t="str">
        <f>IF('HIDDEN import'!G220=0,"",'HIDDEN import'!G220)</f>
        <v/>
      </c>
      <c r="G221" s="95" t="str">
        <f>IFERROR(VLOOKUP($A221,'HIDDEN Testrun Results'!$A:$B,2,FALSE),"")</f>
        <v/>
      </c>
      <c r="H221" s="6" t="b">
        <f t="shared" si="3"/>
        <v>0</v>
      </c>
      <c r="I221" s="6" t="b">
        <f>IF(VLOOKUP(A221&amp;" "&amp;B221,'HIDDEN import'!A:G,5,FALSE)="M",TRUE,IFERROR(VLOOKUP(E221,'Optional features'!B:D,3,FALSE)="Yes",IFERROR(VLOOKUP(E221,'HIDDEN calc sheet'!A:B,2,FALSE),IFERROR(VLOOKUP(E221,'Additional questions'!B:D,3,FALSE)="Yes",VLOOKUP(E221,'Hardware Feature set'!B:D,3,FALSE)="No"))))</f>
        <v>0</v>
      </c>
      <c r="J221" s="6" t="b">
        <f>IF(VLOOKUP(B221,'Profile selection'!B:C,2,FALSE)="Yes",TRUE,FALSE)</f>
        <v>1</v>
      </c>
    </row>
    <row r="222" spans="1:10" x14ac:dyDescent="0.25">
      <c r="A222" t="str">
        <f>'HIDDEN import'!B221</f>
        <v>TC_N_32_CS</v>
      </c>
      <c r="B222" t="str">
        <f>'HIDDEN import'!C221</f>
        <v>Core</v>
      </c>
      <c r="C222" t="str">
        <f>'HIDDEN import'!D221</f>
        <v>Clear Customer Information - Clear and no report</v>
      </c>
      <c r="D222" t="str">
        <f>IF(VLOOKUP(A222&amp;" "&amp;B222,'HIDDEN import'!A:G,5,FALSE)="M",MD!$A$1,(IF(AND(VLOOKUP(A222,'HIDDEN import'!B:E,4,FALSE)="C",OR(NOT(ISERROR(VLOOKUP(E222,'Optional features'!B:D,1,FALSE)=E222)),NOT(ISERROR(VLOOKUP(E222,'HIDDEN calc sheet'!A:C,1,FALSE)=E222)))),MD!$A$3,MD!$A$2)))</f>
        <v>Mandatory test for a mandatory feature</v>
      </c>
      <c r="E222" t="str">
        <f>IF('HIDDEN import'!F221=0,"",'HIDDEN import'!F221)</f>
        <v/>
      </c>
      <c r="F222" t="str">
        <f>IF('HIDDEN import'!G221=0,"",'HIDDEN import'!G221)</f>
        <v/>
      </c>
      <c r="G222" s="95" t="str">
        <f>IFERROR(VLOOKUP($A222,'HIDDEN Testrun Results'!$A:$B,2,FALSE),"")</f>
        <v/>
      </c>
      <c r="H222" s="6" t="b">
        <f t="shared" si="3"/>
        <v>1</v>
      </c>
      <c r="I222" s="6" t="b">
        <f>IF(VLOOKUP(A222&amp;" "&amp;B222,'HIDDEN import'!A:G,5,FALSE)="M",TRUE,IFERROR(VLOOKUP(E222,'Optional features'!B:D,3,FALSE)="Yes",IFERROR(VLOOKUP(E222,'HIDDEN calc sheet'!A:B,2,FALSE),IFERROR(VLOOKUP(E222,'Additional questions'!B:D,3,FALSE)="Yes",VLOOKUP(E222,'Hardware Feature set'!B:D,3,FALSE)="No"))))</f>
        <v>1</v>
      </c>
      <c r="J222" s="6" t="b">
        <f>IF(VLOOKUP(B222,'Profile selection'!B:C,2,FALSE)="Yes",TRUE,FALSE)</f>
        <v>1</v>
      </c>
    </row>
    <row r="223" spans="1:10" x14ac:dyDescent="0.25">
      <c r="A223" t="str">
        <f>'HIDDEN import'!B222</f>
        <v>TC_N_62_CS</v>
      </c>
      <c r="B223" t="str">
        <f>'HIDDEN import'!C222</f>
        <v>Core</v>
      </c>
      <c r="C223" t="str">
        <f>'HIDDEN import'!D222</f>
        <v>Clear Customer Information - Clear and report - customerIdentifier</v>
      </c>
      <c r="D223" t="str">
        <f>IF(VLOOKUP(A223&amp;" "&amp;B223,'HIDDEN import'!A:G,5,FALSE)="M",MD!$A$1,(IF(AND(VLOOKUP(A223,'HIDDEN import'!B:E,4,FALSE)="C",OR(NOT(ISERROR(VLOOKUP(E223,'Optional features'!B:D,1,FALSE)=E223)),NOT(ISERROR(VLOOKUP(E223,'HIDDEN calc sheet'!A:C,1,FALSE)=E223)))),MD!$A$3,MD!$A$2)))</f>
        <v>Mandatory for optional feature</v>
      </c>
      <c r="E223" t="str">
        <f>IF('HIDDEN import'!F222=0,"",'HIDDEN import'!F222)</f>
        <v>C-14</v>
      </c>
      <c r="F223" t="str">
        <f>IF('HIDDEN import'!G222=0,"",'HIDDEN import'!G222)</f>
        <v/>
      </c>
      <c r="G223" s="95" t="str">
        <f>IFERROR(VLOOKUP($A223,'HIDDEN Testrun Results'!$A:$B,2,FALSE),"")</f>
        <v/>
      </c>
      <c r="H223" s="6" t="b">
        <f t="shared" si="3"/>
        <v>0</v>
      </c>
      <c r="I223" s="6" t="b">
        <f>IF(VLOOKUP(A223&amp;" "&amp;B223,'HIDDEN import'!A:G,5,FALSE)="M",TRUE,IFERROR(VLOOKUP(E223,'Optional features'!B:D,3,FALSE)="Yes",IFERROR(VLOOKUP(E223,'HIDDEN calc sheet'!A:B,2,FALSE),IFERROR(VLOOKUP(E223,'Additional questions'!B:D,3,FALSE)="Yes",VLOOKUP(E223,'Hardware Feature set'!B:D,3,FALSE)="No"))))</f>
        <v>0</v>
      </c>
      <c r="J223" s="6" t="b">
        <f>IF(VLOOKUP(B223,'Profile selection'!B:C,2,FALSE)="Yes",TRUE,FALSE)</f>
        <v>1</v>
      </c>
    </row>
    <row r="224" spans="1:10" x14ac:dyDescent="0.25">
      <c r="A224" t="str">
        <f>'HIDDEN import'!B223</f>
        <v>TC_P_01_CS</v>
      </c>
      <c r="B224" t="str">
        <f>'HIDDEN import'!C223</f>
        <v>Core</v>
      </c>
      <c r="C224" t="str">
        <f>'HIDDEN import'!D223</f>
        <v>Data Transfer to the Charging Station - Rejected / Unknown VendorId / Unknown MessageId</v>
      </c>
      <c r="D224" t="str">
        <f>IF(VLOOKUP(A224&amp;" "&amp;B224,'HIDDEN import'!A:G,5,FALSE)="M",MD!$A$1,(IF(AND(VLOOKUP(A224,'HIDDEN import'!B:E,4,FALSE)="C",OR(NOT(ISERROR(VLOOKUP(E224,'Optional features'!B:D,1,FALSE)=E224)),NOT(ISERROR(VLOOKUP(E224,'HIDDEN calc sheet'!A:C,1,FALSE)=E224)))),MD!$A$3,MD!$A$2)))</f>
        <v>Mandatory test for a mandatory feature</v>
      </c>
      <c r="E224" t="str">
        <f>IF('HIDDEN import'!F223=0,"",'HIDDEN import'!F223)</f>
        <v/>
      </c>
      <c r="F224" t="str">
        <f>IF('HIDDEN import'!G223=0,"",'HIDDEN import'!G223)</f>
        <v/>
      </c>
      <c r="G224" s="95" t="str">
        <f>IFERROR(VLOOKUP($A224,'HIDDEN Testrun Results'!$A:$B,2,FALSE),"")</f>
        <v/>
      </c>
      <c r="H224" s="6" t="b">
        <f t="shared" si="3"/>
        <v>1</v>
      </c>
      <c r="I224" s="6" t="b">
        <f>IF(VLOOKUP(A224&amp;" "&amp;B224,'HIDDEN import'!A:G,5,FALSE)="M",TRUE,IFERROR(VLOOKUP(E224,'Optional features'!B:D,3,FALSE)="Yes",IFERROR(VLOOKUP(E224,'HIDDEN calc sheet'!A:B,2,FALSE),IFERROR(VLOOKUP(E224,'Additional questions'!B:D,3,FALSE)="Yes",VLOOKUP(E224,'Hardware Feature set'!B:D,3,FALSE)="No"))))</f>
        <v>1</v>
      </c>
      <c r="J224" s="6" t="b">
        <f>IF(VLOOKUP(B224,'Profile selection'!B:C,2,FALSE)="Yes",TRUE,FALSE)</f>
        <v>1</v>
      </c>
    </row>
    <row r="225" spans="1:10" x14ac:dyDescent="0.25">
      <c r="A225" t="str">
        <f>'HIDDEN import'!B224</f>
        <v>TC_P_03_CS</v>
      </c>
      <c r="B225" t="str">
        <f>'HIDDEN import'!C224</f>
        <v>Core</v>
      </c>
      <c r="C225" t="str">
        <f>'HIDDEN import'!D224</f>
        <v>CustomData - Receive custom data</v>
      </c>
      <c r="D225" t="str">
        <f>IF(VLOOKUP(A225&amp;" "&amp;B225,'HIDDEN import'!A:G,5,FALSE)="M",MD!$A$1,(IF(AND(VLOOKUP(A225,'HIDDEN import'!B:E,4,FALSE)="C",OR(NOT(ISERROR(VLOOKUP(E225,'Optional features'!B:D,1,FALSE)=E225)),NOT(ISERROR(VLOOKUP(E225,'HIDDEN calc sheet'!A:C,1,FALSE)=E225)))),MD!$A$3,MD!$A$2)))</f>
        <v>Mandatory test for a mandatory feature</v>
      </c>
      <c r="E225" t="str">
        <f>IF('HIDDEN import'!F224=0,"",'HIDDEN import'!F224)</f>
        <v/>
      </c>
      <c r="F225" t="str">
        <f>IF('HIDDEN import'!G224=0,"",'HIDDEN import'!G224)</f>
        <v/>
      </c>
      <c r="G225" s="95" t="str">
        <f>IFERROR(VLOOKUP($A225,'HIDDEN Testrun Results'!$A:$B,2,FALSE),"")</f>
        <v/>
      </c>
      <c r="H225" s="6" t="b">
        <f t="shared" si="3"/>
        <v>1</v>
      </c>
      <c r="I225" s="6" t="b">
        <f>IF(VLOOKUP(A225&amp;" "&amp;B225,'HIDDEN import'!A:G,5,FALSE)="M",TRUE,IFERROR(VLOOKUP(E225,'Optional features'!B:D,3,FALSE)="Yes",IFERROR(VLOOKUP(E225,'HIDDEN calc sheet'!A:B,2,FALSE),IFERROR(VLOOKUP(E225,'Additional questions'!B:D,3,FALSE)="Yes",VLOOKUP(E225,'Hardware Feature set'!B:D,3,FALSE)="No"))))</f>
        <v>1</v>
      </c>
      <c r="J225" s="6" t="b">
        <f>IF(VLOOKUP(B225,'Profile selection'!B:C,2,FALSE)="Yes",TRUE,FALSE)</f>
        <v>1</v>
      </c>
    </row>
    <row r="226" spans="1:10" x14ac:dyDescent="0.25">
      <c r="A226" t="str">
        <f>'HIDDEN import'!B225</f>
        <v>TC_C_21_CS</v>
      </c>
      <c r="B226" t="str">
        <f>'HIDDEN import'!C225</f>
        <v>Core</v>
      </c>
      <c r="C226" t="str">
        <f>'HIDDEN import'!D225</f>
        <v>Offline authorization through local authorization list - Accepted</v>
      </c>
      <c r="D226" t="str">
        <f>IF(VLOOKUP(A226&amp;" "&amp;B226,'HIDDEN import'!A:G,5,FALSE)="M",MD!$A$1,(IF(AND(VLOOKUP(A226,'HIDDEN import'!B:E,4,FALSE)="C",OR(NOT(ISERROR(VLOOKUP(E226,'Optional features'!B:D,1,FALSE)=E226)),NOT(ISERROR(VLOOKUP(E226,'HIDDEN calc sheet'!A:C,1,FALSE)=E226)))),MD!$A$3,MD!$A$2)))</f>
        <v>Mandatory for optional feature</v>
      </c>
      <c r="E226" t="str">
        <f>IF('HIDDEN import'!F225=0,"",'HIDDEN import'!F225)</f>
        <v>LA-0 and ((C-30 and C-70) or (C-31 and C-71) or (C-32 and C-72))</v>
      </c>
      <c r="F226" t="str">
        <f>IF('HIDDEN import'!G225=0,"",'HIDDEN import'!G225)</f>
        <v/>
      </c>
      <c r="G226" s="95" t="str">
        <f>IFERROR(VLOOKUP($A226,'HIDDEN Testrun Results'!$A:$B,2,FALSE),"")</f>
        <v/>
      </c>
      <c r="H226" s="6" t="b">
        <f t="shared" si="3"/>
        <v>0</v>
      </c>
      <c r="I226" s="6" t="b">
        <f>IF(VLOOKUP(A226&amp;" "&amp;B226,'HIDDEN import'!A:G,5,FALSE)="M",TRUE,IFERROR(VLOOKUP(E226,'Optional features'!B:D,3,FALSE)="Yes",IFERROR(VLOOKUP(E226,'HIDDEN calc sheet'!A:B,2,FALSE),IFERROR(VLOOKUP(E226,'Additional questions'!B:D,3,FALSE)="Yes",VLOOKUP(E226,'Hardware Feature set'!B:D,3,FALSE)="No"))))</f>
        <v>0</v>
      </c>
      <c r="J226" s="6" t="b">
        <f>IF(VLOOKUP(B226,'Profile selection'!B:C,2,FALSE)="Yes",TRUE,FALSE)</f>
        <v>1</v>
      </c>
    </row>
    <row r="227" spans="1:10" x14ac:dyDescent="0.25">
      <c r="A227" t="str">
        <f>'HIDDEN import'!B226</f>
        <v>TC_C_22_CS</v>
      </c>
      <c r="B227" t="str">
        <f>'HIDDEN import'!C226</f>
        <v>Core</v>
      </c>
      <c r="C227" t="str">
        <f>'HIDDEN import'!D226</f>
        <v>Offline authorization through local authorization list - Invalid</v>
      </c>
      <c r="D227" t="str">
        <f>IF(VLOOKUP(A227&amp;" "&amp;B227,'HIDDEN import'!A:G,5,FALSE)="M",MD!$A$1,(IF(AND(VLOOKUP(A227,'HIDDEN import'!B:E,4,FALSE)="C",OR(NOT(ISERROR(VLOOKUP(E227,'Optional features'!B:D,1,FALSE)=E227)),NOT(ISERROR(VLOOKUP(E227,'HIDDEN calc sheet'!A:C,1,FALSE)=E227)))),MD!$A$3,MD!$A$2)))</f>
        <v>Mandatory for optional feature</v>
      </c>
      <c r="E227" t="str">
        <f>IF('HIDDEN import'!F226=0,"",'HIDDEN import'!F226)</f>
        <v>LA-0 and (C-30 or C-31 or C-32)</v>
      </c>
      <c r="F227" t="str">
        <f>IF('HIDDEN import'!G226=0,"",'HIDDEN import'!G226)</f>
        <v/>
      </c>
      <c r="G227" s="95" t="str">
        <f>IFERROR(VLOOKUP($A227,'HIDDEN Testrun Results'!$A:$B,2,FALSE),"")</f>
        <v/>
      </c>
      <c r="H227" s="6" t="b">
        <f t="shared" si="3"/>
        <v>0</v>
      </c>
      <c r="I227" s="6" t="b">
        <f>IF(VLOOKUP(A227&amp;" "&amp;B227,'HIDDEN import'!A:G,5,FALSE)="M",TRUE,IFERROR(VLOOKUP(E227,'Optional features'!B:D,3,FALSE)="Yes",IFERROR(VLOOKUP(E227,'HIDDEN calc sheet'!A:B,2,FALSE),IFERROR(VLOOKUP(E227,'Additional questions'!B:D,3,FALSE)="Yes",VLOOKUP(E227,'Hardware Feature set'!B:D,3,FALSE)="No"))))</f>
        <v>0</v>
      </c>
      <c r="J227" s="6" t="b">
        <f>IF(VLOOKUP(B227,'Profile selection'!B:C,2,FALSE)="Yes",TRUE,FALSE)</f>
        <v>1</v>
      </c>
    </row>
    <row r="228" spans="1:10" x14ac:dyDescent="0.25">
      <c r="A228" t="str">
        <f>'HIDDEN import'!B227</f>
        <v>TC_C_23_CS</v>
      </c>
      <c r="B228" t="str">
        <f>'HIDDEN import'!C227</f>
        <v>Core</v>
      </c>
      <c r="C228" t="str">
        <f>'HIDDEN import'!D227</f>
        <v>Offline authorization through local authorization list - Blocked</v>
      </c>
      <c r="D228" t="str">
        <f>IF(VLOOKUP(A228&amp;" "&amp;B228,'HIDDEN import'!A:G,5,FALSE)="M",MD!$A$1,(IF(AND(VLOOKUP(A228,'HIDDEN import'!B:E,4,FALSE)="C",OR(NOT(ISERROR(VLOOKUP(E228,'Optional features'!B:D,1,FALSE)=E228)),NOT(ISERROR(VLOOKUP(E228,'HIDDEN calc sheet'!A:C,1,FALSE)=E228)))),MD!$A$3,MD!$A$2)))</f>
        <v>Mandatory for optional feature</v>
      </c>
      <c r="E228" t="str">
        <f>IF('HIDDEN import'!F227=0,"",'HIDDEN import'!F227)</f>
        <v>LA-0 and (C-30 or C-31 or C-32)</v>
      </c>
      <c r="F228" t="str">
        <f>IF('HIDDEN import'!G227=0,"",'HIDDEN import'!G227)</f>
        <v/>
      </c>
      <c r="G228" s="95" t="str">
        <f>IFERROR(VLOOKUP($A228,'HIDDEN Testrun Results'!$A:$B,2,FALSE),"")</f>
        <v/>
      </c>
      <c r="H228" s="6" t="b">
        <f t="shared" si="3"/>
        <v>0</v>
      </c>
      <c r="I228" s="6" t="b">
        <f>IF(VLOOKUP(A228&amp;" "&amp;B228,'HIDDEN import'!A:G,5,FALSE)="M",TRUE,IFERROR(VLOOKUP(E228,'Optional features'!B:D,3,FALSE)="Yes",IFERROR(VLOOKUP(E228,'HIDDEN calc sheet'!A:B,2,FALSE),IFERROR(VLOOKUP(E228,'Additional questions'!B:D,3,FALSE)="Yes",VLOOKUP(E228,'Hardware Feature set'!B:D,3,FALSE)="No"))))</f>
        <v>0</v>
      </c>
      <c r="J228" s="6" t="b">
        <f>IF(VLOOKUP(B228,'Profile selection'!B:C,2,FALSE)="Yes",TRUE,FALSE)</f>
        <v>1</v>
      </c>
    </row>
    <row r="229" spans="1:10" x14ac:dyDescent="0.25">
      <c r="A229" t="str">
        <f>'HIDDEN import'!B228</f>
        <v>TC_C_24_CS</v>
      </c>
      <c r="B229" t="str">
        <f>'HIDDEN import'!C228</f>
        <v>Core</v>
      </c>
      <c r="C229" t="str">
        <f>'HIDDEN import'!D228</f>
        <v>Offline authorization through local authorization list - Expired</v>
      </c>
      <c r="D229" t="str">
        <f>IF(VLOOKUP(A229&amp;" "&amp;B229,'HIDDEN import'!A:G,5,FALSE)="M",MD!$A$1,(IF(AND(VLOOKUP(A229,'HIDDEN import'!B:E,4,FALSE)="C",OR(NOT(ISERROR(VLOOKUP(E229,'Optional features'!B:D,1,FALSE)=E229)),NOT(ISERROR(VLOOKUP(E229,'HIDDEN calc sheet'!A:C,1,FALSE)=E229)))),MD!$A$3,MD!$A$2)))</f>
        <v>Mandatory for optional feature</v>
      </c>
      <c r="E229" t="str">
        <f>IF('HIDDEN import'!F228=0,"",'HIDDEN import'!F228)</f>
        <v>LA-0 and (C-30 or C-31 or C-32)</v>
      </c>
      <c r="F229" t="str">
        <f>IF('HIDDEN import'!G228=0,"",'HIDDEN import'!G228)</f>
        <v/>
      </c>
      <c r="G229" s="95" t="str">
        <f>IFERROR(VLOOKUP($A229,'HIDDEN Testrun Results'!$A:$B,2,FALSE),"")</f>
        <v/>
      </c>
      <c r="H229" s="6" t="b">
        <f t="shared" si="3"/>
        <v>0</v>
      </c>
      <c r="I229" s="6" t="b">
        <f>IF(VLOOKUP(A229&amp;" "&amp;B229,'HIDDEN import'!A:G,5,FALSE)="M",TRUE,IFERROR(VLOOKUP(E229,'Optional features'!B:D,3,FALSE)="Yes",IFERROR(VLOOKUP(E229,'HIDDEN calc sheet'!A:B,2,FALSE),IFERROR(VLOOKUP(E229,'Additional questions'!B:D,3,FALSE)="Yes",VLOOKUP(E229,'Hardware Feature set'!B:D,3,FALSE)="No"))))</f>
        <v>0</v>
      </c>
      <c r="J229" s="6" t="b">
        <f>IF(VLOOKUP(B229,'Profile selection'!B:C,2,FALSE)="Yes",TRUE,FALSE)</f>
        <v>1</v>
      </c>
    </row>
    <row r="230" spans="1:10" x14ac:dyDescent="0.25">
      <c r="A230" t="str">
        <f>'HIDDEN import'!B229</f>
        <v>TC_C_25_CS</v>
      </c>
      <c r="B230" t="str">
        <f>'HIDDEN import'!C229</f>
        <v>Core</v>
      </c>
      <c r="C230" t="str">
        <f>'HIDDEN import'!D229</f>
        <v>Offline authorization through local authorization list - Local Authorization List &gt; Authorization Cache</v>
      </c>
      <c r="D230" t="str">
        <f>IF(VLOOKUP(A230&amp;" "&amp;B230,'HIDDEN import'!A:G,5,FALSE)="M",MD!$A$1,(IF(AND(VLOOKUP(A230,'HIDDEN import'!B:E,4,FALSE)="C",OR(NOT(ISERROR(VLOOKUP(E230,'Optional features'!B:D,1,FALSE)=E230)),NOT(ISERROR(VLOOKUP(E230,'HIDDEN calc sheet'!A:C,1,FALSE)=E230)))),MD!$A$3,MD!$A$2)))</f>
        <v>Mandatory for optional feature</v>
      </c>
      <c r="E230" t="str">
        <f>IF('HIDDEN import'!F229=0,"",'HIDDEN import'!F229)</f>
        <v>LA-0 and C-49 and (C-30 or C-31 or (C-32 and C-72))</v>
      </c>
      <c r="F230" t="str">
        <f>IF('HIDDEN import'!G229=0,"",'HIDDEN import'!G229)</f>
        <v/>
      </c>
      <c r="G230" s="95" t="str">
        <f>IFERROR(VLOOKUP($A230,'HIDDEN Testrun Results'!$A:$B,2,FALSE),"")</f>
        <v/>
      </c>
      <c r="H230" s="6" t="b">
        <f t="shared" si="3"/>
        <v>0</v>
      </c>
      <c r="I230" s="6" t="b">
        <f>IF(VLOOKUP(A230&amp;" "&amp;B230,'HIDDEN import'!A:G,5,FALSE)="M",TRUE,IFERROR(VLOOKUP(E230,'Optional features'!B:D,3,FALSE)="Yes",IFERROR(VLOOKUP(E230,'HIDDEN calc sheet'!A:B,2,FALSE),IFERROR(VLOOKUP(E230,'Additional questions'!B:D,3,FALSE)="Yes",VLOOKUP(E230,'Hardware Feature set'!B:D,3,FALSE)="No"))))</f>
        <v>0</v>
      </c>
      <c r="J230" s="6" t="b">
        <f>IF(VLOOKUP(B230,'Profile selection'!B:C,2,FALSE)="Yes",TRUE,FALSE)</f>
        <v>1</v>
      </c>
    </row>
    <row r="231" spans="1:10" x14ac:dyDescent="0.25">
      <c r="A231" t="str">
        <f>'HIDDEN import'!B230</f>
        <v>TC_C_27_CS</v>
      </c>
      <c r="B231" t="str">
        <f>'HIDDEN import'!C230</f>
        <v>Core</v>
      </c>
      <c r="C231" t="str">
        <f>'HIDDEN import'!D230</f>
        <v>Online authorization through local authorization list - Accepted</v>
      </c>
      <c r="D231" t="str">
        <f>IF(VLOOKUP(A231&amp;" "&amp;B231,'HIDDEN import'!A:G,5,FALSE)="M",MD!$A$1,(IF(AND(VLOOKUP(A231,'HIDDEN import'!B:E,4,FALSE)="C",OR(NOT(ISERROR(VLOOKUP(E231,'Optional features'!B:D,1,FALSE)=E231)),NOT(ISERROR(VLOOKUP(E231,'HIDDEN calc sheet'!A:C,1,FALSE)=E231)))),MD!$A$3,MD!$A$2)))</f>
        <v>Mandatory for optional feature</v>
      </c>
      <c r="E231" t="str">
        <f>IF('HIDDEN import'!F230=0,"",'HIDDEN import'!F230)</f>
        <v>LA-0</v>
      </c>
      <c r="F231" t="str">
        <f>IF('HIDDEN import'!G230=0,"",'HIDDEN import'!G230)</f>
        <v/>
      </c>
      <c r="G231" s="95" t="str">
        <f>IFERROR(VLOOKUP($A231,'HIDDEN Testrun Results'!$A:$B,2,FALSE),"")</f>
        <v/>
      </c>
      <c r="H231" s="6" t="b">
        <f t="shared" si="3"/>
        <v>0</v>
      </c>
      <c r="I231" s="6" t="b">
        <f>IF(VLOOKUP(A231&amp;" "&amp;B231,'HIDDEN import'!A:G,5,FALSE)="M",TRUE,IFERROR(VLOOKUP(E231,'Optional features'!B:D,3,FALSE)="Yes",IFERROR(VLOOKUP(E231,'HIDDEN calc sheet'!A:B,2,FALSE),IFERROR(VLOOKUP(E231,'Additional questions'!B:D,3,FALSE)="Yes",VLOOKUP(E231,'Hardware Feature set'!B:D,3,FALSE)="No"))))</f>
        <v>0</v>
      </c>
      <c r="J231" s="6" t="b">
        <f>IF(VLOOKUP(B231,'Profile selection'!B:C,2,FALSE)="Yes",TRUE,FALSE)</f>
        <v>1</v>
      </c>
    </row>
    <row r="232" spans="1:10" x14ac:dyDescent="0.25">
      <c r="A232" t="str">
        <f>'HIDDEN import'!B231</f>
        <v>TC_C_28_CS</v>
      </c>
      <c r="B232" t="str">
        <f>'HIDDEN import'!C231</f>
        <v>Core</v>
      </c>
      <c r="C232" t="str">
        <f>'HIDDEN import'!D231</f>
        <v>Online authorization through local authorization list - Invalid &amp; Not Accepted</v>
      </c>
      <c r="D232" t="str">
        <f>IF(VLOOKUP(A232&amp;" "&amp;B232,'HIDDEN import'!A:G,5,FALSE)="M",MD!$A$1,(IF(AND(VLOOKUP(A232,'HIDDEN import'!B:E,4,FALSE)="C",OR(NOT(ISERROR(VLOOKUP(E232,'Optional features'!B:D,1,FALSE)=E232)),NOT(ISERROR(VLOOKUP(E232,'HIDDEN calc sheet'!A:C,1,FALSE)=E232)))),MD!$A$3,MD!$A$2)))</f>
        <v>Mandatory for optional feature</v>
      </c>
      <c r="E232" t="str">
        <f>IF('HIDDEN import'!F231=0,"",'HIDDEN import'!F231)</f>
        <v>LA-0</v>
      </c>
      <c r="F232" t="str">
        <f>IF('HIDDEN import'!G231=0,"",'HIDDEN import'!G231)</f>
        <v/>
      </c>
      <c r="G232" s="95" t="str">
        <f>IFERROR(VLOOKUP($A232,'HIDDEN Testrun Results'!$A:$B,2,FALSE),"")</f>
        <v/>
      </c>
      <c r="H232" s="6" t="b">
        <f t="shared" si="3"/>
        <v>0</v>
      </c>
      <c r="I232" s="6" t="b">
        <f>IF(VLOOKUP(A232&amp;" "&amp;B232,'HIDDEN import'!A:G,5,FALSE)="M",TRUE,IFERROR(VLOOKUP(E232,'Optional features'!B:D,3,FALSE)="Yes",IFERROR(VLOOKUP(E232,'HIDDEN calc sheet'!A:B,2,FALSE),IFERROR(VLOOKUP(E232,'Additional questions'!B:D,3,FALSE)="Yes",VLOOKUP(E232,'Hardware Feature set'!B:D,3,FALSE)="No"))))</f>
        <v>0</v>
      </c>
      <c r="J232" s="6" t="b">
        <f>IF(VLOOKUP(B232,'Profile selection'!B:C,2,FALSE)="Yes",TRUE,FALSE)</f>
        <v>1</v>
      </c>
    </row>
    <row r="233" spans="1:10" x14ac:dyDescent="0.25">
      <c r="A233" t="str">
        <f>'HIDDEN import'!B232</f>
        <v>TC_C_31_CS</v>
      </c>
      <c r="B233" t="str">
        <f>'HIDDEN import'!C232</f>
        <v>Core</v>
      </c>
      <c r="C233" t="str">
        <f>'HIDDEN import'!D232</f>
        <v>Online authorization through local authorization list - Invalid &amp; Accepted</v>
      </c>
      <c r="D233" t="str">
        <f>IF(VLOOKUP(A233&amp;" "&amp;B233,'HIDDEN import'!A:G,5,FALSE)="M",MD!$A$1,(IF(AND(VLOOKUP(A233,'HIDDEN import'!B:E,4,FALSE)="C",OR(NOT(ISERROR(VLOOKUP(E233,'Optional features'!B:D,1,FALSE)=E233)),NOT(ISERROR(VLOOKUP(E233,'HIDDEN calc sheet'!A:C,1,FALSE)=E233)))),MD!$A$3,MD!$A$2)))</f>
        <v>Mandatory for optional feature</v>
      </c>
      <c r="E233" t="str">
        <f>IF('HIDDEN import'!F232=0,"",'HIDDEN import'!F232)</f>
        <v>LA-0</v>
      </c>
      <c r="F233" t="str">
        <f>IF('HIDDEN import'!G232=0,"",'HIDDEN import'!G232)</f>
        <v/>
      </c>
      <c r="G233" s="95" t="str">
        <f>IFERROR(VLOOKUP($A233,'HIDDEN Testrun Results'!$A:$B,2,FALSE),"")</f>
        <v/>
      </c>
      <c r="H233" s="6" t="b">
        <f t="shared" si="3"/>
        <v>0</v>
      </c>
      <c r="I233" s="6" t="b">
        <f>IF(VLOOKUP(A233&amp;" "&amp;B233,'HIDDEN import'!A:G,5,FALSE)="M",TRUE,IFERROR(VLOOKUP(E233,'Optional features'!B:D,3,FALSE)="Yes",IFERROR(VLOOKUP(E233,'HIDDEN calc sheet'!A:B,2,FALSE),IFERROR(VLOOKUP(E233,'Additional questions'!B:D,3,FALSE)="Yes",VLOOKUP(E233,'Hardware Feature set'!B:D,3,FALSE)="No"))))</f>
        <v>0</v>
      </c>
      <c r="J233" s="6" t="b">
        <f>IF(VLOOKUP(B233,'Profile selection'!B:C,2,FALSE)="Yes",TRUE,FALSE)</f>
        <v>1</v>
      </c>
    </row>
    <row r="234" spans="1:10" x14ac:dyDescent="0.25">
      <c r="A234" t="str">
        <f>'HIDDEN import'!B233</f>
        <v>TC_C_29_CS</v>
      </c>
      <c r="B234" t="str">
        <f>'HIDDEN import'!C233</f>
        <v>Core</v>
      </c>
      <c r="C234" t="str">
        <f>'HIDDEN import'!D233</f>
        <v>Online authorization through local authorization list - Blocked</v>
      </c>
      <c r="D234" t="str">
        <f>IF(VLOOKUP(A234&amp;" "&amp;B234,'HIDDEN import'!A:G,5,FALSE)="M",MD!$A$1,(IF(AND(VLOOKUP(A234,'HIDDEN import'!B:E,4,FALSE)="C",OR(NOT(ISERROR(VLOOKUP(E234,'Optional features'!B:D,1,FALSE)=E234)),NOT(ISERROR(VLOOKUP(E234,'HIDDEN calc sheet'!A:C,1,FALSE)=E234)))),MD!$A$3,MD!$A$2)))</f>
        <v>Mandatory for optional feature</v>
      </c>
      <c r="E234" t="str">
        <f>IF('HIDDEN import'!F233=0,"",'HIDDEN import'!F233)</f>
        <v>LA-0</v>
      </c>
      <c r="F234" t="str">
        <f>IF('HIDDEN import'!G233=0,"",'HIDDEN import'!G233)</f>
        <v/>
      </c>
      <c r="G234" s="95" t="str">
        <f>IFERROR(VLOOKUP($A234,'HIDDEN Testrun Results'!$A:$B,2,FALSE),"")</f>
        <v/>
      </c>
      <c r="H234" s="6" t="b">
        <f t="shared" si="3"/>
        <v>0</v>
      </c>
      <c r="I234" s="6" t="b">
        <f>IF(VLOOKUP(A234&amp;" "&amp;B234,'HIDDEN import'!A:G,5,FALSE)="M",TRUE,IFERROR(VLOOKUP(E234,'Optional features'!B:D,3,FALSE)="Yes",IFERROR(VLOOKUP(E234,'HIDDEN calc sheet'!A:B,2,FALSE),IFERROR(VLOOKUP(E234,'Additional questions'!B:D,3,FALSE)="Yes",VLOOKUP(E234,'Hardware Feature set'!B:D,3,FALSE)="No"))))</f>
        <v>0</v>
      </c>
      <c r="J234" s="6" t="b">
        <f>IF(VLOOKUP(B234,'Profile selection'!B:C,2,FALSE)="Yes",TRUE,FALSE)</f>
        <v>1</v>
      </c>
    </row>
    <row r="235" spans="1:10" x14ac:dyDescent="0.25">
      <c r="A235" t="str">
        <f>'HIDDEN import'!B234</f>
        <v>TC_C_30_CS</v>
      </c>
      <c r="B235" t="str">
        <f>'HIDDEN import'!C234</f>
        <v>Core</v>
      </c>
      <c r="C235" t="str">
        <f>'HIDDEN import'!D234</f>
        <v>Online authorization through local authorization list - Expired</v>
      </c>
      <c r="D235" t="str">
        <f>IF(VLOOKUP(A235&amp;" "&amp;B235,'HIDDEN import'!A:G,5,FALSE)="M",MD!$A$1,(IF(AND(VLOOKUP(A235,'HIDDEN import'!B:E,4,FALSE)="C",OR(NOT(ISERROR(VLOOKUP(E235,'Optional features'!B:D,1,FALSE)=E235)),NOT(ISERROR(VLOOKUP(E235,'HIDDEN calc sheet'!A:C,1,FALSE)=E235)))),MD!$A$3,MD!$A$2)))</f>
        <v>Mandatory for optional feature</v>
      </c>
      <c r="E235" t="str">
        <f>IF('HIDDEN import'!F234=0,"",'HIDDEN import'!F234)</f>
        <v>LA-0</v>
      </c>
      <c r="F235" t="str">
        <f>IF('HIDDEN import'!G234=0,"",'HIDDEN import'!G234)</f>
        <v/>
      </c>
      <c r="G235" s="95" t="str">
        <f>IFERROR(VLOOKUP($A235,'HIDDEN Testrun Results'!$A:$B,2,FALSE),"")</f>
        <v/>
      </c>
      <c r="H235" s="6" t="b">
        <f t="shared" si="3"/>
        <v>0</v>
      </c>
      <c r="I235" s="6" t="b">
        <f>IF(VLOOKUP(A235&amp;" "&amp;B235,'HIDDEN import'!A:G,5,FALSE)="M",TRUE,IFERROR(VLOOKUP(E235,'Optional features'!B:D,3,FALSE)="Yes",IFERROR(VLOOKUP(E235,'HIDDEN calc sheet'!A:B,2,FALSE),IFERROR(VLOOKUP(E235,'Additional questions'!B:D,3,FALSE)="Yes",VLOOKUP(E235,'Hardware Feature set'!B:D,3,FALSE)="No"))))</f>
        <v>0</v>
      </c>
      <c r="J235" s="6" t="b">
        <f>IF(VLOOKUP(B235,'Profile selection'!B:C,2,FALSE)="Yes",TRUE,FALSE)</f>
        <v>1</v>
      </c>
    </row>
    <row r="236" spans="1:10" x14ac:dyDescent="0.25">
      <c r="A236" t="str">
        <f>'HIDDEN import'!B235</f>
        <v>TC_C_58_CS</v>
      </c>
      <c r="B236" t="str">
        <f>'HIDDEN import'!C235</f>
        <v>Core</v>
      </c>
      <c r="C236" t="str">
        <f>'HIDDEN import'!D235</f>
        <v>Online authorization through local authorization list - LocalAuthListDisablePostAuthorize</v>
      </c>
      <c r="D236" t="str">
        <f>IF(VLOOKUP(A236&amp;" "&amp;B236,'HIDDEN import'!A:G,5,FALSE)="M",MD!$A$1,(IF(AND(VLOOKUP(A236,'HIDDEN import'!B:E,4,FALSE)="C",OR(NOT(ISERROR(VLOOKUP(E236,'Optional features'!B:D,1,FALSE)=E236)),NOT(ISERROR(VLOOKUP(E236,'HIDDEN calc sheet'!A:C,1,FALSE)=E236)))),MD!$A$3,MD!$A$2)))</f>
        <v>Mandatory for optional feature</v>
      </c>
      <c r="E236" t="str">
        <f>IF('HIDDEN import'!F235=0,"",'HIDDEN import'!F235)</f>
        <v>LA-0 and LA-3</v>
      </c>
      <c r="F236" t="str">
        <f>IF('HIDDEN import'!G235=0,"",'HIDDEN import'!G235)</f>
        <v/>
      </c>
      <c r="G236" s="95" t="str">
        <f>IFERROR(VLOOKUP($A236,'HIDDEN Testrun Results'!$A:$B,2,FALSE),"")</f>
        <v/>
      </c>
      <c r="H236" s="6" t="b">
        <f t="shared" si="3"/>
        <v>0</v>
      </c>
      <c r="I236" s="6" t="b">
        <f>IF(VLOOKUP(A236&amp;" "&amp;B236,'HIDDEN import'!A:G,5,FALSE)="M",TRUE,IFERROR(VLOOKUP(E236,'Optional features'!B:D,3,FALSE)="Yes",IFERROR(VLOOKUP(E236,'HIDDEN calc sheet'!A:B,2,FALSE),IFERROR(VLOOKUP(E236,'Additional questions'!B:D,3,FALSE)="Yes",VLOOKUP(E236,'Hardware Feature set'!B:D,3,FALSE)="No"))))</f>
        <v>0</v>
      </c>
      <c r="J236" s="6" t="b">
        <f>IF(VLOOKUP(B236,'Profile selection'!B:C,2,FALSE)="Yes",TRUE,FALSE)</f>
        <v>1</v>
      </c>
    </row>
    <row r="237" spans="1:10" x14ac:dyDescent="0.25">
      <c r="A237" t="str">
        <f>'HIDDEN import'!B236</f>
        <v>TC_C_40_CS</v>
      </c>
      <c r="B237" t="str">
        <f>'HIDDEN import'!C236</f>
        <v>Core</v>
      </c>
      <c r="C237" t="str">
        <f>'HIDDEN import'!D236</f>
        <v>Authorization by GroupId - Success with Local Authorization List</v>
      </c>
      <c r="D237" t="str">
        <f>IF(VLOOKUP(A237&amp;" "&amp;B237,'HIDDEN import'!A:G,5,FALSE)="M",MD!$A$1,(IF(AND(VLOOKUP(A237,'HIDDEN import'!B:E,4,FALSE)="C",OR(NOT(ISERROR(VLOOKUP(E237,'Optional features'!B:D,1,FALSE)=E237)),NOT(ISERROR(VLOOKUP(E237,'HIDDEN calc sheet'!A:C,1,FALSE)=E237)))),MD!$A$3,MD!$A$2)))</f>
        <v>Mandatory for optional feature</v>
      </c>
      <c r="E237" t="str">
        <f>IF('HIDDEN import'!F236=0,"",'HIDDEN import'!F236)</f>
        <v>LA-0 and ((C-30 and C-70) or (C-31 and C-71) or (C-32 and C-72))</v>
      </c>
      <c r="F237" t="str">
        <f>IF('HIDDEN import'!G236=0,"",'HIDDEN import'!G236)</f>
        <v/>
      </c>
      <c r="G237" s="95" t="str">
        <f>IFERROR(VLOOKUP($A237,'HIDDEN Testrun Results'!$A:$B,2,FALSE),"")</f>
        <v/>
      </c>
      <c r="H237" s="6" t="b">
        <f t="shared" si="3"/>
        <v>0</v>
      </c>
      <c r="I237" s="6" t="b">
        <f>IF(VLOOKUP(A237&amp;" "&amp;B237,'HIDDEN import'!A:G,5,FALSE)="M",TRUE,IFERROR(VLOOKUP(E237,'Optional features'!B:D,3,FALSE)="Yes",IFERROR(VLOOKUP(E237,'HIDDEN calc sheet'!A:B,2,FALSE),IFERROR(VLOOKUP(E237,'Additional questions'!B:D,3,FALSE)="Yes",VLOOKUP(E237,'Hardware Feature set'!B:D,3,FALSE)="No"))))</f>
        <v>0</v>
      </c>
      <c r="J237" s="6" t="b">
        <f>IF(VLOOKUP(B237,'Profile selection'!B:C,2,FALSE)="Yes",TRUE,FALSE)</f>
        <v>1</v>
      </c>
    </row>
    <row r="238" spans="1:10" x14ac:dyDescent="0.25">
      <c r="A238" t="str">
        <f>'HIDDEN import'!B237</f>
        <v>TC_C_43_CS</v>
      </c>
      <c r="B238" t="str">
        <f>'HIDDEN import'!C237</f>
        <v>Core</v>
      </c>
      <c r="C238" t="str">
        <f>'HIDDEN import'!D237</f>
        <v>Authorization by GroupId - Invalid status with Local Authorization List</v>
      </c>
      <c r="D238" t="str">
        <f>IF(VLOOKUP(A238&amp;" "&amp;B238,'HIDDEN import'!A:G,5,FALSE)="M",MD!$A$1,(IF(AND(VLOOKUP(A238,'HIDDEN import'!B:E,4,FALSE)="C",OR(NOT(ISERROR(VLOOKUP(E238,'Optional features'!B:D,1,FALSE)=E238)),NOT(ISERROR(VLOOKUP(E238,'HIDDEN calc sheet'!A:C,1,FALSE)=E238)))),MD!$A$3,MD!$A$2)))</f>
        <v>Mandatory for optional feature</v>
      </c>
      <c r="E238" t="str">
        <f>IF('HIDDEN import'!F237=0,"",'HIDDEN import'!F237)</f>
        <v>LA-0 and ((C-30 and C-70) or (C-31 and C-71) or (C-32 and C-72))</v>
      </c>
      <c r="F238" t="str">
        <f>IF('HIDDEN import'!G237=0,"",'HIDDEN import'!G237)</f>
        <v/>
      </c>
      <c r="G238" s="95" t="str">
        <f>IFERROR(VLOOKUP($A238,'HIDDEN Testrun Results'!$A:$B,2,FALSE),"")</f>
        <v/>
      </c>
      <c r="H238" s="6" t="b">
        <f t="shared" si="3"/>
        <v>0</v>
      </c>
      <c r="I238" s="6" t="b">
        <f>IF(VLOOKUP(A238&amp;" "&amp;B238,'HIDDEN import'!A:G,5,FALSE)="M",TRUE,IFERROR(VLOOKUP(E238,'Optional features'!B:D,3,FALSE)="Yes",IFERROR(VLOOKUP(E238,'HIDDEN calc sheet'!A:B,2,FALSE),IFERROR(VLOOKUP(E238,'Additional questions'!B:D,3,FALSE)="Yes",VLOOKUP(E238,'Hardware Feature set'!B:D,3,FALSE)="No"))))</f>
        <v>0</v>
      </c>
      <c r="J238" s="6" t="b">
        <f>IF(VLOOKUP(B238,'Profile selection'!B:C,2,FALSE)="Yes",TRUE,FALSE)</f>
        <v>1</v>
      </c>
    </row>
    <row r="239" spans="1:10" x14ac:dyDescent="0.25">
      <c r="A239" t="str">
        <f>'HIDDEN import'!B238</f>
        <v>TC_D_01_CS</v>
      </c>
      <c r="B239" t="str">
        <f>'HIDDEN import'!C238</f>
        <v>Core</v>
      </c>
      <c r="C239" t="str">
        <f>'HIDDEN import'!D238</f>
        <v>Send Local Authorization List - Full</v>
      </c>
      <c r="D239" t="str">
        <f>IF(VLOOKUP(A239&amp;" "&amp;B239,'HIDDEN import'!A:G,5,FALSE)="M",MD!$A$1,(IF(AND(VLOOKUP(A239,'HIDDEN import'!B:E,4,FALSE)="C",OR(NOT(ISERROR(VLOOKUP(E239,'Optional features'!B:D,1,FALSE)=E239)),NOT(ISERROR(VLOOKUP(E239,'HIDDEN calc sheet'!A:C,1,FALSE)=E239)))),MD!$A$3,MD!$A$2)))</f>
        <v>Mandatory for optional feature</v>
      </c>
      <c r="E239" t="str">
        <f>IF('HIDDEN import'!F238=0,"",'HIDDEN import'!F238)</f>
        <v>LA-0</v>
      </c>
      <c r="F239" t="str">
        <f>IF('HIDDEN import'!G238=0,"",'HIDDEN import'!G238)</f>
        <v/>
      </c>
      <c r="G239" s="95" t="str">
        <f>IFERROR(VLOOKUP($A239,'HIDDEN Testrun Results'!$A:$B,2,FALSE),"")</f>
        <v/>
      </c>
      <c r="H239" s="6" t="b">
        <f t="shared" si="3"/>
        <v>0</v>
      </c>
      <c r="I239" s="6" t="b">
        <f>IF(VLOOKUP(A239&amp;" "&amp;B239,'HIDDEN import'!A:G,5,FALSE)="M",TRUE,IFERROR(VLOOKUP(E239,'Optional features'!B:D,3,FALSE)="Yes",IFERROR(VLOOKUP(E239,'HIDDEN calc sheet'!A:B,2,FALSE),IFERROR(VLOOKUP(E239,'Additional questions'!B:D,3,FALSE)="Yes",VLOOKUP(E239,'Hardware Feature set'!B:D,3,FALSE)="No"))))</f>
        <v>0</v>
      </c>
      <c r="J239" s="6" t="b">
        <f>IF(VLOOKUP(B239,'Profile selection'!B:C,2,FALSE)="Yes",TRUE,FALSE)</f>
        <v>1</v>
      </c>
    </row>
    <row r="240" spans="1:10" x14ac:dyDescent="0.25">
      <c r="A240" t="str">
        <f>'HIDDEN import'!B239</f>
        <v>TC_D_02_CS</v>
      </c>
      <c r="B240" t="str">
        <f>'HIDDEN import'!C239</f>
        <v>Core</v>
      </c>
      <c r="C240" t="str">
        <f>'HIDDEN import'!D239</f>
        <v>Send Local Authorization List - Differential Update</v>
      </c>
      <c r="D240" t="str">
        <f>IF(VLOOKUP(A240&amp;" "&amp;B240,'HIDDEN import'!A:G,5,FALSE)="M",MD!$A$1,(IF(AND(VLOOKUP(A240,'HIDDEN import'!B:E,4,FALSE)="C",OR(NOT(ISERROR(VLOOKUP(E240,'Optional features'!B:D,1,FALSE)=E240)),NOT(ISERROR(VLOOKUP(E240,'HIDDEN calc sheet'!A:C,1,FALSE)=E240)))),MD!$A$3,MD!$A$2)))</f>
        <v>Mandatory for optional feature</v>
      </c>
      <c r="E240" t="str">
        <f>IF('HIDDEN import'!F239=0,"",'HIDDEN import'!F239)</f>
        <v>LA-0</v>
      </c>
      <c r="F240" t="str">
        <f>IF('HIDDEN import'!G239=0,"",'HIDDEN import'!G239)</f>
        <v/>
      </c>
      <c r="G240" s="95" t="str">
        <f>IFERROR(VLOOKUP($A240,'HIDDEN Testrun Results'!$A:$B,2,FALSE),"")</f>
        <v/>
      </c>
      <c r="H240" s="6" t="b">
        <f t="shared" si="3"/>
        <v>0</v>
      </c>
      <c r="I240" s="6" t="b">
        <f>IF(VLOOKUP(A240&amp;" "&amp;B240,'HIDDEN import'!A:G,5,FALSE)="M",TRUE,IFERROR(VLOOKUP(E240,'Optional features'!B:D,3,FALSE)="Yes",IFERROR(VLOOKUP(E240,'HIDDEN calc sheet'!A:B,2,FALSE),IFERROR(VLOOKUP(E240,'Additional questions'!B:D,3,FALSE)="Yes",VLOOKUP(E240,'Hardware Feature set'!B:D,3,FALSE)="No"))))</f>
        <v>0</v>
      </c>
      <c r="J240" s="6" t="b">
        <f>IF(VLOOKUP(B240,'Profile selection'!B:C,2,FALSE)="Yes",TRUE,FALSE)</f>
        <v>1</v>
      </c>
    </row>
    <row r="241" spans="1:10" x14ac:dyDescent="0.25">
      <c r="A241" t="str">
        <f>'HIDDEN import'!B240</f>
        <v>TC_D_03_CS</v>
      </c>
      <c r="B241" t="str">
        <f>'HIDDEN import'!C240</f>
        <v>Core</v>
      </c>
      <c r="C241" t="str">
        <f>'HIDDEN import'!D240</f>
        <v>Send Local Authorization List - Differential Remove</v>
      </c>
      <c r="D241" t="str">
        <f>IF(VLOOKUP(A241&amp;" "&amp;B241,'HIDDEN import'!A:G,5,FALSE)="M",MD!$A$1,(IF(AND(VLOOKUP(A241,'HIDDEN import'!B:E,4,FALSE)="C",OR(NOT(ISERROR(VLOOKUP(E241,'Optional features'!B:D,1,FALSE)=E241)),NOT(ISERROR(VLOOKUP(E241,'HIDDEN calc sheet'!A:C,1,FALSE)=E241)))),MD!$A$3,MD!$A$2)))</f>
        <v>Mandatory for optional feature</v>
      </c>
      <c r="E241" t="str">
        <f>IF('HIDDEN import'!F240=0,"",'HIDDEN import'!F240)</f>
        <v>LA-0</v>
      </c>
      <c r="F241" t="str">
        <f>IF('HIDDEN import'!G240=0,"",'HIDDEN import'!G240)</f>
        <v/>
      </c>
      <c r="G241" s="95" t="str">
        <f>IFERROR(VLOOKUP($A241,'HIDDEN Testrun Results'!$A:$B,2,FALSE),"")</f>
        <v/>
      </c>
      <c r="H241" s="6" t="b">
        <f t="shared" si="3"/>
        <v>0</v>
      </c>
      <c r="I241" s="6" t="b">
        <f>IF(VLOOKUP(A241&amp;" "&amp;B241,'HIDDEN import'!A:G,5,FALSE)="M",TRUE,IFERROR(VLOOKUP(E241,'Optional features'!B:D,3,FALSE)="Yes",IFERROR(VLOOKUP(E241,'HIDDEN calc sheet'!A:B,2,FALSE),IFERROR(VLOOKUP(E241,'Additional questions'!B:D,3,FALSE)="Yes",VLOOKUP(E241,'Hardware Feature set'!B:D,3,FALSE)="No"))))</f>
        <v>0</v>
      </c>
      <c r="J241" s="6" t="b">
        <f>IF(VLOOKUP(B241,'Profile selection'!B:C,2,FALSE)="Yes",TRUE,FALSE)</f>
        <v>1</v>
      </c>
    </row>
    <row r="242" spans="1:10" x14ac:dyDescent="0.25">
      <c r="A242" t="str">
        <f>'HIDDEN import'!B241</f>
        <v>TC_D_04_CS</v>
      </c>
      <c r="B242" t="str">
        <f>'HIDDEN import'!C241</f>
        <v>Core</v>
      </c>
      <c r="C242" t="str">
        <f>'HIDDEN import'!D241</f>
        <v>Send Local Authorization List - Full with empy list</v>
      </c>
      <c r="D242" t="str">
        <f>IF(VLOOKUP(A242&amp;" "&amp;B242,'HIDDEN import'!A:G,5,FALSE)="M",MD!$A$1,(IF(AND(VLOOKUP(A242,'HIDDEN import'!B:E,4,FALSE)="C",OR(NOT(ISERROR(VLOOKUP(E242,'Optional features'!B:D,1,FALSE)=E242)),NOT(ISERROR(VLOOKUP(E242,'HIDDEN calc sheet'!A:C,1,FALSE)=E242)))),MD!$A$3,MD!$A$2)))</f>
        <v>Mandatory for optional feature</v>
      </c>
      <c r="E242" t="str">
        <f>IF('HIDDEN import'!F241=0,"",'HIDDEN import'!F241)</f>
        <v>LA-0</v>
      </c>
      <c r="F242" t="str">
        <f>IF('HIDDEN import'!G241=0,"",'HIDDEN import'!G241)</f>
        <v/>
      </c>
      <c r="G242" s="95" t="str">
        <f>IFERROR(VLOOKUP($A242,'HIDDEN Testrun Results'!$A:$B,2,FALSE),"")</f>
        <v/>
      </c>
      <c r="H242" s="6" t="b">
        <f t="shared" si="3"/>
        <v>0</v>
      </c>
      <c r="I242" s="6" t="b">
        <f>IF(VLOOKUP(A242&amp;" "&amp;B242,'HIDDEN import'!A:G,5,FALSE)="M",TRUE,IFERROR(VLOOKUP(E242,'Optional features'!B:D,3,FALSE)="Yes",IFERROR(VLOOKUP(E242,'HIDDEN calc sheet'!A:B,2,FALSE),IFERROR(VLOOKUP(E242,'Additional questions'!B:D,3,FALSE)="Yes",VLOOKUP(E242,'Hardware Feature set'!B:D,3,FALSE)="No"))))</f>
        <v>0</v>
      </c>
      <c r="J242" s="6" t="b">
        <f>IF(VLOOKUP(B242,'Profile selection'!B:C,2,FALSE)="Yes",TRUE,FALSE)</f>
        <v>1</v>
      </c>
    </row>
    <row r="243" spans="1:10" x14ac:dyDescent="0.25">
      <c r="A243" t="str">
        <f>'HIDDEN import'!B242</f>
        <v>TC_D_05_CS</v>
      </c>
      <c r="B243" t="str">
        <f>'HIDDEN import'!C242</f>
        <v>Core</v>
      </c>
      <c r="C243" t="str">
        <f>'HIDDEN import'!D242</f>
        <v>Send Local Authorization List - Differential with empty list</v>
      </c>
      <c r="D243" t="str">
        <f>IF(VLOOKUP(A243&amp;" "&amp;B243,'HIDDEN import'!A:G,5,FALSE)="M",MD!$A$1,(IF(AND(VLOOKUP(A243,'HIDDEN import'!B:E,4,FALSE)="C",OR(NOT(ISERROR(VLOOKUP(E243,'Optional features'!B:D,1,FALSE)=E243)),NOT(ISERROR(VLOOKUP(E243,'HIDDEN calc sheet'!A:C,1,FALSE)=E243)))),MD!$A$3,MD!$A$2)))</f>
        <v>Mandatory for optional feature</v>
      </c>
      <c r="E243" t="str">
        <f>IF('HIDDEN import'!F242=0,"",'HIDDEN import'!F242)</f>
        <v>LA-0</v>
      </c>
      <c r="F243" t="str">
        <f>IF('HIDDEN import'!G242=0,"",'HIDDEN import'!G242)</f>
        <v/>
      </c>
      <c r="G243" s="95" t="str">
        <f>IFERROR(VLOOKUP($A243,'HIDDEN Testrun Results'!$A:$B,2,FALSE),"")</f>
        <v/>
      </c>
      <c r="H243" s="6" t="b">
        <f t="shared" si="3"/>
        <v>0</v>
      </c>
      <c r="I243" s="6" t="b">
        <f>IF(VLOOKUP(A243&amp;" "&amp;B243,'HIDDEN import'!A:G,5,FALSE)="M",TRUE,IFERROR(VLOOKUP(E243,'Optional features'!B:D,3,FALSE)="Yes",IFERROR(VLOOKUP(E243,'HIDDEN calc sheet'!A:B,2,FALSE),IFERROR(VLOOKUP(E243,'Additional questions'!B:D,3,FALSE)="Yes",VLOOKUP(E243,'Hardware Feature set'!B:D,3,FALSE)="No"))))</f>
        <v>0</v>
      </c>
      <c r="J243" s="6" t="b">
        <f>IF(VLOOKUP(B243,'Profile selection'!B:C,2,FALSE)="Yes",TRUE,FALSE)</f>
        <v>1</v>
      </c>
    </row>
    <row r="244" spans="1:10" x14ac:dyDescent="0.25">
      <c r="A244" t="str">
        <f>'HIDDEN import'!B243</f>
        <v>TC_D_06_CS</v>
      </c>
      <c r="B244" t="str">
        <f>'HIDDEN import'!C243</f>
        <v>Core</v>
      </c>
      <c r="C244" t="str">
        <f>'HIDDEN import'!D243</f>
        <v>Send Local Authorization List - VersionMismatch</v>
      </c>
      <c r="D244" t="str">
        <f>IF(VLOOKUP(A244&amp;" "&amp;B244,'HIDDEN import'!A:G,5,FALSE)="M",MD!$A$1,(IF(AND(VLOOKUP(A244,'HIDDEN import'!B:E,4,FALSE)="C",OR(NOT(ISERROR(VLOOKUP(E244,'Optional features'!B:D,1,FALSE)=E244)),NOT(ISERROR(VLOOKUP(E244,'HIDDEN calc sheet'!A:C,1,FALSE)=E244)))),MD!$A$3,MD!$A$2)))</f>
        <v>Mandatory for optional feature</v>
      </c>
      <c r="E244" t="str">
        <f>IF('HIDDEN import'!F243=0,"",'HIDDEN import'!F243)</f>
        <v>LA-0</v>
      </c>
      <c r="F244" t="str">
        <f>IF('HIDDEN import'!G243=0,"",'HIDDEN import'!G243)</f>
        <v/>
      </c>
      <c r="G244" s="95" t="str">
        <f>IFERROR(VLOOKUP($A244,'HIDDEN Testrun Results'!$A:$B,2,FALSE),"")</f>
        <v/>
      </c>
      <c r="H244" s="6" t="b">
        <f t="shared" si="3"/>
        <v>0</v>
      </c>
      <c r="I244" s="6" t="b">
        <f>IF(VLOOKUP(A244&amp;" "&amp;B244,'HIDDEN import'!A:G,5,FALSE)="M",TRUE,IFERROR(VLOOKUP(E244,'Optional features'!B:D,3,FALSE)="Yes",IFERROR(VLOOKUP(E244,'HIDDEN calc sheet'!A:B,2,FALSE),IFERROR(VLOOKUP(E244,'Additional questions'!B:D,3,FALSE)="Yes",VLOOKUP(E244,'Hardware Feature set'!B:D,3,FALSE)="No"))))</f>
        <v>0</v>
      </c>
      <c r="J244" s="6" t="b">
        <f>IF(VLOOKUP(B244,'Profile selection'!B:C,2,FALSE)="Yes",TRUE,FALSE)</f>
        <v>1</v>
      </c>
    </row>
    <row r="245" spans="1:10" x14ac:dyDescent="0.25">
      <c r="A245" t="str">
        <f>'HIDDEN import'!B244</f>
        <v>TC_D_07_CS</v>
      </c>
      <c r="B245" t="str">
        <f>'HIDDEN import'!C244</f>
        <v>Core</v>
      </c>
      <c r="C245" t="str">
        <f>'HIDDEN import'!D244</f>
        <v>Send Local Authorization List - Persistent over reboot</v>
      </c>
      <c r="D245" t="str">
        <f>IF(VLOOKUP(A245&amp;" "&amp;B245,'HIDDEN import'!A:G,5,FALSE)="M",MD!$A$1,(IF(AND(VLOOKUP(A245,'HIDDEN import'!B:E,4,FALSE)="C",OR(NOT(ISERROR(VLOOKUP(E245,'Optional features'!B:D,1,FALSE)=E245)),NOT(ISERROR(VLOOKUP(E245,'HIDDEN calc sheet'!A:C,1,FALSE)=E245)))),MD!$A$3,MD!$A$2)))</f>
        <v>Mandatory for optional feature</v>
      </c>
      <c r="E245" t="str">
        <f>IF('HIDDEN import'!F244=0,"",'HIDDEN import'!F244)</f>
        <v>LA-0</v>
      </c>
      <c r="F245" t="str">
        <f>IF('HIDDEN import'!G244=0,"",'HIDDEN import'!G244)</f>
        <v/>
      </c>
      <c r="G245" s="95" t="str">
        <f>IFERROR(VLOOKUP($A245,'HIDDEN Testrun Results'!$A:$B,2,FALSE),"")</f>
        <v/>
      </c>
      <c r="H245" s="6" t="b">
        <f t="shared" si="3"/>
        <v>0</v>
      </c>
      <c r="I245" s="6" t="b">
        <f>IF(VLOOKUP(A245&amp;" "&amp;B245,'HIDDEN import'!A:G,5,FALSE)="M",TRUE,IFERROR(VLOOKUP(E245,'Optional features'!B:D,3,FALSE)="Yes",IFERROR(VLOOKUP(E245,'HIDDEN calc sheet'!A:B,2,FALSE),IFERROR(VLOOKUP(E245,'Additional questions'!B:D,3,FALSE)="Yes",VLOOKUP(E245,'Hardware Feature set'!B:D,3,FALSE)="No"))))</f>
        <v>0</v>
      </c>
      <c r="J245" s="6" t="b">
        <f>IF(VLOOKUP(B245,'Profile selection'!B:C,2,FALSE)="Yes",TRUE,FALSE)</f>
        <v>1</v>
      </c>
    </row>
    <row r="246" spans="1:10" x14ac:dyDescent="0.25">
      <c r="A246" t="str">
        <f>'HIDDEN import'!B245</f>
        <v>TC_D_08_CS</v>
      </c>
      <c r="B246" t="str">
        <f>'HIDDEN import'!C245</f>
        <v>Core</v>
      </c>
      <c r="C246" t="str">
        <f>'HIDDEN import'!D245</f>
        <v>Get Local List Version - Success</v>
      </c>
      <c r="D246" t="str">
        <f>IF(VLOOKUP(A246&amp;" "&amp;B246,'HIDDEN import'!A:G,5,FALSE)="M",MD!$A$1,(IF(AND(VLOOKUP(A246,'HIDDEN import'!B:E,4,FALSE)="C",OR(NOT(ISERROR(VLOOKUP(E246,'Optional features'!B:D,1,FALSE)=E246)),NOT(ISERROR(VLOOKUP(E246,'HIDDEN calc sheet'!A:C,1,FALSE)=E246)))),MD!$A$3,MD!$A$2)))</f>
        <v>Mandatory for optional feature</v>
      </c>
      <c r="E246" t="str">
        <f>IF('HIDDEN import'!F245=0,"",'HIDDEN import'!F245)</f>
        <v>LA-0</v>
      </c>
      <c r="F246" t="str">
        <f>IF('HIDDEN import'!G245=0,"",'HIDDEN import'!G245)</f>
        <v>GetLocalListVersion</v>
      </c>
      <c r="G246" s="95" t="str">
        <f>IFERROR(VLOOKUP($A246,'HIDDEN Testrun Results'!$A:$B,2,FALSE),"")</f>
        <v/>
      </c>
      <c r="H246" s="6" t="b">
        <f t="shared" si="3"/>
        <v>0</v>
      </c>
      <c r="I246" s="6" t="b">
        <f>IF(VLOOKUP(A246&amp;" "&amp;B246,'HIDDEN import'!A:G,5,FALSE)="M",TRUE,IFERROR(VLOOKUP(E246,'Optional features'!B:D,3,FALSE)="Yes",IFERROR(VLOOKUP(E246,'HIDDEN calc sheet'!A:B,2,FALSE),IFERROR(VLOOKUP(E246,'Additional questions'!B:D,3,FALSE)="Yes",VLOOKUP(E246,'Hardware Feature set'!B:D,3,FALSE)="No"))))</f>
        <v>0</v>
      </c>
      <c r="J246" s="6" t="b">
        <f>IF(VLOOKUP(B246,'Profile selection'!B:C,2,FALSE)="Yes",TRUE,FALSE)</f>
        <v>1</v>
      </c>
    </row>
    <row r="247" spans="1:10" x14ac:dyDescent="0.25">
      <c r="A247" t="str">
        <f>'HIDDEN import'!B246</f>
        <v>TC_D_10_CS</v>
      </c>
      <c r="B247" t="str">
        <f>'HIDDEN import'!C246</f>
        <v>Core</v>
      </c>
      <c r="C247" t="str">
        <f>'HIDDEN import'!D246</f>
        <v>Get Local List Version - Function disabled</v>
      </c>
      <c r="D247" t="str">
        <f>IF(VLOOKUP(A247&amp;" "&amp;B247,'HIDDEN import'!A:G,5,FALSE)="M",MD!$A$1,(IF(AND(VLOOKUP(A247,'HIDDEN import'!B:E,4,FALSE)="C",OR(NOT(ISERROR(VLOOKUP(E247,'Optional features'!B:D,1,FALSE)=E247)),NOT(ISERROR(VLOOKUP(E247,'HIDDEN calc sheet'!A:C,1,FALSE)=E247)))),MD!$A$3,MD!$A$2)))</f>
        <v>Mandatory for optional feature</v>
      </c>
      <c r="E247" t="str">
        <f>IF('HIDDEN import'!F246=0,"",'HIDDEN import'!F246)</f>
        <v>LA-0</v>
      </c>
      <c r="F247" t="str">
        <f>IF('HIDDEN import'!G246=0,"",'HIDDEN import'!G246)</f>
        <v/>
      </c>
      <c r="G247" s="95" t="str">
        <f>IFERROR(VLOOKUP($A247,'HIDDEN Testrun Results'!$A:$B,2,FALSE),"")</f>
        <v/>
      </c>
      <c r="H247" s="6" t="b">
        <f t="shared" si="3"/>
        <v>0</v>
      </c>
      <c r="I247" s="6" t="b">
        <f>IF(VLOOKUP(A247&amp;" "&amp;B247,'HIDDEN import'!A:G,5,FALSE)="M",TRUE,IFERROR(VLOOKUP(E247,'Optional features'!B:D,3,FALSE)="Yes",IFERROR(VLOOKUP(E247,'HIDDEN calc sheet'!A:B,2,FALSE),IFERROR(VLOOKUP(E247,'Additional questions'!B:D,3,FALSE)="Yes",VLOOKUP(E247,'Hardware Feature set'!B:D,3,FALSE)="No"))))</f>
        <v>0</v>
      </c>
      <c r="J247" s="6" t="b">
        <f>IF(VLOOKUP(B247,'Profile selection'!B:C,2,FALSE)="Yes",TRUE,FALSE)</f>
        <v>1</v>
      </c>
    </row>
    <row r="248" spans="1:10" x14ac:dyDescent="0.25">
      <c r="A248" t="str">
        <f>'HIDDEN import'!B247</f>
        <v>TC_B_24_CS</v>
      </c>
      <c r="B248" t="str">
        <f>'HIDDEN import'!C247</f>
        <v>Core</v>
      </c>
      <c r="C248" t="str">
        <f>'HIDDEN import'!D247</f>
        <v>Reset Charging Station - Reserved persists reset</v>
      </c>
      <c r="D248" t="str">
        <f>IF(VLOOKUP(A248&amp;" "&amp;B248,'HIDDEN import'!A:G,5,FALSE)="M",MD!$A$1,(IF(AND(VLOOKUP(A248,'HIDDEN import'!B:E,4,FALSE)="C",OR(NOT(ISERROR(VLOOKUP(E248,'Optional features'!B:D,1,FALSE)=E248)),NOT(ISERROR(VLOOKUP(E248,'HIDDEN calc sheet'!A:C,1,FALSE)=E248)))),MD!$A$3,MD!$A$2)))</f>
        <v>Mandatory for optional feature</v>
      </c>
      <c r="E248" t="str">
        <f>IF('HIDDEN import'!F247=0,"",'HIDDEN import'!F247)</f>
        <v>R-0</v>
      </c>
      <c r="F248" t="str">
        <f>IF('HIDDEN import'!G247=0,"",'HIDDEN import'!G247)</f>
        <v/>
      </c>
      <c r="G248" s="95" t="str">
        <f>IFERROR(VLOOKUP($A248,'HIDDEN Testrun Results'!$A:$B,2,FALSE),"")</f>
        <v/>
      </c>
      <c r="H248" s="6" t="b">
        <f t="shared" si="3"/>
        <v>0</v>
      </c>
      <c r="I248" s="6" t="b">
        <f>IF(VLOOKUP(A248&amp;" "&amp;B248,'HIDDEN import'!A:G,5,FALSE)="M",TRUE,IFERROR(VLOOKUP(E248,'Optional features'!B:D,3,FALSE)="Yes",IFERROR(VLOOKUP(E248,'HIDDEN calc sheet'!A:B,2,FALSE),IFERROR(VLOOKUP(E248,'Additional questions'!B:D,3,FALSE)="Yes",VLOOKUP(E248,'Hardware Feature set'!B:D,3,FALSE)="No"))))</f>
        <v>0</v>
      </c>
      <c r="J248" s="6" t="b">
        <f>IF(VLOOKUP(B248,'Profile selection'!B:C,2,FALSE)="Yes",TRUE,FALSE)</f>
        <v>1</v>
      </c>
    </row>
    <row r="249" spans="1:10" x14ac:dyDescent="0.25">
      <c r="A249" t="str">
        <f>'HIDDEN import'!B248</f>
        <v>TC_H_01_CS</v>
      </c>
      <c r="B249" t="str">
        <f>'HIDDEN import'!C248</f>
        <v>Core</v>
      </c>
      <c r="C249" t="str">
        <f>'HIDDEN import'!D248</f>
        <v>Reserve a specific EVSE - Accepted - Valid idToken</v>
      </c>
      <c r="D249" t="str">
        <f>IF(VLOOKUP(A249&amp;" "&amp;B249,'HIDDEN import'!A:G,5,FALSE)="M",MD!$A$1,(IF(AND(VLOOKUP(A249,'HIDDEN import'!B:E,4,FALSE)="C",OR(NOT(ISERROR(VLOOKUP(E249,'Optional features'!B:D,1,FALSE)=E249)),NOT(ISERROR(VLOOKUP(E249,'HIDDEN calc sheet'!A:C,1,FALSE)=E249)))),MD!$A$3,MD!$A$2)))</f>
        <v>Mandatory for optional feature</v>
      </c>
      <c r="E249" t="str">
        <f>IF('HIDDEN import'!F248=0,"",'HIDDEN import'!F248)</f>
        <v>R-0</v>
      </c>
      <c r="F249" t="str">
        <f>IF('HIDDEN import'!G248=0,"",'HIDDEN import'!G248)</f>
        <v/>
      </c>
      <c r="G249" s="95" t="str">
        <f>IFERROR(VLOOKUP($A249,'HIDDEN Testrun Results'!$A:$B,2,FALSE),"")</f>
        <v/>
      </c>
      <c r="H249" s="6" t="b">
        <f t="shared" si="3"/>
        <v>0</v>
      </c>
      <c r="I249" s="6" t="b">
        <f>IF(VLOOKUP(A249&amp;" "&amp;B249,'HIDDEN import'!A:G,5,FALSE)="M",TRUE,IFERROR(VLOOKUP(E249,'Optional features'!B:D,3,FALSE)="Yes",IFERROR(VLOOKUP(E249,'HIDDEN calc sheet'!A:B,2,FALSE),IFERROR(VLOOKUP(E249,'Additional questions'!B:D,3,FALSE)="Yes",VLOOKUP(E249,'Hardware Feature set'!B:D,3,FALSE)="No"))))</f>
        <v>0</v>
      </c>
      <c r="J249" s="6" t="b">
        <f>IF(VLOOKUP(B249,'Profile selection'!B:C,2,FALSE)="Yes",TRUE,FALSE)</f>
        <v>1</v>
      </c>
    </row>
    <row r="250" spans="1:10" x14ac:dyDescent="0.25">
      <c r="A250" t="str">
        <f>'HIDDEN import'!B249</f>
        <v>TC_H_02_CS</v>
      </c>
      <c r="B250" t="str">
        <f>'HIDDEN import'!C249</f>
        <v>Core</v>
      </c>
      <c r="C250" t="str">
        <f>'HIDDEN import'!D249</f>
        <v>Reserve a specific EVSE - Accepted - Different idToken</v>
      </c>
      <c r="D250" t="str">
        <f>IF(VLOOKUP(A250&amp;" "&amp;B250,'HIDDEN import'!A:G,5,FALSE)="M",MD!$A$1,(IF(AND(VLOOKUP(A250,'HIDDEN import'!B:E,4,FALSE)="C",OR(NOT(ISERROR(VLOOKUP(E250,'Optional features'!B:D,1,FALSE)=E250)),NOT(ISERROR(VLOOKUP(E250,'HIDDEN calc sheet'!A:C,1,FALSE)=E250)))),MD!$A$3,MD!$A$2)))</f>
        <v>Mandatory for optional feature</v>
      </c>
      <c r="E250" t="str">
        <f>IF('HIDDEN import'!F249=0,"",'HIDDEN import'!F249)</f>
        <v>R-0</v>
      </c>
      <c r="F250" t="str">
        <f>IF('HIDDEN import'!G249=0,"",'HIDDEN import'!G249)</f>
        <v/>
      </c>
      <c r="G250" s="95" t="str">
        <f>IFERROR(VLOOKUP($A250,'HIDDEN Testrun Results'!$A:$B,2,FALSE),"")</f>
        <v/>
      </c>
      <c r="H250" s="6" t="b">
        <f t="shared" si="3"/>
        <v>0</v>
      </c>
      <c r="I250" s="6" t="b">
        <f>IF(VLOOKUP(A250&amp;" "&amp;B250,'HIDDEN import'!A:G,5,FALSE)="M",TRUE,IFERROR(VLOOKUP(E250,'Optional features'!B:D,3,FALSE)="Yes",IFERROR(VLOOKUP(E250,'HIDDEN calc sheet'!A:B,2,FALSE),IFERROR(VLOOKUP(E250,'Additional questions'!B:D,3,FALSE)="Yes",VLOOKUP(E250,'Hardware Feature set'!B:D,3,FALSE)="No"))))</f>
        <v>0</v>
      </c>
      <c r="J250" s="6" t="b">
        <f>IF(VLOOKUP(B250,'Profile selection'!B:C,2,FALSE)="Yes",TRUE,FALSE)</f>
        <v>1</v>
      </c>
    </row>
    <row r="251" spans="1:10" x14ac:dyDescent="0.25">
      <c r="A251" t="str">
        <f>'HIDDEN import'!B250</f>
        <v>TC_H_03_CS</v>
      </c>
      <c r="B251" t="str">
        <f>'HIDDEN import'!C250</f>
        <v>Core</v>
      </c>
      <c r="C251" t="str">
        <f>'HIDDEN import'!D250</f>
        <v>Reserve a specific EVSE - Occupied - EVSE Reserved</v>
      </c>
      <c r="D251" t="str">
        <f>IF(VLOOKUP(A251&amp;" "&amp;B251,'HIDDEN import'!A:G,5,FALSE)="M",MD!$A$1,(IF(AND(VLOOKUP(A251,'HIDDEN import'!B:E,4,FALSE)="C",OR(NOT(ISERROR(VLOOKUP(E251,'Optional features'!B:D,1,FALSE)=E251)),NOT(ISERROR(VLOOKUP(E251,'HIDDEN calc sheet'!A:C,1,FALSE)=E251)))),MD!$A$3,MD!$A$2)))</f>
        <v>Mandatory for optional feature</v>
      </c>
      <c r="E251" t="str">
        <f>IF('HIDDEN import'!F250=0,"",'HIDDEN import'!F250)</f>
        <v>R-0</v>
      </c>
      <c r="F251" t="str">
        <f>IF('HIDDEN import'!G250=0,"",'HIDDEN import'!G250)</f>
        <v/>
      </c>
      <c r="G251" s="95" t="str">
        <f>IFERROR(VLOOKUP($A251,'HIDDEN Testrun Results'!$A:$B,2,FALSE),"")</f>
        <v/>
      </c>
      <c r="H251" s="6" t="b">
        <f t="shared" si="3"/>
        <v>0</v>
      </c>
      <c r="I251" s="6" t="b">
        <f>IF(VLOOKUP(A251&amp;" "&amp;B251,'HIDDEN import'!A:G,5,FALSE)="M",TRUE,IFERROR(VLOOKUP(E251,'Optional features'!B:D,3,FALSE)="Yes",IFERROR(VLOOKUP(E251,'HIDDEN calc sheet'!A:B,2,FALSE),IFERROR(VLOOKUP(E251,'Additional questions'!B:D,3,FALSE)="Yes",VLOOKUP(E251,'Hardware Feature set'!B:D,3,FALSE)="No"))))</f>
        <v>0</v>
      </c>
      <c r="J251" s="6" t="b">
        <f>IF(VLOOKUP(B251,'Profile selection'!B:C,2,FALSE)="Yes",TRUE,FALSE)</f>
        <v>1</v>
      </c>
    </row>
    <row r="252" spans="1:10" x14ac:dyDescent="0.25">
      <c r="A252" t="str">
        <f>'HIDDEN import'!B251</f>
        <v>TC_H_04_CS</v>
      </c>
      <c r="B252" t="str">
        <f>'HIDDEN import'!C251</f>
        <v>Core</v>
      </c>
      <c r="C252" t="str">
        <f>'HIDDEN import'!D251</f>
        <v>Reserve a specific EVSE - Occupied - EVSE Occupied</v>
      </c>
      <c r="D252" t="str">
        <f>IF(VLOOKUP(A252&amp;" "&amp;B252,'HIDDEN import'!A:G,5,FALSE)="M",MD!$A$1,(IF(AND(VLOOKUP(A252,'HIDDEN import'!B:E,4,FALSE)="C",OR(NOT(ISERROR(VLOOKUP(E252,'Optional features'!B:D,1,FALSE)=E252)),NOT(ISERROR(VLOOKUP(E252,'HIDDEN calc sheet'!A:C,1,FALSE)=E252)))),MD!$A$3,MD!$A$2)))</f>
        <v>Mandatory for optional feature</v>
      </c>
      <c r="E252" t="str">
        <f>IF('HIDDEN import'!F251=0,"",'HIDDEN import'!F251)</f>
        <v>R-0</v>
      </c>
      <c r="F252" t="str">
        <f>IF('HIDDEN import'!G251=0,"",'HIDDEN import'!G251)</f>
        <v/>
      </c>
      <c r="G252" s="95" t="str">
        <f>IFERROR(VLOOKUP($A252,'HIDDEN Testrun Results'!$A:$B,2,FALSE),"")</f>
        <v/>
      </c>
      <c r="H252" s="6" t="b">
        <f t="shared" si="3"/>
        <v>0</v>
      </c>
      <c r="I252" s="6" t="b">
        <f>IF(VLOOKUP(A252&amp;" "&amp;B252,'HIDDEN import'!A:G,5,FALSE)="M",TRUE,IFERROR(VLOOKUP(E252,'Optional features'!B:D,3,FALSE)="Yes",IFERROR(VLOOKUP(E252,'HIDDEN calc sheet'!A:B,2,FALSE),IFERROR(VLOOKUP(E252,'Additional questions'!B:D,3,FALSE)="Yes",VLOOKUP(E252,'Hardware Feature set'!B:D,3,FALSE)="No"))))</f>
        <v>0</v>
      </c>
      <c r="J252" s="6" t="b">
        <f>IF(VLOOKUP(B252,'Profile selection'!B:C,2,FALSE)="Yes",TRUE,FALSE)</f>
        <v>1</v>
      </c>
    </row>
    <row r="253" spans="1:10" x14ac:dyDescent="0.25">
      <c r="A253" t="str">
        <f>'HIDDEN import'!B252</f>
        <v>TC_H_06_CS</v>
      </c>
      <c r="B253" t="str">
        <f>'HIDDEN import'!C252</f>
        <v>Core</v>
      </c>
      <c r="C253" t="str">
        <f>'HIDDEN import'!D252</f>
        <v>Reserve a specific EVSE - Unavailable</v>
      </c>
      <c r="D253" t="str">
        <f>IF(VLOOKUP(A253&amp;" "&amp;B253,'HIDDEN import'!A:G,5,FALSE)="M",MD!$A$1,(IF(AND(VLOOKUP(A253,'HIDDEN import'!B:E,4,FALSE)="C",OR(NOT(ISERROR(VLOOKUP(E253,'Optional features'!B:D,1,FALSE)=E253)),NOT(ISERROR(VLOOKUP(E253,'HIDDEN calc sheet'!A:C,1,FALSE)=E253)))),MD!$A$3,MD!$A$2)))</f>
        <v>Mandatory for optional feature</v>
      </c>
      <c r="E253" t="str">
        <f>IF('HIDDEN import'!F252=0,"",'HIDDEN import'!F252)</f>
        <v>R-0</v>
      </c>
      <c r="F253" t="str">
        <f>IF('HIDDEN import'!G252=0,"",'HIDDEN import'!G252)</f>
        <v/>
      </c>
      <c r="G253" s="95" t="str">
        <f>IFERROR(VLOOKUP($A253,'HIDDEN Testrun Results'!$A:$B,2,FALSE),"")</f>
        <v/>
      </c>
      <c r="H253" s="6" t="b">
        <f t="shared" si="3"/>
        <v>0</v>
      </c>
      <c r="I253" s="6" t="b">
        <f>IF(VLOOKUP(A253&amp;" "&amp;B253,'HIDDEN import'!A:G,5,FALSE)="M",TRUE,IFERROR(VLOOKUP(E253,'Optional features'!B:D,3,FALSE)="Yes",IFERROR(VLOOKUP(E253,'HIDDEN calc sheet'!A:B,2,FALSE),IFERROR(VLOOKUP(E253,'Additional questions'!B:D,3,FALSE)="Yes",VLOOKUP(E253,'Hardware Feature set'!B:D,3,FALSE)="No"))))</f>
        <v>0</v>
      </c>
      <c r="J253" s="6" t="b">
        <f>IF(VLOOKUP(B253,'Profile selection'!B:C,2,FALSE)="Yes",TRUE,FALSE)</f>
        <v>1</v>
      </c>
    </row>
    <row r="254" spans="1:10" x14ac:dyDescent="0.25">
      <c r="A254" t="str">
        <f>'HIDDEN import'!B253</f>
        <v>TC_H_07_CS</v>
      </c>
      <c r="B254" t="str">
        <f>'HIDDEN import'!C253</f>
        <v>Core</v>
      </c>
      <c r="C254" t="str">
        <f>'HIDDEN import'!D253</f>
        <v>Reserve a specific EVSE - Reservation Ended / not used</v>
      </c>
      <c r="D254" t="str">
        <f>IF(VLOOKUP(A254&amp;" "&amp;B254,'HIDDEN import'!A:G,5,FALSE)="M",MD!$A$1,(IF(AND(VLOOKUP(A254,'HIDDEN import'!B:E,4,FALSE)="C",OR(NOT(ISERROR(VLOOKUP(E254,'Optional features'!B:D,1,FALSE)=E254)),NOT(ISERROR(VLOOKUP(E254,'HIDDEN calc sheet'!A:C,1,FALSE)=E254)))),MD!$A$3,MD!$A$2)))</f>
        <v>Mandatory for optional feature</v>
      </c>
      <c r="E254" t="str">
        <f>IF('HIDDEN import'!F253=0,"",'HIDDEN import'!F253)</f>
        <v>R-0</v>
      </c>
      <c r="F254" t="str">
        <f>IF('HIDDEN import'!G253=0,"",'HIDDEN import'!G253)</f>
        <v/>
      </c>
      <c r="G254" s="95" t="str">
        <f>IFERROR(VLOOKUP($A254,'HIDDEN Testrun Results'!$A:$B,2,FALSE),"")</f>
        <v/>
      </c>
      <c r="H254" s="6" t="b">
        <f t="shared" si="3"/>
        <v>0</v>
      </c>
      <c r="I254" s="6" t="b">
        <f>IF(VLOOKUP(A254&amp;" "&amp;B254,'HIDDEN import'!A:G,5,FALSE)="M",TRUE,IFERROR(VLOOKUP(E254,'Optional features'!B:D,3,FALSE)="Yes",IFERROR(VLOOKUP(E254,'HIDDEN calc sheet'!A:B,2,FALSE),IFERROR(VLOOKUP(E254,'Additional questions'!B:D,3,FALSE)="Yes",VLOOKUP(E254,'Hardware Feature set'!B:D,3,FALSE)="No"))))</f>
        <v>0</v>
      </c>
      <c r="J254" s="6" t="b">
        <f>IF(VLOOKUP(B254,'Profile selection'!B:C,2,FALSE)="Yes",TRUE,FALSE)</f>
        <v>1</v>
      </c>
    </row>
    <row r="255" spans="1:10" x14ac:dyDescent="0.25">
      <c r="A255" t="str">
        <f>'HIDDEN import'!B254</f>
        <v>TC_H_22_CS</v>
      </c>
      <c r="B255" t="str">
        <f>'HIDDEN import'!C254</f>
        <v>Core</v>
      </c>
      <c r="C255" t="str">
        <f>'HIDDEN import'!D254</f>
        <v>Reserve a specific EVSE - Configured to Reject</v>
      </c>
      <c r="D255" t="str">
        <f>IF(VLOOKUP(A255&amp;" "&amp;B255,'HIDDEN import'!A:G,5,FALSE)="M",MD!$A$1,(IF(AND(VLOOKUP(A255,'HIDDEN import'!B:E,4,FALSE)="C",OR(NOT(ISERROR(VLOOKUP(E255,'Optional features'!B:D,1,FALSE)=E255)),NOT(ISERROR(VLOOKUP(E255,'HIDDEN calc sheet'!A:C,1,FALSE)=E255)))),MD!$A$3,MD!$A$2)))</f>
        <v>Mandatory for optional feature</v>
      </c>
      <c r="E255" t="str">
        <f>IF('HIDDEN import'!F254=0,"",'HIDDEN import'!F254)</f>
        <v>R-0 and R-3</v>
      </c>
      <c r="F255" t="str">
        <f>IF('HIDDEN import'!G254=0,"",'HIDDEN import'!G254)</f>
        <v/>
      </c>
      <c r="G255" s="95" t="str">
        <f>IFERROR(VLOOKUP($A255,'HIDDEN Testrun Results'!$A:$B,2,FALSE),"")</f>
        <v/>
      </c>
      <c r="H255" s="6" t="b">
        <f t="shared" si="3"/>
        <v>0</v>
      </c>
      <c r="I255" s="6" t="b">
        <f>IF(VLOOKUP(A255&amp;" "&amp;B255,'HIDDEN import'!A:G,5,FALSE)="M",TRUE,IFERROR(VLOOKUP(E255,'Optional features'!B:D,3,FALSE)="Yes",IFERROR(VLOOKUP(E255,'HIDDEN calc sheet'!A:B,2,FALSE),IFERROR(VLOOKUP(E255,'Additional questions'!B:D,3,FALSE)="Yes",VLOOKUP(E255,'Hardware Feature set'!B:D,3,FALSE)="No"))))</f>
        <v>0</v>
      </c>
      <c r="J255" s="6" t="b">
        <f>IF(VLOOKUP(B255,'Profile selection'!B:C,2,FALSE)="Yes",TRUE,FALSE)</f>
        <v>1</v>
      </c>
    </row>
    <row r="256" spans="1:10" x14ac:dyDescent="0.25">
      <c r="A256" t="str">
        <f>'HIDDEN import'!B255</f>
        <v>TC_H_23_CS</v>
      </c>
      <c r="B256" t="str">
        <f>'HIDDEN import'!C255</f>
        <v>Core</v>
      </c>
      <c r="C256" t="str">
        <f>'HIDDEN import'!D255</f>
        <v>Reserve a specific EVSE - Replace reservation</v>
      </c>
      <c r="D256" t="str">
        <f>IF(VLOOKUP(A256&amp;" "&amp;B256,'HIDDEN import'!A:G,5,FALSE)="M",MD!$A$1,(IF(AND(VLOOKUP(A256,'HIDDEN import'!B:E,4,FALSE)="C",OR(NOT(ISERROR(VLOOKUP(E256,'Optional features'!B:D,1,FALSE)=E256)),NOT(ISERROR(VLOOKUP(E256,'HIDDEN calc sheet'!A:C,1,FALSE)=E256)))),MD!$A$3,MD!$A$2)))</f>
        <v>Mandatory for optional feature</v>
      </c>
      <c r="E256" t="str">
        <f>IF('HIDDEN import'!F255=0,"",'HIDDEN import'!F255)</f>
        <v>R-0</v>
      </c>
      <c r="F256" t="str">
        <f>IF('HIDDEN import'!G255=0,"",'HIDDEN import'!G255)</f>
        <v/>
      </c>
      <c r="G256" s="95" t="str">
        <f>IFERROR(VLOOKUP($A256,'HIDDEN Testrun Results'!$A:$B,2,FALSE),"")</f>
        <v/>
      </c>
      <c r="H256" s="6" t="b">
        <f t="shared" si="3"/>
        <v>0</v>
      </c>
      <c r="I256" s="6" t="b">
        <f>IF(VLOOKUP(A256&amp;" "&amp;B256,'HIDDEN import'!A:G,5,FALSE)="M",TRUE,IFERROR(VLOOKUP(E256,'Optional features'!B:D,3,FALSE)="Yes",IFERROR(VLOOKUP(E256,'HIDDEN calc sheet'!A:B,2,FALSE),IFERROR(VLOOKUP(E256,'Additional questions'!B:D,3,FALSE)="Yes",VLOOKUP(E256,'Hardware Feature set'!B:D,3,FALSE)="No"))))</f>
        <v>0</v>
      </c>
      <c r="J256" s="6" t="b">
        <f>IF(VLOOKUP(B256,'Profile selection'!B:C,2,FALSE)="Yes",TRUE,FALSE)</f>
        <v>1</v>
      </c>
    </row>
    <row r="257" spans="1:10" x14ac:dyDescent="0.25">
      <c r="A257" t="str">
        <f>'HIDDEN import'!B256</f>
        <v>TC_H_19_CS</v>
      </c>
      <c r="B257" t="str">
        <f>'HIDDEN import'!C256</f>
        <v>Core</v>
      </c>
      <c r="C257" t="str">
        <f>'HIDDEN import'!D256</f>
        <v>Reserve a specific EVSE - Use a reserved EVSE with GroupId</v>
      </c>
      <c r="D257" t="str">
        <f>IF(VLOOKUP(A257&amp;" "&amp;B257,'HIDDEN import'!A:G,5,FALSE)="M",MD!$A$1,(IF(AND(VLOOKUP(A257,'HIDDEN import'!B:E,4,FALSE)="C",OR(NOT(ISERROR(VLOOKUP(E257,'Optional features'!B:D,1,FALSE)=E257)),NOT(ISERROR(VLOOKUP(E257,'HIDDEN calc sheet'!A:C,1,FALSE)=E257)))),MD!$A$3,MD!$A$2)))</f>
        <v>Mandatory for optional feature</v>
      </c>
      <c r="E257" t="str">
        <f>IF('HIDDEN import'!F256=0,"",'HIDDEN import'!F256)</f>
        <v>R-0</v>
      </c>
      <c r="F257" t="str">
        <f>IF('HIDDEN import'!G256=0,"",'HIDDEN import'!G256)</f>
        <v/>
      </c>
      <c r="G257" s="95" t="str">
        <f>IFERROR(VLOOKUP($A257,'HIDDEN Testrun Results'!$A:$B,2,FALSE),"")</f>
        <v/>
      </c>
      <c r="H257" s="6" t="b">
        <f t="shared" si="3"/>
        <v>0</v>
      </c>
      <c r="I257" s="6" t="b">
        <f>IF(VLOOKUP(A257&amp;" "&amp;B257,'HIDDEN import'!A:G,5,FALSE)="M",TRUE,IFERROR(VLOOKUP(E257,'Optional features'!B:D,3,FALSE)="Yes",IFERROR(VLOOKUP(E257,'HIDDEN calc sheet'!A:B,2,FALSE),IFERROR(VLOOKUP(E257,'Additional questions'!B:D,3,FALSE)="Yes",VLOOKUP(E257,'Hardware Feature set'!B:D,3,FALSE)="No"))))</f>
        <v>0</v>
      </c>
      <c r="J257" s="6" t="b">
        <f>IF(VLOOKUP(B257,'Profile selection'!B:C,2,FALSE)="Yes",TRUE,FALSE)</f>
        <v>1</v>
      </c>
    </row>
    <row r="258" spans="1:10" x14ac:dyDescent="0.25">
      <c r="A258" t="str">
        <f>'HIDDEN import'!B257</f>
        <v>TC_H_08_CS</v>
      </c>
      <c r="B258" t="str">
        <f>'HIDDEN import'!C257</f>
        <v>Core</v>
      </c>
      <c r="C258" t="str">
        <f>'HIDDEN import'!D257</f>
        <v>Reserve an unspecified EVSE - Accepted</v>
      </c>
      <c r="D258" t="str">
        <f>IF(VLOOKUP(A258&amp;" "&amp;B258,'HIDDEN import'!A:G,5,FALSE)="M",MD!$A$1,(IF(AND(VLOOKUP(A258,'HIDDEN import'!B:E,4,FALSE)="C",OR(NOT(ISERROR(VLOOKUP(E258,'Optional features'!B:D,1,FALSE)=E258)),NOT(ISERROR(VLOOKUP(E258,'HIDDEN calc sheet'!A:C,1,FALSE)=E258)))),MD!$A$3,MD!$A$2)))</f>
        <v>Mandatory for optional feature</v>
      </c>
      <c r="E258" t="str">
        <f>IF('HIDDEN import'!F257=0,"",'HIDDEN import'!F257)</f>
        <v>R-0 and R-2</v>
      </c>
      <c r="F258" t="str">
        <f>IF('HIDDEN import'!G257=0,"",'HIDDEN import'!G257)</f>
        <v>Support reservations of unspecified EVSE</v>
      </c>
      <c r="G258" s="95" t="str">
        <f>IFERROR(VLOOKUP($A258,'HIDDEN Testrun Results'!$A:$B,2,FALSE),"")</f>
        <v/>
      </c>
      <c r="H258" s="6" t="b">
        <f t="shared" si="3"/>
        <v>0</v>
      </c>
      <c r="I258" s="6" t="b">
        <f>IF(VLOOKUP(A258&amp;" "&amp;B258,'HIDDEN import'!A:G,5,FALSE)="M",TRUE,IFERROR(VLOOKUP(E258,'Optional features'!B:D,3,FALSE)="Yes",IFERROR(VLOOKUP(E258,'HIDDEN calc sheet'!A:B,2,FALSE),IFERROR(VLOOKUP(E258,'Additional questions'!B:D,3,FALSE)="Yes",VLOOKUP(E258,'Hardware Feature set'!B:D,3,FALSE)="No"))))</f>
        <v>0</v>
      </c>
      <c r="J258" s="6" t="b">
        <f>IF(VLOOKUP(B258,'Profile selection'!B:C,2,FALSE)="Yes",TRUE,FALSE)</f>
        <v>1</v>
      </c>
    </row>
    <row r="259" spans="1:10" x14ac:dyDescent="0.25">
      <c r="A259" t="str">
        <f>'HIDDEN import'!B258</f>
        <v>TC_H_09_CS</v>
      </c>
      <c r="B259" t="str">
        <f>'HIDDEN import'!C258</f>
        <v>Core</v>
      </c>
      <c r="C259" t="str">
        <f>'HIDDEN import'!D258</f>
        <v>Reserve an unspecified EVSE - Occupied - EVSE Reserved</v>
      </c>
      <c r="D259" t="str">
        <f>IF(VLOOKUP(A259&amp;" "&amp;B259,'HIDDEN import'!A:G,5,FALSE)="M",MD!$A$1,(IF(AND(VLOOKUP(A259,'HIDDEN import'!B:E,4,FALSE)="C",OR(NOT(ISERROR(VLOOKUP(E259,'Optional features'!B:D,1,FALSE)=E259)),NOT(ISERROR(VLOOKUP(E259,'HIDDEN calc sheet'!A:C,1,FALSE)=E259)))),MD!$A$3,MD!$A$2)))</f>
        <v>Mandatory for optional feature</v>
      </c>
      <c r="E259" t="str">
        <f>IF('HIDDEN import'!F258=0,"",'HIDDEN import'!F258)</f>
        <v>R-0 and R-2</v>
      </c>
      <c r="F259" t="str">
        <f>IF('HIDDEN import'!G258=0,"",'HIDDEN import'!G258)</f>
        <v>Support reservations of unspecified EVSE</v>
      </c>
      <c r="G259" s="95" t="str">
        <f>IFERROR(VLOOKUP($A259,'HIDDEN Testrun Results'!$A:$B,2,FALSE),"")</f>
        <v/>
      </c>
      <c r="H259" s="6" t="b">
        <f t="shared" si="3"/>
        <v>0</v>
      </c>
      <c r="I259" s="6" t="b">
        <f>IF(VLOOKUP(A259&amp;" "&amp;B259,'HIDDEN import'!A:G,5,FALSE)="M",TRUE,IFERROR(VLOOKUP(E259,'Optional features'!B:D,3,FALSE)="Yes",IFERROR(VLOOKUP(E259,'HIDDEN calc sheet'!A:B,2,FALSE),IFERROR(VLOOKUP(E259,'Additional questions'!B:D,3,FALSE)="Yes",VLOOKUP(E259,'Hardware Feature set'!B:D,3,FALSE)="No"))))</f>
        <v>0</v>
      </c>
      <c r="J259" s="6" t="b">
        <f>IF(VLOOKUP(B259,'Profile selection'!B:C,2,FALSE)="Yes",TRUE,FALSE)</f>
        <v>1</v>
      </c>
    </row>
    <row r="260" spans="1:10" x14ac:dyDescent="0.25">
      <c r="A260" t="str">
        <f>'HIDDEN import'!B259</f>
        <v>TC_H_10_CS</v>
      </c>
      <c r="B260" t="str">
        <f>'HIDDEN import'!C259</f>
        <v>Core</v>
      </c>
      <c r="C260" t="str">
        <f>'HIDDEN import'!D259</f>
        <v>Reserve an unspecified EVSE - Occupied - EVSE Occupied</v>
      </c>
      <c r="D260" t="str">
        <f>IF(VLOOKUP(A260&amp;" "&amp;B260,'HIDDEN import'!A:G,5,FALSE)="M",MD!$A$1,(IF(AND(VLOOKUP(A260,'HIDDEN import'!B:E,4,FALSE)="C",OR(NOT(ISERROR(VLOOKUP(E260,'Optional features'!B:D,1,FALSE)=E260)),NOT(ISERROR(VLOOKUP(E260,'HIDDEN calc sheet'!A:C,1,FALSE)=E260)))),MD!$A$3,MD!$A$2)))</f>
        <v>Mandatory for optional feature</v>
      </c>
      <c r="E260" t="str">
        <f>IF('HIDDEN import'!F259=0,"",'HIDDEN import'!F259)</f>
        <v>R-0 and R-2</v>
      </c>
      <c r="F260" t="str">
        <f>IF('HIDDEN import'!G259=0,"",'HIDDEN import'!G259)</f>
        <v>Support reservations of unspecified EVSE</v>
      </c>
      <c r="G260" s="95" t="str">
        <f>IFERROR(VLOOKUP($A260,'HIDDEN Testrun Results'!$A:$B,2,FALSE),"")</f>
        <v/>
      </c>
      <c r="H260" s="6" t="b">
        <f t="shared" ref="H260:H323" si="4">IF(NOT(J260),FALSE,IF(NOT(ISLOGICAL(I260)),I260,AND(I260,J260)))</f>
        <v>0</v>
      </c>
      <c r="I260" s="6" t="b">
        <f>IF(VLOOKUP(A260&amp;" "&amp;B260,'HIDDEN import'!A:G,5,FALSE)="M",TRUE,IFERROR(VLOOKUP(E260,'Optional features'!B:D,3,FALSE)="Yes",IFERROR(VLOOKUP(E260,'HIDDEN calc sheet'!A:B,2,FALSE),IFERROR(VLOOKUP(E260,'Additional questions'!B:D,3,FALSE)="Yes",VLOOKUP(E260,'Hardware Feature set'!B:D,3,FALSE)="No"))))</f>
        <v>0</v>
      </c>
      <c r="J260" s="6" t="b">
        <f>IF(VLOOKUP(B260,'Profile selection'!B:C,2,FALSE)="Yes",TRUE,FALSE)</f>
        <v>1</v>
      </c>
    </row>
    <row r="261" spans="1:10" x14ac:dyDescent="0.25">
      <c r="A261" t="str">
        <f>'HIDDEN import'!B260</f>
        <v>TC_H_12_CS</v>
      </c>
      <c r="B261" t="str">
        <f>'HIDDEN import'!C260</f>
        <v>Core</v>
      </c>
      <c r="C261" t="str">
        <f>'HIDDEN import'!D260</f>
        <v>Reserve an unspecified EVSE - Unavailable</v>
      </c>
      <c r="D261" t="str">
        <f>IF(VLOOKUP(A261&amp;" "&amp;B261,'HIDDEN import'!A:G,5,FALSE)="M",MD!$A$1,(IF(AND(VLOOKUP(A261,'HIDDEN import'!B:E,4,FALSE)="C",OR(NOT(ISERROR(VLOOKUP(E261,'Optional features'!B:D,1,FALSE)=E261)),NOT(ISERROR(VLOOKUP(E261,'HIDDEN calc sheet'!A:C,1,FALSE)=E261)))),MD!$A$3,MD!$A$2)))</f>
        <v>Mandatory for optional feature</v>
      </c>
      <c r="E261" t="str">
        <f>IF('HIDDEN import'!F260=0,"",'HIDDEN import'!F260)</f>
        <v>R-0 and R-2</v>
      </c>
      <c r="F261" t="str">
        <f>IF('HIDDEN import'!G260=0,"",'HIDDEN import'!G260)</f>
        <v>Support reservations of unspecified EVSE</v>
      </c>
      <c r="G261" s="95" t="str">
        <f>IFERROR(VLOOKUP($A261,'HIDDEN Testrun Results'!$A:$B,2,FALSE),"")</f>
        <v/>
      </c>
      <c r="H261" s="6" t="b">
        <f t="shared" si="4"/>
        <v>0</v>
      </c>
      <c r="I261" s="6" t="b">
        <f>IF(VLOOKUP(A261&amp;" "&amp;B261,'HIDDEN import'!A:G,5,FALSE)="M",TRUE,IFERROR(VLOOKUP(E261,'Optional features'!B:D,3,FALSE)="Yes",IFERROR(VLOOKUP(E261,'HIDDEN calc sheet'!A:B,2,FALSE),IFERROR(VLOOKUP(E261,'Additional questions'!B:D,3,FALSE)="Yes",VLOOKUP(E261,'Hardware Feature set'!B:D,3,FALSE)="No"))))</f>
        <v>0</v>
      </c>
      <c r="J261" s="6" t="b">
        <f>IF(VLOOKUP(B261,'Profile selection'!B:C,2,FALSE)="Yes",TRUE,FALSE)</f>
        <v>1</v>
      </c>
    </row>
    <row r="262" spans="1:10" x14ac:dyDescent="0.25">
      <c r="A262" t="str">
        <f>'HIDDEN import'!B261</f>
        <v>TC_H_13_CS</v>
      </c>
      <c r="B262" t="str">
        <f>'HIDDEN import'!C261</f>
        <v>Core</v>
      </c>
      <c r="C262" t="str">
        <f>'HIDDEN import'!D261</f>
        <v>Reserve an unspecified EVSE - Rejected</v>
      </c>
      <c r="D262" t="str">
        <f>IF(VLOOKUP(A262&amp;" "&amp;B262,'HIDDEN import'!A:G,5,FALSE)="M",MD!$A$1,(IF(AND(VLOOKUP(A262,'HIDDEN import'!B:E,4,FALSE)="C",OR(NOT(ISERROR(VLOOKUP(E262,'Optional features'!B:D,1,FALSE)=E262)),NOT(ISERROR(VLOOKUP(E262,'HIDDEN calc sheet'!A:C,1,FALSE)=E262)))),MD!$A$3,MD!$A$2)))</f>
        <v>Mandatory for optional feature</v>
      </c>
      <c r="E262" t="str">
        <f>IF('HIDDEN import'!F261=0,"",'HIDDEN import'!F261)</f>
        <v>R-0 and NOT R-2</v>
      </c>
      <c r="F262" t="str">
        <f>IF('HIDDEN import'!G261=0,"",'HIDDEN import'!G261)</f>
        <v>Support reservations of unspecified EVSE</v>
      </c>
      <c r="G262" s="95" t="str">
        <f>IFERROR(VLOOKUP($A262,'HIDDEN Testrun Results'!$A:$B,2,FALSE),"")</f>
        <v/>
      </c>
      <c r="H262" s="6" t="b">
        <f t="shared" si="4"/>
        <v>0</v>
      </c>
      <c r="I262" s="6" t="b">
        <f>IF(VLOOKUP(A262&amp;" "&amp;B262,'HIDDEN import'!A:G,5,FALSE)="M",TRUE,IFERROR(VLOOKUP(E262,'Optional features'!B:D,3,FALSE)="Yes",IFERROR(VLOOKUP(E262,'HIDDEN calc sheet'!A:B,2,FALSE),IFERROR(VLOOKUP(E262,'Additional questions'!B:D,3,FALSE)="Yes",VLOOKUP(E262,'Hardware Feature set'!B:D,3,FALSE)="No"))))</f>
        <v>0</v>
      </c>
      <c r="J262" s="6" t="b">
        <f>IF(VLOOKUP(B262,'Profile selection'!B:C,2,FALSE)="Yes",TRUE,FALSE)</f>
        <v>1</v>
      </c>
    </row>
    <row r="263" spans="1:10" x14ac:dyDescent="0.25">
      <c r="A263" t="str">
        <f>'HIDDEN import'!B262</f>
        <v>TC_H_14_CS</v>
      </c>
      <c r="B263" t="str">
        <f>'HIDDEN import'!C262</f>
        <v>Core</v>
      </c>
      <c r="C263" t="str">
        <f>'HIDDEN import'!D262</f>
        <v>Reserve an unspecified EVSE - Amount of EVSEs available equals the amount of reservations</v>
      </c>
      <c r="D263" t="str">
        <f>IF(VLOOKUP(A263&amp;" "&amp;B263,'HIDDEN import'!A:G,5,FALSE)="M",MD!$A$1,(IF(AND(VLOOKUP(A263,'HIDDEN import'!B:E,4,FALSE)="C",OR(NOT(ISERROR(VLOOKUP(E263,'Optional features'!B:D,1,FALSE)=E263)),NOT(ISERROR(VLOOKUP(E263,'HIDDEN calc sheet'!A:C,1,FALSE)=E263)))),MD!$A$3,MD!$A$2)))</f>
        <v>Mandatory for optional feature</v>
      </c>
      <c r="E263" t="str">
        <f>IF('HIDDEN import'!F262=0,"",'HIDDEN import'!F262)</f>
        <v>R-0 and R-2</v>
      </c>
      <c r="F263" t="str">
        <f>IF('HIDDEN import'!G262=0,"",'HIDDEN import'!G262)</f>
        <v>Support reservations of unspecified EVSE</v>
      </c>
      <c r="G263" s="95" t="str">
        <f>IFERROR(VLOOKUP($A263,'HIDDEN Testrun Results'!$A:$B,2,FALSE),"")</f>
        <v/>
      </c>
      <c r="H263" s="6" t="b">
        <f t="shared" si="4"/>
        <v>0</v>
      </c>
      <c r="I263" s="6" t="b">
        <f>IF(VLOOKUP(A263&amp;" "&amp;B263,'HIDDEN import'!A:G,5,FALSE)="M",TRUE,IFERROR(VLOOKUP(E263,'Optional features'!B:D,3,FALSE)="Yes",IFERROR(VLOOKUP(E263,'HIDDEN calc sheet'!A:B,2,FALSE),IFERROR(VLOOKUP(E263,'Additional questions'!B:D,3,FALSE)="Yes",VLOOKUP(E263,'Hardware Feature set'!B:D,3,FALSE)="No"))))</f>
        <v>0</v>
      </c>
      <c r="J263" s="6" t="b">
        <f>IF(VLOOKUP(B263,'Profile selection'!B:C,2,FALSE)="Yes",TRUE,FALSE)</f>
        <v>1</v>
      </c>
    </row>
    <row r="264" spans="1:10" x14ac:dyDescent="0.25">
      <c r="A264" t="str">
        <f>'HIDDEN import'!B263</f>
        <v>TC_H_24_CS</v>
      </c>
      <c r="B264" t="str">
        <f>'HIDDEN import'!C263</f>
        <v>Core</v>
      </c>
      <c r="C264" t="str">
        <f>'HIDDEN import'!D263</f>
        <v>Reserve an unspecified EVSE - GroupIdToken</v>
      </c>
      <c r="D264" t="str">
        <f>IF(VLOOKUP(A264&amp;" "&amp;B264,'HIDDEN import'!A:G,5,FALSE)="M",MD!$A$1,(IF(AND(VLOOKUP(A264,'HIDDEN import'!B:E,4,FALSE)="C",OR(NOT(ISERROR(VLOOKUP(E264,'Optional features'!B:D,1,FALSE)=E264)),NOT(ISERROR(VLOOKUP(E264,'HIDDEN calc sheet'!A:C,1,FALSE)=E264)))),MD!$A$3,MD!$A$2)))</f>
        <v>Mandatory for optional feature</v>
      </c>
      <c r="E264" t="str">
        <f>IF('HIDDEN import'!F263=0,"",'HIDDEN import'!F263)</f>
        <v>R-0 and R-2</v>
      </c>
      <c r="F264" t="str">
        <f>IF('HIDDEN import'!G263=0,"",'HIDDEN import'!G263)</f>
        <v>Support reservations of unspecified EVSE</v>
      </c>
      <c r="G264" s="95" t="str">
        <f>IFERROR(VLOOKUP($A264,'HIDDEN Testrun Results'!$A:$B,2,FALSE),"")</f>
        <v/>
      </c>
      <c r="H264" s="6" t="b">
        <f t="shared" si="4"/>
        <v>0</v>
      </c>
      <c r="I264" s="6" t="b">
        <f>IF(VLOOKUP(A264&amp;" "&amp;B264,'HIDDEN import'!A:G,5,FALSE)="M",TRUE,IFERROR(VLOOKUP(E264,'Optional features'!B:D,3,FALSE)="Yes",IFERROR(VLOOKUP(E264,'HIDDEN calc sheet'!A:B,2,FALSE),IFERROR(VLOOKUP(E264,'Additional questions'!B:D,3,FALSE)="Yes",VLOOKUP(E264,'Hardware Feature set'!B:D,3,FALSE)="No"))))</f>
        <v>0</v>
      </c>
      <c r="J264" s="6" t="b">
        <f>IF(VLOOKUP(B264,'Profile selection'!B:C,2,FALSE)="Yes",TRUE,FALSE)</f>
        <v>1</v>
      </c>
    </row>
    <row r="265" spans="1:10" x14ac:dyDescent="0.25">
      <c r="A265" t="str">
        <f>'HIDDEN import'!B264</f>
        <v>TC_H_15_CS</v>
      </c>
      <c r="B265" t="str">
        <f>'HIDDEN import'!C264</f>
        <v>Core</v>
      </c>
      <c r="C265" t="str">
        <f>'HIDDEN import'!D264</f>
        <v>Reserve a connector with a specific type - Success</v>
      </c>
      <c r="D265" t="str">
        <f>IF(VLOOKUP(A265&amp;" "&amp;B265,'HIDDEN import'!A:G,5,FALSE)="M",MD!$A$1,(IF(AND(VLOOKUP(A265,'HIDDEN import'!B:E,4,FALSE)="C",OR(NOT(ISERROR(VLOOKUP(E265,'Optional features'!B:D,1,FALSE)=E265)),NOT(ISERROR(VLOOKUP(E265,'HIDDEN calc sheet'!A:C,1,FALSE)=E265)))),MD!$A$3,MD!$A$2)))</f>
        <v>Mandatory for optional feature</v>
      </c>
      <c r="E265" t="str">
        <f>IF('HIDDEN import'!F264=0,"",'HIDDEN import'!F264)</f>
        <v>R-0 and R-1</v>
      </c>
      <c r="F265" t="str">
        <f>IF('HIDDEN import'!G264=0,"",'HIDDEN import'!G264)</f>
        <v>Support reservations of connectorType</v>
      </c>
      <c r="G265" s="95" t="str">
        <f>IFERROR(VLOOKUP($A265,'HIDDEN Testrun Results'!$A:$B,2,FALSE),"")</f>
        <v/>
      </c>
      <c r="H265" s="6" t="b">
        <f t="shared" si="4"/>
        <v>0</v>
      </c>
      <c r="I265" s="6" t="b">
        <f>IF(VLOOKUP(A265&amp;" "&amp;B265,'HIDDEN import'!A:G,5,FALSE)="M",TRUE,IFERROR(VLOOKUP(E265,'Optional features'!B:D,3,FALSE)="Yes",IFERROR(VLOOKUP(E265,'HIDDEN calc sheet'!A:B,2,FALSE),IFERROR(VLOOKUP(E265,'Additional questions'!B:D,3,FALSE)="Yes",VLOOKUP(E265,'Hardware Feature set'!B:D,3,FALSE)="No"))))</f>
        <v>0</v>
      </c>
      <c r="J265" s="6" t="b">
        <f>IF(VLOOKUP(B265,'Profile selection'!B:C,2,FALSE)="Yes",TRUE,FALSE)</f>
        <v>1</v>
      </c>
    </row>
    <row r="266" spans="1:10" x14ac:dyDescent="0.25">
      <c r="A266" t="str">
        <f>'HIDDEN import'!B265</f>
        <v>TC_H_16_CS</v>
      </c>
      <c r="B266" t="str">
        <f>'HIDDEN import'!C265</f>
        <v>Core</v>
      </c>
      <c r="C266" t="str">
        <f>'HIDDEN import'!D265</f>
        <v>Reserve a connector with a specific type - Amount of available connectors of a type equals the amount of reservations</v>
      </c>
      <c r="D266" t="str">
        <f>IF(VLOOKUP(A266&amp;" "&amp;B266,'HIDDEN import'!A:G,5,FALSE)="M",MD!$A$1,(IF(AND(VLOOKUP(A266,'HIDDEN import'!B:E,4,FALSE)="C",OR(NOT(ISERROR(VLOOKUP(E266,'Optional features'!B:D,1,FALSE)=E266)),NOT(ISERROR(VLOOKUP(E266,'HIDDEN calc sheet'!A:C,1,FALSE)=E266)))),MD!$A$3,MD!$A$2)))</f>
        <v>Mandatory for optional feature</v>
      </c>
      <c r="E266" t="str">
        <f>IF('HIDDEN import'!F265=0,"",'HIDDEN import'!F265)</f>
        <v>R-0 and R-1</v>
      </c>
      <c r="F266" t="str">
        <f>IF('HIDDEN import'!G265=0,"",'HIDDEN import'!G265)</f>
        <v>Support reservations of connectorType</v>
      </c>
      <c r="G266" s="95" t="str">
        <f>IFERROR(VLOOKUP($A266,'HIDDEN Testrun Results'!$A:$B,2,FALSE),"")</f>
        <v/>
      </c>
      <c r="H266" s="6" t="b">
        <f t="shared" si="4"/>
        <v>0</v>
      </c>
      <c r="I266" s="6" t="b">
        <f>IF(VLOOKUP(A266&amp;" "&amp;B266,'HIDDEN import'!A:G,5,FALSE)="M",TRUE,IFERROR(VLOOKUP(E266,'Optional features'!B:D,3,FALSE)="Yes",IFERROR(VLOOKUP(E266,'HIDDEN calc sheet'!A:B,2,FALSE),IFERROR(VLOOKUP(E266,'Additional questions'!B:D,3,FALSE)="Yes",VLOOKUP(E266,'Hardware Feature set'!B:D,3,FALSE)="No"))))</f>
        <v>0</v>
      </c>
      <c r="J266" s="6" t="b">
        <f>IF(VLOOKUP(B266,'Profile selection'!B:C,2,FALSE)="Yes",TRUE,FALSE)</f>
        <v>1</v>
      </c>
    </row>
    <row r="267" spans="1:10" x14ac:dyDescent="0.25">
      <c r="A267" t="str">
        <f>'HIDDEN import'!B266</f>
        <v>TC_H_17_CS</v>
      </c>
      <c r="B267" t="str">
        <f>'HIDDEN import'!C266</f>
        <v>Core</v>
      </c>
      <c r="C267" t="str">
        <f>'HIDDEN import'!D266</f>
        <v>Cancel reservation of an EVSE - Success</v>
      </c>
      <c r="D267" t="str">
        <f>IF(VLOOKUP(A267&amp;" "&amp;B267,'HIDDEN import'!A:G,5,FALSE)="M",MD!$A$1,(IF(AND(VLOOKUP(A267,'HIDDEN import'!B:E,4,FALSE)="C",OR(NOT(ISERROR(VLOOKUP(E267,'Optional features'!B:D,1,FALSE)=E267)),NOT(ISERROR(VLOOKUP(E267,'HIDDEN calc sheet'!A:C,1,FALSE)=E267)))),MD!$A$3,MD!$A$2)))</f>
        <v>Mandatory for optional feature</v>
      </c>
      <c r="E267" t="str">
        <f>IF('HIDDEN import'!F266=0,"",'HIDDEN import'!F266)</f>
        <v>R-0</v>
      </c>
      <c r="F267" t="str">
        <f>IF('HIDDEN import'!G266=0,"",'HIDDEN import'!G266)</f>
        <v/>
      </c>
      <c r="G267" s="95" t="str">
        <f>IFERROR(VLOOKUP($A267,'HIDDEN Testrun Results'!$A:$B,2,FALSE),"")</f>
        <v/>
      </c>
      <c r="H267" s="6" t="b">
        <f t="shared" si="4"/>
        <v>0</v>
      </c>
      <c r="I267" s="6" t="b">
        <f>IF(VLOOKUP(A267&amp;" "&amp;B267,'HIDDEN import'!A:G,5,FALSE)="M",TRUE,IFERROR(VLOOKUP(E267,'Optional features'!B:D,3,FALSE)="Yes",IFERROR(VLOOKUP(E267,'HIDDEN calc sheet'!A:B,2,FALSE),IFERROR(VLOOKUP(E267,'Additional questions'!B:D,3,FALSE)="Yes",VLOOKUP(E267,'Hardware Feature set'!B:D,3,FALSE)="No"))))</f>
        <v>0</v>
      </c>
      <c r="J267" s="6" t="b">
        <f>IF(VLOOKUP(B267,'Profile selection'!B:C,2,FALSE)="Yes",TRUE,FALSE)</f>
        <v>1</v>
      </c>
    </row>
    <row r="268" spans="1:10" x14ac:dyDescent="0.25">
      <c r="A268" t="str">
        <f>'HIDDEN import'!B267</f>
        <v>TC_H_18_CS</v>
      </c>
      <c r="B268" t="str">
        <f>'HIDDEN import'!C267</f>
        <v>Core</v>
      </c>
      <c r="C268" t="str">
        <f>'HIDDEN import'!D267</f>
        <v>Cancel reservation of an EVSE - Rejected</v>
      </c>
      <c r="D268" t="str">
        <f>IF(VLOOKUP(A268&amp;" "&amp;B268,'HIDDEN import'!A:G,5,FALSE)="M",MD!$A$1,(IF(AND(VLOOKUP(A268,'HIDDEN import'!B:E,4,FALSE)="C",OR(NOT(ISERROR(VLOOKUP(E268,'Optional features'!B:D,1,FALSE)=E268)),NOT(ISERROR(VLOOKUP(E268,'HIDDEN calc sheet'!A:C,1,FALSE)=E268)))),MD!$A$3,MD!$A$2)))</f>
        <v>Mandatory for optional feature</v>
      </c>
      <c r="E268" t="str">
        <f>IF('HIDDEN import'!F267=0,"",'HIDDEN import'!F267)</f>
        <v>R-0</v>
      </c>
      <c r="F268" t="str">
        <f>IF('HIDDEN import'!G267=0,"",'HIDDEN import'!G267)</f>
        <v/>
      </c>
      <c r="G268" s="95" t="str">
        <f>IFERROR(VLOOKUP($A268,'HIDDEN Testrun Results'!$A:$B,2,FALSE),"")</f>
        <v/>
      </c>
      <c r="H268" s="6" t="b">
        <f t="shared" si="4"/>
        <v>0</v>
      </c>
      <c r="I268" s="6" t="b">
        <f>IF(VLOOKUP(A268&amp;" "&amp;B268,'HIDDEN import'!A:G,5,FALSE)="M",TRUE,IFERROR(VLOOKUP(E268,'Optional features'!B:D,3,FALSE)="Yes",IFERROR(VLOOKUP(E268,'HIDDEN calc sheet'!A:B,2,FALSE),IFERROR(VLOOKUP(E268,'Additional questions'!B:D,3,FALSE)="Yes",VLOOKUP(E268,'Hardware Feature set'!B:D,3,FALSE)="No"))))</f>
        <v>0</v>
      </c>
      <c r="J268" s="6" t="b">
        <f>IF(VLOOKUP(B268,'Profile selection'!B:C,2,FALSE)="Yes",TRUE,FALSE)</f>
        <v>1</v>
      </c>
    </row>
    <row r="269" spans="1:10" x14ac:dyDescent="0.25">
      <c r="A269" t="str">
        <f>'HIDDEN import'!B268</f>
        <v>TC_H_21_CS</v>
      </c>
      <c r="B269" t="str">
        <f>'HIDDEN import'!C268</f>
        <v>Core</v>
      </c>
      <c r="C269" t="str">
        <f>'HIDDEN import'!D268</f>
        <v>Cancel reservation of an EVSE - Charging Station cancels reservation when Unavailable</v>
      </c>
      <c r="D269" t="str">
        <f>IF(VLOOKUP(A269&amp;" "&amp;B269,'HIDDEN import'!A:G,5,FALSE)="M",MD!$A$1,(IF(AND(VLOOKUP(A269,'HIDDEN import'!B:E,4,FALSE)="C",OR(NOT(ISERROR(VLOOKUP(E269,'Optional features'!B:D,1,FALSE)=E269)),NOT(ISERROR(VLOOKUP(E269,'HIDDEN calc sheet'!A:C,1,FALSE)=E269)))),MD!$A$3,MD!$A$2)))</f>
        <v>Mandatory for optional feature</v>
      </c>
      <c r="E269" t="str">
        <f>IF('HIDDEN import'!F268=0,"",'HIDDEN import'!F268)</f>
        <v>R-0</v>
      </c>
      <c r="F269" t="str">
        <f>IF('HIDDEN import'!G268=0,"",'HIDDEN import'!G268)</f>
        <v/>
      </c>
      <c r="G269" s="95" t="str">
        <f>IFERROR(VLOOKUP($A269,'HIDDEN Testrun Results'!$A:$B,2,FALSE),"")</f>
        <v/>
      </c>
      <c r="H269" s="6" t="b">
        <f t="shared" si="4"/>
        <v>0</v>
      </c>
      <c r="I269" s="6" t="b">
        <f>IF(VLOOKUP(A269&amp;" "&amp;B269,'HIDDEN import'!A:G,5,FALSE)="M",TRUE,IFERROR(VLOOKUP(E269,'Optional features'!B:D,3,FALSE)="Yes",IFERROR(VLOOKUP(E269,'HIDDEN calc sheet'!A:B,2,FALSE),IFERROR(VLOOKUP(E269,'Additional questions'!B:D,3,FALSE)="Yes",VLOOKUP(E269,'Hardware Feature set'!B:D,3,FALSE)="No"))))</f>
        <v>0</v>
      </c>
      <c r="J269" s="6" t="b">
        <f>IF(VLOOKUP(B269,'Profile selection'!B:C,2,FALSE)="Yes",TRUE,FALSE)</f>
        <v>1</v>
      </c>
    </row>
    <row r="270" spans="1:10" x14ac:dyDescent="0.25">
      <c r="A270" t="str">
        <f>'HIDDEN import'!B269</f>
        <v>TC_B_16_CS</v>
      </c>
      <c r="B270" t="str">
        <f>'HIDDEN import'!C269</f>
        <v>Core</v>
      </c>
      <c r="C270" t="str">
        <f>'HIDDEN import'!D269</f>
        <v>Get Custom Report - with component criteria</v>
      </c>
      <c r="D270" t="str">
        <f>IF(VLOOKUP(A270&amp;" "&amp;B270,'HIDDEN import'!A:G,5,FALSE)="M",MD!$A$1,(IF(AND(VLOOKUP(A270,'HIDDEN import'!B:E,4,FALSE)="C",OR(NOT(ISERROR(VLOOKUP(E270,'Optional features'!B:D,1,FALSE)=E270)),NOT(ISERROR(VLOOKUP(E270,'HIDDEN calc sheet'!A:C,1,FALSE)=E270)))),MD!$A$3,MD!$A$2)))</f>
        <v>Mandatory for optional feature</v>
      </c>
      <c r="E270" t="str">
        <f>IF('HIDDEN import'!F269=0,"",'HIDDEN import'!F269)</f>
        <v>DM-0</v>
      </c>
      <c r="F270" t="str">
        <f>IF('HIDDEN import'!G269=0,"",'HIDDEN import'!G269)</f>
        <v/>
      </c>
      <c r="G270" s="95" t="str">
        <f>IFERROR(VLOOKUP($A270,'HIDDEN Testrun Results'!$A:$B,2,FALSE),"")</f>
        <v/>
      </c>
      <c r="H270" s="6" t="b">
        <f t="shared" si="4"/>
        <v>0</v>
      </c>
      <c r="I270" s="6" t="b">
        <f>IF(VLOOKUP(A270&amp;" "&amp;B270,'HIDDEN import'!A:G,5,FALSE)="M",TRUE,IFERROR(VLOOKUP(E270,'Optional features'!B:D,3,FALSE)="Yes",IFERROR(VLOOKUP(E270,'HIDDEN calc sheet'!A:B,2,FALSE),IFERROR(VLOOKUP(E270,'Additional questions'!B:D,3,FALSE)="Yes",VLOOKUP(E270,'Hardware Feature set'!B:D,3,FALSE)="No"))))</f>
        <v>0</v>
      </c>
      <c r="J270" s="6" t="b">
        <f>IF(VLOOKUP(B270,'Profile selection'!B:C,2,FALSE)="Yes",TRUE,FALSE)</f>
        <v>1</v>
      </c>
    </row>
    <row r="271" spans="1:10" x14ac:dyDescent="0.25">
      <c r="A271" t="str">
        <f>'HIDDEN import'!B270</f>
        <v>TC_B_17_CS</v>
      </c>
      <c r="B271" t="str">
        <f>'HIDDEN import'!C270</f>
        <v>Core</v>
      </c>
      <c r="C271" t="str">
        <f>'HIDDEN import'!D270</f>
        <v>Get Custom Report - with component/variable</v>
      </c>
      <c r="D271" t="str">
        <f>IF(VLOOKUP(A271&amp;" "&amp;B271,'HIDDEN import'!A:G,5,FALSE)="M",MD!$A$1,(IF(AND(VLOOKUP(A271,'HIDDEN import'!B:E,4,FALSE)="C",OR(NOT(ISERROR(VLOOKUP(E271,'Optional features'!B:D,1,FALSE)=E271)),NOT(ISERROR(VLOOKUP(E271,'HIDDEN calc sheet'!A:C,1,FALSE)=E271)))),MD!$A$3,MD!$A$2)))</f>
        <v>Mandatory for optional feature</v>
      </c>
      <c r="E271" t="str">
        <f>IF('HIDDEN import'!F270=0,"",'HIDDEN import'!F270)</f>
        <v>DM-0</v>
      </c>
      <c r="F271" t="str">
        <f>IF('HIDDEN import'!G270=0,"",'HIDDEN import'!G270)</f>
        <v/>
      </c>
      <c r="G271" s="95" t="str">
        <f>IFERROR(VLOOKUP($A271,'HIDDEN Testrun Results'!$A:$B,2,FALSE),"")</f>
        <v/>
      </c>
      <c r="H271" s="6" t="b">
        <f t="shared" si="4"/>
        <v>0</v>
      </c>
      <c r="I271" s="6" t="b">
        <f>IF(VLOOKUP(A271&amp;" "&amp;B271,'HIDDEN import'!A:G,5,FALSE)="M",TRUE,IFERROR(VLOOKUP(E271,'Optional features'!B:D,3,FALSE)="Yes",IFERROR(VLOOKUP(E271,'HIDDEN calc sheet'!A:B,2,FALSE),IFERROR(VLOOKUP(E271,'Additional questions'!B:D,3,FALSE)="Yes",VLOOKUP(E271,'Hardware Feature set'!B:D,3,FALSE)="No"))))</f>
        <v>0</v>
      </c>
      <c r="J271" s="6" t="b">
        <f>IF(VLOOKUP(B271,'Profile selection'!B:C,2,FALSE)="Yes",TRUE,FALSE)</f>
        <v>1</v>
      </c>
    </row>
    <row r="272" spans="1:10" x14ac:dyDescent="0.25">
      <c r="A272" t="str">
        <f>'HIDDEN import'!B271</f>
        <v>TC_B_18_CS</v>
      </c>
      <c r="B272" t="str">
        <f>'HIDDEN import'!C271</f>
        <v>Core</v>
      </c>
      <c r="C272" t="str">
        <f>'HIDDEN import'!D271</f>
        <v>Get Custom Report - with componentCriteria and component/variables</v>
      </c>
      <c r="D272" t="str">
        <f>IF(VLOOKUP(A272&amp;" "&amp;B272,'HIDDEN import'!A:G,5,FALSE)="M",MD!$A$1,(IF(AND(VLOOKUP(A272,'HIDDEN import'!B:E,4,FALSE)="C",OR(NOT(ISERROR(VLOOKUP(E272,'Optional features'!B:D,1,FALSE)=E272)),NOT(ISERROR(VLOOKUP(E272,'HIDDEN calc sheet'!A:C,1,FALSE)=E272)))),MD!$A$3,MD!$A$2)))</f>
        <v>Mandatory for optional feature</v>
      </c>
      <c r="E272" t="str">
        <f>IF('HIDDEN import'!F271=0,"",'HIDDEN import'!F271)</f>
        <v>DM-0</v>
      </c>
      <c r="F272" t="str">
        <f>IF('HIDDEN import'!G271=0,"",'HIDDEN import'!G271)</f>
        <v/>
      </c>
      <c r="G272" s="95" t="str">
        <f>IFERROR(VLOOKUP($A272,'HIDDEN Testrun Results'!$A:$B,2,FALSE),"")</f>
        <v/>
      </c>
      <c r="H272" s="6" t="b">
        <f t="shared" si="4"/>
        <v>0</v>
      </c>
      <c r="I272" s="6" t="b">
        <f>IF(VLOOKUP(A272&amp;" "&amp;B272,'HIDDEN import'!A:G,5,FALSE)="M",TRUE,IFERROR(VLOOKUP(E272,'Optional features'!B:D,3,FALSE)="Yes",IFERROR(VLOOKUP(E272,'HIDDEN calc sheet'!A:B,2,FALSE),IFERROR(VLOOKUP(E272,'Additional questions'!B:D,3,FALSE)="Yes",VLOOKUP(E272,'Hardware Feature set'!B:D,3,FALSE)="No"))))</f>
        <v>0</v>
      </c>
      <c r="J272" s="6" t="b">
        <f>IF(VLOOKUP(B272,'Profile selection'!B:C,2,FALSE)="Yes",TRUE,FALSE)</f>
        <v>1</v>
      </c>
    </row>
    <row r="273" spans="1:10" x14ac:dyDescent="0.25">
      <c r="A273" t="str">
        <f>'HIDDEN import'!B272</f>
        <v>TC_B_54_CS</v>
      </c>
      <c r="B273" t="str">
        <f>'HIDDEN import'!C272</f>
        <v>Core</v>
      </c>
      <c r="C273" t="str">
        <f>'HIDDEN import'!D272</f>
        <v>Get Custom Report - with component/variable, but no instance</v>
      </c>
      <c r="D273" t="str">
        <f>IF(VLOOKUP(A273&amp;" "&amp;B273,'HIDDEN import'!A:G,5,FALSE)="M",MD!$A$1,(IF(AND(VLOOKUP(A273,'HIDDEN import'!B:E,4,FALSE)="C",OR(NOT(ISERROR(VLOOKUP(E273,'Optional features'!B:D,1,FALSE)=E273)),NOT(ISERROR(VLOOKUP(E273,'HIDDEN calc sheet'!A:C,1,FALSE)=E273)))),MD!$A$3,MD!$A$2)))</f>
        <v>Mandatory for optional feature</v>
      </c>
      <c r="E273" t="str">
        <f>IF('HIDDEN import'!F272=0,"",'HIDDEN import'!F272)</f>
        <v>DM-0</v>
      </c>
      <c r="F273" t="str">
        <f>IF('HIDDEN import'!G272=0,"",'HIDDEN import'!G272)</f>
        <v/>
      </c>
      <c r="G273" s="95" t="str">
        <f>IFERROR(VLOOKUP($A273,'HIDDEN Testrun Results'!$A:$B,2,FALSE),"")</f>
        <v/>
      </c>
      <c r="H273" s="6" t="b">
        <f t="shared" si="4"/>
        <v>0</v>
      </c>
      <c r="I273" s="6" t="b">
        <f>IF(VLOOKUP(A273&amp;" "&amp;B273,'HIDDEN import'!A:G,5,FALSE)="M",TRUE,IFERROR(VLOOKUP(E273,'Optional features'!B:D,3,FALSE)="Yes",IFERROR(VLOOKUP(E273,'HIDDEN calc sheet'!A:B,2,FALSE),IFERROR(VLOOKUP(E273,'Additional questions'!B:D,3,FALSE)="Yes",VLOOKUP(E273,'Hardware Feature set'!B:D,3,FALSE)="No"))))</f>
        <v>0</v>
      </c>
      <c r="J273" s="6" t="b">
        <f>IF(VLOOKUP(B273,'Profile selection'!B:C,2,FALSE)="Yes",TRUE,FALSE)</f>
        <v>1</v>
      </c>
    </row>
    <row r="274" spans="1:10" x14ac:dyDescent="0.25">
      <c r="A274" t="str">
        <f>'HIDDEN import'!B273</f>
        <v>TC_B_55_CS</v>
      </c>
      <c r="B274" t="str">
        <f>'HIDDEN import'!C273</f>
        <v>Core</v>
      </c>
      <c r="C274" t="str">
        <f>'HIDDEN import'!D273</f>
        <v>Get Custom Report - with component/variable/instance</v>
      </c>
      <c r="D274" t="str">
        <f>IF(VLOOKUP(A274&amp;" "&amp;B274,'HIDDEN import'!A:G,5,FALSE)="M",MD!$A$1,(IF(AND(VLOOKUP(A274,'HIDDEN import'!B:E,4,FALSE)="C",OR(NOT(ISERROR(VLOOKUP(E274,'Optional features'!B:D,1,FALSE)=E274)),NOT(ISERROR(VLOOKUP(E274,'HIDDEN calc sheet'!A:C,1,FALSE)=E274)))),MD!$A$3,MD!$A$2)))</f>
        <v>Mandatory for optional feature</v>
      </c>
      <c r="E274" t="str">
        <f>IF('HIDDEN import'!F273=0,"",'HIDDEN import'!F273)</f>
        <v>DM-0</v>
      </c>
      <c r="F274" t="str">
        <f>IF('HIDDEN import'!G273=0,"",'HIDDEN import'!G273)</f>
        <v/>
      </c>
      <c r="G274" s="95" t="str">
        <f>IFERROR(VLOOKUP($A274,'HIDDEN Testrun Results'!$A:$B,2,FALSE),"")</f>
        <v/>
      </c>
      <c r="H274" s="6" t="b">
        <f t="shared" si="4"/>
        <v>0</v>
      </c>
      <c r="I274" s="6" t="b">
        <f>IF(VLOOKUP(A274&amp;" "&amp;B274,'HIDDEN import'!A:G,5,FALSE)="M",TRUE,IFERROR(VLOOKUP(E274,'Optional features'!B:D,3,FALSE)="Yes",IFERROR(VLOOKUP(E274,'HIDDEN calc sheet'!A:B,2,FALSE),IFERROR(VLOOKUP(E274,'Additional questions'!B:D,3,FALSE)="Yes",VLOOKUP(E274,'Hardware Feature set'!B:D,3,FALSE)="No"))))</f>
        <v>0</v>
      </c>
      <c r="J274" s="6" t="b">
        <f>IF(VLOOKUP(B274,'Profile selection'!B:C,2,FALSE)="Yes",TRUE,FALSE)</f>
        <v>1</v>
      </c>
    </row>
    <row r="275" spans="1:10" x14ac:dyDescent="0.25">
      <c r="A275" t="str">
        <f>'HIDDEN import'!B274</f>
        <v>TC_B_56_CS</v>
      </c>
      <c r="B275" t="str">
        <f>'HIDDEN import'!C274</f>
        <v>Core</v>
      </c>
      <c r="C275" t="str">
        <f>'HIDDEN import'!D274</f>
        <v>Get Custom Report - with component/variable, but no evseId</v>
      </c>
      <c r="D275" t="str">
        <f>IF(VLOOKUP(A275&amp;" "&amp;B275,'HIDDEN import'!A:G,5,FALSE)="M",MD!$A$1,(IF(AND(VLOOKUP(A275,'HIDDEN import'!B:E,4,FALSE)="C",OR(NOT(ISERROR(VLOOKUP(E275,'Optional features'!B:D,1,FALSE)=E275)),NOT(ISERROR(VLOOKUP(E275,'HIDDEN calc sheet'!A:C,1,FALSE)=E275)))),MD!$A$3,MD!$A$2)))</f>
        <v>Mandatory for optional feature</v>
      </c>
      <c r="E275" t="str">
        <f>IF('HIDDEN import'!F274=0,"",'HIDDEN import'!F274)</f>
        <v>DM-0</v>
      </c>
      <c r="F275" t="str">
        <f>IF('HIDDEN import'!G274=0,"",'HIDDEN import'!G274)</f>
        <v/>
      </c>
      <c r="G275" s="95" t="str">
        <f>IFERROR(VLOOKUP($A275,'HIDDEN Testrun Results'!$A:$B,2,FALSE),"")</f>
        <v/>
      </c>
      <c r="H275" s="6" t="b">
        <f t="shared" si="4"/>
        <v>0</v>
      </c>
      <c r="I275" s="6" t="b">
        <f>IF(VLOOKUP(A275&amp;" "&amp;B275,'HIDDEN import'!A:G,5,FALSE)="M",TRUE,IFERROR(VLOOKUP(E275,'Optional features'!B:D,3,FALSE)="Yes",IFERROR(VLOOKUP(E275,'HIDDEN calc sheet'!A:B,2,FALSE),IFERROR(VLOOKUP(E275,'Additional questions'!B:D,3,FALSE)="Yes",VLOOKUP(E275,'Hardware Feature set'!B:D,3,FALSE)="No"))))</f>
        <v>0</v>
      </c>
      <c r="J275" s="6" t="b">
        <f>IF(VLOOKUP(B275,'Profile selection'!B:C,2,FALSE)="Yes",TRUE,FALSE)</f>
        <v>1</v>
      </c>
    </row>
    <row r="276" spans="1:10" x14ac:dyDescent="0.25">
      <c r="A276" t="str">
        <f>'HIDDEN import'!B275</f>
        <v>TC_N_01_CS</v>
      </c>
      <c r="B276" t="str">
        <f>'HIDDEN import'!C275</f>
        <v>Core</v>
      </c>
      <c r="C276" t="str">
        <f>'HIDDEN import'!D275</f>
        <v>Get Monitoring Report - with monitoringCriteria</v>
      </c>
      <c r="D276" t="str">
        <f>IF(VLOOKUP(A276&amp;" "&amp;B276,'HIDDEN import'!A:G,5,FALSE)="M",MD!$A$1,(IF(AND(VLOOKUP(A276,'HIDDEN import'!B:E,4,FALSE)="C",OR(NOT(ISERROR(VLOOKUP(E276,'Optional features'!B:D,1,FALSE)=E276)),NOT(ISERROR(VLOOKUP(E276,'HIDDEN calc sheet'!A:C,1,FALSE)=E276)))),MD!$A$3,MD!$A$2)))</f>
        <v>Mandatory for optional feature</v>
      </c>
      <c r="E276" t="str">
        <f>IF('HIDDEN import'!F275=0,"",'HIDDEN import'!F275)</f>
        <v>DM-0</v>
      </c>
      <c r="F276" t="str">
        <f>IF('HIDDEN import'!G275=0,"",'HIDDEN import'!G275)</f>
        <v/>
      </c>
      <c r="G276" s="95" t="str">
        <f>IFERROR(VLOOKUP($A276,'HIDDEN Testrun Results'!$A:$B,2,FALSE),"")</f>
        <v/>
      </c>
      <c r="H276" s="6" t="b">
        <f t="shared" si="4"/>
        <v>0</v>
      </c>
      <c r="I276" s="6" t="b">
        <f>IF(VLOOKUP(A276&amp;" "&amp;B276,'HIDDEN import'!A:G,5,FALSE)="M",TRUE,IFERROR(VLOOKUP(E276,'Optional features'!B:D,3,FALSE)="Yes",IFERROR(VLOOKUP(E276,'HIDDEN calc sheet'!A:B,2,FALSE),IFERROR(VLOOKUP(E276,'Additional questions'!B:D,3,FALSE)="Yes",VLOOKUP(E276,'Hardware Feature set'!B:D,3,FALSE)="No"))))</f>
        <v>0</v>
      </c>
      <c r="J276" s="6" t="b">
        <f>IF(VLOOKUP(B276,'Profile selection'!B:C,2,FALSE)="Yes",TRUE,FALSE)</f>
        <v>1</v>
      </c>
    </row>
    <row r="277" spans="1:10" x14ac:dyDescent="0.25">
      <c r="A277" t="str">
        <f>'HIDDEN import'!B276</f>
        <v>TC_N_02_CS</v>
      </c>
      <c r="B277" t="str">
        <f>'HIDDEN import'!C276</f>
        <v>Core</v>
      </c>
      <c r="C277" t="str">
        <f>'HIDDEN import'!D276</f>
        <v>Get Monitoring Report - with component/variable</v>
      </c>
      <c r="D277" t="str">
        <f>IF(VLOOKUP(A277&amp;" "&amp;B277,'HIDDEN import'!A:G,5,FALSE)="M",MD!$A$1,(IF(AND(VLOOKUP(A277,'HIDDEN import'!B:E,4,FALSE)="C",OR(NOT(ISERROR(VLOOKUP(E277,'Optional features'!B:D,1,FALSE)=E277)),NOT(ISERROR(VLOOKUP(E277,'HIDDEN calc sheet'!A:C,1,FALSE)=E277)))),MD!$A$3,MD!$A$2)))</f>
        <v>Mandatory for optional feature</v>
      </c>
      <c r="E277" t="str">
        <f>IF('HIDDEN import'!F276=0,"",'HIDDEN import'!F276)</f>
        <v>DM-0</v>
      </c>
      <c r="F277" t="str">
        <f>IF('HIDDEN import'!G276=0,"",'HIDDEN import'!G276)</f>
        <v/>
      </c>
      <c r="G277" s="95" t="str">
        <f>IFERROR(VLOOKUP($A277,'HIDDEN Testrun Results'!$A:$B,2,FALSE),"")</f>
        <v/>
      </c>
      <c r="H277" s="6" t="b">
        <f t="shared" si="4"/>
        <v>0</v>
      </c>
      <c r="I277" s="6" t="b">
        <f>IF(VLOOKUP(A277&amp;" "&amp;B277,'HIDDEN import'!A:G,5,FALSE)="M",TRUE,IFERROR(VLOOKUP(E277,'Optional features'!B:D,3,FALSE)="Yes",IFERROR(VLOOKUP(E277,'HIDDEN calc sheet'!A:B,2,FALSE),IFERROR(VLOOKUP(E277,'Additional questions'!B:D,3,FALSE)="Yes",VLOOKUP(E277,'Hardware Feature set'!B:D,3,FALSE)="No"))))</f>
        <v>0</v>
      </c>
      <c r="J277" s="6" t="b">
        <f>IF(VLOOKUP(B277,'Profile selection'!B:C,2,FALSE)="Yes",TRUE,FALSE)</f>
        <v>1</v>
      </c>
    </row>
    <row r="278" spans="1:10" x14ac:dyDescent="0.25">
      <c r="A278" t="str">
        <f>'HIDDEN import'!B277</f>
        <v>TC_N_03_CS</v>
      </c>
      <c r="B278" t="str">
        <f>'HIDDEN import'!C277</f>
        <v>Core</v>
      </c>
      <c r="C278" t="str">
        <f>'HIDDEN import'!D277</f>
        <v>Get Monitoring Report - with component criteria and component/variable</v>
      </c>
      <c r="D278" t="str">
        <f>IF(VLOOKUP(A278&amp;" "&amp;B278,'HIDDEN import'!A:G,5,FALSE)="M",MD!$A$1,(IF(AND(VLOOKUP(A278,'HIDDEN import'!B:E,4,FALSE)="C",OR(NOT(ISERROR(VLOOKUP(E278,'Optional features'!B:D,1,FALSE)=E278)),NOT(ISERROR(VLOOKUP(E278,'HIDDEN calc sheet'!A:C,1,FALSE)=E278)))),MD!$A$3,MD!$A$2)))</f>
        <v>Mandatory for optional feature</v>
      </c>
      <c r="E278" t="str">
        <f>IF('HIDDEN import'!F277=0,"",'HIDDEN import'!F277)</f>
        <v>DM-0</v>
      </c>
      <c r="F278" t="str">
        <f>IF('HIDDEN import'!G277=0,"",'HIDDEN import'!G277)</f>
        <v/>
      </c>
      <c r="G278" s="95" t="str">
        <f>IFERROR(VLOOKUP($A278,'HIDDEN Testrun Results'!$A:$B,2,FALSE),"")</f>
        <v/>
      </c>
      <c r="H278" s="6" t="b">
        <f t="shared" si="4"/>
        <v>0</v>
      </c>
      <c r="I278" s="6" t="b">
        <f>IF(VLOOKUP(A278&amp;" "&amp;B278,'HIDDEN import'!A:G,5,FALSE)="M",TRUE,IFERROR(VLOOKUP(E278,'Optional features'!B:D,3,FALSE)="Yes",IFERROR(VLOOKUP(E278,'HIDDEN calc sheet'!A:B,2,FALSE),IFERROR(VLOOKUP(E278,'Additional questions'!B:D,3,FALSE)="Yes",VLOOKUP(E278,'Hardware Feature set'!B:D,3,FALSE)="No"))))</f>
        <v>0</v>
      </c>
      <c r="J278" s="6" t="b">
        <f>IF(VLOOKUP(B278,'Profile selection'!B:C,2,FALSE)="Yes",TRUE,FALSE)</f>
        <v>1</v>
      </c>
    </row>
    <row r="279" spans="1:10" x14ac:dyDescent="0.25">
      <c r="A279" t="str">
        <f>'HIDDEN import'!B278</f>
        <v>TC_N_47_CS</v>
      </c>
      <c r="B279" t="str">
        <f>'HIDDEN import'!C278</f>
        <v>Core</v>
      </c>
      <c r="C279" t="str">
        <f>'HIDDEN import'!D278</f>
        <v>Get Monitoring Report - Report all</v>
      </c>
      <c r="D279" t="str">
        <f>IF(VLOOKUP(A279&amp;" "&amp;B279,'HIDDEN import'!A:G,5,FALSE)="M",MD!$A$1,(IF(AND(VLOOKUP(A279,'HIDDEN import'!B:E,4,FALSE)="C",OR(NOT(ISERROR(VLOOKUP(E279,'Optional features'!B:D,1,FALSE)=E279)),NOT(ISERROR(VLOOKUP(E279,'HIDDEN calc sheet'!A:C,1,FALSE)=E279)))),MD!$A$3,MD!$A$2)))</f>
        <v>Mandatory for optional feature</v>
      </c>
      <c r="E279" t="str">
        <f>IF('HIDDEN import'!F278=0,"",'HIDDEN import'!F278)</f>
        <v>DM-0</v>
      </c>
      <c r="F279" t="str">
        <f>IF('HIDDEN import'!G278=0,"",'HIDDEN import'!G278)</f>
        <v/>
      </c>
      <c r="G279" s="95" t="str">
        <f>IFERROR(VLOOKUP($A279,'HIDDEN Testrun Results'!$A:$B,2,FALSE),"")</f>
        <v/>
      </c>
      <c r="H279" s="6" t="b">
        <f t="shared" si="4"/>
        <v>0</v>
      </c>
      <c r="I279" s="6" t="b">
        <f>IF(VLOOKUP(A279&amp;" "&amp;B279,'HIDDEN import'!A:G,5,FALSE)="M",TRUE,IFERROR(VLOOKUP(E279,'Optional features'!B:D,3,FALSE)="Yes",IFERROR(VLOOKUP(E279,'HIDDEN calc sheet'!A:B,2,FALSE),IFERROR(VLOOKUP(E279,'Additional questions'!B:D,3,FALSE)="Yes",VLOOKUP(E279,'Hardware Feature set'!B:D,3,FALSE)="No"))))</f>
        <v>0</v>
      </c>
      <c r="J279" s="6" t="b">
        <f>IF(VLOOKUP(B279,'Profile selection'!B:C,2,FALSE)="Yes",TRUE,FALSE)</f>
        <v>1</v>
      </c>
    </row>
    <row r="280" spans="1:10" x14ac:dyDescent="0.25">
      <c r="A280" t="str">
        <f>'HIDDEN import'!B279</f>
        <v>TC_N_05_CS</v>
      </c>
      <c r="B280" t="str">
        <f>'HIDDEN import'!C279</f>
        <v>Core</v>
      </c>
      <c r="C280" t="str">
        <f>'HIDDEN import'!D279</f>
        <v>Set Monitoring Base - success</v>
      </c>
      <c r="D280" t="str">
        <f>IF(VLOOKUP(A280&amp;" "&amp;B280,'HIDDEN import'!A:G,5,FALSE)="M",MD!$A$1,(IF(AND(VLOOKUP(A280,'HIDDEN import'!B:E,4,FALSE)="C",OR(NOT(ISERROR(VLOOKUP(E280,'Optional features'!B:D,1,FALSE)=E280)),NOT(ISERROR(VLOOKUP(E280,'HIDDEN calc sheet'!A:C,1,FALSE)=E280)))),MD!$A$3,MD!$A$2)))</f>
        <v>Mandatory for optional feature</v>
      </c>
      <c r="E280" t="str">
        <f>IF('HIDDEN import'!F279=0,"",'HIDDEN import'!F279)</f>
        <v>DM-0</v>
      </c>
      <c r="F280" t="str">
        <f>IF('HIDDEN import'!G279=0,"",'HIDDEN import'!G279)</f>
        <v/>
      </c>
      <c r="G280" s="95" t="str">
        <f>IFERROR(VLOOKUP($A280,'HIDDEN Testrun Results'!$A:$B,2,FALSE),"")</f>
        <v/>
      </c>
      <c r="H280" s="6" t="b">
        <f t="shared" si="4"/>
        <v>0</v>
      </c>
      <c r="I280" s="6" t="b">
        <f>IF(VLOOKUP(A280&amp;" "&amp;B280,'HIDDEN import'!A:G,5,FALSE)="M",TRUE,IFERROR(VLOOKUP(E280,'Optional features'!B:D,3,FALSE)="Yes",IFERROR(VLOOKUP(E280,'HIDDEN calc sheet'!A:B,2,FALSE),IFERROR(VLOOKUP(E280,'Additional questions'!B:D,3,FALSE)="Yes",VLOOKUP(E280,'Hardware Feature set'!B:D,3,FALSE)="No"))))</f>
        <v>0</v>
      </c>
      <c r="J280" s="6" t="b">
        <f>IF(VLOOKUP(B280,'Profile selection'!B:C,2,FALSE)="Yes",TRUE,FALSE)</f>
        <v>1</v>
      </c>
    </row>
    <row r="281" spans="1:10" x14ac:dyDescent="0.25">
      <c r="A281" t="str">
        <f>'HIDDEN import'!B280</f>
        <v>TC_N_06_CS</v>
      </c>
      <c r="B281" t="str">
        <f>'HIDDEN import'!C280</f>
        <v>Core</v>
      </c>
      <c r="C281" t="str">
        <f>'HIDDEN import'!D280</f>
        <v>Set Monitoring Base - test removal custom monitors</v>
      </c>
      <c r="D281" t="str">
        <f>IF(VLOOKUP(A281&amp;" "&amp;B281,'HIDDEN import'!A:G,5,FALSE)="M",MD!$A$1,(IF(AND(VLOOKUP(A281,'HIDDEN import'!B:E,4,FALSE)="C",OR(NOT(ISERROR(VLOOKUP(E281,'Optional features'!B:D,1,FALSE)=E281)),NOT(ISERROR(VLOOKUP(E281,'HIDDEN calc sheet'!A:C,1,FALSE)=E281)))),MD!$A$3,MD!$A$2)))</f>
        <v>Mandatory for optional feature</v>
      </c>
      <c r="E281" t="str">
        <f>IF('HIDDEN import'!F280=0,"",'HIDDEN import'!F280)</f>
        <v>DM-0</v>
      </c>
      <c r="F281" t="str">
        <f>IF('HIDDEN import'!G280=0,"",'HIDDEN import'!G280)</f>
        <v/>
      </c>
      <c r="G281" s="95" t="str">
        <f>IFERROR(VLOOKUP($A281,'HIDDEN Testrun Results'!$A:$B,2,FALSE),"")</f>
        <v/>
      </c>
      <c r="H281" s="6" t="b">
        <f t="shared" si="4"/>
        <v>0</v>
      </c>
      <c r="I281" s="6" t="b">
        <f>IF(VLOOKUP(A281&amp;" "&amp;B281,'HIDDEN import'!A:G,5,FALSE)="M",TRUE,IFERROR(VLOOKUP(E281,'Optional features'!B:D,3,FALSE)="Yes",IFERROR(VLOOKUP(E281,'HIDDEN calc sheet'!A:B,2,FALSE),IFERROR(VLOOKUP(E281,'Additional questions'!B:D,3,FALSE)="Yes",VLOOKUP(E281,'Hardware Feature set'!B:D,3,FALSE)="No"))))</f>
        <v>0</v>
      </c>
      <c r="J281" s="6" t="b">
        <f>IF(VLOOKUP(B281,'Profile selection'!B:C,2,FALSE)="Yes",TRUE,FALSE)</f>
        <v>1</v>
      </c>
    </row>
    <row r="282" spans="1:10" x14ac:dyDescent="0.25">
      <c r="A282" t="str">
        <f>'HIDDEN import'!B281</f>
        <v>TC_N_08_CS</v>
      </c>
      <c r="B282" t="str">
        <f>'HIDDEN import'!C281</f>
        <v>Core</v>
      </c>
      <c r="C282" t="str">
        <f>'HIDDEN import'!D281</f>
        <v>Set Variable Monitoring - One SetMonitoringData element</v>
      </c>
      <c r="D282" t="str">
        <f>IF(VLOOKUP(A282&amp;" "&amp;B282,'HIDDEN import'!A:G,5,FALSE)="M",MD!$A$1,(IF(AND(VLOOKUP(A282,'HIDDEN import'!B:E,4,FALSE)="C",OR(NOT(ISERROR(VLOOKUP(E282,'Optional features'!B:D,1,FALSE)=E282)),NOT(ISERROR(VLOOKUP(E282,'HIDDEN calc sheet'!A:C,1,FALSE)=E282)))),MD!$A$3,MD!$A$2)))</f>
        <v>Mandatory for optional feature</v>
      </c>
      <c r="E282" t="str">
        <f>IF('HIDDEN import'!F281=0,"",'HIDDEN import'!F281)</f>
        <v>DM-0</v>
      </c>
      <c r="F282" t="str">
        <f>IF('HIDDEN import'!G281=0,"",'HIDDEN import'!G281)</f>
        <v/>
      </c>
      <c r="G282" s="95" t="str">
        <f>IFERROR(VLOOKUP($A282,'HIDDEN Testrun Results'!$A:$B,2,FALSE),"")</f>
        <v/>
      </c>
      <c r="H282" s="6" t="b">
        <f t="shared" si="4"/>
        <v>0</v>
      </c>
      <c r="I282" s="6" t="b">
        <f>IF(VLOOKUP(A282&amp;" "&amp;B282,'HIDDEN import'!A:G,5,FALSE)="M",TRUE,IFERROR(VLOOKUP(E282,'Optional features'!B:D,3,FALSE)="Yes",IFERROR(VLOOKUP(E282,'HIDDEN calc sheet'!A:B,2,FALSE),IFERROR(VLOOKUP(E282,'Additional questions'!B:D,3,FALSE)="Yes",VLOOKUP(E282,'Hardware Feature set'!B:D,3,FALSE)="No"))))</f>
        <v>0</v>
      </c>
      <c r="J282" s="6" t="b">
        <f>IF(VLOOKUP(B282,'Profile selection'!B:C,2,FALSE)="Yes",TRUE,FALSE)</f>
        <v>1</v>
      </c>
    </row>
    <row r="283" spans="1:10" x14ac:dyDescent="0.25">
      <c r="A283" t="str">
        <f>'HIDDEN import'!B282</f>
        <v>TC_N_09_CS</v>
      </c>
      <c r="B283" t="str">
        <f>'HIDDEN import'!C282</f>
        <v>Core</v>
      </c>
      <c r="C283" t="str">
        <f>'HIDDEN import'!D282</f>
        <v>Set Variable Monitoring - Multiple elements on different component and variable</v>
      </c>
      <c r="D283" t="str">
        <f>IF(VLOOKUP(A283&amp;" "&amp;B283,'HIDDEN import'!A:G,5,FALSE)="M",MD!$A$1,(IF(AND(VLOOKUP(A283,'HIDDEN import'!B:E,4,FALSE)="C",OR(NOT(ISERROR(VLOOKUP(E283,'Optional features'!B:D,1,FALSE)=E283)),NOT(ISERROR(VLOOKUP(E283,'HIDDEN calc sheet'!A:C,1,FALSE)=E283)))),MD!$A$3,MD!$A$2)))</f>
        <v>Mandatory for optional feature</v>
      </c>
      <c r="E283" t="str">
        <f>IF('HIDDEN import'!F282=0,"",'HIDDEN import'!F282)</f>
        <v>DM-0</v>
      </c>
      <c r="F283" t="str">
        <f>IF('HIDDEN import'!G282=0,"",'HIDDEN import'!G282)</f>
        <v/>
      </c>
      <c r="G283" s="95" t="str">
        <f>IFERROR(VLOOKUP($A283,'HIDDEN Testrun Results'!$A:$B,2,FALSE),"")</f>
        <v/>
      </c>
      <c r="H283" s="6" t="b">
        <f t="shared" si="4"/>
        <v>0</v>
      </c>
      <c r="I283" s="6" t="b">
        <f>IF(VLOOKUP(A283&amp;" "&amp;B283,'HIDDEN import'!A:G,5,FALSE)="M",TRUE,IFERROR(VLOOKUP(E283,'Optional features'!B:D,3,FALSE)="Yes",IFERROR(VLOOKUP(E283,'HIDDEN calc sheet'!A:B,2,FALSE),IFERROR(VLOOKUP(E283,'Additional questions'!B:D,3,FALSE)="Yes",VLOOKUP(E283,'Hardware Feature set'!B:D,3,FALSE)="No"))))</f>
        <v>0</v>
      </c>
      <c r="J283" s="6" t="b">
        <f>IF(VLOOKUP(B283,'Profile selection'!B:C,2,FALSE)="Yes",TRUE,FALSE)</f>
        <v>1</v>
      </c>
    </row>
    <row r="284" spans="1:10" x14ac:dyDescent="0.25">
      <c r="A284" t="str">
        <f>'HIDDEN import'!B283</f>
        <v>TC_N_10_CS</v>
      </c>
      <c r="B284" t="str">
        <f>'HIDDEN import'!C283</f>
        <v>Core</v>
      </c>
      <c r="C284" t="str">
        <f>'HIDDEN import'!D283</f>
        <v>Set Variable Monitoring - Multiple monitors on the same component and variable</v>
      </c>
      <c r="D284" t="str">
        <f>IF(VLOOKUP(A284&amp;" "&amp;B284,'HIDDEN import'!A:G,5,FALSE)="M",MD!$A$1,(IF(AND(VLOOKUP(A284,'HIDDEN import'!B:E,4,FALSE)="C",OR(NOT(ISERROR(VLOOKUP(E284,'Optional features'!B:D,1,FALSE)=E284)),NOT(ISERROR(VLOOKUP(E284,'HIDDEN calc sheet'!A:C,1,FALSE)=E284)))),MD!$A$3,MD!$A$2)))</f>
        <v>Mandatory for optional feature</v>
      </c>
      <c r="E284" t="str">
        <f>IF('HIDDEN import'!F283=0,"",'HIDDEN import'!F283)</f>
        <v>DM-0</v>
      </c>
      <c r="F284" t="str">
        <f>IF('HIDDEN import'!G283=0,"",'HIDDEN import'!G283)</f>
        <v/>
      </c>
      <c r="G284" s="95" t="str">
        <f>IFERROR(VLOOKUP($A284,'HIDDEN Testrun Results'!$A:$B,2,FALSE),"")</f>
        <v/>
      </c>
      <c r="H284" s="6" t="b">
        <f t="shared" si="4"/>
        <v>0</v>
      </c>
      <c r="I284" s="6" t="b">
        <f>IF(VLOOKUP(A284&amp;" "&amp;B284,'HIDDEN import'!A:G,5,FALSE)="M",TRUE,IFERROR(VLOOKUP(E284,'Optional features'!B:D,3,FALSE)="Yes",IFERROR(VLOOKUP(E284,'HIDDEN calc sheet'!A:B,2,FALSE),IFERROR(VLOOKUP(E284,'Additional questions'!B:D,3,FALSE)="Yes",VLOOKUP(E284,'Hardware Feature set'!B:D,3,FALSE)="No"))))</f>
        <v>0</v>
      </c>
      <c r="J284" s="6" t="b">
        <f>IF(VLOOKUP(B284,'Profile selection'!B:C,2,FALSE)="Yes",TRUE,FALSE)</f>
        <v>1</v>
      </c>
    </row>
    <row r="285" spans="1:10" x14ac:dyDescent="0.25">
      <c r="A285" t="str">
        <f>'HIDDEN import'!B284</f>
        <v>TC_N_11_CS</v>
      </c>
      <c r="B285" t="str">
        <f>'HIDDEN import'!C284</f>
        <v>Core</v>
      </c>
      <c r="C285" t="str">
        <f>'HIDDEN import'!D284</f>
        <v>Set Variable Monitoring - Unknown component</v>
      </c>
      <c r="D285" t="str">
        <f>IF(VLOOKUP(A285&amp;" "&amp;B285,'HIDDEN import'!A:G,5,FALSE)="M",MD!$A$1,(IF(AND(VLOOKUP(A285,'HIDDEN import'!B:E,4,FALSE)="C",OR(NOT(ISERROR(VLOOKUP(E285,'Optional features'!B:D,1,FALSE)=E285)),NOT(ISERROR(VLOOKUP(E285,'HIDDEN calc sheet'!A:C,1,FALSE)=E285)))),MD!$A$3,MD!$A$2)))</f>
        <v>Mandatory for optional feature</v>
      </c>
      <c r="E285" t="str">
        <f>IF('HIDDEN import'!F284=0,"",'HIDDEN import'!F284)</f>
        <v>DM-0</v>
      </c>
      <c r="F285" t="str">
        <f>IF('HIDDEN import'!G284=0,"",'HIDDEN import'!G284)</f>
        <v/>
      </c>
      <c r="G285" s="95" t="str">
        <f>IFERROR(VLOOKUP($A285,'HIDDEN Testrun Results'!$A:$B,2,FALSE),"")</f>
        <v/>
      </c>
      <c r="H285" s="6" t="b">
        <f t="shared" si="4"/>
        <v>0</v>
      </c>
      <c r="I285" s="6" t="b">
        <f>IF(VLOOKUP(A285&amp;" "&amp;B285,'HIDDEN import'!A:G,5,FALSE)="M",TRUE,IFERROR(VLOOKUP(E285,'Optional features'!B:D,3,FALSE)="Yes",IFERROR(VLOOKUP(E285,'HIDDEN calc sheet'!A:B,2,FALSE),IFERROR(VLOOKUP(E285,'Additional questions'!B:D,3,FALSE)="Yes",VLOOKUP(E285,'Hardware Feature set'!B:D,3,FALSE)="No"))))</f>
        <v>0</v>
      </c>
      <c r="J285" s="6" t="b">
        <f>IF(VLOOKUP(B285,'Profile selection'!B:C,2,FALSE)="Yes",TRUE,FALSE)</f>
        <v>1</v>
      </c>
    </row>
    <row r="286" spans="1:10" x14ac:dyDescent="0.25">
      <c r="A286" t="str">
        <f>'HIDDEN import'!B285</f>
        <v>TC_N_12_CS</v>
      </c>
      <c r="B286" t="str">
        <f>'HIDDEN import'!C285</f>
        <v>Core</v>
      </c>
      <c r="C286" t="str">
        <f>'HIDDEN import'!D285</f>
        <v>Set Variable Monitoring - Value out of range - Delta monitor</v>
      </c>
      <c r="D286" t="str">
        <f>IF(VLOOKUP(A286&amp;" "&amp;B286,'HIDDEN import'!A:G,5,FALSE)="M",MD!$A$1,(IF(AND(VLOOKUP(A286,'HIDDEN import'!B:E,4,FALSE)="C",OR(NOT(ISERROR(VLOOKUP(E286,'Optional features'!B:D,1,FALSE)=E286)),NOT(ISERROR(VLOOKUP(E286,'HIDDEN calc sheet'!A:C,1,FALSE)=E286)))),MD!$A$3,MD!$A$2)))</f>
        <v>Mandatory for optional feature</v>
      </c>
      <c r="E286" t="str">
        <f>IF('HIDDEN import'!F285=0,"",'HIDDEN import'!F285)</f>
        <v>DM-0</v>
      </c>
      <c r="F286" t="str">
        <f>IF('HIDDEN import'!G285=0,"",'HIDDEN import'!G285)</f>
        <v/>
      </c>
      <c r="G286" s="95" t="str">
        <f>IFERROR(VLOOKUP($A286,'HIDDEN Testrun Results'!$A:$B,2,FALSE),"")</f>
        <v/>
      </c>
      <c r="H286" s="6" t="b">
        <f t="shared" si="4"/>
        <v>0</v>
      </c>
      <c r="I286" s="6" t="b">
        <f>IF(VLOOKUP(A286&amp;" "&amp;B286,'HIDDEN import'!A:G,5,FALSE)="M",TRUE,IFERROR(VLOOKUP(E286,'Optional features'!B:D,3,FALSE)="Yes",IFERROR(VLOOKUP(E286,'HIDDEN calc sheet'!A:B,2,FALSE),IFERROR(VLOOKUP(E286,'Additional questions'!B:D,3,FALSE)="Yes",VLOOKUP(E286,'Hardware Feature set'!B:D,3,FALSE)="No"))))</f>
        <v>0</v>
      </c>
      <c r="J286" s="6" t="b">
        <f>IF(VLOOKUP(B286,'Profile selection'!B:C,2,FALSE)="Yes",TRUE,FALSE)</f>
        <v>1</v>
      </c>
    </row>
    <row r="287" spans="1:10" x14ac:dyDescent="0.25">
      <c r="A287" t="str">
        <f>'HIDDEN import'!B286</f>
        <v>TC_N_13_CS</v>
      </c>
      <c r="B287" t="str">
        <f>'HIDDEN import'!C286</f>
        <v>Core</v>
      </c>
      <c r="C287" t="str">
        <f>'HIDDEN import'!D286</f>
        <v>Set Variable Monitoring - Value out of range - Threshold monitor</v>
      </c>
      <c r="D287" t="str">
        <f>IF(VLOOKUP(A287&amp;" "&amp;B287,'HIDDEN import'!A:G,5,FALSE)="M",MD!$A$1,(IF(AND(VLOOKUP(A287,'HIDDEN import'!B:E,4,FALSE)="C",OR(NOT(ISERROR(VLOOKUP(E287,'Optional features'!B:D,1,FALSE)=E287)),NOT(ISERROR(VLOOKUP(E287,'HIDDEN calc sheet'!A:C,1,FALSE)=E287)))),MD!$A$3,MD!$A$2)))</f>
        <v>Mandatory for optional feature</v>
      </c>
      <c r="E287" t="str">
        <f>IF('HIDDEN import'!F286=0,"",'HIDDEN import'!F286)</f>
        <v>DM-0</v>
      </c>
      <c r="F287" t="str">
        <f>IF('HIDDEN import'!G286=0,"",'HIDDEN import'!G286)</f>
        <v/>
      </c>
      <c r="G287" s="95" t="str">
        <f>IFERROR(VLOOKUP($A287,'HIDDEN Testrun Results'!$A:$B,2,FALSE),"")</f>
        <v/>
      </c>
      <c r="H287" s="6" t="b">
        <f t="shared" si="4"/>
        <v>0</v>
      </c>
      <c r="I287" s="6" t="b">
        <f>IF(VLOOKUP(A287&amp;" "&amp;B287,'HIDDEN import'!A:G,5,FALSE)="M",TRUE,IFERROR(VLOOKUP(E287,'Optional features'!B:D,3,FALSE)="Yes",IFERROR(VLOOKUP(E287,'HIDDEN calc sheet'!A:B,2,FALSE),IFERROR(VLOOKUP(E287,'Additional questions'!B:D,3,FALSE)="Yes",VLOOKUP(E287,'Hardware Feature set'!B:D,3,FALSE)="No"))))</f>
        <v>0</v>
      </c>
      <c r="J287" s="6" t="b">
        <f>IF(VLOOKUP(B287,'Profile selection'!B:C,2,FALSE)="Yes",TRUE,FALSE)</f>
        <v>1</v>
      </c>
    </row>
    <row r="288" spans="1:10" x14ac:dyDescent="0.25">
      <c r="A288" t="str">
        <f>'HIDDEN import'!B287</f>
        <v>TC_N_15_CS</v>
      </c>
      <c r="B288" t="str">
        <f>'HIDDEN import'!C287</f>
        <v>Core</v>
      </c>
      <c r="C288" t="str">
        <f>'HIDDEN import'!D287</f>
        <v>Set Variable Monitoring - Duplicate Variable type/severity combination</v>
      </c>
      <c r="D288" t="str">
        <f>IF(VLOOKUP(A288&amp;" "&amp;B288,'HIDDEN import'!A:G,5,FALSE)="M",MD!$A$1,(IF(AND(VLOOKUP(A288,'HIDDEN import'!B:E,4,FALSE)="C",OR(NOT(ISERROR(VLOOKUP(E288,'Optional features'!B:D,1,FALSE)=E288)),NOT(ISERROR(VLOOKUP(E288,'HIDDEN calc sheet'!A:C,1,FALSE)=E288)))),MD!$A$3,MD!$A$2)))</f>
        <v>Mandatory for optional feature</v>
      </c>
      <c r="E288" t="str">
        <f>IF('HIDDEN import'!F287=0,"",'HIDDEN import'!F287)</f>
        <v>DM-0</v>
      </c>
      <c r="F288" t="str">
        <f>IF('HIDDEN import'!G287=0,"",'HIDDEN import'!G287)</f>
        <v/>
      </c>
      <c r="G288" s="95" t="str">
        <f>IFERROR(VLOOKUP($A288,'HIDDEN Testrun Results'!$A:$B,2,FALSE),"")</f>
        <v/>
      </c>
      <c r="H288" s="6" t="b">
        <f t="shared" si="4"/>
        <v>0</v>
      </c>
      <c r="I288" s="6" t="b">
        <f>IF(VLOOKUP(A288&amp;" "&amp;B288,'HIDDEN import'!A:G,5,FALSE)="M",TRUE,IFERROR(VLOOKUP(E288,'Optional features'!B:D,3,FALSE)="Yes",IFERROR(VLOOKUP(E288,'HIDDEN calc sheet'!A:B,2,FALSE),IFERROR(VLOOKUP(E288,'Additional questions'!B:D,3,FALSE)="Yes",VLOOKUP(E288,'Hardware Feature set'!B:D,3,FALSE)="No"))))</f>
        <v>0</v>
      </c>
      <c r="J288" s="6" t="b">
        <f>IF(VLOOKUP(B288,'Profile selection'!B:C,2,FALSE)="Yes",TRUE,FALSE)</f>
        <v>1</v>
      </c>
    </row>
    <row r="289" spans="1:10" x14ac:dyDescent="0.25">
      <c r="A289" t="str">
        <f>'HIDDEN import'!B288</f>
        <v>TC_N_24_CS</v>
      </c>
      <c r="B289" t="str">
        <f>'HIDDEN import'!C288</f>
        <v>Core</v>
      </c>
      <c r="C289" t="str">
        <f>'HIDDEN import'!D288</f>
        <v>Set Variable Monitoring - Periodic event</v>
      </c>
      <c r="D289" t="str">
        <f>IF(VLOOKUP(A289&amp;" "&amp;B289,'HIDDEN import'!A:G,5,FALSE)="M",MD!$A$1,(IF(AND(VLOOKUP(A289,'HIDDEN import'!B:E,4,FALSE)="C",OR(NOT(ISERROR(VLOOKUP(E289,'Optional features'!B:D,1,FALSE)=E289)),NOT(ISERROR(VLOOKUP(E289,'HIDDEN calc sheet'!A:C,1,FALSE)=E289)))),MD!$A$3,MD!$A$2)))</f>
        <v>Mandatory for optional feature</v>
      </c>
      <c r="E289" t="str">
        <f>IF('HIDDEN import'!F288=0,"",'HIDDEN import'!F288)</f>
        <v>DM-0</v>
      </c>
      <c r="F289" t="str">
        <f>IF('HIDDEN import'!G288=0,"",'HIDDEN import'!G288)</f>
        <v/>
      </c>
      <c r="G289" s="95" t="str">
        <f>IFERROR(VLOOKUP($A289,'HIDDEN Testrun Results'!$A:$B,2,FALSE),"")</f>
        <v/>
      </c>
      <c r="H289" s="6" t="b">
        <f t="shared" si="4"/>
        <v>0</v>
      </c>
      <c r="I289" s="6" t="b">
        <f>IF(VLOOKUP(A289&amp;" "&amp;B289,'HIDDEN import'!A:G,5,FALSE)="M",TRUE,IFERROR(VLOOKUP(E289,'Optional features'!B:D,3,FALSE)="Yes",IFERROR(VLOOKUP(E289,'HIDDEN calc sheet'!A:B,2,FALSE),IFERROR(VLOOKUP(E289,'Additional questions'!B:D,3,FALSE)="Yes",VLOOKUP(E289,'Hardware Feature set'!B:D,3,FALSE)="No"))))</f>
        <v>0</v>
      </c>
      <c r="J289" s="6" t="b">
        <f>IF(VLOOKUP(B289,'Profile selection'!B:C,2,FALSE)="Yes",TRUE,FALSE)</f>
        <v>1</v>
      </c>
    </row>
    <row r="290" spans="1:10" x14ac:dyDescent="0.25">
      <c r="A290" t="str">
        <f>'HIDDEN import'!B289</f>
        <v>TC_N_37_CS</v>
      </c>
      <c r="B290" t="str">
        <f>'HIDDEN import'!C289</f>
        <v>Core</v>
      </c>
      <c r="C290" t="str">
        <f>'HIDDEN import'!D289</f>
        <v>Set Variable Monitoring - Unknown Variable</v>
      </c>
      <c r="D290" t="str">
        <f>IF(VLOOKUP(A290&amp;" "&amp;B290,'HIDDEN import'!A:G,5,FALSE)="M",MD!$A$1,(IF(AND(VLOOKUP(A290,'HIDDEN import'!B:E,4,FALSE)="C",OR(NOT(ISERROR(VLOOKUP(E290,'Optional features'!B:D,1,FALSE)=E290)),NOT(ISERROR(VLOOKUP(E290,'HIDDEN calc sheet'!A:C,1,FALSE)=E290)))),MD!$A$3,MD!$A$2)))</f>
        <v>Mandatory for optional feature</v>
      </c>
      <c r="E290" t="str">
        <f>IF('HIDDEN import'!F289=0,"",'HIDDEN import'!F289)</f>
        <v>DM-0</v>
      </c>
      <c r="F290" t="str">
        <f>IF('HIDDEN import'!G289=0,"",'HIDDEN import'!G289)</f>
        <v/>
      </c>
      <c r="G290" s="95" t="str">
        <f>IFERROR(VLOOKUP($A290,'HIDDEN Testrun Results'!$A:$B,2,FALSE),"")</f>
        <v/>
      </c>
      <c r="H290" s="6" t="b">
        <f t="shared" si="4"/>
        <v>0</v>
      </c>
      <c r="I290" s="6" t="b">
        <f>IF(VLOOKUP(A290&amp;" "&amp;B290,'HIDDEN import'!A:G,5,FALSE)="M",TRUE,IFERROR(VLOOKUP(E290,'Optional features'!B:D,3,FALSE)="Yes",IFERROR(VLOOKUP(E290,'HIDDEN calc sheet'!A:B,2,FALSE),IFERROR(VLOOKUP(E290,'Additional questions'!B:D,3,FALSE)="Yes",VLOOKUP(E290,'Hardware Feature set'!B:D,3,FALSE)="No"))))</f>
        <v>0</v>
      </c>
      <c r="J290" s="6" t="b">
        <f>IF(VLOOKUP(B290,'Profile selection'!B:C,2,FALSE)="Yes",TRUE,FALSE)</f>
        <v>1</v>
      </c>
    </row>
    <row r="291" spans="1:10" x14ac:dyDescent="0.25">
      <c r="A291" t="str">
        <f>'HIDDEN import'!B290</f>
        <v>TC_N_39_CS</v>
      </c>
      <c r="B291" t="str">
        <f>'HIDDEN import'!C290</f>
        <v>Core</v>
      </c>
      <c r="C291" t="str">
        <f>'HIDDEN import'!D290</f>
        <v>Set Variable Monitoring - Component/Variable combination does NOT correspond</v>
      </c>
      <c r="D291" t="str">
        <f>IF(VLOOKUP(A291&amp;" "&amp;B291,'HIDDEN import'!A:G,5,FALSE)="M",MD!$A$1,(IF(AND(VLOOKUP(A291,'HIDDEN import'!B:E,4,FALSE)="C",OR(NOT(ISERROR(VLOOKUP(E291,'Optional features'!B:D,1,FALSE)=E291)),NOT(ISERROR(VLOOKUP(E291,'HIDDEN calc sheet'!A:C,1,FALSE)=E291)))),MD!$A$3,MD!$A$2)))</f>
        <v>Mandatory for optional feature</v>
      </c>
      <c r="E291" t="str">
        <f>IF('HIDDEN import'!F290=0,"",'HIDDEN import'!F290)</f>
        <v>DM-0</v>
      </c>
      <c r="F291" t="str">
        <f>IF('HIDDEN import'!G290=0,"",'HIDDEN import'!G290)</f>
        <v/>
      </c>
      <c r="G291" s="95" t="str">
        <f>IFERROR(VLOOKUP($A291,'HIDDEN Testrun Results'!$A:$B,2,FALSE),"")</f>
        <v/>
      </c>
      <c r="H291" s="6" t="b">
        <f t="shared" si="4"/>
        <v>0</v>
      </c>
      <c r="I291" s="6" t="b">
        <f>IF(VLOOKUP(A291&amp;" "&amp;B291,'HIDDEN import'!A:G,5,FALSE)="M",TRUE,IFERROR(VLOOKUP(E291,'Optional features'!B:D,3,FALSE)="Yes",IFERROR(VLOOKUP(E291,'HIDDEN calc sheet'!A:B,2,FALSE),IFERROR(VLOOKUP(E291,'Additional questions'!B:D,3,FALSE)="Yes",VLOOKUP(E291,'Hardware Feature set'!B:D,3,FALSE)="No"))))</f>
        <v>0</v>
      </c>
      <c r="J291" s="6" t="b">
        <f>IF(VLOOKUP(B291,'Profile selection'!B:C,2,FALSE)="Yes",TRUE,FALSE)</f>
        <v>1</v>
      </c>
    </row>
    <row r="292" spans="1:10" x14ac:dyDescent="0.25">
      <c r="A292" t="str">
        <f>'HIDDEN import'!B291</f>
        <v>TC_N_40_CS</v>
      </c>
      <c r="B292" t="str">
        <f>'HIDDEN import'!C291</f>
        <v>Core</v>
      </c>
      <c r="C292" t="str">
        <f>'HIDDEN import'!D291</f>
        <v>Set Variable Monitoring - Replace Variable Monitor</v>
      </c>
      <c r="D292" t="str">
        <f>IF(VLOOKUP(A292&amp;" "&amp;B292,'HIDDEN import'!A:G,5,FALSE)="M",MD!$A$1,(IF(AND(VLOOKUP(A292,'HIDDEN import'!B:E,4,FALSE)="C",OR(NOT(ISERROR(VLOOKUP(E292,'Optional features'!B:D,1,FALSE)=E292)),NOT(ISERROR(VLOOKUP(E292,'HIDDEN calc sheet'!A:C,1,FALSE)=E292)))),MD!$A$3,MD!$A$2)))</f>
        <v>Mandatory for optional feature</v>
      </c>
      <c r="E292" t="str">
        <f>IF('HIDDEN import'!F291=0,"",'HIDDEN import'!F291)</f>
        <v>DM-0</v>
      </c>
      <c r="F292" t="str">
        <f>IF('HIDDEN import'!G291=0,"",'HIDDEN import'!G291)</f>
        <v/>
      </c>
      <c r="G292" s="95" t="str">
        <f>IFERROR(VLOOKUP($A292,'HIDDEN Testrun Results'!$A:$B,2,FALSE),"")</f>
        <v/>
      </c>
      <c r="H292" s="6" t="b">
        <f t="shared" si="4"/>
        <v>0</v>
      </c>
      <c r="I292" s="6" t="b">
        <f>IF(VLOOKUP(A292&amp;" "&amp;B292,'HIDDEN import'!A:G,5,FALSE)="M",TRUE,IFERROR(VLOOKUP(E292,'Optional features'!B:D,3,FALSE)="Yes",IFERROR(VLOOKUP(E292,'HIDDEN calc sheet'!A:B,2,FALSE),IFERROR(VLOOKUP(E292,'Additional questions'!B:D,3,FALSE)="Yes",VLOOKUP(E292,'Hardware Feature set'!B:D,3,FALSE)="No"))))</f>
        <v>0</v>
      </c>
      <c r="J292" s="6" t="b">
        <f>IF(VLOOKUP(B292,'Profile selection'!B:C,2,FALSE)="Yes",TRUE,FALSE)</f>
        <v>1</v>
      </c>
    </row>
    <row r="293" spans="1:10" x14ac:dyDescent="0.25">
      <c r="A293" t="str">
        <f>'HIDDEN import'!B292</f>
        <v>TC_N_41_CS</v>
      </c>
      <c r="B293" t="str">
        <f>'HIDDEN import'!C292</f>
        <v>Core</v>
      </c>
      <c r="C293" t="str">
        <f>'HIDDEN import'!D292</f>
        <v>Set Variable Monitoring - Return to FactoryDefault</v>
      </c>
      <c r="D293" t="str">
        <f>IF(VLOOKUP(A293&amp;" "&amp;B293,'HIDDEN import'!A:G,5,FALSE)="M",MD!$A$1,(IF(AND(VLOOKUP(A293,'HIDDEN import'!B:E,4,FALSE)="C",OR(NOT(ISERROR(VLOOKUP(E293,'Optional features'!B:D,1,FALSE)=E293)),NOT(ISERROR(VLOOKUP(E293,'HIDDEN calc sheet'!A:C,1,FALSE)=E293)))),MD!$A$3,MD!$A$2)))</f>
        <v>Mandatory for optional feature</v>
      </c>
      <c r="E293" t="str">
        <f>IF('HIDDEN import'!F292=0,"",'HIDDEN import'!F292)</f>
        <v>DM-0</v>
      </c>
      <c r="F293" t="str">
        <f>IF('HIDDEN import'!G292=0,"",'HIDDEN import'!G292)</f>
        <v/>
      </c>
      <c r="G293" s="95" t="str">
        <f>IFERROR(VLOOKUP($A293,'HIDDEN Testrun Results'!$A:$B,2,FALSE),"")</f>
        <v/>
      </c>
      <c r="H293" s="6" t="b">
        <f t="shared" si="4"/>
        <v>0</v>
      </c>
      <c r="I293" s="6" t="b">
        <f>IF(VLOOKUP(A293&amp;" "&amp;B293,'HIDDEN import'!A:G,5,FALSE)="M",TRUE,IFERROR(VLOOKUP(E293,'Optional features'!B:D,3,FALSE)="Yes",IFERROR(VLOOKUP(E293,'HIDDEN calc sheet'!A:B,2,FALSE),IFERROR(VLOOKUP(E293,'Additional questions'!B:D,3,FALSE)="Yes",VLOOKUP(E293,'Hardware Feature set'!B:D,3,FALSE)="No"))))</f>
        <v>0</v>
      </c>
      <c r="J293" s="6" t="b">
        <f>IF(VLOOKUP(B293,'Profile selection'!B:C,2,FALSE)="Yes",TRUE,FALSE)</f>
        <v>1</v>
      </c>
    </row>
    <row r="294" spans="1:10" x14ac:dyDescent="0.25">
      <c r="A294" t="str">
        <f>'HIDDEN import'!B293</f>
        <v>TC_N_43_CS</v>
      </c>
      <c r="B294" t="str">
        <f>'HIDDEN import'!C293</f>
        <v>Core</v>
      </c>
      <c r="C294" t="str">
        <f>'HIDDEN import'!D293</f>
        <v>Set Variable Monitoring - First SetMonitoringData and third SetMonitoringData are valid, but the second contains an out of range value</v>
      </c>
      <c r="D294" t="str">
        <f>IF(VLOOKUP(A294&amp;" "&amp;B294,'HIDDEN import'!A:G,5,FALSE)="M",MD!$A$1,(IF(AND(VLOOKUP(A294,'HIDDEN import'!B:E,4,FALSE)="C",OR(NOT(ISERROR(VLOOKUP(E294,'Optional features'!B:D,1,FALSE)=E294)),NOT(ISERROR(VLOOKUP(E294,'HIDDEN calc sheet'!A:C,1,FALSE)=E294)))),MD!$A$3,MD!$A$2)))</f>
        <v>Mandatory for optional feature</v>
      </c>
      <c r="E294" t="str">
        <f>IF('HIDDEN import'!F293=0,"",'HIDDEN import'!F293)</f>
        <v>DM-0</v>
      </c>
      <c r="F294" t="str">
        <f>IF('HIDDEN import'!G293=0,"",'HIDDEN import'!G293)</f>
        <v/>
      </c>
      <c r="G294" s="95" t="str">
        <f>IFERROR(VLOOKUP($A294,'HIDDEN Testrun Results'!$A:$B,2,FALSE),"")</f>
        <v/>
      </c>
      <c r="H294" s="6" t="b">
        <f t="shared" si="4"/>
        <v>0</v>
      </c>
      <c r="I294" s="6" t="b">
        <f>IF(VLOOKUP(A294&amp;" "&amp;B294,'HIDDEN import'!A:G,5,FALSE)="M",TRUE,IFERROR(VLOOKUP(E294,'Optional features'!B:D,3,FALSE)="Yes",IFERROR(VLOOKUP(E294,'HIDDEN calc sheet'!A:B,2,FALSE),IFERROR(VLOOKUP(E294,'Additional questions'!B:D,3,FALSE)="Yes",VLOOKUP(E294,'Hardware Feature set'!B:D,3,FALSE)="No"))))</f>
        <v>0</v>
      </c>
      <c r="J294" s="6" t="b">
        <f>IF(VLOOKUP(B294,'Profile selection'!B:C,2,FALSE)="Yes",TRUE,FALSE)</f>
        <v>1</v>
      </c>
    </row>
    <row r="295" spans="1:10" x14ac:dyDescent="0.25">
      <c r="A295" t="str">
        <f>'HIDDEN import'!B294</f>
        <v>TC_N_51_CS</v>
      </c>
      <c r="B295" t="str">
        <f>'HIDDEN import'!C294</f>
        <v>Core</v>
      </c>
      <c r="C295" t="str">
        <f>'HIDDEN import'!D294</f>
        <v>Set Variable Monitoring - Modifying a VariableMonitor and trigger</v>
      </c>
      <c r="D295" t="str">
        <f>IF(VLOOKUP(A295&amp;" "&amp;B295,'HIDDEN import'!A:G,5,FALSE)="M",MD!$A$1,(IF(AND(VLOOKUP(A295,'HIDDEN import'!B:E,4,FALSE)="C",OR(NOT(ISERROR(VLOOKUP(E295,'Optional features'!B:D,1,FALSE)=E295)),NOT(ISERROR(VLOOKUP(E295,'HIDDEN calc sheet'!A:C,1,FALSE)=E295)))),MD!$A$3,MD!$A$2)))</f>
        <v>Mandatory for optional feature</v>
      </c>
      <c r="E295" t="str">
        <f>IF('HIDDEN import'!F294=0,"",'HIDDEN import'!F294)</f>
        <v>DM-0</v>
      </c>
      <c r="F295" t="str">
        <f>IF('HIDDEN import'!G294=0,"",'HIDDEN import'!G294)</f>
        <v/>
      </c>
      <c r="G295" s="95" t="str">
        <f>IFERROR(VLOOKUP($A295,'HIDDEN Testrun Results'!$A:$B,2,FALSE),"")</f>
        <v/>
      </c>
      <c r="H295" s="6" t="b">
        <f t="shared" si="4"/>
        <v>0</v>
      </c>
      <c r="I295" s="6" t="b">
        <f>IF(VLOOKUP(A295&amp;" "&amp;B295,'HIDDEN import'!A:G,5,FALSE)="M",TRUE,IFERROR(VLOOKUP(E295,'Optional features'!B:D,3,FALSE)="Yes",IFERROR(VLOOKUP(E295,'HIDDEN calc sheet'!A:B,2,FALSE),IFERROR(VLOOKUP(E295,'Additional questions'!B:D,3,FALSE)="Yes",VLOOKUP(E295,'Hardware Feature set'!B:D,3,FALSE)="No"))))</f>
        <v>0</v>
      </c>
      <c r="J295" s="6" t="b">
        <f>IF(VLOOKUP(B295,'Profile selection'!B:C,2,FALSE)="Yes",TRUE,FALSE)</f>
        <v>1</v>
      </c>
    </row>
    <row r="296" spans="1:10" x14ac:dyDescent="0.25">
      <c r="A296" t="str">
        <f>'HIDDEN import'!B295</f>
        <v>TC_N_52_CS</v>
      </c>
      <c r="B296" t="str">
        <f>'HIDDEN import'!C295</f>
        <v>Core</v>
      </c>
      <c r="C296" t="str">
        <f>'HIDDEN import'!D295</f>
        <v>Set Variable Monitoring - Removing a VariableMonitor</v>
      </c>
      <c r="D296" t="str">
        <f>IF(VLOOKUP(A296&amp;" "&amp;B296,'HIDDEN import'!A:G,5,FALSE)="M",MD!$A$1,(IF(AND(VLOOKUP(A296,'HIDDEN import'!B:E,4,FALSE)="C",OR(NOT(ISERROR(VLOOKUP(E296,'Optional features'!B:D,1,FALSE)=E296)),NOT(ISERROR(VLOOKUP(E296,'HIDDEN calc sheet'!A:C,1,FALSE)=E296)))),MD!$A$3,MD!$A$2)))</f>
        <v>Mandatory for optional feature</v>
      </c>
      <c r="E296" t="str">
        <f>IF('HIDDEN import'!F295=0,"",'HIDDEN import'!F295)</f>
        <v>DM-0</v>
      </c>
      <c r="F296" t="str">
        <f>IF('HIDDEN import'!G295=0,"",'HIDDEN import'!G295)</f>
        <v/>
      </c>
      <c r="G296" s="95" t="str">
        <f>IFERROR(VLOOKUP($A296,'HIDDEN Testrun Results'!$A:$B,2,FALSE),"")</f>
        <v/>
      </c>
      <c r="H296" s="6" t="b">
        <f t="shared" si="4"/>
        <v>0</v>
      </c>
      <c r="I296" s="6" t="b">
        <f>IF(VLOOKUP(A296&amp;" "&amp;B296,'HIDDEN import'!A:G,5,FALSE)="M",TRUE,IFERROR(VLOOKUP(E296,'Optional features'!B:D,3,FALSE)="Yes",IFERROR(VLOOKUP(E296,'HIDDEN calc sheet'!A:B,2,FALSE),IFERROR(VLOOKUP(E296,'Additional questions'!B:D,3,FALSE)="Yes",VLOOKUP(E296,'Hardware Feature set'!B:D,3,FALSE)="No"))))</f>
        <v>0</v>
      </c>
      <c r="J296" s="6" t="b">
        <f>IF(VLOOKUP(B296,'Profile selection'!B:C,2,FALSE)="Yes",TRUE,FALSE)</f>
        <v>1</v>
      </c>
    </row>
    <row r="297" spans="1:10" x14ac:dyDescent="0.25">
      <c r="A297" t="str">
        <f>'HIDDEN import'!B296</f>
        <v>TC_N_16_CS</v>
      </c>
      <c r="B297" t="str">
        <f>'HIDDEN import'!C296</f>
        <v>Core</v>
      </c>
      <c r="C297" t="str">
        <f>'HIDDEN import'!D296</f>
        <v>Set Monitoring Level - Success</v>
      </c>
      <c r="D297" t="str">
        <f>IF(VLOOKUP(A297&amp;" "&amp;B297,'HIDDEN import'!A:G,5,FALSE)="M",MD!$A$1,(IF(AND(VLOOKUP(A297,'HIDDEN import'!B:E,4,FALSE)="C",OR(NOT(ISERROR(VLOOKUP(E297,'Optional features'!B:D,1,FALSE)=E297)),NOT(ISERROR(VLOOKUP(E297,'HIDDEN calc sheet'!A:C,1,FALSE)=E297)))),MD!$A$3,MD!$A$2)))</f>
        <v>Mandatory for optional feature</v>
      </c>
      <c r="E297" t="str">
        <f>IF('HIDDEN import'!F296=0,"",'HIDDEN import'!F296)</f>
        <v>DM-0</v>
      </c>
      <c r="F297" t="str">
        <f>IF('HIDDEN import'!G296=0,"",'HIDDEN import'!G296)</f>
        <v/>
      </c>
      <c r="G297" s="95" t="str">
        <f>IFERROR(VLOOKUP($A297,'HIDDEN Testrun Results'!$A:$B,2,FALSE),"")</f>
        <v/>
      </c>
      <c r="H297" s="6" t="b">
        <f t="shared" si="4"/>
        <v>0</v>
      </c>
      <c r="I297" s="6" t="b">
        <f>IF(VLOOKUP(A297&amp;" "&amp;B297,'HIDDEN import'!A:G,5,FALSE)="M",TRUE,IFERROR(VLOOKUP(E297,'Optional features'!B:D,3,FALSE)="Yes",IFERROR(VLOOKUP(E297,'HIDDEN calc sheet'!A:B,2,FALSE),IFERROR(VLOOKUP(E297,'Additional questions'!B:D,3,FALSE)="Yes",VLOOKUP(E297,'Hardware Feature set'!B:D,3,FALSE)="No"))))</f>
        <v>0</v>
      </c>
      <c r="J297" s="6" t="b">
        <f>IF(VLOOKUP(B297,'Profile selection'!B:C,2,FALSE)="Yes",TRUE,FALSE)</f>
        <v>1</v>
      </c>
    </row>
    <row r="298" spans="1:10" x14ac:dyDescent="0.25">
      <c r="A298" t="str">
        <f>'HIDDEN import'!B297</f>
        <v>TC_N_17_CS</v>
      </c>
      <c r="B298" t="str">
        <f>'HIDDEN import'!C297</f>
        <v>Core</v>
      </c>
      <c r="C298" t="str">
        <f>'HIDDEN import'!D297</f>
        <v>Set Monitoring Level - Out of range</v>
      </c>
      <c r="D298" t="str">
        <f>IF(VLOOKUP(A298&amp;" "&amp;B298,'HIDDEN import'!A:G,5,FALSE)="M",MD!$A$1,(IF(AND(VLOOKUP(A298,'HIDDEN import'!B:E,4,FALSE)="C",OR(NOT(ISERROR(VLOOKUP(E298,'Optional features'!B:D,1,FALSE)=E298)),NOT(ISERROR(VLOOKUP(E298,'HIDDEN calc sheet'!A:C,1,FALSE)=E298)))),MD!$A$3,MD!$A$2)))</f>
        <v>Mandatory for optional feature</v>
      </c>
      <c r="E298" t="str">
        <f>IF('HIDDEN import'!F297=0,"",'HIDDEN import'!F297)</f>
        <v>DM-0</v>
      </c>
      <c r="F298" t="str">
        <f>IF('HIDDEN import'!G297=0,"",'HIDDEN import'!G297)</f>
        <v/>
      </c>
      <c r="G298" s="95" t="str">
        <f>IFERROR(VLOOKUP($A298,'HIDDEN Testrun Results'!$A:$B,2,FALSE),"")</f>
        <v/>
      </c>
      <c r="H298" s="6" t="b">
        <f t="shared" si="4"/>
        <v>0</v>
      </c>
      <c r="I298" s="6" t="b">
        <f>IF(VLOOKUP(A298&amp;" "&amp;B298,'HIDDEN import'!A:G,5,FALSE)="M",TRUE,IFERROR(VLOOKUP(E298,'Optional features'!B:D,3,FALSE)="Yes",IFERROR(VLOOKUP(E298,'HIDDEN calc sheet'!A:B,2,FALSE),IFERROR(VLOOKUP(E298,'Additional questions'!B:D,3,FALSE)="Yes",VLOOKUP(E298,'Hardware Feature set'!B:D,3,FALSE)="No"))))</f>
        <v>0</v>
      </c>
      <c r="J298" s="6" t="b">
        <f>IF(VLOOKUP(B298,'Profile selection'!B:C,2,FALSE)="Yes",TRUE,FALSE)</f>
        <v>1</v>
      </c>
    </row>
    <row r="299" spans="1:10" x14ac:dyDescent="0.25">
      <c r="A299" t="str">
        <f>'HIDDEN import'!B298</f>
        <v>TC_N_18_CS</v>
      </c>
      <c r="B299" t="str">
        <f>'HIDDEN import'!C298</f>
        <v>Core</v>
      </c>
      <c r="C299" t="str">
        <f>'HIDDEN import'!D298</f>
        <v>Clear Monitoring - Success</v>
      </c>
      <c r="D299" t="str">
        <f>IF(VLOOKUP(A299&amp;" "&amp;B299,'HIDDEN import'!A:G,5,FALSE)="M",MD!$A$1,(IF(AND(VLOOKUP(A299,'HIDDEN import'!B:E,4,FALSE)="C",OR(NOT(ISERROR(VLOOKUP(E299,'Optional features'!B:D,1,FALSE)=E299)),NOT(ISERROR(VLOOKUP(E299,'HIDDEN calc sheet'!A:C,1,FALSE)=E299)))),MD!$A$3,MD!$A$2)))</f>
        <v>Mandatory for optional feature</v>
      </c>
      <c r="E299" t="str">
        <f>IF('HIDDEN import'!F298=0,"",'HIDDEN import'!F298)</f>
        <v>DM-0</v>
      </c>
      <c r="F299" t="str">
        <f>IF('HIDDEN import'!G298=0,"",'HIDDEN import'!G298)</f>
        <v/>
      </c>
      <c r="G299" s="95" t="str">
        <f>IFERROR(VLOOKUP($A299,'HIDDEN Testrun Results'!$A:$B,2,FALSE),"")</f>
        <v/>
      </c>
      <c r="H299" s="6" t="b">
        <f t="shared" si="4"/>
        <v>0</v>
      </c>
      <c r="I299" s="6" t="b">
        <f>IF(VLOOKUP(A299&amp;" "&amp;B299,'HIDDEN import'!A:G,5,FALSE)="M",TRUE,IFERROR(VLOOKUP(E299,'Optional features'!B:D,3,FALSE)="Yes",IFERROR(VLOOKUP(E299,'HIDDEN calc sheet'!A:B,2,FALSE),IFERROR(VLOOKUP(E299,'Additional questions'!B:D,3,FALSE)="Yes",VLOOKUP(E299,'Hardware Feature set'!B:D,3,FALSE)="No"))))</f>
        <v>0</v>
      </c>
      <c r="J299" s="6" t="b">
        <f>IF(VLOOKUP(B299,'Profile selection'!B:C,2,FALSE)="Yes",TRUE,FALSE)</f>
        <v>1</v>
      </c>
    </row>
    <row r="300" spans="1:10" x14ac:dyDescent="0.25">
      <c r="A300" t="str">
        <f>'HIDDEN import'!B299</f>
        <v>TC_N_19_CS</v>
      </c>
      <c r="B300" t="str">
        <f>'HIDDEN import'!C299</f>
        <v>Core</v>
      </c>
      <c r="C300" t="str">
        <f>'HIDDEN import'!D299</f>
        <v>Clear Monitoring - Not found</v>
      </c>
      <c r="D300" t="str">
        <f>IF(VLOOKUP(A300&amp;" "&amp;B300,'HIDDEN import'!A:G,5,FALSE)="M",MD!$A$1,(IF(AND(VLOOKUP(A300,'HIDDEN import'!B:E,4,FALSE)="C",OR(NOT(ISERROR(VLOOKUP(E300,'Optional features'!B:D,1,FALSE)=E300)),NOT(ISERROR(VLOOKUP(E300,'HIDDEN calc sheet'!A:C,1,FALSE)=E300)))),MD!$A$3,MD!$A$2)))</f>
        <v>Mandatory for optional feature</v>
      </c>
      <c r="E300" t="str">
        <f>IF('HIDDEN import'!F299=0,"",'HIDDEN import'!F299)</f>
        <v>DM-0</v>
      </c>
      <c r="F300" t="str">
        <f>IF('HIDDEN import'!G299=0,"",'HIDDEN import'!G299)</f>
        <v/>
      </c>
      <c r="G300" s="95" t="str">
        <f>IFERROR(VLOOKUP($A300,'HIDDEN Testrun Results'!$A:$B,2,FALSE),"")</f>
        <v/>
      </c>
      <c r="H300" s="6" t="b">
        <f t="shared" si="4"/>
        <v>0</v>
      </c>
      <c r="I300" s="6" t="b">
        <f>IF(VLOOKUP(A300&amp;" "&amp;B300,'HIDDEN import'!A:G,5,FALSE)="M",TRUE,IFERROR(VLOOKUP(E300,'Optional features'!B:D,3,FALSE)="Yes",IFERROR(VLOOKUP(E300,'HIDDEN calc sheet'!A:B,2,FALSE),IFERROR(VLOOKUP(E300,'Additional questions'!B:D,3,FALSE)="Yes",VLOOKUP(E300,'Hardware Feature set'!B:D,3,FALSE)="No"))))</f>
        <v>0</v>
      </c>
      <c r="J300" s="6" t="b">
        <f>IF(VLOOKUP(B300,'Profile selection'!B:C,2,FALSE)="Yes",TRUE,FALSE)</f>
        <v>1</v>
      </c>
    </row>
    <row r="301" spans="1:10" x14ac:dyDescent="0.25">
      <c r="A301" t="str">
        <f>'HIDDEN import'!B300</f>
        <v>TC_N_44_CS</v>
      </c>
      <c r="B301" t="str">
        <f>'HIDDEN import'!C300</f>
        <v>Core</v>
      </c>
      <c r="C301" t="str">
        <f>'HIDDEN import'!D300</f>
        <v>Clear Monitoring - Rejected</v>
      </c>
      <c r="D301" t="str">
        <f>IF(VLOOKUP(A301&amp;" "&amp;B301,'HIDDEN import'!A:G,5,FALSE)="M",MD!$A$1,(IF(AND(VLOOKUP(A301,'HIDDEN import'!B:E,4,FALSE)="C",OR(NOT(ISERROR(VLOOKUP(E301,'Optional features'!B:D,1,FALSE)=E301)),NOT(ISERROR(VLOOKUP(E301,'HIDDEN calc sheet'!A:C,1,FALSE)=E301)))),MD!$A$3,MD!$A$2)))</f>
        <v>Mandatory for optional feature</v>
      </c>
      <c r="E301" t="str">
        <f>IF('HIDDEN import'!F300=0,"",'HIDDEN import'!F300)</f>
        <v>DM-0 and AQ-5</v>
      </c>
      <c r="F301" t="str">
        <f>IF('HIDDEN import'!G300=0,"",'HIDDEN import'!G300)</f>
        <v/>
      </c>
      <c r="G301" s="95" t="str">
        <f>IFERROR(VLOOKUP($A301,'HIDDEN Testrun Results'!$A:$B,2,FALSE),"")</f>
        <v/>
      </c>
      <c r="H301" s="6" t="b">
        <f t="shared" si="4"/>
        <v>0</v>
      </c>
      <c r="I301" s="6" t="b">
        <f>IF(VLOOKUP(A301&amp;" "&amp;B301,'HIDDEN import'!A:G,5,FALSE)="M",TRUE,IFERROR(VLOOKUP(E301,'Optional features'!B:D,3,FALSE)="Yes",IFERROR(VLOOKUP(E301,'HIDDEN calc sheet'!A:B,2,FALSE),IFERROR(VLOOKUP(E301,'Additional questions'!B:D,3,FALSE)="Yes",VLOOKUP(E301,'Hardware Feature set'!B:D,3,FALSE)="No"))))</f>
        <v>0</v>
      </c>
      <c r="J301" s="6" t="b">
        <f>IF(VLOOKUP(B301,'Profile selection'!B:C,2,FALSE)="Yes",TRUE,FALSE)</f>
        <v>1</v>
      </c>
    </row>
    <row r="302" spans="1:10" x14ac:dyDescent="0.25">
      <c r="A302" t="str">
        <f>'HIDDEN import'!B301</f>
        <v>TC_N_20_CS</v>
      </c>
      <c r="B302" t="str">
        <f>'HIDDEN import'!C301</f>
        <v>Core</v>
      </c>
      <c r="C302" t="str">
        <f>'HIDDEN import'!D301</f>
        <v>Alert Event - Threshold value exceeded</v>
      </c>
      <c r="D302" t="str">
        <f>IF(VLOOKUP(A302&amp;" "&amp;B302,'HIDDEN import'!A:G,5,FALSE)="M",MD!$A$1,(IF(AND(VLOOKUP(A302,'HIDDEN import'!B:E,4,FALSE)="C",OR(NOT(ISERROR(VLOOKUP(E302,'Optional features'!B:D,1,FALSE)=E302)),NOT(ISERROR(VLOOKUP(E302,'HIDDEN calc sheet'!A:C,1,FALSE)=E302)))),MD!$A$3,MD!$A$2)))</f>
        <v>Mandatory for optional feature</v>
      </c>
      <c r="E302" t="str">
        <f>IF('HIDDEN import'!F301=0,"",'HIDDEN import'!F301)</f>
        <v>DM-0</v>
      </c>
      <c r="F302" t="str">
        <f>IF('HIDDEN import'!G301=0,"",'HIDDEN import'!G301)</f>
        <v/>
      </c>
      <c r="G302" s="95" t="str">
        <f>IFERROR(VLOOKUP($A302,'HIDDEN Testrun Results'!$A:$B,2,FALSE),"")</f>
        <v/>
      </c>
      <c r="H302" s="6" t="b">
        <f t="shared" si="4"/>
        <v>0</v>
      </c>
      <c r="I302" s="6" t="b">
        <f>IF(VLOOKUP(A302&amp;" "&amp;B302,'HIDDEN import'!A:G,5,FALSE)="M",TRUE,IFERROR(VLOOKUP(E302,'Optional features'!B:D,3,FALSE)="Yes",IFERROR(VLOOKUP(E302,'HIDDEN calc sheet'!A:B,2,FALSE),IFERROR(VLOOKUP(E302,'Additional questions'!B:D,3,FALSE)="Yes",VLOOKUP(E302,'Hardware Feature set'!B:D,3,FALSE)="No"))))</f>
        <v>0</v>
      </c>
      <c r="J302" s="6" t="b">
        <f>IF(VLOOKUP(B302,'Profile selection'!B:C,2,FALSE)="Yes",TRUE,FALSE)</f>
        <v>1</v>
      </c>
    </row>
    <row r="303" spans="1:10" x14ac:dyDescent="0.25">
      <c r="A303" t="str">
        <f>'HIDDEN import'!B302</f>
        <v>TC_N_21_CS</v>
      </c>
      <c r="B303" t="str">
        <f>'HIDDEN import'!C302</f>
        <v>Core</v>
      </c>
      <c r="C303" t="str">
        <f>'HIDDEN import'!D302</f>
        <v>Alert Event - HardWiredMonitor</v>
      </c>
      <c r="D303" t="str">
        <f>IF(VLOOKUP(A303&amp;" "&amp;B303,'HIDDEN import'!A:G,5,FALSE)="M",MD!$A$1,(IF(AND(VLOOKUP(A303,'HIDDEN import'!B:E,4,FALSE)="C",OR(NOT(ISERROR(VLOOKUP(E303,'Optional features'!B:D,1,FALSE)=E303)),NOT(ISERROR(VLOOKUP(E303,'HIDDEN calc sheet'!A:C,1,FALSE)=E303)))),MD!$A$3,MD!$A$2)))</f>
        <v>Mandatory for optional feature</v>
      </c>
      <c r="E303" t="str">
        <f>IF('HIDDEN import'!F302=0,"",'HIDDEN import'!F302)</f>
        <v>DM-0 and AQ-5</v>
      </c>
      <c r="F303" t="str">
        <f>IF('HIDDEN import'!G302=0,"",'HIDDEN import'!G302)</f>
        <v/>
      </c>
      <c r="G303" s="95" t="str">
        <f>IFERROR(VLOOKUP($A303,'HIDDEN Testrun Results'!$A:$B,2,FALSE),"")</f>
        <v/>
      </c>
      <c r="H303" s="6" t="b">
        <f t="shared" si="4"/>
        <v>0</v>
      </c>
      <c r="I303" s="6" t="b">
        <f>IF(VLOOKUP(A303&amp;" "&amp;B303,'HIDDEN import'!A:G,5,FALSE)="M",TRUE,IFERROR(VLOOKUP(E303,'Optional features'!B:D,3,FALSE)="Yes",IFERROR(VLOOKUP(E303,'HIDDEN calc sheet'!A:B,2,FALSE),IFERROR(VLOOKUP(E303,'Additional questions'!B:D,3,FALSE)="Yes",VLOOKUP(E303,'Hardware Feature set'!B:D,3,FALSE)="No"))))</f>
        <v>0</v>
      </c>
      <c r="J303" s="6" t="b">
        <f>IF(VLOOKUP(B303,'Profile selection'!B:C,2,FALSE)="Yes",TRUE,FALSE)</f>
        <v>1</v>
      </c>
    </row>
    <row r="304" spans="1:10" x14ac:dyDescent="0.25">
      <c r="A304" t="str">
        <f>'HIDDEN import'!B303</f>
        <v>TC_N_45_CS</v>
      </c>
      <c r="B304" t="str">
        <f>'HIDDEN import'!C303</f>
        <v>Core</v>
      </c>
      <c r="C304" t="str">
        <f>'HIDDEN import'!D303</f>
        <v>Alert Event - Delta value exceeded</v>
      </c>
      <c r="D304" t="str">
        <f>IF(VLOOKUP(A304&amp;" "&amp;B304,'HIDDEN import'!A:G,5,FALSE)="M",MD!$A$1,(IF(AND(VLOOKUP(A304,'HIDDEN import'!B:E,4,FALSE)="C",OR(NOT(ISERROR(VLOOKUP(E304,'Optional features'!B:D,1,FALSE)=E304)),NOT(ISERROR(VLOOKUP(E304,'HIDDEN calc sheet'!A:C,1,FALSE)=E304)))),MD!$A$3,MD!$A$2)))</f>
        <v>Mandatory for optional feature</v>
      </c>
      <c r="E304" t="str">
        <f>IF('HIDDEN import'!F303=0,"",'HIDDEN import'!F303)</f>
        <v>DM-0</v>
      </c>
      <c r="F304" t="str">
        <f>IF('HIDDEN import'!G303=0,"",'HIDDEN import'!G303)</f>
        <v/>
      </c>
      <c r="G304" s="95" t="str">
        <f>IFERROR(VLOOKUP($A304,'HIDDEN Testrun Results'!$A:$B,2,FALSE),"")</f>
        <v/>
      </c>
      <c r="H304" s="6" t="b">
        <f t="shared" si="4"/>
        <v>0</v>
      </c>
      <c r="I304" s="6" t="b">
        <f>IF(VLOOKUP(A304&amp;" "&amp;B304,'HIDDEN import'!A:G,5,FALSE)="M",TRUE,IFERROR(VLOOKUP(E304,'Optional features'!B:D,3,FALSE)="Yes",IFERROR(VLOOKUP(E304,'HIDDEN calc sheet'!A:B,2,FALSE),IFERROR(VLOOKUP(E304,'Additional questions'!B:D,3,FALSE)="Yes",VLOOKUP(E304,'Hardware Feature set'!B:D,3,FALSE)="No"))))</f>
        <v>0</v>
      </c>
      <c r="J304" s="6" t="b">
        <f>IF(VLOOKUP(B304,'Profile selection'!B:C,2,FALSE)="Yes",TRUE,FALSE)</f>
        <v>1</v>
      </c>
    </row>
    <row r="305" spans="1:10" x14ac:dyDescent="0.25">
      <c r="A305" t="str">
        <f>'HIDDEN import'!B304</f>
        <v>TC_N_48_CS</v>
      </c>
      <c r="B305" t="str">
        <f>'HIDDEN import'!C304</f>
        <v>Core</v>
      </c>
      <c r="C305" t="str">
        <f>'HIDDEN import'!D304</f>
        <v>Alert Event - Variable monitoring on write only</v>
      </c>
      <c r="D305" t="str">
        <f>IF(VLOOKUP(A305&amp;" "&amp;B305,'HIDDEN import'!A:G,5,FALSE)="M",MD!$A$1,(IF(AND(VLOOKUP(A305,'HIDDEN import'!B:E,4,FALSE)="C",OR(NOT(ISERROR(VLOOKUP(E305,'Optional features'!B:D,1,FALSE)=E305)),NOT(ISERROR(VLOOKUP(E305,'HIDDEN calc sheet'!A:C,1,FALSE)=E305)))),MD!$A$3,MD!$A$2)))</f>
        <v>Mandatory for optional feature</v>
      </c>
      <c r="E305" t="str">
        <f>IF('HIDDEN import'!F304=0,"",'HIDDEN import'!F304)</f>
        <v>DM-0 and AQ-10</v>
      </c>
      <c r="F305" t="str">
        <f>IF('HIDDEN import'!G304=0,"",'HIDDEN import'!G304)</f>
        <v/>
      </c>
      <c r="G305" s="95" t="str">
        <f>IFERROR(VLOOKUP($A305,'HIDDEN Testrun Results'!$A:$B,2,FALSE),"")</f>
        <v/>
      </c>
      <c r="H305" s="6" t="b">
        <f t="shared" si="4"/>
        <v>0</v>
      </c>
      <c r="I305" s="6" t="b">
        <f>IF(VLOOKUP(A305&amp;" "&amp;B305,'HIDDEN import'!A:G,5,FALSE)="M",TRUE,IFERROR(VLOOKUP(E305,'Optional features'!B:D,3,FALSE)="Yes",IFERROR(VLOOKUP(E305,'HIDDEN calc sheet'!A:B,2,FALSE),IFERROR(VLOOKUP(E305,'Additional questions'!B:D,3,FALSE)="Yes",VLOOKUP(E305,'Hardware Feature set'!B:D,3,FALSE)="No"))))</f>
        <v>0</v>
      </c>
      <c r="J305" s="6" t="b">
        <f>IF(VLOOKUP(B305,'Profile selection'!B:C,2,FALSE)="Yes",TRUE,FALSE)</f>
        <v>1</v>
      </c>
    </row>
    <row r="306" spans="1:10" x14ac:dyDescent="0.25">
      <c r="A306" t="str">
        <f>'HIDDEN import'!B305</f>
        <v>TC_N_53_CS</v>
      </c>
      <c r="B306" t="str">
        <f>'HIDDEN import'!C305</f>
        <v>Core</v>
      </c>
      <c r="C306" t="str">
        <f>'HIDDEN import'!D305</f>
        <v>Alert Event - Persistant over reboot</v>
      </c>
      <c r="D306" t="str">
        <f>IF(VLOOKUP(A306&amp;" "&amp;B306,'HIDDEN import'!A:G,5,FALSE)="M",MD!$A$1,(IF(AND(VLOOKUP(A306,'HIDDEN import'!B:E,4,FALSE)="C",OR(NOT(ISERROR(VLOOKUP(E306,'Optional features'!B:D,1,FALSE)=E306)),NOT(ISERROR(VLOOKUP(E306,'HIDDEN calc sheet'!A:C,1,FALSE)=E306)))),MD!$A$3,MD!$A$2)))</f>
        <v>Mandatory for optional feature</v>
      </c>
      <c r="E306" t="str">
        <f>IF('HIDDEN import'!F305=0,"",'HIDDEN import'!F305)</f>
        <v>DM-0</v>
      </c>
      <c r="F306" t="str">
        <f>IF('HIDDEN import'!G305=0,"",'HIDDEN import'!G305)</f>
        <v/>
      </c>
      <c r="G306" s="95" t="str">
        <f>IFERROR(VLOOKUP($A306,'HIDDEN Testrun Results'!$A:$B,2,FALSE),"")</f>
        <v/>
      </c>
      <c r="H306" s="6" t="b">
        <f t="shared" si="4"/>
        <v>0</v>
      </c>
      <c r="I306" s="6" t="b">
        <f>IF(VLOOKUP(A306&amp;" "&amp;B306,'HIDDEN import'!A:G,5,FALSE)="M",TRUE,IFERROR(VLOOKUP(E306,'Optional features'!B:D,3,FALSE)="Yes",IFERROR(VLOOKUP(E306,'HIDDEN calc sheet'!A:B,2,FALSE),IFERROR(VLOOKUP(E306,'Additional questions'!B:D,3,FALSE)="Yes",VLOOKUP(E306,'Hardware Feature set'!B:D,3,FALSE)="No"))))</f>
        <v>0</v>
      </c>
      <c r="J306" s="6" t="b">
        <f>IF(VLOOKUP(B306,'Profile selection'!B:C,2,FALSE)="Yes",TRUE,FALSE)</f>
        <v>1</v>
      </c>
    </row>
    <row r="307" spans="1:10" x14ac:dyDescent="0.25">
      <c r="A307" t="str">
        <f>'HIDDEN import'!B306</f>
        <v>TC_N_56_CS</v>
      </c>
      <c r="B307" t="str">
        <f>'HIDDEN import'!C306</f>
        <v>Core</v>
      </c>
      <c r="C307" t="str">
        <f>'HIDDEN import'!D306</f>
        <v>Alert Event - Delta value NOT numeric exceeded</v>
      </c>
      <c r="D307" t="str">
        <f>IF(VLOOKUP(A307&amp;" "&amp;B307,'HIDDEN import'!A:G,5,FALSE)="M",MD!$A$1,(IF(AND(VLOOKUP(A307,'HIDDEN import'!B:E,4,FALSE)="C",OR(NOT(ISERROR(VLOOKUP(E307,'Optional features'!B:D,1,FALSE)=E307)),NOT(ISERROR(VLOOKUP(E307,'HIDDEN calc sheet'!A:C,1,FALSE)=E307)))),MD!$A$3,MD!$A$2)))</f>
        <v>Mandatory for optional feature</v>
      </c>
      <c r="E307" t="str">
        <f>IF('HIDDEN import'!F306=0,"",'HIDDEN import'!F306)</f>
        <v>DM-0</v>
      </c>
      <c r="F307" t="str">
        <f>IF('HIDDEN import'!G306=0,"",'HIDDEN import'!G306)</f>
        <v/>
      </c>
      <c r="G307" s="95" t="str">
        <f>IFERROR(VLOOKUP($A307,'HIDDEN Testrun Results'!$A:$B,2,FALSE),"")</f>
        <v/>
      </c>
      <c r="H307" s="6" t="b">
        <f t="shared" si="4"/>
        <v>0</v>
      </c>
      <c r="I307" s="6" t="b">
        <f>IF(VLOOKUP(A307&amp;" "&amp;B307,'HIDDEN import'!A:G,5,FALSE)="M",TRUE,IFERROR(VLOOKUP(E307,'Optional features'!B:D,3,FALSE)="Yes",IFERROR(VLOOKUP(E307,'HIDDEN calc sheet'!A:B,2,FALSE),IFERROR(VLOOKUP(E307,'Additional questions'!B:D,3,FALSE)="Yes",VLOOKUP(E307,'Hardware Feature set'!B:D,3,FALSE)="No"))))</f>
        <v>0</v>
      </c>
      <c r="J307" s="6" t="b">
        <f>IF(VLOOKUP(B307,'Profile selection'!B:C,2,FALSE)="Yes",TRUE,FALSE)</f>
        <v>1</v>
      </c>
    </row>
    <row r="308" spans="1:10" x14ac:dyDescent="0.25">
      <c r="A308" t="str">
        <f>'HIDDEN import'!B307</f>
        <v>TC_N_22_CS</v>
      </c>
      <c r="B308" t="str">
        <f>'HIDDEN import'!C307</f>
        <v>Core</v>
      </c>
      <c r="C308" t="str">
        <f>'HIDDEN import'!D307</f>
        <v>Offline Notification - OfflineMonitoringEventQueuingSeverity set equal or lower</v>
      </c>
      <c r="D308" t="str">
        <f>IF(VLOOKUP(A308&amp;" "&amp;B308,'HIDDEN import'!A:G,5,FALSE)="M",MD!$A$1,(IF(AND(VLOOKUP(A308,'HIDDEN import'!B:E,4,FALSE)="C",OR(NOT(ISERROR(VLOOKUP(E308,'Optional features'!B:D,1,FALSE)=E308)),NOT(ISERROR(VLOOKUP(E308,'HIDDEN calc sheet'!A:C,1,FALSE)=E308)))),MD!$A$3,MD!$A$2)))</f>
        <v>Mandatory for optional feature</v>
      </c>
      <c r="E308" t="str">
        <f>IF('HIDDEN import'!F307=0,"",'HIDDEN import'!F307)</f>
        <v>DM-0 and DM-3</v>
      </c>
      <c r="F308" t="str">
        <f>IF('HIDDEN import'!G307=0,"",'HIDDEN import'!G307)</f>
        <v>OfflineMonitoringEventQueuingSeverity</v>
      </c>
      <c r="G308" s="95" t="str">
        <f>IFERROR(VLOOKUP($A308,'HIDDEN Testrun Results'!$A:$B,2,FALSE),"")</f>
        <v/>
      </c>
      <c r="H308" s="6" t="b">
        <f t="shared" si="4"/>
        <v>0</v>
      </c>
      <c r="I308" s="6" t="b">
        <f>IF(VLOOKUP(A308&amp;" "&amp;B308,'HIDDEN import'!A:G,5,FALSE)="M",TRUE,IFERROR(VLOOKUP(E308,'Optional features'!B:D,3,FALSE)="Yes",IFERROR(VLOOKUP(E308,'HIDDEN calc sheet'!A:B,2,FALSE),IFERROR(VLOOKUP(E308,'Additional questions'!B:D,3,FALSE)="Yes",VLOOKUP(E308,'Hardware Feature set'!B:D,3,FALSE)="No"))))</f>
        <v>0</v>
      </c>
      <c r="J308" s="6" t="b">
        <f>IF(VLOOKUP(B308,'Profile selection'!B:C,2,FALSE)="Yes",TRUE,FALSE)</f>
        <v>1</v>
      </c>
    </row>
    <row r="309" spans="1:10" x14ac:dyDescent="0.25">
      <c r="A309" t="str">
        <f>'HIDDEN import'!B308</f>
        <v>TC_N_23_CS</v>
      </c>
      <c r="B309" t="str">
        <f>'HIDDEN import'!C308</f>
        <v>Core</v>
      </c>
      <c r="C309" t="str">
        <f>'HIDDEN import'!D308</f>
        <v>Offline Notification - OfflineMonitoringEventQueuingSeverity set higher</v>
      </c>
      <c r="D309" t="str">
        <f>IF(VLOOKUP(A309&amp;" "&amp;B309,'HIDDEN import'!A:G,5,FALSE)="M",MD!$A$1,(IF(AND(VLOOKUP(A309,'HIDDEN import'!B:E,4,FALSE)="C",OR(NOT(ISERROR(VLOOKUP(E309,'Optional features'!B:D,1,FALSE)=E309)),NOT(ISERROR(VLOOKUP(E309,'HIDDEN calc sheet'!A:C,1,FALSE)=E309)))),MD!$A$3,MD!$A$2)))</f>
        <v>Mandatory for optional feature</v>
      </c>
      <c r="E309" t="str">
        <f>IF('HIDDEN import'!F308=0,"",'HIDDEN import'!F308)</f>
        <v>DM-0 and DM-3</v>
      </c>
      <c r="F309" t="str">
        <f>IF('HIDDEN import'!G308=0,"",'HIDDEN import'!G308)</f>
        <v>OfflineMonitoringEventQueuingSeverity</v>
      </c>
      <c r="G309" s="95" t="str">
        <f>IFERROR(VLOOKUP($A309,'HIDDEN Testrun Results'!$A:$B,2,FALSE),"")</f>
        <v/>
      </c>
      <c r="H309" s="6" t="b">
        <f t="shared" si="4"/>
        <v>0</v>
      </c>
      <c r="I309" s="6" t="b">
        <f>IF(VLOOKUP(A309&amp;" "&amp;B309,'HIDDEN import'!A:G,5,FALSE)="M",TRUE,IFERROR(VLOOKUP(E309,'Optional features'!B:D,3,FALSE)="Yes",IFERROR(VLOOKUP(E309,'HIDDEN calc sheet'!A:B,2,FALSE),IFERROR(VLOOKUP(E309,'Additional questions'!B:D,3,FALSE)="Yes",VLOOKUP(E309,'Hardware Feature set'!B:D,3,FALSE)="No"))))</f>
        <v>0</v>
      </c>
      <c r="J309" s="6" t="b">
        <f>IF(VLOOKUP(B309,'Profile selection'!B:C,2,FALSE)="Yes",TRUE,FALSE)</f>
        <v>1</v>
      </c>
    </row>
    <row r="310" spans="1:10" x14ac:dyDescent="0.25">
      <c r="A310" t="str">
        <f>'HIDDEN import'!B309</f>
        <v>TC_I_01_CS</v>
      </c>
      <c r="B310" t="str">
        <f>'HIDDEN import'!C309</f>
        <v>Core</v>
      </c>
      <c r="C310" t="str">
        <f>'HIDDEN import'!D309</f>
        <v>Show costs to EV Driver - Show EV Driver running total cost during charging</v>
      </c>
      <c r="D310" t="str">
        <f>IF(VLOOKUP(A310&amp;" "&amp;B310,'HIDDEN import'!A:G,5,FALSE)="M",MD!$A$1,(IF(AND(VLOOKUP(A310,'HIDDEN import'!B:E,4,FALSE)="C",OR(NOT(ISERROR(VLOOKUP(E310,'Optional features'!B:D,1,FALSE)=E310)),NOT(ISERROR(VLOOKUP(E310,'HIDDEN calc sheet'!A:C,1,FALSE)=E310)))),MD!$A$3,MD!$A$2)))</f>
        <v>Mandatory for optional feature</v>
      </c>
      <c r="E310" t="str">
        <f>IF('HIDDEN import'!F309=0,"",'HIDDEN import'!F309)</f>
        <v>UI-0</v>
      </c>
      <c r="F310" t="str">
        <f>IF('HIDDEN import'!G309=0,"",'HIDDEN import'!G309)</f>
        <v/>
      </c>
      <c r="G310" s="95" t="str">
        <f>IFERROR(VLOOKUP($A310,'HIDDEN Testrun Results'!$A:$B,2,FALSE),"")</f>
        <v/>
      </c>
      <c r="H310" s="6" t="b">
        <f t="shared" si="4"/>
        <v>0</v>
      </c>
      <c r="I310" s="6" t="b">
        <f>IF(VLOOKUP(A310&amp;" "&amp;B310,'HIDDEN import'!A:G,5,FALSE)="M",TRUE,IFERROR(VLOOKUP(E310,'Optional features'!B:D,3,FALSE)="Yes",IFERROR(VLOOKUP(E310,'HIDDEN calc sheet'!A:B,2,FALSE),IFERROR(VLOOKUP(E310,'Additional questions'!B:D,3,FALSE)="Yes",VLOOKUP(E310,'Hardware Feature set'!B:D,3,FALSE)="No"))))</f>
        <v>0</v>
      </c>
      <c r="J310" s="6" t="b">
        <f>IF(VLOOKUP(B310,'Profile selection'!B:C,2,FALSE)="Yes",TRUE,FALSE)</f>
        <v>1</v>
      </c>
    </row>
    <row r="311" spans="1:10" x14ac:dyDescent="0.25">
      <c r="A311" t="str">
        <f>'HIDDEN import'!B310</f>
        <v>TC_I_02_CS</v>
      </c>
      <c r="B311" t="str">
        <f>'HIDDEN import'!C310</f>
        <v>Core</v>
      </c>
      <c r="C311" t="str">
        <f>'HIDDEN import'!D310</f>
        <v>Show costs to EV Driver - Show EV Driver Final Total Cost After Charging</v>
      </c>
      <c r="D311" t="str">
        <f>IF(VLOOKUP(A311&amp;" "&amp;B311,'HIDDEN import'!A:G,5,FALSE)="M",MD!$A$1,(IF(AND(VLOOKUP(A311,'HIDDEN import'!B:E,4,FALSE)="C",OR(NOT(ISERROR(VLOOKUP(E311,'Optional features'!B:D,1,FALSE)=E311)),NOT(ISERROR(VLOOKUP(E311,'HIDDEN calc sheet'!A:C,1,FALSE)=E311)))),MD!$A$3,MD!$A$2)))</f>
        <v>Mandatory for optional feature</v>
      </c>
      <c r="E311" t="str">
        <f>IF('HIDDEN import'!F310=0,"",'HIDDEN import'!F310)</f>
        <v>UI-0</v>
      </c>
      <c r="F311" t="str">
        <f>IF('HIDDEN import'!G310=0,"",'HIDDEN import'!G310)</f>
        <v/>
      </c>
      <c r="G311" s="95" t="str">
        <f>IFERROR(VLOOKUP($A311,'HIDDEN Testrun Results'!$A:$B,2,FALSE),"")</f>
        <v/>
      </c>
      <c r="H311" s="6" t="b">
        <f t="shared" si="4"/>
        <v>0</v>
      </c>
      <c r="I311" s="6" t="b">
        <f>IF(VLOOKUP(A311&amp;" "&amp;B311,'HIDDEN import'!A:G,5,FALSE)="M",TRUE,IFERROR(VLOOKUP(E311,'Optional features'!B:D,3,FALSE)="Yes",IFERROR(VLOOKUP(E311,'HIDDEN calc sheet'!A:B,2,FALSE),IFERROR(VLOOKUP(E311,'Additional questions'!B:D,3,FALSE)="Yes",VLOOKUP(E311,'Hardware Feature set'!B:D,3,FALSE)="No"))))</f>
        <v>0</v>
      </c>
      <c r="J311" s="6" t="b">
        <f>IF(VLOOKUP(B311,'Profile selection'!B:C,2,FALSE)="Yes",TRUE,FALSE)</f>
        <v>1</v>
      </c>
    </row>
    <row r="312" spans="1:10" x14ac:dyDescent="0.25">
      <c r="A312" t="str">
        <f>'HIDDEN import'!B311</f>
        <v>TC_I_07_CS</v>
      </c>
      <c r="B312" t="str">
        <f>'HIDDEN import'!C311</f>
        <v>Core</v>
      </c>
      <c r="C312" t="str">
        <f>'HIDDEN import'!D311</f>
        <v>Show costs to EV Driver - Show EV Driver running total cost during charging - transactionEventResponse</v>
      </c>
      <c r="D312" t="str">
        <f>IF(VLOOKUP(A312&amp;" "&amp;B312,'HIDDEN import'!A:G,5,FALSE)="M",MD!$A$1,(IF(AND(VLOOKUP(A312,'HIDDEN import'!B:E,4,FALSE)="C",OR(NOT(ISERROR(VLOOKUP(E312,'Optional features'!B:D,1,FALSE)=E312)),NOT(ISERROR(VLOOKUP(E312,'HIDDEN calc sheet'!A:C,1,FALSE)=E312)))),MD!$A$3,MD!$A$2)))</f>
        <v>Mandatory for optional feature</v>
      </c>
      <c r="E312" t="str">
        <f>IF('HIDDEN import'!F311=0,"",'HIDDEN import'!F311)</f>
        <v>UI-0</v>
      </c>
      <c r="F312" t="str">
        <f>IF('HIDDEN import'!G311=0,"",'HIDDEN import'!G311)</f>
        <v/>
      </c>
      <c r="G312" s="95" t="str">
        <f>IFERROR(VLOOKUP($A312,'HIDDEN Testrun Results'!$A:$B,2,FALSE),"")</f>
        <v/>
      </c>
      <c r="H312" s="6" t="b">
        <f t="shared" si="4"/>
        <v>0</v>
      </c>
      <c r="I312" s="6" t="b">
        <f>IF(VLOOKUP(A312&amp;" "&amp;B312,'HIDDEN import'!A:G,5,FALSE)="M",TRUE,IFERROR(VLOOKUP(E312,'Optional features'!B:D,3,FALSE)="Yes",IFERROR(VLOOKUP(E312,'HIDDEN calc sheet'!A:B,2,FALSE),IFERROR(VLOOKUP(E312,'Additional questions'!B:D,3,FALSE)="Yes",VLOOKUP(E312,'Hardware Feature set'!B:D,3,FALSE)="No"))))</f>
        <v>0</v>
      </c>
      <c r="J312" s="6" t="b">
        <f>IF(VLOOKUP(B312,'Profile selection'!B:C,2,FALSE)="Yes",TRUE,FALSE)</f>
        <v>1</v>
      </c>
    </row>
    <row r="313" spans="1:10" x14ac:dyDescent="0.25">
      <c r="A313" t="str">
        <f>'HIDDEN import'!B312</f>
        <v>TC_O_01_CS</v>
      </c>
      <c r="B313" t="str">
        <f>'HIDDEN import'!C312</f>
        <v>Core</v>
      </c>
      <c r="C313" t="str">
        <f>'HIDDEN import'!D312</f>
        <v>Set Display Message - Success</v>
      </c>
      <c r="D313" t="str">
        <f>IF(VLOOKUP(A313&amp;" "&amp;B313,'HIDDEN import'!A:G,5,FALSE)="M",MD!$A$1,(IF(AND(VLOOKUP(A313,'HIDDEN import'!B:E,4,FALSE)="C",OR(NOT(ISERROR(VLOOKUP(E313,'Optional features'!B:D,1,FALSE)=E313)),NOT(ISERROR(VLOOKUP(E313,'HIDDEN calc sheet'!A:C,1,FALSE)=E313)))),MD!$A$3,MD!$A$2)))</f>
        <v>Mandatory for optional feature</v>
      </c>
      <c r="E313" t="str">
        <f>IF('HIDDEN import'!F312=0,"",'HIDDEN import'!F312)</f>
        <v>UI-0</v>
      </c>
      <c r="F313" t="str">
        <f>IF('HIDDEN import'!G312=0,"",'HIDDEN import'!G312)</f>
        <v>UI-1 and UI-2: Supported MessagePriorities &amp; Supported MessageFormats</v>
      </c>
      <c r="G313" s="95" t="str">
        <f>IFERROR(VLOOKUP($A313,'HIDDEN Testrun Results'!$A:$B,2,FALSE),"")</f>
        <v/>
      </c>
      <c r="H313" s="6" t="b">
        <f t="shared" si="4"/>
        <v>0</v>
      </c>
      <c r="I313" s="6" t="b">
        <f>IF(VLOOKUP(A313&amp;" "&amp;B313,'HIDDEN import'!A:G,5,FALSE)="M",TRUE,IFERROR(VLOOKUP(E313,'Optional features'!B:D,3,FALSE)="Yes",IFERROR(VLOOKUP(E313,'HIDDEN calc sheet'!A:B,2,FALSE),IFERROR(VLOOKUP(E313,'Additional questions'!B:D,3,FALSE)="Yes",VLOOKUP(E313,'Hardware Feature set'!B:D,3,FALSE)="No"))))</f>
        <v>0</v>
      </c>
      <c r="J313" s="6" t="b">
        <f>IF(VLOOKUP(B313,'Profile selection'!B:C,2,FALSE)="Yes",TRUE,FALSE)</f>
        <v>1</v>
      </c>
    </row>
    <row r="314" spans="1:10" x14ac:dyDescent="0.25">
      <c r="A314" t="str">
        <f>'HIDDEN import'!B313</f>
        <v>TC_O_13_CS</v>
      </c>
      <c r="B314" t="str">
        <f>'HIDDEN import'!C313</f>
        <v>Core</v>
      </c>
      <c r="C314" t="str">
        <f>'HIDDEN import'!D313</f>
        <v>Set Display Message - Display message at StartTime</v>
      </c>
      <c r="D314" t="str">
        <f>IF(VLOOKUP(A314&amp;" "&amp;B314,'HIDDEN import'!A:G,5,FALSE)="M",MD!$A$1,(IF(AND(VLOOKUP(A314,'HIDDEN import'!B:E,4,FALSE)="C",OR(NOT(ISERROR(VLOOKUP(E314,'Optional features'!B:D,1,FALSE)=E314)),NOT(ISERROR(VLOOKUP(E314,'HIDDEN calc sheet'!A:C,1,FALSE)=E314)))),MD!$A$3,MD!$A$2)))</f>
        <v>Mandatory for optional feature</v>
      </c>
      <c r="E314" t="str">
        <f>IF('HIDDEN import'!F313=0,"",'HIDDEN import'!F313)</f>
        <v>UI-0</v>
      </c>
      <c r="F314" t="str">
        <f>IF('HIDDEN import'!G313=0,"",'HIDDEN import'!G313)</f>
        <v/>
      </c>
      <c r="G314" s="95" t="str">
        <f>IFERROR(VLOOKUP($A314,'HIDDEN Testrun Results'!$A:$B,2,FALSE),"")</f>
        <v/>
      </c>
      <c r="H314" s="6" t="b">
        <f t="shared" si="4"/>
        <v>0</v>
      </c>
      <c r="I314" s="6" t="b">
        <f>IF(VLOOKUP(A314&amp;" "&amp;B314,'HIDDEN import'!A:G,5,FALSE)="M",TRUE,IFERROR(VLOOKUP(E314,'Optional features'!B:D,3,FALSE)="Yes",IFERROR(VLOOKUP(E314,'HIDDEN calc sheet'!A:B,2,FALSE),IFERROR(VLOOKUP(E314,'Additional questions'!B:D,3,FALSE)="Yes",VLOOKUP(E314,'Hardware Feature set'!B:D,3,FALSE)="No"))))</f>
        <v>0</v>
      </c>
      <c r="J314" s="6" t="b">
        <f>IF(VLOOKUP(B314,'Profile selection'!B:C,2,FALSE)="Yes",TRUE,FALSE)</f>
        <v>1</v>
      </c>
    </row>
    <row r="315" spans="1:10" x14ac:dyDescent="0.25">
      <c r="A315" t="str">
        <f>'HIDDEN import'!B314</f>
        <v>TC_O_14_CS</v>
      </c>
      <c r="B315" t="str">
        <f>'HIDDEN import'!C314</f>
        <v>Core</v>
      </c>
      <c r="C315" t="str">
        <f>'HIDDEN import'!D314</f>
        <v>Set Display Message - Remove message after EndTime</v>
      </c>
      <c r="D315" t="str">
        <f>IF(VLOOKUP(A315&amp;" "&amp;B315,'HIDDEN import'!A:G,5,FALSE)="M",MD!$A$1,(IF(AND(VLOOKUP(A315,'HIDDEN import'!B:E,4,FALSE)="C",OR(NOT(ISERROR(VLOOKUP(E315,'Optional features'!B:D,1,FALSE)=E315)),NOT(ISERROR(VLOOKUP(E315,'HIDDEN calc sheet'!A:C,1,FALSE)=E315)))),MD!$A$3,MD!$A$2)))</f>
        <v>Mandatory for optional feature</v>
      </c>
      <c r="E315" t="str">
        <f>IF('HIDDEN import'!F314=0,"",'HIDDEN import'!F314)</f>
        <v>UI-0</v>
      </c>
      <c r="F315" t="str">
        <f>IF('HIDDEN import'!G314=0,"",'HIDDEN import'!G314)</f>
        <v/>
      </c>
      <c r="G315" s="95" t="str">
        <f>IFERROR(VLOOKUP($A315,'HIDDEN Testrun Results'!$A:$B,2,FALSE),"")</f>
        <v/>
      </c>
      <c r="H315" s="6" t="b">
        <f t="shared" si="4"/>
        <v>0</v>
      </c>
      <c r="I315" s="6" t="b">
        <f>IF(VLOOKUP(A315&amp;" "&amp;B315,'HIDDEN import'!A:G,5,FALSE)="M",TRUE,IFERROR(VLOOKUP(E315,'Optional features'!B:D,3,FALSE)="Yes",IFERROR(VLOOKUP(E315,'HIDDEN calc sheet'!A:B,2,FALSE),IFERROR(VLOOKUP(E315,'Additional questions'!B:D,3,FALSE)="Yes",VLOOKUP(E315,'Hardware Feature set'!B:D,3,FALSE)="No"))))</f>
        <v>0</v>
      </c>
      <c r="J315" s="6" t="b">
        <f>IF(VLOOKUP(B315,'Profile selection'!B:C,2,FALSE)="Yes",TRUE,FALSE)</f>
        <v>1</v>
      </c>
    </row>
    <row r="316" spans="1:10" x14ac:dyDescent="0.25">
      <c r="A316" t="str">
        <f>'HIDDEN import'!B315</f>
        <v>TC_O_17_CS</v>
      </c>
      <c r="B316" t="str">
        <f>'HIDDEN import'!C315</f>
        <v>Core</v>
      </c>
      <c r="C316" t="str">
        <f>'HIDDEN import'!D315</f>
        <v>Set Display Message - NotSupportedPriority</v>
      </c>
      <c r="D316" t="str">
        <f>IF(VLOOKUP(A316&amp;" "&amp;B316,'HIDDEN import'!A:G,5,FALSE)="M",MD!$A$1,(IF(AND(VLOOKUP(A316,'HIDDEN import'!B:E,4,FALSE)="C",OR(NOT(ISERROR(VLOOKUP(E316,'Optional features'!B:D,1,FALSE)=E316)),NOT(ISERROR(VLOOKUP(E316,'HIDDEN calc sheet'!A:C,1,FALSE)=E316)))),MD!$A$3,MD!$A$2)))</f>
        <v>Mandatory for optional feature</v>
      </c>
      <c r="E316" t="str">
        <f>IF('HIDDEN import'!F315=0,"",'HIDDEN import'!F315)</f>
        <v>UI-0 and NOT (UI-1.1 and UI-1.2 and UI-1.3)</v>
      </c>
      <c r="F316" t="str">
        <f>IF('HIDDEN import'!G315=0,"",'HIDDEN import'!G315)</f>
        <v/>
      </c>
      <c r="G316" s="95" t="str">
        <f>IFERROR(VLOOKUP($A316,'HIDDEN Testrun Results'!$A:$B,2,FALSE),"")</f>
        <v/>
      </c>
      <c r="H316" s="6" t="b">
        <f t="shared" si="4"/>
        <v>0</v>
      </c>
      <c r="I316" s="6" t="b">
        <f>IF(VLOOKUP(A316&amp;" "&amp;B316,'HIDDEN import'!A:G,5,FALSE)="M",TRUE,IFERROR(VLOOKUP(E316,'Optional features'!B:D,3,FALSE)="Yes",IFERROR(VLOOKUP(E316,'HIDDEN calc sheet'!A:B,2,FALSE),IFERROR(VLOOKUP(E316,'Additional questions'!B:D,3,FALSE)="Yes",VLOOKUP(E316,'Hardware Feature set'!B:D,3,FALSE)="No"))))</f>
        <v>0</v>
      </c>
      <c r="J316" s="6" t="b">
        <f>IF(VLOOKUP(B316,'Profile selection'!B:C,2,FALSE)="Yes",TRUE,FALSE)</f>
        <v>1</v>
      </c>
    </row>
    <row r="317" spans="1:10" x14ac:dyDescent="0.25">
      <c r="A317" t="str">
        <f>'HIDDEN import'!B316</f>
        <v>TC_O_19_CS</v>
      </c>
      <c r="B317" t="str">
        <f>'HIDDEN import'!C316</f>
        <v>Core</v>
      </c>
      <c r="C317" t="str">
        <f>'HIDDEN import'!D316</f>
        <v>Set Display Message - NotSupportedMessageFormat</v>
      </c>
      <c r="D317" t="str">
        <f>IF(VLOOKUP(A317&amp;" "&amp;B317,'HIDDEN import'!A:G,5,FALSE)="M",MD!$A$1,(IF(AND(VLOOKUP(A317,'HIDDEN import'!B:E,4,FALSE)="C",OR(NOT(ISERROR(VLOOKUP(E317,'Optional features'!B:D,1,FALSE)=E317)),NOT(ISERROR(VLOOKUP(E317,'HIDDEN calc sheet'!A:C,1,FALSE)=E317)))),MD!$A$3,MD!$A$2)))</f>
        <v>Mandatory for optional feature</v>
      </c>
      <c r="E317" t="str">
        <f>IF('HIDDEN import'!F316=0,"",'HIDDEN import'!F316)</f>
        <v>UI-0 and NOT (UI-2.1 and UI-2.2 and UI-2.3 and UI-2.4)</v>
      </c>
      <c r="F317" t="str">
        <f>IF('HIDDEN import'!G316=0,"",'HIDDEN import'!G316)</f>
        <v/>
      </c>
      <c r="G317" s="95" t="str">
        <f>IFERROR(VLOOKUP($A317,'HIDDEN Testrun Results'!$A:$B,2,FALSE),"")</f>
        <v/>
      </c>
      <c r="H317" s="6" t="b">
        <f t="shared" si="4"/>
        <v>0</v>
      </c>
      <c r="I317" s="6" t="b">
        <f>IF(VLOOKUP(A317&amp;" "&amp;B317,'HIDDEN import'!A:G,5,FALSE)="M",TRUE,IFERROR(VLOOKUP(E317,'Optional features'!B:D,3,FALSE)="Yes",IFERROR(VLOOKUP(E317,'HIDDEN calc sheet'!A:B,2,FALSE),IFERROR(VLOOKUP(E317,'Additional questions'!B:D,3,FALSE)="Yes",VLOOKUP(E317,'Hardware Feature set'!B:D,3,FALSE)="No"))))</f>
        <v>0</v>
      </c>
      <c r="J317" s="6" t="b">
        <f>IF(VLOOKUP(B317,'Profile selection'!B:C,2,FALSE)="Yes",TRUE,FALSE)</f>
        <v>1</v>
      </c>
    </row>
    <row r="318" spans="1:10" x14ac:dyDescent="0.25">
      <c r="A318" t="str">
        <f>'HIDDEN import'!B317</f>
        <v>TC_O_20_CS</v>
      </c>
      <c r="B318" t="str">
        <f>'HIDDEN import'!C317</f>
        <v>Core</v>
      </c>
      <c r="C318" t="str">
        <f>'HIDDEN import'!D317</f>
        <v>Set Display Message - Persistent over reboot</v>
      </c>
      <c r="D318" t="str">
        <f>IF(VLOOKUP(A318&amp;" "&amp;B318,'HIDDEN import'!A:G,5,FALSE)="M",MD!$A$1,(IF(AND(VLOOKUP(A318,'HIDDEN import'!B:E,4,FALSE)="C",OR(NOT(ISERROR(VLOOKUP(E318,'Optional features'!B:D,1,FALSE)=E318)),NOT(ISERROR(VLOOKUP(E318,'HIDDEN calc sheet'!A:C,1,FALSE)=E318)))),MD!$A$3,MD!$A$2)))</f>
        <v>Mandatory for optional feature</v>
      </c>
      <c r="E318" t="str">
        <f>IF('HIDDEN import'!F317=0,"",'HIDDEN import'!F317)</f>
        <v>UI-0</v>
      </c>
      <c r="F318" t="str">
        <f>IF('HIDDEN import'!G317=0,"",'HIDDEN import'!G317)</f>
        <v/>
      </c>
      <c r="G318" s="95" t="str">
        <f>IFERROR(VLOOKUP($A318,'HIDDEN Testrun Results'!$A:$B,2,FALSE),"")</f>
        <v/>
      </c>
      <c r="H318" s="6" t="b">
        <f t="shared" si="4"/>
        <v>0</v>
      </c>
      <c r="I318" s="6" t="b">
        <f>IF(VLOOKUP(A318&amp;" "&amp;B318,'HIDDEN import'!A:G,5,FALSE)="M",TRUE,IFERROR(VLOOKUP(E318,'Optional features'!B:D,3,FALSE)="Yes",IFERROR(VLOOKUP(E318,'HIDDEN calc sheet'!A:B,2,FALSE),IFERROR(VLOOKUP(E318,'Additional questions'!B:D,3,FALSE)="Yes",VLOOKUP(E318,'Hardware Feature set'!B:D,3,FALSE)="No"))))</f>
        <v>0</v>
      </c>
      <c r="J318" s="6" t="b">
        <f>IF(VLOOKUP(B318,'Profile selection'!B:C,2,FALSE)="Yes",TRUE,FALSE)</f>
        <v>1</v>
      </c>
    </row>
    <row r="319" spans="1:10" x14ac:dyDescent="0.25">
      <c r="A319" t="str">
        <f>'HIDDEN import'!B318</f>
        <v>TC_O_22_CS</v>
      </c>
      <c r="B319" t="str">
        <f>'HIDDEN import'!C318</f>
        <v>Core</v>
      </c>
      <c r="C319" t="str">
        <f>'HIDDEN import'!D318</f>
        <v>Set Display Message - Multiple In front priority</v>
      </c>
      <c r="D319" t="str">
        <f>IF(VLOOKUP(A319&amp;" "&amp;B319,'HIDDEN import'!A:G,5,FALSE)="M",MD!$A$1,(IF(AND(VLOOKUP(A319,'HIDDEN import'!B:E,4,FALSE)="C",OR(NOT(ISERROR(VLOOKUP(E319,'Optional features'!B:D,1,FALSE)=E319)),NOT(ISERROR(VLOOKUP(E319,'HIDDEN calc sheet'!A:C,1,FALSE)=E319)))),MD!$A$3,MD!$A$2)))</f>
        <v>Mandatory for optional feature</v>
      </c>
      <c r="E319" t="str">
        <f>IF('HIDDEN import'!F318=0,"",'HIDDEN import'!F318)</f>
        <v>UI-0 and UI-1.2</v>
      </c>
      <c r="F319" t="str">
        <f>IF('HIDDEN import'!G318=0,"",'HIDDEN import'!G318)</f>
        <v>Supported MessagePriorities InFront</v>
      </c>
      <c r="G319" s="95" t="str">
        <f>IFERROR(VLOOKUP($A319,'HIDDEN Testrun Results'!$A:$B,2,FALSE),"")</f>
        <v/>
      </c>
      <c r="H319" s="6" t="b">
        <f t="shared" si="4"/>
        <v>0</v>
      </c>
      <c r="I319" s="6" t="b">
        <f>IF(VLOOKUP(A319&amp;" "&amp;B319,'HIDDEN import'!A:G,5,FALSE)="M",TRUE,IFERROR(VLOOKUP(E319,'Optional features'!B:D,3,FALSE)="Yes",IFERROR(VLOOKUP(E319,'HIDDEN calc sheet'!A:B,2,FALSE),IFERROR(VLOOKUP(E319,'Additional questions'!B:D,3,FALSE)="Yes",VLOOKUP(E319,'Hardware Feature set'!B:D,3,FALSE)="No"))))</f>
        <v>0</v>
      </c>
      <c r="J319" s="6" t="b">
        <f>IF(VLOOKUP(B319,'Profile selection'!B:C,2,FALSE)="Yes",TRUE,FALSE)</f>
        <v>1</v>
      </c>
    </row>
    <row r="320" spans="1:10" x14ac:dyDescent="0.25">
      <c r="A320" t="str">
        <f>'HIDDEN import'!B319</f>
        <v>TC_O_24_CS</v>
      </c>
      <c r="B320" t="str">
        <f>'HIDDEN import'!C319</f>
        <v>Core</v>
      </c>
      <c r="C320" t="str">
        <f>'HIDDEN import'!D319</f>
        <v>Set Display Message - Second Alwaysfront priority</v>
      </c>
      <c r="D320" t="str">
        <f>IF(VLOOKUP(A320&amp;" "&amp;B320,'HIDDEN import'!A:G,5,FALSE)="M",MD!$A$1,(IF(AND(VLOOKUP(A320,'HIDDEN import'!B:E,4,FALSE)="C",OR(NOT(ISERROR(VLOOKUP(E320,'Optional features'!B:D,1,FALSE)=E320)),NOT(ISERROR(VLOOKUP(E320,'HIDDEN calc sheet'!A:C,1,FALSE)=E320)))),MD!$A$3,MD!$A$2)))</f>
        <v>Mandatory for optional feature</v>
      </c>
      <c r="E320" t="str">
        <f>IF('HIDDEN import'!F319=0,"",'HIDDEN import'!F319)</f>
        <v>UI-0 and UI-1.1</v>
      </c>
      <c r="F320" t="str">
        <f>IF('HIDDEN import'!G319=0,"",'HIDDEN import'!G319)</f>
        <v>Supported MessagePriorities AlwaysFront</v>
      </c>
      <c r="G320" s="95" t="str">
        <f>IFERROR(VLOOKUP($A320,'HIDDEN Testrun Results'!$A:$B,2,FALSE),"")</f>
        <v/>
      </c>
      <c r="H320" s="6" t="b">
        <f t="shared" si="4"/>
        <v>0</v>
      </c>
      <c r="I320" s="6" t="b">
        <f>IF(VLOOKUP(A320&amp;" "&amp;B320,'HIDDEN import'!A:G,5,FALSE)="M",TRUE,IFERROR(VLOOKUP(E320,'Optional features'!B:D,3,FALSE)="Yes",IFERROR(VLOOKUP(E320,'HIDDEN calc sheet'!A:B,2,FALSE),IFERROR(VLOOKUP(E320,'Additional questions'!B:D,3,FALSE)="Yes",VLOOKUP(E320,'Hardware Feature set'!B:D,3,FALSE)="No"))))</f>
        <v>0</v>
      </c>
      <c r="J320" s="6" t="b">
        <f>IF(VLOOKUP(B320,'Profile selection'!B:C,2,FALSE)="Yes",TRUE,FALSE)</f>
        <v>1</v>
      </c>
    </row>
    <row r="321" spans="1:10" x14ac:dyDescent="0.25">
      <c r="A321" t="str">
        <f>'HIDDEN import'!B320</f>
        <v>TC_O_36_CS</v>
      </c>
      <c r="B321" t="str">
        <f>'HIDDEN import'!C320</f>
        <v>Core</v>
      </c>
      <c r="C321" t="str">
        <f>'HIDDEN import'!D320</f>
        <v>Set Display Message - State Charging</v>
      </c>
      <c r="D321" t="str">
        <f>IF(VLOOKUP(A321&amp;" "&amp;B321,'HIDDEN import'!A:G,5,FALSE)="M",MD!$A$1,(IF(AND(VLOOKUP(A321,'HIDDEN import'!B:E,4,FALSE)="C",OR(NOT(ISERROR(VLOOKUP(E321,'Optional features'!B:D,1,FALSE)=E321)),NOT(ISERROR(VLOOKUP(E321,'HIDDEN calc sheet'!A:C,1,FALSE)=E321)))),MD!$A$3,MD!$A$2)))</f>
        <v>Mandatory for optional feature</v>
      </c>
      <c r="E321" t="str">
        <f>IF('HIDDEN import'!F320=0,"",'HIDDEN import'!F320)</f>
        <v>UI-0</v>
      </c>
      <c r="F321" t="str">
        <f>IF('HIDDEN import'!G320=0,"",'HIDDEN import'!G320)</f>
        <v/>
      </c>
      <c r="G321" s="95" t="str">
        <f>IFERROR(VLOOKUP($A321,'HIDDEN Testrun Results'!$A:$B,2,FALSE),"")</f>
        <v/>
      </c>
      <c r="H321" s="6" t="b">
        <f t="shared" si="4"/>
        <v>0</v>
      </c>
      <c r="I321" s="6" t="b">
        <f>IF(VLOOKUP(A321&amp;" "&amp;B321,'HIDDEN import'!A:G,5,FALSE)="M",TRUE,IFERROR(VLOOKUP(E321,'Optional features'!B:D,3,FALSE)="Yes",IFERROR(VLOOKUP(E321,'HIDDEN calc sheet'!A:B,2,FALSE),IFERROR(VLOOKUP(E321,'Additional questions'!B:D,3,FALSE)="Yes",VLOOKUP(E321,'Hardware Feature set'!B:D,3,FALSE)="No"))))</f>
        <v>0</v>
      </c>
      <c r="J321" s="6" t="b">
        <f>IF(VLOOKUP(B321,'Profile selection'!B:C,2,FALSE)="Yes",TRUE,FALSE)</f>
        <v>1</v>
      </c>
    </row>
    <row r="322" spans="1:10" x14ac:dyDescent="0.25">
      <c r="A322" t="str">
        <f>'HIDDEN import'!B321</f>
        <v>TC_O_37_CS</v>
      </c>
      <c r="B322" t="str">
        <f>'HIDDEN import'!C321</f>
        <v>Core</v>
      </c>
      <c r="C322" t="str">
        <f>'HIDDEN import'!D321</f>
        <v>Set Display Message - State Idle</v>
      </c>
      <c r="D322" t="str">
        <f>IF(VLOOKUP(A322&amp;" "&amp;B322,'HIDDEN import'!A:G,5,FALSE)="M",MD!$A$1,(IF(AND(VLOOKUP(A322,'HIDDEN import'!B:E,4,FALSE)="C",OR(NOT(ISERROR(VLOOKUP(E322,'Optional features'!B:D,1,FALSE)=E322)),NOT(ISERROR(VLOOKUP(E322,'HIDDEN calc sheet'!A:C,1,FALSE)=E322)))),MD!$A$3,MD!$A$2)))</f>
        <v>Mandatory for optional feature</v>
      </c>
      <c r="E322" t="str">
        <f>IF('HIDDEN import'!F321=0,"",'HIDDEN import'!F321)</f>
        <v>UI-0</v>
      </c>
      <c r="F322" t="str">
        <f>IF('HIDDEN import'!G321=0,"",'HIDDEN import'!G321)</f>
        <v/>
      </c>
      <c r="G322" s="95" t="str">
        <f>IFERROR(VLOOKUP($A322,'HIDDEN Testrun Results'!$A:$B,2,FALSE),"")</f>
        <v/>
      </c>
      <c r="H322" s="6" t="b">
        <f t="shared" si="4"/>
        <v>0</v>
      </c>
      <c r="I322" s="6" t="b">
        <f>IF(VLOOKUP(A322&amp;" "&amp;B322,'HIDDEN import'!A:G,5,FALSE)="M",TRUE,IFERROR(VLOOKUP(E322,'Optional features'!B:D,3,FALSE)="Yes",IFERROR(VLOOKUP(E322,'HIDDEN calc sheet'!A:B,2,FALSE),IFERROR(VLOOKUP(E322,'Additional questions'!B:D,3,FALSE)="Yes",VLOOKUP(E322,'Hardware Feature set'!B:D,3,FALSE)="No"))))</f>
        <v>0</v>
      </c>
      <c r="J322" s="6" t="b">
        <f>IF(VLOOKUP(B322,'Profile selection'!B:C,2,FALSE)="Yes",TRUE,FALSE)</f>
        <v>1</v>
      </c>
    </row>
    <row r="323" spans="1:10" x14ac:dyDescent="0.25">
      <c r="A323" t="str">
        <f>'HIDDEN import'!B322</f>
        <v>TC_O_38_CS</v>
      </c>
      <c r="B323" t="str">
        <f>'HIDDEN import'!C322</f>
        <v>Core</v>
      </c>
      <c r="C323" t="str">
        <f>'HIDDEN import'!D322</f>
        <v>Set Display Message - State Unavailable</v>
      </c>
      <c r="D323" t="str">
        <f>IF(VLOOKUP(A323&amp;" "&amp;B323,'HIDDEN import'!A:G,5,FALSE)="M",MD!$A$1,(IF(AND(VLOOKUP(A323,'HIDDEN import'!B:E,4,FALSE)="C",OR(NOT(ISERROR(VLOOKUP(E323,'Optional features'!B:D,1,FALSE)=E323)),NOT(ISERROR(VLOOKUP(E323,'HIDDEN calc sheet'!A:C,1,FALSE)=E323)))),MD!$A$3,MD!$A$2)))</f>
        <v>Mandatory for optional feature</v>
      </c>
      <c r="E323" t="str">
        <f>IF('HIDDEN import'!F322=0,"",'HIDDEN import'!F322)</f>
        <v>UI-0</v>
      </c>
      <c r="F323" t="str">
        <f>IF('HIDDEN import'!G322=0,"",'HIDDEN import'!G322)</f>
        <v/>
      </c>
      <c r="G323" s="95" t="str">
        <f>IFERROR(VLOOKUP($A323,'HIDDEN Testrun Results'!$A:$B,2,FALSE),"")</f>
        <v/>
      </c>
      <c r="H323" s="6" t="b">
        <f t="shared" si="4"/>
        <v>0</v>
      </c>
      <c r="I323" s="6" t="b">
        <f>IF(VLOOKUP(A323&amp;" "&amp;B323,'HIDDEN import'!A:G,5,FALSE)="M",TRUE,IFERROR(VLOOKUP(E323,'Optional features'!B:D,3,FALSE)="Yes",IFERROR(VLOOKUP(E323,'HIDDEN calc sheet'!A:B,2,FALSE),IFERROR(VLOOKUP(E323,'Additional questions'!B:D,3,FALSE)="Yes",VLOOKUP(E323,'Hardware Feature set'!B:D,3,FALSE)="No"))))</f>
        <v>0</v>
      </c>
      <c r="J323" s="6" t="b">
        <f>IF(VLOOKUP(B323,'Profile selection'!B:C,2,FALSE)="Yes",TRUE,FALSE)</f>
        <v>1</v>
      </c>
    </row>
    <row r="324" spans="1:10" x14ac:dyDescent="0.25">
      <c r="A324" t="str">
        <f>'HIDDEN import'!B323</f>
        <v>TC_O_12_CS</v>
      </c>
      <c r="B324" t="str">
        <f>'HIDDEN import'!C323</f>
        <v>Core</v>
      </c>
      <c r="C324" t="str">
        <f>'HIDDEN import'!D323</f>
        <v>Set Display Message - Replace DisplayMessage</v>
      </c>
      <c r="D324" t="str">
        <f>IF(VLOOKUP(A324&amp;" "&amp;B324,'HIDDEN import'!A:G,5,FALSE)="M",MD!$A$1,(IF(AND(VLOOKUP(A324,'HIDDEN import'!B:E,4,FALSE)="C",OR(NOT(ISERROR(VLOOKUP(E324,'Optional features'!B:D,1,FALSE)=E324)),NOT(ISERROR(VLOOKUP(E324,'HIDDEN calc sheet'!A:C,1,FALSE)=E324)))),MD!$A$3,MD!$A$2)))</f>
        <v>Mandatory for optional feature</v>
      </c>
      <c r="E324" t="str">
        <f>IF('HIDDEN import'!F323=0,"",'HIDDEN import'!F323)</f>
        <v>UI-0</v>
      </c>
      <c r="F324" t="str">
        <f>IF('HIDDEN import'!G323=0,"",'HIDDEN import'!G323)</f>
        <v/>
      </c>
      <c r="G324" s="95" t="str">
        <f>IFERROR(VLOOKUP($A324,'HIDDEN Testrun Results'!$A:$B,2,FALSE),"")</f>
        <v/>
      </c>
      <c r="H324" s="6" t="b">
        <f t="shared" ref="H324:H387" si="5">IF(NOT(J324),FALSE,IF(NOT(ISLOGICAL(I324)),I324,AND(I324,J324)))</f>
        <v>0</v>
      </c>
      <c r="I324" s="6" t="b">
        <f>IF(VLOOKUP(A324&amp;" "&amp;B324,'HIDDEN import'!A:G,5,FALSE)="M",TRUE,IFERROR(VLOOKUP(E324,'Optional features'!B:D,3,FALSE)="Yes",IFERROR(VLOOKUP(E324,'HIDDEN calc sheet'!A:B,2,FALSE),IFERROR(VLOOKUP(E324,'Additional questions'!B:D,3,FALSE)="Yes",VLOOKUP(E324,'Hardware Feature set'!B:D,3,FALSE)="No"))))</f>
        <v>0</v>
      </c>
      <c r="J324" s="6" t="b">
        <f>IF(VLOOKUP(B324,'Profile selection'!B:C,2,FALSE)="Yes",TRUE,FALSE)</f>
        <v>1</v>
      </c>
    </row>
    <row r="325" spans="1:10" x14ac:dyDescent="0.25">
      <c r="A325" t="str">
        <f>'HIDDEN import'!B324</f>
        <v>TC_O_06_CS</v>
      </c>
      <c r="B325" t="str">
        <f>'HIDDEN import'!C324</f>
        <v>Core</v>
      </c>
      <c r="C325" t="str">
        <f>'HIDDEN import'!D324</f>
        <v>Set Display Message - Specific transaction - Success</v>
      </c>
      <c r="D325" t="str">
        <f>IF(VLOOKUP(A325&amp;" "&amp;B325,'HIDDEN import'!A:G,5,FALSE)="M",MD!$A$1,(IF(AND(VLOOKUP(A325,'HIDDEN import'!B:E,4,FALSE)="C",OR(NOT(ISERROR(VLOOKUP(E325,'Optional features'!B:D,1,FALSE)=E325)),NOT(ISERROR(VLOOKUP(E325,'HIDDEN calc sheet'!A:C,1,FALSE)=E325)))),MD!$A$3,MD!$A$2)))</f>
        <v>Mandatory for optional feature</v>
      </c>
      <c r="E325" t="str">
        <f>IF('HIDDEN import'!F324=0,"",'HIDDEN import'!F324)</f>
        <v>UI-0</v>
      </c>
      <c r="F325" t="str">
        <f>IF('HIDDEN import'!G324=0,"",'HIDDEN import'!G324)</f>
        <v/>
      </c>
      <c r="G325" s="95" t="str">
        <f>IFERROR(VLOOKUP($A325,'HIDDEN Testrun Results'!$A:$B,2,FALSE),"")</f>
        <v/>
      </c>
      <c r="H325" s="6" t="b">
        <f t="shared" si="5"/>
        <v>0</v>
      </c>
      <c r="I325" s="6" t="b">
        <f>IF(VLOOKUP(A325&amp;" "&amp;B325,'HIDDEN import'!A:G,5,FALSE)="M",TRUE,IFERROR(VLOOKUP(E325,'Optional features'!B:D,3,FALSE)="Yes",IFERROR(VLOOKUP(E325,'HIDDEN calc sheet'!A:B,2,FALSE),IFERROR(VLOOKUP(E325,'Additional questions'!B:D,3,FALSE)="Yes",VLOOKUP(E325,'Hardware Feature set'!B:D,3,FALSE)="No"))))</f>
        <v>0</v>
      </c>
      <c r="J325" s="6" t="b">
        <f>IF(VLOOKUP(B325,'Profile selection'!B:C,2,FALSE)="Yes",TRUE,FALSE)</f>
        <v>1</v>
      </c>
    </row>
    <row r="326" spans="1:10" x14ac:dyDescent="0.25">
      <c r="A326" t="str">
        <f>'HIDDEN import'!B325</f>
        <v>TC_O_10_CS</v>
      </c>
      <c r="B326" t="str">
        <f>'HIDDEN import'!C325</f>
        <v>Core</v>
      </c>
      <c r="C326" t="str">
        <f>'HIDDEN import'!D325</f>
        <v>Set Display Message - Specific transaction - UnknownTransaction</v>
      </c>
      <c r="D326" t="str">
        <f>IF(VLOOKUP(A326&amp;" "&amp;B326,'HIDDEN import'!A:G,5,FALSE)="M",MD!$A$1,(IF(AND(VLOOKUP(A326,'HIDDEN import'!B:E,4,FALSE)="C",OR(NOT(ISERROR(VLOOKUP(E326,'Optional features'!B:D,1,FALSE)=E326)),NOT(ISERROR(VLOOKUP(E326,'HIDDEN calc sheet'!A:C,1,FALSE)=E326)))),MD!$A$3,MD!$A$2)))</f>
        <v>Mandatory for optional feature</v>
      </c>
      <c r="E326" t="str">
        <f>IF('HIDDEN import'!F325=0,"",'HIDDEN import'!F325)</f>
        <v>UI-0</v>
      </c>
      <c r="F326" t="str">
        <f>IF('HIDDEN import'!G325=0,"",'HIDDEN import'!G325)</f>
        <v/>
      </c>
      <c r="G326" s="95" t="str">
        <f>IFERROR(VLOOKUP($A326,'HIDDEN Testrun Results'!$A:$B,2,FALSE),"")</f>
        <v/>
      </c>
      <c r="H326" s="6" t="b">
        <f t="shared" si="5"/>
        <v>0</v>
      </c>
      <c r="I326" s="6" t="b">
        <f>IF(VLOOKUP(A326&amp;" "&amp;B326,'HIDDEN import'!A:G,5,FALSE)="M",TRUE,IFERROR(VLOOKUP(E326,'Optional features'!B:D,3,FALSE)="Yes",IFERROR(VLOOKUP(E326,'HIDDEN calc sheet'!A:B,2,FALSE),IFERROR(VLOOKUP(E326,'Additional questions'!B:D,3,FALSE)="Yes",VLOOKUP(E326,'Hardware Feature set'!B:D,3,FALSE)="No"))))</f>
        <v>0</v>
      </c>
      <c r="J326" s="6" t="b">
        <f>IF(VLOOKUP(B326,'Profile selection'!B:C,2,FALSE)="Yes",TRUE,FALSE)</f>
        <v>1</v>
      </c>
    </row>
    <row r="327" spans="1:10" x14ac:dyDescent="0.25">
      <c r="A327" t="str">
        <f>'HIDDEN import'!B326</f>
        <v>TC_O_27_CS</v>
      </c>
      <c r="B327" t="str">
        <f>'HIDDEN import'!C326</f>
        <v>Core</v>
      </c>
      <c r="C327" t="str">
        <f>'HIDDEN import'!D326</f>
        <v>Set Display Message - Specific transaction - Display message at StartTime</v>
      </c>
      <c r="D327" t="str">
        <f>IF(VLOOKUP(A327&amp;" "&amp;B327,'HIDDEN import'!A:G,5,FALSE)="M",MD!$A$1,(IF(AND(VLOOKUP(A327,'HIDDEN import'!B:E,4,FALSE)="C",OR(NOT(ISERROR(VLOOKUP(E327,'Optional features'!B:D,1,FALSE)=E327)),NOT(ISERROR(VLOOKUP(E327,'HIDDEN calc sheet'!A:C,1,FALSE)=E327)))),MD!$A$3,MD!$A$2)))</f>
        <v>Mandatory for optional feature</v>
      </c>
      <c r="E327" t="str">
        <f>IF('HIDDEN import'!F326=0,"",'HIDDEN import'!F326)</f>
        <v>UI-0</v>
      </c>
      <c r="F327" t="str">
        <f>IF('HIDDEN import'!G326=0,"",'HIDDEN import'!G326)</f>
        <v/>
      </c>
      <c r="G327" s="95" t="str">
        <f>IFERROR(VLOOKUP($A327,'HIDDEN Testrun Results'!$A:$B,2,FALSE),"")</f>
        <v/>
      </c>
      <c r="H327" s="6" t="b">
        <f t="shared" si="5"/>
        <v>0</v>
      </c>
      <c r="I327" s="6" t="b">
        <f>IF(VLOOKUP(A327&amp;" "&amp;B327,'HIDDEN import'!A:G,5,FALSE)="M",TRUE,IFERROR(VLOOKUP(E327,'Optional features'!B:D,3,FALSE)="Yes",IFERROR(VLOOKUP(E327,'HIDDEN calc sheet'!A:B,2,FALSE),IFERROR(VLOOKUP(E327,'Additional questions'!B:D,3,FALSE)="Yes",VLOOKUP(E327,'Hardware Feature set'!B:D,3,FALSE)="No"))))</f>
        <v>0</v>
      </c>
      <c r="J327" s="6" t="b">
        <f>IF(VLOOKUP(B327,'Profile selection'!B:C,2,FALSE)="Yes",TRUE,FALSE)</f>
        <v>1</v>
      </c>
    </row>
    <row r="328" spans="1:10" x14ac:dyDescent="0.25">
      <c r="A328" t="str">
        <f>'HIDDEN import'!B327</f>
        <v>TC_O_28_CS</v>
      </c>
      <c r="B328" t="str">
        <f>'HIDDEN import'!C327</f>
        <v>Core</v>
      </c>
      <c r="C328" t="str">
        <f>'HIDDEN import'!D327</f>
        <v>Set Display Message - Specific transaction - Remove message after EndTime</v>
      </c>
      <c r="D328" t="str">
        <f>IF(VLOOKUP(A328&amp;" "&amp;B328,'HIDDEN import'!A:G,5,FALSE)="M",MD!$A$1,(IF(AND(VLOOKUP(A328,'HIDDEN import'!B:E,4,FALSE)="C",OR(NOT(ISERROR(VLOOKUP(E328,'Optional features'!B:D,1,FALSE)=E328)),NOT(ISERROR(VLOOKUP(E328,'HIDDEN calc sheet'!A:C,1,FALSE)=E328)))),MD!$A$3,MD!$A$2)))</f>
        <v>Mandatory for optional feature</v>
      </c>
      <c r="E328" t="str">
        <f>IF('HIDDEN import'!F327=0,"",'HIDDEN import'!F327)</f>
        <v>UI-0</v>
      </c>
      <c r="F328" t="str">
        <f>IF('HIDDEN import'!G327=0,"",'HIDDEN import'!G327)</f>
        <v/>
      </c>
      <c r="G328" s="95" t="str">
        <f>IFERROR(VLOOKUP($A328,'HIDDEN Testrun Results'!$A:$B,2,FALSE),"")</f>
        <v/>
      </c>
      <c r="H328" s="6" t="b">
        <f t="shared" si="5"/>
        <v>0</v>
      </c>
      <c r="I328" s="6" t="b">
        <f>IF(VLOOKUP(A328&amp;" "&amp;B328,'HIDDEN import'!A:G,5,FALSE)="M",TRUE,IFERROR(VLOOKUP(E328,'Optional features'!B:D,3,FALSE)="Yes",IFERROR(VLOOKUP(E328,'HIDDEN calc sheet'!A:B,2,FALSE),IFERROR(VLOOKUP(E328,'Additional questions'!B:D,3,FALSE)="Yes",VLOOKUP(E328,'Hardware Feature set'!B:D,3,FALSE)="No"))))</f>
        <v>0</v>
      </c>
      <c r="J328" s="6" t="b">
        <f>IF(VLOOKUP(B328,'Profile selection'!B:C,2,FALSE)="Yes",TRUE,FALSE)</f>
        <v>1</v>
      </c>
    </row>
    <row r="329" spans="1:10" x14ac:dyDescent="0.25">
      <c r="A329" t="str">
        <f>'HIDDEN import'!B328</f>
        <v>TC_O_30_CS</v>
      </c>
      <c r="B329" t="str">
        <f>'HIDDEN import'!C328</f>
        <v>Core</v>
      </c>
      <c r="C329" t="str">
        <f>'HIDDEN import'!D328</f>
        <v>Set Display Message - Specific transaction - Multiple In front priority</v>
      </c>
      <c r="D329" t="str">
        <f>IF(VLOOKUP(A329&amp;" "&amp;B329,'HIDDEN import'!A:G,5,FALSE)="M",MD!$A$1,(IF(AND(VLOOKUP(A329,'HIDDEN import'!B:E,4,FALSE)="C",OR(NOT(ISERROR(VLOOKUP(E329,'Optional features'!B:D,1,FALSE)=E329)),NOT(ISERROR(VLOOKUP(E329,'HIDDEN calc sheet'!A:C,1,FALSE)=E329)))),MD!$A$3,MD!$A$2)))</f>
        <v>Mandatory for optional feature</v>
      </c>
      <c r="E329" t="str">
        <f>IF('HIDDEN import'!F328=0,"",'HIDDEN import'!F328)</f>
        <v>UI-0 and UI-1.2</v>
      </c>
      <c r="F329" t="str">
        <f>IF('HIDDEN import'!G328=0,"",'HIDDEN import'!G328)</f>
        <v>Supported MessagePriorities InFront</v>
      </c>
      <c r="G329" s="95" t="str">
        <f>IFERROR(VLOOKUP($A329,'HIDDEN Testrun Results'!$A:$B,2,FALSE),"")</f>
        <v/>
      </c>
      <c r="H329" s="6" t="b">
        <f t="shared" si="5"/>
        <v>0</v>
      </c>
      <c r="I329" s="6" t="b">
        <f>IF(VLOOKUP(A329&amp;" "&amp;B329,'HIDDEN import'!A:G,5,FALSE)="M",TRUE,IFERROR(VLOOKUP(E329,'Optional features'!B:D,3,FALSE)="Yes",IFERROR(VLOOKUP(E329,'HIDDEN calc sheet'!A:B,2,FALSE),IFERROR(VLOOKUP(E329,'Additional questions'!B:D,3,FALSE)="Yes",VLOOKUP(E329,'Hardware Feature set'!B:D,3,FALSE)="No"))))</f>
        <v>0</v>
      </c>
      <c r="J329" s="6" t="b">
        <f>IF(VLOOKUP(B329,'Profile selection'!B:C,2,FALSE)="Yes",TRUE,FALSE)</f>
        <v>1</v>
      </c>
    </row>
    <row r="330" spans="1:10" x14ac:dyDescent="0.25">
      <c r="A330" t="str">
        <f>'HIDDEN import'!B329</f>
        <v>TC_O_32_CS</v>
      </c>
      <c r="B330" t="str">
        <f>'HIDDEN import'!C329</f>
        <v>Core</v>
      </c>
      <c r="C330" t="str">
        <f>'HIDDEN import'!D329</f>
        <v>Set Display Message - Specific transaction - Second Alwaysfront priority</v>
      </c>
      <c r="D330" t="str">
        <f>IF(VLOOKUP(A330&amp;" "&amp;B330,'HIDDEN import'!A:G,5,FALSE)="M",MD!$A$1,(IF(AND(VLOOKUP(A330,'HIDDEN import'!B:E,4,FALSE)="C",OR(NOT(ISERROR(VLOOKUP(E330,'Optional features'!B:D,1,FALSE)=E330)),NOT(ISERROR(VLOOKUP(E330,'HIDDEN calc sheet'!A:C,1,FALSE)=E330)))),MD!$A$3,MD!$A$2)))</f>
        <v>Mandatory for optional feature</v>
      </c>
      <c r="E330" t="str">
        <f>IF('HIDDEN import'!F329=0,"",'HIDDEN import'!F329)</f>
        <v>UI-0 and UI-1.1</v>
      </c>
      <c r="F330" t="str">
        <f>IF('HIDDEN import'!G329=0,"",'HIDDEN import'!G329)</f>
        <v>Supported MessagePriorities AlwaysFront</v>
      </c>
      <c r="G330" s="95" t="str">
        <f>IFERROR(VLOOKUP($A330,'HIDDEN Testrun Results'!$A:$B,2,FALSE),"")</f>
        <v/>
      </c>
      <c r="H330" s="6" t="b">
        <f t="shared" si="5"/>
        <v>0</v>
      </c>
      <c r="I330" s="6" t="b">
        <f>IF(VLOOKUP(A330&amp;" "&amp;B330,'HIDDEN import'!A:G,5,FALSE)="M",TRUE,IFERROR(VLOOKUP(E330,'Optional features'!B:D,3,FALSE)="Yes",IFERROR(VLOOKUP(E330,'HIDDEN calc sheet'!A:B,2,FALSE),IFERROR(VLOOKUP(E330,'Additional questions'!B:D,3,FALSE)="Yes",VLOOKUP(E330,'Hardware Feature set'!B:D,3,FALSE)="No"))))</f>
        <v>0</v>
      </c>
      <c r="J330" s="6" t="b">
        <f>IF(VLOOKUP(B330,'Profile selection'!B:C,2,FALSE)="Yes",TRUE,FALSE)</f>
        <v>1</v>
      </c>
    </row>
    <row r="331" spans="1:10" x14ac:dyDescent="0.25">
      <c r="A331" t="str">
        <f>'HIDDEN import'!B330</f>
        <v>TC_O_02_CS</v>
      </c>
      <c r="B331" t="str">
        <f>'HIDDEN import'!C330</f>
        <v>Core</v>
      </c>
      <c r="C331" t="str">
        <f>'HIDDEN import'!D330</f>
        <v>Get all Display Messages - Success</v>
      </c>
      <c r="D331" t="str">
        <f>IF(VLOOKUP(A331&amp;" "&amp;B331,'HIDDEN import'!A:G,5,FALSE)="M",MD!$A$1,(IF(AND(VLOOKUP(A331,'HIDDEN import'!B:E,4,FALSE)="C",OR(NOT(ISERROR(VLOOKUP(E331,'Optional features'!B:D,1,FALSE)=E331)),NOT(ISERROR(VLOOKUP(E331,'HIDDEN calc sheet'!A:C,1,FALSE)=E331)))),MD!$A$3,MD!$A$2)))</f>
        <v>Mandatory for optional feature</v>
      </c>
      <c r="E331" t="str">
        <f>IF('HIDDEN import'!F330=0,"",'HIDDEN import'!F330)</f>
        <v>UI-0</v>
      </c>
      <c r="F331" t="str">
        <f>IF('HIDDEN import'!G330=0,"",'HIDDEN import'!G330)</f>
        <v/>
      </c>
      <c r="G331" s="95" t="str">
        <f>IFERROR(VLOOKUP($A331,'HIDDEN Testrun Results'!$A:$B,2,FALSE),"")</f>
        <v/>
      </c>
      <c r="H331" s="6" t="b">
        <f t="shared" si="5"/>
        <v>0</v>
      </c>
      <c r="I331" s="6" t="b">
        <f>IF(VLOOKUP(A331&amp;" "&amp;B331,'HIDDEN import'!A:G,5,FALSE)="M",TRUE,IFERROR(VLOOKUP(E331,'Optional features'!B:D,3,FALSE)="Yes",IFERROR(VLOOKUP(E331,'HIDDEN calc sheet'!A:B,2,FALSE),IFERROR(VLOOKUP(E331,'Additional questions'!B:D,3,FALSE)="Yes",VLOOKUP(E331,'Hardware Feature set'!B:D,3,FALSE)="No"))))</f>
        <v>0</v>
      </c>
      <c r="J331" s="6" t="b">
        <f>IF(VLOOKUP(B331,'Profile selection'!B:C,2,FALSE)="Yes",TRUE,FALSE)</f>
        <v>1</v>
      </c>
    </row>
    <row r="332" spans="1:10" x14ac:dyDescent="0.25">
      <c r="A332" t="str">
        <f>'HIDDEN import'!B331</f>
        <v>TC_O_03_CS</v>
      </c>
      <c r="B332" t="str">
        <f>'HIDDEN import'!C331</f>
        <v>Core</v>
      </c>
      <c r="C332" t="str">
        <f>'HIDDEN import'!D331</f>
        <v>Get all Display Messages - No DisplayMessages configured</v>
      </c>
      <c r="D332" t="str">
        <f>IF(VLOOKUP(A332&amp;" "&amp;B332,'HIDDEN import'!A:G,5,FALSE)="M",MD!$A$1,(IF(AND(VLOOKUP(A332,'HIDDEN import'!B:E,4,FALSE)="C",OR(NOT(ISERROR(VLOOKUP(E332,'Optional features'!B:D,1,FALSE)=E332)),NOT(ISERROR(VLOOKUP(E332,'HIDDEN calc sheet'!A:C,1,FALSE)=E332)))),MD!$A$3,MD!$A$2)))</f>
        <v>Mandatory for optional feature</v>
      </c>
      <c r="E332" t="str">
        <f>IF('HIDDEN import'!F331=0,"",'HIDDEN import'!F331)</f>
        <v>UI-0</v>
      </c>
      <c r="F332" t="str">
        <f>IF('HIDDEN import'!G331=0,"",'HIDDEN import'!G331)</f>
        <v/>
      </c>
      <c r="G332" s="95" t="str">
        <f>IFERROR(VLOOKUP($A332,'HIDDEN Testrun Results'!$A:$B,2,FALSE),"")</f>
        <v/>
      </c>
      <c r="H332" s="6" t="b">
        <f t="shared" si="5"/>
        <v>0</v>
      </c>
      <c r="I332" s="6" t="b">
        <f>IF(VLOOKUP(A332&amp;" "&amp;B332,'HIDDEN import'!A:G,5,FALSE)="M",TRUE,IFERROR(VLOOKUP(E332,'Optional features'!B:D,3,FALSE)="Yes",IFERROR(VLOOKUP(E332,'HIDDEN calc sheet'!A:B,2,FALSE),IFERROR(VLOOKUP(E332,'Additional questions'!B:D,3,FALSE)="Yes",VLOOKUP(E332,'Hardware Feature set'!B:D,3,FALSE)="No"))))</f>
        <v>0</v>
      </c>
      <c r="J332" s="6" t="b">
        <f>IF(VLOOKUP(B332,'Profile selection'!B:C,2,FALSE)="Yes",TRUE,FALSE)</f>
        <v>1</v>
      </c>
    </row>
    <row r="333" spans="1:10" x14ac:dyDescent="0.25">
      <c r="A333" t="str">
        <f>'HIDDEN import'!B332</f>
        <v>TC_O_07_CS</v>
      </c>
      <c r="B333" t="str">
        <f>'HIDDEN import'!C332</f>
        <v>Core</v>
      </c>
      <c r="C333" t="str">
        <f>'HIDDEN import'!D332</f>
        <v>Get a Specific Display Message - Id</v>
      </c>
      <c r="D333" t="str">
        <f>IF(VLOOKUP(A333&amp;" "&amp;B333,'HIDDEN import'!A:G,5,FALSE)="M",MD!$A$1,(IF(AND(VLOOKUP(A333,'HIDDEN import'!B:E,4,FALSE)="C",OR(NOT(ISERROR(VLOOKUP(E333,'Optional features'!B:D,1,FALSE)=E333)),NOT(ISERROR(VLOOKUP(E333,'HIDDEN calc sheet'!A:C,1,FALSE)=E333)))),MD!$A$3,MD!$A$2)))</f>
        <v>Mandatory for optional feature</v>
      </c>
      <c r="E333" t="str">
        <f>IF('HIDDEN import'!F332=0,"",'HIDDEN import'!F332)</f>
        <v>UI-0</v>
      </c>
      <c r="F333" t="str">
        <f>IF('HIDDEN import'!G332=0,"",'HIDDEN import'!G332)</f>
        <v/>
      </c>
      <c r="G333" s="95" t="str">
        <f>IFERROR(VLOOKUP($A333,'HIDDEN Testrun Results'!$A:$B,2,FALSE),"")</f>
        <v/>
      </c>
      <c r="H333" s="6" t="b">
        <f t="shared" si="5"/>
        <v>0</v>
      </c>
      <c r="I333" s="6" t="b">
        <f>IF(VLOOKUP(A333&amp;" "&amp;B333,'HIDDEN import'!A:G,5,FALSE)="M",TRUE,IFERROR(VLOOKUP(E333,'Optional features'!B:D,3,FALSE)="Yes",IFERROR(VLOOKUP(E333,'HIDDEN calc sheet'!A:B,2,FALSE),IFERROR(VLOOKUP(E333,'Additional questions'!B:D,3,FALSE)="Yes",VLOOKUP(E333,'Hardware Feature set'!B:D,3,FALSE)="No"))))</f>
        <v>0</v>
      </c>
      <c r="J333" s="6" t="b">
        <f>IF(VLOOKUP(B333,'Profile selection'!B:C,2,FALSE)="Yes",TRUE,FALSE)</f>
        <v>1</v>
      </c>
    </row>
    <row r="334" spans="1:10" x14ac:dyDescent="0.25">
      <c r="A334" t="str">
        <f>'HIDDEN import'!B333</f>
        <v>TC_O_08_CS</v>
      </c>
      <c r="B334" t="str">
        <f>'HIDDEN import'!C333</f>
        <v>Core</v>
      </c>
      <c r="C334" t="str">
        <f>'HIDDEN import'!D333</f>
        <v>Get a Specific Display Message - Priority</v>
      </c>
      <c r="D334" t="str">
        <f>IF(VLOOKUP(A334&amp;" "&amp;B334,'HIDDEN import'!A:G,5,FALSE)="M",MD!$A$1,(IF(AND(VLOOKUP(A334,'HIDDEN import'!B:E,4,FALSE)="C",OR(NOT(ISERROR(VLOOKUP(E334,'Optional features'!B:D,1,FALSE)=E334)),NOT(ISERROR(VLOOKUP(E334,'HIDDEN calc sheet'!A:C,1,FALSE)=E334)))),MD!$A$3,MD!$A$2)))</f>
        <v>Mandatory for optional feature</v>
      </c>
      <c r="E334" t="str">
        <f>IF('HIDDEN import'!F333=0,"",'HIDDEN import'!F333)</f>
        <v>UI-0</v>
      </c>
      <c r="F334" t="str">
        <f>IF('HIDDEN import'!G333=0,"",'HIDDEN import'!G333)</f>
        <v>UI-1: Supported MessagePriorities</v>
      </c>
      <c r="G334" s="95" t="str">
        <f>IFERROR(VLOOKUP($A334,'HIDDEN Testrun Results'!$A:$B,2,FALSE),"")</f>
        <v/>
      </c>
      <c r="H334" s="6" t="b">
        <f t="shared" si="5"/>
        <v>0</v>
      </c>
      <c r="I334" s="6" t="b">
        <f>IF(VLOOKUP(A334&amp;" "&amp;B334,'HIDDEN import'!A:G,5,FALSE)="M",TRUE,IFERROR(VLOOKUP(E334,'Optional features'!B:D,3,FALSE)="Yes",IFERROR(VLOOKUP(E334,'HIDDEN calc sheet'!A:B,2,FALSE),IFERROR(VLOOKUP(E334,'Additional questions'!B:D,3,FALSE)="Yes",VLOOKUP(E334,'Hardware Feature set'!B:D,3,FALSE)="No"))))</f>
        <v>0</v>
      </c>
      <c r="J334" s="6" t="b">
        <f>IF(VLOOKUP(B334,'Profile selection'!B:C,2,FALSE)="Yes",TRUE,FALSE)</f>
        <v>1</v>
      </c>
    </row>
    <row r="335" spans="1:10" x14ac:dyDescent="0.25">
      <c r="A335" t="str">
        <f>'HIDDEN import'!B334</f>
        <v>TC_O_09_CS</v>
      </c>
      <c r="B335" t="str">
        <f>'HIDDEN import'!C334</f>
        <v>Core</v>
      </c>
      <c r="C335" t="str">
        <f>'HIDDEN import'!D334</f>
        <v>Get a Specific Display Message - State</v>
      </c>
      <c r="D335" t="str">
        <f>IF(VLOOKUP(A335&amp;" "&amp;B335,'HIDDEN import'!A:G,5,FALSE)="M",MD!$A$1,(IF(AND(VLOOKUP(A335,'HIDDEN import'!B:E,4,FALSE)="C",OR(NOT(ISERROR(VLOOKUP(E335,'Optional features'!B:D,1,FALSE)=E335)),NOT(ISERROR(VLOOKUP(E335,'HIDDEN calc sheet'!A:C,1,FALSE)=E335)))),MD!$A$3,MD!$A$2)))</f>
        <v>Mandatory for optional feature</v>
      </c>
      <c r="E335" t="str">
        <f>IF('HIDDEN import'!F334=0,"",'HIDDEN import'!F334)</f>
        <v>UI-0</v>
      </c>
      <c r="F335" t="str">
        <f>IF('HIDDEN import'!G334=0,"",'HIDDEN import'!G334)</f>
        <v/>
      </c>
      <c r="G335" s="95" t="str">
        <f>IFERROR(VLOOKUP($A335,'HIDDEN Testrun Results'!$A:$B,2,FALSE),"")</f>
        <v/>
      </c>
      <c r="H335" s="6" t="b">
        <f t="shared" si="5"/>
        <v>0</v>
      </c>
      <c r="I335" s="6" t="b">
        <f>IF(VLOOKUP(A335&amp;" "&amp;B335,'HIDDEN import'!A:G,5,FALSE)="M",TRUE,IFERROR(VLOOKUP(E335,'Optional features'!B:D,3,FALSE)="Yes",IFERROR(VLOOKUP(E335,'HIDDEN calc sheet'!A:B,2,FALSE),IFERROR(VLOOKUP(E335,'Additional questions'!B:D,3,FALSE)="Yes",VLOOKUP(E335,'Hardware Feature set'!B:D,3,FALSE)="No"))))</f>
        <v>0</v>
      </c>
      <c r="J335" s="6" t="b">
        <f>IF(VLOOKUP(B335,'Profile selection'!B:C,2,FALSE)="Yes",TRUE,FALSE)</f>
        <v>1</v>
      </c>
    </row>
    <row r="336" spans="1:10" x14ac:dyDescent="0.25">
      <c r="A336" t="str">
        <f>'HIDDEN import'!B335</f>
        <v>TC_O_11_CS</v>
      </c>
      <c r="B336" t="str">
        <f>'HIDDEN import'!C335</f>
        <v>Core</v>
      </c>
      <c r="C336" t="str">
        <f>'HIDDEN import'!D335</f>
        <v>Get a Specific Display Message - Unknown parameters</v>
      </c>
      <c r="D336" t="str">
        <f>IF(VLOOKUP(A336&amp;" "&amp;B336,'HIDDEN import'!A:G,5,FALSE)="M",MD!$A$1,(IF(AND(VLOOKUP(A336,'HIDDEN import'!B:E,4,FALSE)="C",OR(NOT(ISERROR(VLOOKUP(E336,'Optional features'!B:D,1,FALSE)=E336)),NOT(ISERROR(VLOOKUP(E336,'HIDDEN calc sheet'!A:C,1,FALSE)=E336)))),MD!$A$3,MD!$A$2)))</f>
        <v>Mandatory for optional feature</v>
      </c>
      <c r="E336" t="str">
        <f>IF('HIDDEN import'!F335=0,"",'HIDDEN import'!F335)</f>
        <v>UI-0</v>
      </c>
      <c r="F336" t="str">
        <f>IF('HIDDEN import'!G335=0,"",'HIDDEN import'!G335)</f>
        <v/>
      </c>
      <c r="G336" s="95" t="str">
        <f>IFERROR(VLOOKUP($A336,'HIDDEN Testrun Results'!$A:$B,2,FALSE),"")</f>
        <v/>
      </c>
      <c r="H336" s="6" t="b">
        <f t="shared" si="5"/>
        <v>0</v>
      </c>
      <c r="I336" s="6" t="b">
        <f>IF(VLOOKUP(A336&amp;" "&amp;B336,'HIDDEN import'!A:G,5,FALSE)="M",TRUE,IFERROR(VLOOKUP(E336,'Optional features'!B:D,3,FALSE)="Yes",IFERROR(VLOOKUP(E336,'HIDDEN calc sheet'!A:B,2,FALSE),IFERROR(VLOOKUP(E336,'Additional questions'!B:D,3,FALSE)="Yes",VLOOKUP(E336,'Hardware Feature set'!B:D,3,FALSE)="No"))))</f>
        <v>0</v>
      </c>
      <c r="J336" s="6" t="b">
        <f>IF(VLOOKUP(B336,'Profile selection'!B:C,2,FALSE)="Yes",TRUE,FALSE)</f>
        <v>1</v>
      </c>
    </row>
    <row r="337" spans="1:10" x14ac:dyDescent="0.25">
      <c r="A337" t="str">
        <f>'HIDDEN import'!B336</f>
        <v>TC_O_33_CS</v>
      </c>
      <c r="B337" t="str">
        <f>'HIDDEN import'!C336</f>
        <v>Core</v>
      </c>
      <c r="C337" t="str">
        <f>'HIDDEN import'!D336</f>
        <v>Get a Specific Display Message - No DisplayMessages configured</v>
      </c>
      <c r="D337" t="str">
        <f>IF(VLOOKUP(A337&amp;" "&amp;B337,'HIDDEN import'!A:G,5,FALSE)="M",MD!$A$1,(IF(AND(VLOOKUP(A337,'HIDDEN import'!B:E,4,FALSE)="C",OR(NOT(ISERROR(VLOOKUP(E337,'Optional features'!B:D,1,FALSE)=E337)),NOT(ISERROR(VLOOKUP(E337,'HIDDEN calc sheet'!A:C,1,FALSE)=E337)))),MD!$A$3,MD!$A$2)))</f>
        <v>Mandatory for optional feature</v>
      </c>
      <c r="E337" t="str">
        <f>IF('HIDDEN import'!F336=0,"",'HIDDEN import'!F336)</f>
        <v>UI-0</v>
      </c>
      <c r="F337" t="str">
        <f>IF('HIDDEN import'!G336=0,"",'HIDDEN import'!G336)</f>
        <v/>
      </c>
      <c r="G337" s="95" t="str">
        <f>IFERROR(VLOOKUP($A337,'HIDDEN Testrun Results'!$A:$B,2,FALSE),"")</f>
        <v/>
      </c>
      <c r="H337" s="6" t="b">
        <f t="shared" si="5"/>
        <v>0</v>
      </c>
      <c r="I337" s="6" t="b">
        <f>IF(VLOOKUP(A337&amp;" "&amp;B337,'HIDDEN import'!A:G,5,FALSE)="M",TRUE,IFERROR(VLOOKUP(E337,'Optional features'!B:D,3,FALSE)="Yes",IFERROR(VLOOKUP(E337,'HIDDEN calc sheet'!A:B,2,FALSE),IFERROR(VLOOKUP(E337,'Additional questions'!B:D,3,FALSE)="Yes",VLOOKUP(E337,'Hardware Feature set'!B:D,3,FALSE)="No"))))</f>
        <v>0</v>
      </c>
      <c r="J337" s="6" t="b">
        <f>IF(VLOOKUP(B337,'Profile selection'!B:C,2,FALSE)="Yes",TRUE,FALSE)</f>
        <v>1</v>
      </c>
    </row>
    <row r="338" spans="1:10" x14ac:dyDescent="0.25">
      <c r="A338" t="str">
        <f>'HIDDEN import'!B337</f>
        <v>TC_O_34_CS</v>
      </c>
      <c r="B338" t="str">
        <f>'HIDDEN import'!C337</f>
        <v>Core</v>
      </c>
      <c r="C338" t="str">
        <f>'HIDDEN import'!D337</f>
        <v>Get a Specific Display Message - Known Id, but not matching State</v>
      </c>
      <c r="D338" t="str">
        <f>IF(VLOOKUP(A338&amp;" "&amp;B338,'HIDDEN import'!A:G,5,FALSE)="M",MD!$A$1,(IF(AND(VLOOKUP(A338,'HIDDEN import'!B:E,4,FALSE)="C",OR(NOT(ISERROR(VLOOKUP(E338,'Optional features'!B:D,1,FALSE)=E338)),NOT(ISERROR(VLOOKUP(E338,'HIDDEN calc sheet'!A:C,1,FALSE)=E338)))),MD!$A$3,MD!$A$2)))</f>
        <v>Mandatory for optional feature</v>
      </c>
      <c r="E338" t="str">
        <f>IF('HIDDEN import'!F337=0,"",'HIDDEN import'!F337)</f>
        <v>UI-0</v>
      </c>
      <c r="F338" t="str">
        <f>IF('HIDDEN import'!G337=0,"",'HIDDEN import'!G337)</f>
        <v/>
      </c>
      <c r="G338" s="95" t="str">
        <f>IFERROR(VLOOKUP($A338,'HIDDEN Testrun Results'!$A:$B,2,FALSE),"")</f>
        <v/>
      </c>
      <c r="H338" s="6" t="b">
        <f t="shared" si="5"/>
        <v>0</v>
      </c>
      <c r="I338" s="6" t="b">
        <f>IF(VLOOKUP(A338&amp;" "&amp;B338,'HIDDEN import'!A:G,5,FALSE)="M",TRUE,IFERROR(VLOOKUP(E338,'Optional features'!B:D,3,FALSE)="Yes",IFERROR(VLOOKUP(E338,'HIDDEN calc sheet'!A:B,2,FALSE),IFERROR(VLOOKUP(E338,'Additional questions'!B:D,3,FALSE)="Yes",VLOOKUP(E338,'Hardware Feature set'!B:D,3,FALSE)="No"))))</f>
        <v>0</v>
      </c>
      <c r="J338" s="6" t="b">
        <f>IF(VLOOKUP(B338,'Profile selection'!B:C,2,FALSE)="Yes",TRUE,FALSE)</f>
        <v>1</v>
      </c>
    </row>
    <row r="339" spans="1:10" x14ac:dyDescent="0.25">
      <c r="A339" t="str">
        <f>'HIDDEN import'!B338</f>
        <v>TC_O_35_CS</v>
      </c>
      <c r="B339" t="str">
        <f>'HIDDEN import'!C338</f>
        <v>Core</v>
      </c>
      <c r="C339" t="str">
        <f>'HIDDEN import'!D338</f>
        <v>Get a Specific Display Message - Known Id, but not matching Priority</v>
      </c>
      <c r="D339" t="str">
        <f>IF(VLOOKUP(A339&amp;" "&amp;B339,'HIDDEN import'!A:G,5,FALSE)="M",MD!$A$1,(IF(AND(VLOOKUP(A339,'HIDDEN import'!B:E,4,FALSE)="C",OR(NOT(ISERROR(VLOOKUP(E339,'Optional features'!B:D,1,FALSE)=E339)),NOT(ISERROR(VLOOKUP(E339,'HIDDEN calc sheet'!A:C,1,FALSE)=E339)))),MD!$A$3,MD!$A$2)))</f>
        <v>Mandatory for optional feature</v>
      </c>
      <c r="E339" t="str">
        <f>IF('HIDDEN import'!F338=0,"",'HIDDEN import'!F338)</f>
        <v>UI-0 and ((UI-1.1 and UI-1.2) or (UI-1.2 and UI-1.3) or (UI-1.3 and UI-1.1))</v>
      </c>
      <c r="F339" t="str">
        <f>IF('HIDDEN import'!G338=0,"",'HIDDEN import'!G338)</f>
        <v>Supported MessagePriorities</v>
      </c>
      <c r="G339" s="95" t="str">
        <f>IFERROR(VLOOKUP($A339,'HIDDEN Testrun Results'!$A:$B,2,FALSE),"")</f>
        <v/>
      </c>
      <c r="H339" s="6" t="b">
        <f t="shared" si="5"/>
        <v>0</v>
      </c>
      <c r="I339" s="6" t="b">
        <f>IF(VLOOKUP(A339&amp;" "&amp;B339,'HIDDEN import'!A:G,5,FALSE)="M",TRUE,IFERROR(VLOOKUP(E339,'Optional features'!B:D,3,FALSE)="Yes",IFERROR(VLOOKUP(E339,'HIDDEN calc sheet'!A:B,2,FALSE),IFERROR(VLOOKUP(E339,'Additional questions'!B:D,3,FALSE)="Yes",VLOOKUP(E339,'Hardware Feature set'!B:D,3,FALSE)="No"))))</f>
        <v>0</v>
      </c>
      <c r="J339" s="6" t="b">
        <f>IF(VLOOKUP(B339,'Profile selection'!B:C,2,FALSE)="Yes",TRUE,FALSE)</f>
        <v>1</v>
      </c>
    </row>
    <row r="340" spans="1:10" x14ac:dyDescent="0.25">
      <c r="A340" t="str">
        <f>'HIDDEN import'!B339</f>
        <v>TC_O_04_CS</v>
      </c>
      <c r="B340" t="str">
        <f>'HIDDEN import'!C339</f>
        <v>Core</v>
      </c>
      <c r="C340" t="str">
        <f>'HIDDEN import'!D339</f>
        <v>Clear Display Message - Success</v>
      </c>
      <c r="D340" t="str">
        <f>IF(VLOOKUP(A340&amp;" "&amp;B340,'HIDDEN import'!A:G,5,FALSE)="M",MD!$A$1,(IF(AND(VLOOKUP(A340,'HIDDEN import'!B:E,4,FALSE)="C",OR(NOT(ISERROR(VLOOKUP(E340,'Optional features'!B:D,1,FALSE)=E340)),NOT(ISERROR(VLOOKUP(E340,'HIDDEN calc sheet'!A:C,1,FALSE)=E340)))),MD!$A$3,MD!$A$2)))</f>
        <v>Mandatory for optional feature</v>
      </c>
      <c r="E340" t="str">
        <f>IF('HIDDEN import'!F339=0,"",'HIDDEN import'!F339)</f>
        <v>UI-0</v>
      </c>
      <c r="F340" t="str">
        <f>IF('HIDDEN import'!G339=0,"",'HIDDEN import'!G339)</f>
        <v/>
      </c>
      <c r="G340" s="95" t="str">
        <f>IFERROR(VLOOKUP($A340,'HIDDEN Testrun Results'!$A:$B,2,FALSE),"")</f>
        <v/>
      </c>
      <c r="H340" s="6" t="b">
        <f t="shared" si="5"/>
        <v>0</v>
      </c>
      <c r="I340" s="6" t="b">
        <f>IF(VLOOKUP(A340&amp;" "&amp;B340,'HIDDEN import'!A:G,5,FALSE)="M",TRUE,IFERROR(VLOOKUP(E340,'Optional features'!B:D,3,FALSE)="Yes",IFERROR(VLOOKUP(E340,'HIDDEN calc sheet'!A:B,2,FALSE),IFERROR(VLOOKUP(E340,'Additional questions'!B:D,3,FALSE)="Yes",VLOOKUP(E340,'Hardware Feature set'!B:D,3,FALSE)="No"))))</f>
        <v>0</v>
      </c>
      <c r="J340" s="6" t="b">
        <f>IF(VLOOKUP(B340,'Profile selection'!B:C,2,FALSE)="Yes",TRUE,FALSE)</f>
        <v>1</v>
      </c>
    </row>
    <row r="341" spans="1:10" x14ac:dyDescent="0.25">
      <c r="A341" t="str">
        <f>'HIDDEN import'!B340</f>
        <v>TC_O_05_CS</v>
      </c>
      <c r="B341" t="str">
        <f>'HIDDEN import'!C340</f>
        <v>Core</v>
      </c>
      <c r="C341" t="str">
        <f>'HIDDEN import'!D340</f>
        <v>Clear Display Message - Unknown Key</v>
      </c>
      <c r="D341" t="str">
        <f>IF(VLOOKUP(A341&amp;" "&amp;B341,'HIDDEN import'!A:G,5,FALSE)="M",MD!$A$1,(IF(AND(VLOOKUP(A341,'HIDDEN import'!B:E,4,FALSE)="C",OR(NOT(ISERROR(VLOOKUP(E341,'Optional features'!B:D,1,FALSE)=E341)),NOT(ISERROR(VLOOKUP(E341,'HIDDEN calc sheet'!A:C,1,FALSE)=E341)))),MD!$A$3,MD!$A$2)))</f>
        <v>Mandatory for optional feature</v>
      </c>
      <c r="E341" t="str">
        <f>IF('HIDDEN import'!F340=0,"",'HIDDEN import'!F340)</f>
        <v>UI-0</v>
      </c>
      <c r="F341" t="str">
        <f>IF('HIDDEN import'!G340=0,"",'HIDDEN import'!G340)</f>
        <v/>
      </c>
      <c r="G341" s="95" t="str">
        <f>IFERROR(VLOOKUP($A341,'HIDDEN Testrun Results'!$A:$B,2,FALSE),"")</f>
        <v/>
      </c>
      <c r="H341" s="6" t="b">
        <f t="shared" si="5"/>
        <v>0</v>
      </c>
      <c r="I341" s="6" t="b">
        <f>IF(VLOOKUP(A341&amp;" "&amp;B341,'HIDDEN import'!A:G,5,FALSE)="M",TRUE,IFERROR(VLOOKUP(E341,'Optional features'!B:D,3,FALSE)="Yes",IFERROR(VLOOKUP(E341,'HIDDEN calc sheet'!A:B,2,FALSE),IFERROR(VLOOKUP(E341,'Additional questions'!B:D,3,FALSE)="Yes",VLOOKUP(E341,'Hardware Feature set'!B:D,3,FALSE)="No"))))</f>
        <v>0</v>
      </c>
      <c r="J341" s="6" t="b">
        <f>IF(VLOOKUP(B341,'Profile selection'!B:C,2,FALSE)="Yes",TRUE,FALSE)</f>
        <v>1</v>
      </c>
    </row>
    <row r="342" spans="1:10" x14ac:dyDescent="0.25">
      <c r="A342" t="str">
        <f>'HIDDEN import'!B341</f>
        <v>TC_A_07_CS</v>
      </c>
      <c r="B342" t="str">
        <f>'HIDDEN import'!C341</f>
        <v>Advanced Security</v>
      </c>
      <c r="C342" t="str">
        <f>'HIDDEN import'!D341</f>
        <v>TLS - Client-side certificate - valid certificate</v>
      </c>
      <c r="D342" t="str">
        <f>IF(VLOOKUP(A342&amp;" "&amp;B342,'HIDDEN import'!A:G,5,FALSE)="M",MD!$A$1,(IF(AND(VLOOKUP(A342,'HIDDEN import'!B:E,4,FALSE)="C",OR(NOT(ISERROR(VLOOKUP(E342,'Optional features'!B:D,1,FALSE)=E342)),NOT(ISERROR(VLOOKUP(E342,'HIDDEN calc sheet'!A:C,1,FALSE)=E342)))),MD!$A$3,MD!$A$2)))</f>
        <v>Mandatory test for a mandatory feature</v>
      </c>
      <c r="E342" t="str">
        <f>IF('HIDDEN import'!F341=0,"",'HIDDEN import'!F341)</f>
        <v/>
      </c>
      <c r="F342" t="str">
        <f>IF('HIDDEN import'!G341=0,"",'HIDDEN import'!G341)</f>
        <v/>
      </c>
      <c r="G342" s="95" t="str">
        <f>IFERROR(VLOOKUP($A342,'HIDDEN Testrun Results'!$A:$B,2,FALSE),"")</f>
        <v/>
      </c>
      <c r="H342" s="6" t="b">
        <f t="shared" si="5"/>
        <v>0</v>
      </c>
      <c r="I342" s="6" t="b">
        <f>IF(VLOOKUP(A342&amp;" "&amp;B342,'HIDDEN import'!A:G,5,FALSE)="M",TRUE,IFERROR(VLOOKUP(E342,'Optional features'!B:D,3,FALSE)="Yes",IFERROR(VLOOKUP(E342,'HIDDEN calc sheet'!A:B,2,FALSE),IFERROR(VLOOKUP(E342,'Additional questions'!B:D,3,FALSE)="Yes",VLOOKUP(E342,'Hardware Feature set'!B:D,3,FALSE)="No"))))</f>
        <v>1</v>
      </c>
      <c r="J342" s="6" t="b">
        <f>IF(VLOOKUP(B342,'Profile selection'!B:C,2,FALSE)="Yes",TRUE,FALSE)</f>
        <v>0</v>
      </c>
    </row>
    <row r="343" spans="1:10" x14ac:dyDescent="0.25">
      <c r="A343" t="str">
        <f>'HIDDEN import'!B342</f>
        <v>TC_A_11_CS</v>
      </c>
      <c r="B343" t="str">
        <f>'HIDDEN import'!C342</f>
        <v>Advanced Security</v>
      </c>
      <c r="C343" t="str">
        <f>'HIDDEN import'!D342</f>
        <v>Update Charging Station Certificate by request of CSMS - Success - Charging Station Certificate</v>
      </c>
      <c r="D343" t="str">
        <f>IF(VLOOKUP(A343&amp;" "&amp;B343,'HIDDEN import'!A:G,5,FALSE)="M",MD!$A$1,(IF(AND(VLOOKUP(A343,'HIDDEN import'!B:E,4,FALSE)="C",OR(NOT(ISERROR(VLOOKUP(E343,'Optional features'!B:D,1,FALSE)=E343)),NOT(ISERROR(VLOOKUP(E343,'HIDDEN calc sheet'!A:C,1,FALSE)=E343)))),MD!$A$3,MD!$A$2)))</f>
        <v>Mandatory test for a mandatory feature</v>
      </c>
      <c r="E343" t="str">
        <f>IF('HIDDEN import'!F342=0,"",'HIDDEN import'!F342)</f>
        <v/>
      </c>
      <c r="F343" t="str">
        <f>IF('HIDDEN import'!G342=0,"",'HIDDEN import'!G342)</f>
        <v/>
      </c>
      <c r="G343" s="95" t="str">
        <f>IFERROR(VLOOKUP($A343,'HIDDEN Testrun Results'!$A:$B,2,FALSE),"")</f>
        <v/>
      </c>
      <c r="H343" s="6" t="b">
        <f t="shared" si="5"/>
        <v>0</v>
      </c>
      <c r="I343" s="6" t="b">
        <f>IF(VLOOKUP(A343&amp;" "&amp;B343,'HIDDEN import'!A:G,5,FALSE)="M",TRUE,IFERROR(VLOOKUP(E343,'Optional features'!B:D,3,FALSE)="Yes",IFERROR(VLOOKUP(E343,'HIDDEN calc sheet'!A:B,2,FALSE),IFERROR(VLOOKUP(E343,'Additional questions'!B:D,3,FALSE)="Yes",VLOOKUP(E343,'Hardware Feature set'!B:D,3,FALSE)="No"))))</f>
        <v>1</v>
      </c>
      <c r="J343" s="6" t="b">
        <f>IF(VLOOKUP(B343,'Profile selection'!B:C,2,FALSE)="Yes",TRUE,FALSE)</f>
        <v>0</v>
      </c>
    </row>
    <row r="344" spans="1:10" x14ac:dyDescent="0.25">
      <c r="A344" t="str">
        <f>'HIDDEN import'!B343</f>
        <v>TC_A_14_CS</v>
      </c>
      <c r="B344" t="str">
        <f>'HIDDEN import'!C343</f>
        <v>Advanced Security</v>
      </c>
      <c r="C344" t="str">
        <f>'HIDDEN import'!D343</f>
        <v>Update Charging Station Certificate by request of CSMS - Invalid certificate</v>
      </c>
      <c r="D344" t="str">
        <f>IF(VLOOKUP(A344&amp;" "&amp;B344,'HIDDEN import'!A:G,5,FALSE)="M",MD!$A$1,(IF(AND(VLOOKUP(A344,'HIDDEN import'!B:E,4,FALSE)="C",OR(NOT(ISERROR(VLOOKUP(E344,'Optional features'!B:D,1,FALSE)=E344)),NOT(ISERROR(VLOOKUP(E344,'HIDDEN calc sheet'!A:C,1,FALSE)=E344)))),MD!$A$3,MD!$A$2)))</f>
        <v>Mandatory test for a mandatory feature</v>
      </c>
      <c r="E344" t="str">
        <f>IF('HIDDEN import'!F343=0,"",'HIDDEN import'!F343)</f>
        <v/>
      </c>
      <c r="F344" t="str">
        <f>IF('HIDDEN import'!G343=0,"",'HIDDEN import'!G343)</f>
        <v/>
      </c>
      <c r="G344" s="95" t="str">
        <f>IFERROR(VLOOKUP($A344,'HIDDEN Testrun Results'!$A:$B,2,FALSE),"")</f>
        <v/>
      </c>
      <c r="H344" s="6" t="b">
        <f t="shared" si="5"/>
        <v>0</v>
      </c>
      <c r="I344" s="6" t="b">
        <f>IF(VLOOKUP(A344&amp;" "&amp;B344,'HIDDEN import'!A:G,5,FALSE)="M",TRUE,IFERROR(VLOOKUP(E344,'Optional features'!B:D,3,FALSE)="Yes",IFERROR(VLOOKUP(E344,'HIDDEN calc sheet'!A:B,2,FALSE),IFERROR(VLOOKUP(E344,'Additional questions'!B:D,3,FALSE)="Yes",VLOOKUP(E344,'Hardware Feature set'!B:D,3,FALSE)="No"))))</f>
        <v>1</v>
      </c>
      <c r="J344" s="6" t="b">
        <f>IF(VLOOKUP(B344,'Profile selection'!B:C,2,FALSE)="Yes",TRUE,FALSE)</f>
        <v>0</v>
      </c>
    </row>
    <row r="345" spans="1:10" x14ac:dyDescent="0.25">
      <c r="A345" t="str">
        <f>'HIDDEN import'!B344</f>
        <v>TC_A_15_CS</v>
      </c>
      <c r="B345" t="str">
        <f>'HIDDEN import'!C344</f>
        <v>Advanced Security</v>
      </c>
      <c r="C345" t="str">
        <f>'HIDDEN import'!D344</f>
        <v>Update Charging Station Certificate by request of CSMS - SignCertificateRequest Rejected</v>
      </c>
      <c r="D345" t="str">
        <f>IF(VLOOKUP(A345&amp;" "&amp;B345,'HIDDEN import'!A:G,5,FALSE)="M",MD!$A$1,(IF(AND(VLOOKUP(A345,'HIDDEN import'!B:E,4,FALSE)="C",OR(NOT(ISERROR(VLOOKUP(E345,'Optional features'!B:D,1,FALSE)=E345)),NOT(ISERROR(VLOOKUP(E345,'HIDDEN calc sheet'!A:C,1,FALSE)=E345)))),MD!$A$3,MD!$A$2)))</f>
        <v>Mandatory test for a mandatory feature</v>
      </c>
      <c r="E345" t="str">
        <f>IF('HIDDEN import'!F344=0,"",'HIDDEN import'!F344)</f>
        <v/>
      </c>
      <c r="F345" t="str">
        <f>IF('HIDDEN import'!G344=0,"",'HIDDEN import'!G344)</f>
        <v/>
      </c>
      <c r="G345" s="95" t="str">
        <f>IFERROR(VLOOKUP($A345,'HIDDEN Testrun Results'!$A:$B,2,FALSE),"")</f>
        <v/>
      </c>
      <c r="H345" s="6" t="b">
        <f t="shared" si="5"/>
        <v>0</v>
      </c>
      <c r="I345" s="6" t="b">
        <f>IF(VLOOKUP(A345&amp;" "&amp;B345,'HIDDEN import'!A:G,5,FALSE)="M",TRUE,IFERROR(VLOOKUP(E345,'Optional features'!B:D,3,FALSE)="Yes",IFERROR(VLOOKUP(E345,'HIDDEN calc sheet'!A:B,2,FALSE),IFERROR(VLOOKUP(E345,'Additional questions'!B:D,3,FALSE)="Yes",VLOOKUP(E345,'Hardware Feature set'!B:D,3,FALSE)="No"))))</f>
        <v>1</v>
      </c>
      <c r="J345" s="6" t="b">
        <f>IF(VLOOKUP(B345,'Profile selection'!B:C,2,FALSE)="Yes",TRUE,FALSE)</f>
        <v>0</v>
      </c>
    </row>
    <row r="346" spans="1:10" x14ac:dyDescent="0.25">
      <c r="A346" t="str">
        <f>'HIDDEN import'!B345</f>
        <v>TC_A_23_CS</v>
      </c>
      <c r="B346" t="str">
        <f>'HIDDEN import'!C345</f>
        <v>Advanced Security</v>
      </c>
      <c r="C346" t="str">
        <f>'HIDDEN import'!D345</f>
        <v>Update Charging Station Certificate by request of CSMS - CertificateSignedRequest Timeout</v>
      </c>
      <c r="D346" t="str">
        <f>IF(VLOOKUP(A346&amp;" "&amp;B346,'HIDDEN import'!A:G,5,FALSE)="M",MD!$A$1,(IF(AND(VLOOKUP(A346,'HIDDEN import'!B:E,4,FALSE)="C",OR(NOT(ISERROR(VLOOKUP(E346,'Optional features'!B:D,1,FALSE)=E346)),NOT(ISERROR(VLOOKUP(E346,'HIDDEN calc sheet'!A:C,1,FALSE)=E346)))),MD!$A$3,MD!$A$2)))</f>
        <v>Mandatory for optional feature</v>
      </c>
      <c r="E346" t="str">
        <f>IF('HIDDEN import'!F345=0,"",'HIDDEN import'!F345)</f>
        <v>AS-3</v>
      </c>
      <c r="F346" t="str">
        <f>IF('HIDDEN import'!G345=0,"",'HIDDEN import'!G345)</f>
        <v/>
      </c>
      <c r="G346" s="95" t="str">
        <f>IFERROR(VLOOKUP($A346,'HIDDEN Testrun Results'!$A:$B,2,FALSE),"")</f>
        <v/>
      </c>
      <c r="H346" s="6" t="b">
        <f t="shared" si="5"/>
        <v>0</v>
      </c>
      <c r="I346" s="6" t="b">
        <f>IF(VLOOKUP(A346&amp;" "&amp;B346,'HIDDEN import'!A:G,5,FALSE)="M",TRUE,IFERROR(VLOOKUP(E346,'Optional features'!B:D,3,FALSE)="Yes",IFERROR(VLOOKUP(E346,'HIDDEN calc sheet'!A:B,2,FALSE),IFERROR(VLOOKUP(E346,'Additional questions'!B:D,3,FALSE)="Yes",VLOOKUP(E346,'Hardware Feature set'!B:D,3,FALSE)="No"))))</f>
        <v>0</v>
      </c>
      <c r="J346" s="6" t="b">
        <f>IF(VLOOKUP(B346,'Profile selection'!B:C,2,FALSE)="Yes",TRUE,FALSE)</f>
        <v>0</v>
      </c>
    </row>
    <row r="347" spans="1:10" x14ac:dyDescent="0.25">
      <c r="A347" t="str">
        <f>'HIDDEN import'!B346</f>
        <v>TC_A_21_CS</v>
      </c>
      <c r="B347" t="str">
        <f>'HIDDEN import'!C346</f>
        <v>Advanced Security</v>
      </c>
      <c r="C347" t="str">
        <f>'HIDDEN import'!D346</f>
        <v>Upgrade Charging Station Security Profile - No valid ChargingStationCertificate installed</v>
      </c>
      <c r="D347" t="str">
        <f>IF(VLOOKUP(A347&amp;" "&amp;B347,'HIDDEN import'!A:G,5,FALSE)="M",MD!$A$1,(IF(AND(VLOOKUP(A347,'HIDDEN import'!B:E,4,FALSE)="C",OR(NOT(ISERROR(VLOOKUP(E347,'Optional features'!B:D,1,FALSE)=E347)),NOT(ISERROR(VLOOKUP(E347,'HIDDEN calc sheet'!A:C,1,FALSE)=E347)))),MD!$A$3,MD!$A$2)))</f>
        <v>Possibly mandatory, depending on your system</v>
      </c>
      <c r="E347" t="str">
        <f>IF('HIDDEN import'!F346=0,"",'HIDDEN import'!F346)</f>
        <v>AQ-3</v>
      </c>
      <c r="F347" t="str">
        <f>IF('HIDDEN import'!G346=0,"",'HIDDEN import'!G346)</f>
        <v/>
      </c>
      <c r="G347" s="95" t="str">
        <f>IFERROR(VLOOKUP($A347,'HIDDEN Testrun Results'!$A:$B,2,FALSE),"")</f>
        <v/>
      </c>
      <c r="H347" s="6" t="b">
        <f t="shared" si="5"/>
        <v>0</v>
      </c>
      <c r="I347" s="6" t="b">
        <f>IF(VLOOKUP(A347&amp;" "&amp;B347,'HIDDEN import'!A:G,5,FALSE)="M",TRUE,IFERROR(VLOOKUP(E347,'Optional features'!B:D,3,FALSE)="Yes",IFERROR(VLOOKUP(E347,'HIDDEN calc sheet'!A:B,2,FALSE),IFERROR(VLOOKUP(E347,'Additional questions'!B:D,3,FALSE)="Yes",VLOOKUP(E347,'Hardware Feature set'!B:D,3,FALSE)="No"))))</f>
        <v>0</v>
      </c>
      <c r="J347" s="6" t="b">
        <f>IF(VLOOKUP(B347,'Profile selection'!B:C,2,FALSE)="Yes",TRUE,FALSE)</f>
        <v>0</v>
      </c>
    </row>
    <row r="348" spans="1:10" x14ac:dyDescent="0.25">
      <c r="A348" t="str">
        <f>'HIDDEN import'!B347</f>
        <v>TC_M_23_CS</v>
      </c>
      <c r="B348" t="str">
        <f>'HIDDEN import'!C347</f>
        <v>Advanced Security</v>
      </c>
      <c r="C348" t="str">
        <f>'HIDDEN import'!D347</f>
        <v>Delete a certificate from a Charging Station - Unable to delete the Charging Station Certificate</v>
      </c>
      <c r="D348" t="str">
        <f>IF(VLOOKUP(A348&amp;" "&amp;B348,'HIDDEN import'!A:G,5,FALSE)="M",MD!$A$1,(IF(AND(VLOOKUP(A348,'HIDDEN import'!B:E,4,FALSE)="C",OR(NOT(ISERROR(VLOOKUP(E348,'Optional features'!B:D,1,FALSE)=E348)),NOT(ISERROR(VLOOKUP(E348,'HIDDEN calc sheet'!A:C,1,FALSE)=E348)))),MD!$A$3,MD!$A$2)))</f>
        <v>Mandatory test for a mandatory feature</v>
      </c>
      <c r="E348" t="str">
        <f>IF('HIDDEN import'!F347=0,"",'HIDDEN import'!F347)</f>
        <v/>
      </c>
      <c r="F348" t="str">
        <f>IF('HIDDEN import'!G347=0,"",'HIDDEN import'!G347)</f>
        <v/>
      </c>
      <c r="G348" s="95" t="str">
        <f>IFERROR(VLOOKUP($A348,'HIDDEN Testrun Results'!$A:$B,2,FALSE),"")</f>
        <v/>
      </c>
      <c r="H348" s="6" t="b">
        <f t="shared" si="5"/>
        <v>0</v>
      </c>
      <c r="I348" s="6" t="b">
        <f>IF(VLOOKUP(A348&amp;" "&amp;B348,'HIDDEN import'!A:G,5,FALSE)="M",TRUE,IFERROR(VLOOKUP(E348,'Optional features'!B:D,3,FALSE)="Yes",IFERROR(VLOOKUP(E348,'HIDDEN calc sheet'!A:B,2,FALSE),IFERROR(VLOOKUP(E348,'Additional questions'!B:D,3,FALSE)="Yes",VLOOKUP(E348,'Hardware Feature set'!B:D,3,FALSE)="No"))))</f>
        <v>1</v>
      </c>
      <c r="J348" s="6" t="b">
        <f>IF(VLOOKUP(B348,'Profile selection'!B:C,2,FALSE)="Yes",TRUE,FALSE)</f>
        <v>0</v>
      </c>
    </row>
    <row r="349" spans="1:10" x14ac:dyDescent="0.25">
      <c r="A349" t="str">
        <f>'HIDDEN import'!B348</f>
        <v>TC_K_01_CS</v>
      </c>
      <c r="B349" t="str">
        <f>'HIDDEN import'!C348</f>
        <v>Smart Charging</v>
      </c>
      <c r="C349" t="str">
        <f>'HIDDEN import'!D348</f>
        <v>Set Charging Profile - TxDefaultProfile - Specific EVSE</v>
      </c>
      <c r="D349" t="str">
        <f>IF(VLOOKUP(A349&amp;" "&amp;B349,'HIDDEN import'!A:G,5,FALSE)="M",MD!$A$1,(IF(AND(VLOOKUP(A349,'HIDDEN import'!B:E,4,FALSE)="C",OR(NOT(ISERROR(VLOOKUP(E349,'Optional features'!B:D,1,FALSE)=E349)),NOT(ISERROR(VLOOKUP(E349,'HIDDEN calc sheet'!A:C,1,FALSE)=E349)))),MD!$A$3,MD!$A$2)))</f>
        <v>Mandatory test for a mandatory feature</v>
      </c>
      <c r="E349" t="str">
        <f>IF('HIDDEN import'!F348=0,"",'HIDDEN import'!F348)</f>
        <v/>
      </c>
      <c r="F349" t="str">
        <f>IF('HIDDEN import'!G348=0,"",'HIDDEN import'!G348)</f>
        <v/>
      </c>
      <c r="G349" s="95" t="str">
        <f>IFERROR(VLOOKUP($A349,'HIDDEN Testrun Results'!$A:$B,2,FALSE),"")</f>
        <v/>
      </c>
      <c r="H349" s="6" t="b">
        <f t="shared" si="5"/>
        <v>0</v>
      </c>
      <c r="I349" s="6" t="b">
        <f>IF(VLOOKUP(A349&amp;" "&amp;B349,'HIDDEN import'!A:G,5,FALSE)="M",TRUE,IFERROR(VLOOKUP(E349,'Optional features'!B:D,3,FALSE)="Yes",IFERROR(VLOOKUP(E349,'HIDDEN calc sheet'!A:B,2,FALSE),IFERROR(VLOOKUP(E349,'Additional questions'!B:D,3,FALSE)="Yes",VLOOKUP(E349,'Hardware Feature set'!B:D,3,FALSE)="No"))))</f>
        <v>1</v>
      </c>
      <c r="J349" s="6" t="b">
        <f>IF(VLOOKUP(B349,'Profile selection'!B:C,2,FALSE)="Yes",TRUE,FALSE)</f>
        <v>0</v>
      </c>
    </row>
    <row r="350" spans="1:10" x14ac:dyDescent="0.25">
      <c r="A350" t="str">
        <f>'HIDDEN import'!B349</f>
        <v>TC_K_10_CS</v>
      </c>
      <c r="B350" t="str">
        <f>'HIDDEN import'!C349</f>
        <v>Smart Charging</v>
      </c>
      <c r="C350" t="str">
        <f>'HIDDEN import'!D349</f>
        <v>Set Charging Profile - TxDefaultProfile - All EVSE</v>
      </c>
      <c r="D350" t="str">
        <f>IF(VLOOKUP(A350&amp;" "&amp;B350,'HIDDEN import'!A:G,5,FALSE)="M",MD!$A$1,(IF(AND(VLOOKUP(A350,'HIDDEN import'!B:E,4,FALSE)="C",OR(NOT(ISERROR(VLOOKUP(E350,'Optional features'!B:D,1,FALSE)=E350)),NOT(ISERROR(VLOOKUP(E350,'HIDDEN calc sheet'!A:C,1,FALSE)=E350)))),MD!$A$3,MD!$A$2)))</f>
        <v>Mandatory test for a mandatory feature</v>
      </c>
      <c r="E350" t="str">
        <f>IF('HIDDEN import'!F349=0,"",'HIDDEN import'!F349)</f>
        <v>SC-4</v>
      </c>
      <c r="F350" t="str">
        <f>IF('HIDDEN import'!G349=0,"",'HIDDEN import'!G349)</f>
        <v>Support for TxDefaultProfile on EVSEID #0</v>
      </c>
      <c r="G350" s="95" t="str">
        <f>IFERROR(VLOOKUP($A350,'HIDDEN Testrun Results'!$A:$B,2,FALSE),"")</f>
        <v/>
      </c>
      <c r="H350" s="6" t="b">
        <f t="shared" si="5"/>
        <v>0</v>
      </c>
      <c r="I350" s="6" t="b">
        <f>IF(VLOOKUP(A350&amp;" "&amp;B350,'HIDDEN import'!A:G,5,FALSE)="M",TRUE,IFERROR(VLOOKUP(E350,'Optional features'!B:D,3,FALSE)="Yes",IFERROR(VLOOKUP(E350,'HIDDEN calc sheet'!A:B,2,FALSE),IFERROR(VLOOKUP(E350,'Additional questions'!B:D,3,FALSE)="Yes",VLOOKUP(E350,'Hardware Feature set'!B:D,3,FALSE)="No"))))</f>
        <v>1</v>
      </c>
      <c r="J350" s="6" t="b">
        <f>IF(VLOOKUP(B350,'Profile selection'!B:C,2,FALSE)="Yes",TRUE,FALSE)</f>
        <v>0</v>
      </c>
    </row>
    <row r="351" spans="1:10" x14ac:dyDescent="0.25">
      <c r="A351" t="str">
        <f>'HIDDEN import'!B350</f>
        <v>TC_K_60_CS</v>
      </c>
      <c r="B351" t="str">
        <f>'HIDDEN import'!C350</f>
        <v>Smart Charging</v>
      </c>
      <c r="C351" t="str">
        <f>'HIDDEN import'!D350</f>
        <v>Set Charging Profile - TxProfile with ongoing transaction on the specified EVSE</v>
      </c>
      <c r="D351" t="str">
        <f>IF(VLOOKUP(A351&amp;" "&amp;B351,'HIDDEN import'!A:G,5,FALSE)="M",MD!$A$1,(IF(AND(VLOOKUP(A351,'HIDDEN import'!B:E,4,FALSE)="C",OR(NOT(ISERROR(VLOOKUP(E351,'Optional features'!B:D,1,FALSE)=E351)),NOT(ISERROR(VLOOKUP(E351,'HIDDEN calc sheet'!A:C,1,FALSE)=E351)))),MD!$A$3,MD!$A$2)))</f>
        <v>Mandatory test for a mandatory feature</v>
      </c>
      <c r="E351" t="str">
        <f>IF('HIDDEN import'!F350=0,"",'HIDDEN import'!F350)</f>
        <v/>
      </c>
      <c r="F351" t="str">
        <f>IF('HIDDEN import'!G350=0,"",'HIDDEN import'!G350)</f>
        <v/>
      </c>
      <c r="G351" s="95" t="str">
        <f>IFERROR(VLOOKUP($A351,'HIDDEN Testrun Results'!$A:$B,2,FALSE),"")</f>
        <v/>
      </c>
      <c r="H351" s="6" t="b">
        <f t="shared" si="5"/>
        <v>0</v>
      </c>
      <c r="I351" s="6" t="b">
        <f>IF(VLOOKUP(A351&amp;" "&amp;B351,'HIDDEN import'!A:G,5,FALSE)="M",TRUE,IFERROR(VLOOKUP(E351,'Optional features'!B:D,3,FALSE)="Yes",IFERROR(VLOOKUP(E351,'HIDDEN calc sheet'!A:B,2,FALSE),IFERROR(VLOOKUP(E351,'Additional questions'!B:D,3,FALSE)="Yes",VLOOKUP(E351,'Hardware Feature set'!B:D,3,FALSE)="No"))))</f>
        <v>1</v>
      </c>
      <c r="J351" s="6" t="b">
        <f>IF(VLOOKUP(B351,'Profile selection'!B:C,2,FALSE)="Yes",TRUE,FALSE)</f>
        <v>0</v>
      </c>
    </row>
    <row r="352" spans="1:10" x14ac:dyDescent="0.25">
      <c r="A352" t="str">
        <f>'HIDDEN import'!B351</f>
        <v>TC_K_02_CS</v>
      </c>
      <c r="B352" t="str">
        <f>'HIDDEN import'!C351</f>
        <v>Smart Charging</v>
      </c>
      <c r="C352" t="str">
        <f>'HIDDEN import'!D351</f>
        <v>Set Charging Profile - TxProfile without ongoing transaction on the specified EVSE</v>
      </c>
      <c r="D352" t="str">
        <f>IF(VLOOKUP(A352&amp;" "&amp;B352,'HIDDEN import'!A:G,5,FALSE)="M",MD!$A$1,(IF(AND(VLOOKUP(A352,'HIDDEN import'!B:E,4,FALSE)="C",OR(NOT(ISERROR(VLOOKUP(E352,'Optional features'!B:D,1,FALSE)=E352)),NOT(ISERROR(VLOOKUP(E352,'HIDDEN calc sheet'!A:C,1,FALSE)=E352)))),MD!$A$3,MD!$A$2)))</f>
        <v>Mandatory test for a mandatory feature</v>
      </c>
      <c r="E352" t="str">
        <f>IF('HIDDEN import'!F351=0,"",'HIDDEN import'!F351)</f>
        <v/>
      </c>
      <c r="F352" t="str">
        <f>IF('HIDDEN import'!G351=0,"",'HIDDEN import'!G351)</f>
        <v/>
      </c>
      <c r="G352" s="95" t="str">
        <f>IFERROR(VLOOKUP($A352,'HIDDEN Testrun Results'!$A:$B,2,FALSE),"")</f>
        <v/>
      </c>
      <c r="H352" s="6" t="b">
        <f t="shared" si="5"/>
        <v>0</v>
      </c>
      <c r="I352" s="6" t="b">
        <f>IF(VLOOKUP(A352&amp;" "&amp;B352,'HIDDEN import'!A:G,5,FALSE)="M",TRUE,IFERROR(VLOOKUP(E352,'Optional features'!B:D,3,FALSE)="Yes",IFERROR(VLOOKUP(E352,'HIDDEN calc sheet'!A:B,2,FALSE),IFERROR(VLOOKUP(E352,'Additional questions'!B:D,3,FALSE)="Yes",VLOOKUP(E352,'Hardware Feature set'!B:D,3,FALSE)="No"))))</f>
        <v>1</v>
      </c>
      <c r="J352" s="6" t="b">
        <f>IF(VLOOKUP(B352,'Profile selection'!B:C,2,FALSE)="Yes",TRUE,FALSE)</f>
        <v>0</v>
      </c>
    </row>
    <row r="353" spans="1:10" x14ac:dyDescent="0.25">
      <c r="A353" t="str">
        <f>'HIDDEN import'!B352</f>
        <v>TC_K_11_CS</v>
      </c>
      <c r="B353" t="str">
        <f>'HIDDEN import'!C352</f>
        <v>Smart Charging</v>
      </c>
      <c r="C353" t="str">
        <f>'HIDDEN import'!D352</f>
        <v>Set Charging Profile - Unable to set TxProfile on all EVSE at once</v>
      </c>
      <c r="D353" t="str">
        <f>IF(VLOOKUP(A353&amp;" "&amp;B353,'HIDDEN import'!A:G,5,FALSE)="M",MD!$A$1,(IF(AND(VLOOKUP(A353,'HIDDEN import'!B:E,4,FALSE)="C",OR(NOT(ISERROR(VLOOKUP(E353,'Optional features'!B:D,1,FALSE)=E353)),NOT(ISERROR(VLOOKUP(E353,'HIDDEN calc sheet'!A:C,1,FALSE)=E353)))),MD!$A$3,MD!$A$2)))</f>
        <v>Mandatory test for a mandatory feature</v>
      </c>
      <c r="E353" t="str">
        <f>IF('HIDDEN import'!F352=0,"",'HIDDEN import'!F352)</f>
        <v/>
      </c>
      <c r="F353" t="str">
        <f>IF('HIDDEN import'!G352=0,"",'HIDDEN import'!G352)</f>
        <v/>
      </c>
      <c r="G353" s="95" t="str">
        <f>IFERROR(VLOOKUP($A353,'HIDDEN Testrun Results'!$A:$B,2,FALSE),"")</f>
        <v/>
      </c>
      <c r="H353" s="6" t="b">
        <f t="shared" si="5"/>
        <v>0</v>
      </c>
      <c r="I353" s="6" t="b">
        <f>IF(VLOOKUP(A353&amp;" "&amp;B353,'HIDDEN import'!A:G,5,FALSE)="M",TRUE,IFERROR(VLOOKUP(E353,'Optional features'!B:D,3,FALSE)="Yes",IFERROR(VLOOKUP(E353,'HIDDEN calc sheet'!A:B,2,FALSE),IFERROR(VLOOKUP(E353,'Additional questions'!B:D,3,FALSE)="Yes",VLOOKUP(E353,'Hardware Feature set'!B:D,3,FALSE)="No"))))</f>
        <v>1</v>
      </c>
      <c r="J353" s="6" t="b">
        <f>IF(VLOOKUP(B353,'Profile selection'!B:C,2,FALSE)="Yes",TRUE,FALSE)</f>
        <v>0</v>
      </c>
    </row>
    <row r="354" spans="1:10" x14ac:dyDescent="0.25">
      <c r="A354" t="str">
        <f>'HIDDEN import'!B353</f>
        <v>TC_K_03_CS</v>
      </c>
      <c r="B354" t="str">
        <f>'HIDDEN import'!C353</f>
        <v>Smart Charging</v>
      </c>
      <c r="C354" t="str">
        <f>'HIDDEN import'!D353</f>
        <v>Set Charging Profile - ChargingStationMaxProfile</v>
      </c>
      <c r="D354" t="str">
        <f>IF(VLOOKUP(A354&amp;" "&amp;B354,'HIDDEN import'!A:G,5,FALSE)="M",MD!$A$1,(IF(AND(VLOOKUP(A354,'HIDDEN import'!B:E,4,FALSE)="C",OR(NOT(ISERROR(VLOOKUP(E354,'Optional features'!B:D,1,FALSE)=E354)),NOT(ISERROR(VLOOKUP(E354,'HIDDEN calc sheet'!A:C,1,FALSE)=E354)))),MD!$A$3,MD!$A$2)))</f>
        <v>Mandatory test for a mandatory feature</v>
      </c>
      <c r="E354" t="str">
        <f>IF('HIDDEN import'!F353=0,"",'HIDDEN import'!F353)</f>
        <v/>
      </c>
      <c r="F354" t="str">
        <f>IF('HIDDEN import'!G353=0,"",'HIDDEN import'!G353)</f>
        <v/>
      </c>
      <c r="G354" s="95" t="str">
        <f>IFERROR(VLOOKUP($A354,'HIDDEN Testrun Results'!$A:$B,2,FALSE),"")</f>
        <v/>
      </c>
      <c r="H354" s="6" t="b">
        <f t="shared" si="5"/>
        <v>0</v>
      </c>
      <c r="I354" s="6" t="b">
        <f>IF(VLOOKUP(A354&amp;" "&amp;B354,'HIDDEN import'!A:G,5,FALSE)="M",TRUE,IFERROR(VLOOKUP(E354,'Optional features'!B:D,3,FALSE)="Yes",IFERROR(VLOOKUP(E354,'HIDDEN calc sheet'!A:B,2,FALSE),IFERROR(VLOOKUP(E354,'Additional questions'!B:D,3,FALSE)="Yes",VLOOKUP(E354,'Hardware Feature set'!B:D,3,FALSE)="No"))))</f>
        <v>1</v>
      </c>
      <c r="J354" s="6" t="b">
        <f>IF(VLOOKUP(B354,'Profile selection'!B:C,2,FALSE)="Yes",TRUE,FALSE)</f>
        <v>0</v>
      </c>
    </row>
    <row r="355" spans="1:10" x14ac:dyDescent="0.25">
      <c r="A355" t="str">
        <f>'HIDDEN import'!B354</f>
        <v>TC_K_19_CS</v>
      </c>
      <c r="B355" t="str">
        <f>'HIDDEN import'!C354</f>
        <v>Smart Charging</v>
      </c>
      <c r="C355" t="str">
        <f>'HIDDEN import'!D354</f>
        <v>Set Charging Profile - ChargingProfileKind is Recurring</v>
      </c>
      <c r="D355" t="str">
        <f>IF(VLOOKUP(A355&amp;" "&amp;B355,'HIDDEN import'!A:G,5,FALSE)="M",MD!$A$1,(IF(AND(VLOOKUP(A355,'HIDDEN import'!B:E,4,FALSE)="C",OR(NOT(ISERROR(VLOOKUP(E355,'Optional features'!B:D,1,FALSE)=E355)),NOT(ISERROR(VLOOKUP(E355,'HIDDEN calc sheet'!A:C,1,FALSE)=E355)))),MD!$A$3,MD!$A$2)))</f>
        <v>Mandatory test for a mandatory feature</v>
      </c>
      <c r="E355" t="str">
        <f>IF('HIDDEN import'!F354=0,"",'HIDDEN import'!F354)</f>
        <v/>
      </c>
      <c r="F355" t="str">
        <f>IF('HIDDEN import'!G354=0,"",'HIDDEN import'!G354)</f>
        <v/>
      </c>
      <c r="G355" s="95" t="str">
        <f>IFERROR(VLOOKUP($A355,'HIDDEN Testrun Results'!$A:$B,2,FALSE),"")</f>
        <v/>
      </c>
      <c r="H355" s="6" t="b">
        <f t="shared" si="5"/>
        <v>0</v>
      </c>
      <c r="I355" s="6" t="b">
        <f>IF(VLOOKUP(A355&amp;" "&amp;B355,'HIDDEN import'!A:G,5,FALSE)="M",TRUE,IFERROR(VLOOKUP(E355,'Optional features'!B:D,3,FALSE)="Yes",IFERROR(VLOOKUP(E355,'HIDDEN calc sheet'!A:B,2,FALSE),IFERROR(VLOOKUP(E355,'Additional questions'!B:D,3,FALSE)="Yes",VLOOKUP(E355,'Hardware Feature set'!B:D,3,FALSE)="No"))))</f>
        <v>1</v>
      </c>
      <c r="J355" s="6" t="b">
        <f>IF(VLOOKUP(B355,'Profile selection'!B:C,2,FALSE)="Yes",TRUE,FALSE)</f>
        <v>0</v>
      </c>
    </row>
    <row r="356" spans="1:10" x14ac:dyDescent="0.25">
      <c r="A356" t="str">
        <f>'HIDDEN import'!B355</f>
        <v>TC_K_12_CS</v>
      </c>
      <c r="B356" t="str">
        <f>'HIDDEN import'!C355</f>
        <v>Smart Charging</v>
      </c>
      <c r="C356" t="str">
        <f>'HIDDEN import'!D355</f>
        <v>Set Charging Profile - ChargerRateUnit Rejected</v>
      </c>
      <c r="D356" t="str">
        <f>IF(VLOOKUP(A356&amp;" "&amp;B356,'HIDDEN import'!A:G,5,FALSE)="M",MD!$A$1,(IF(AND(VLOOKUP(A356,'HIDDEN import'!B:E,4,FALSE)="C",OR(NOT(ISERROR(VLOOKUP(E356,'Optional features'!B:D,1,FALSE)=E356)),NOT(ISERROR(VLOOKUP(E356,'HIDDEN calc sheet'!A:C,1,FALSE)=E356)))),MD!$A$3,MD!$A$2)))</f>
        <v>Mandatory for optional feature</v>
      </c>
      <c r="E356" t="str">
        <f>IF('HIDDEN import'!F355=0,"",'HIDDEN import'!F355)</f>
        <v>NOT (SC-2.1 and SC-2.2)</v>
      </c>
      <c r="F356" t="str">
        <f>IF('HIDDEN import'!G355=0,"",'HIDDEN import'!G355)</f>
        <v/>
      </c>
      <c r="G356" s="95" t="str">
        <f>IFERROR(VLOOKUP($A356,'HIDDEN Testrun Results'!$A:$B,2,FALSE),"")</f>
        <v/>
      </c>
      <c r="H356" s="6" t="b">
        <f t="shared" si="5"/>
        <v>0</v>
      </c>
      <c r="I356" s="6" t="b">
        <f>IF(VLOOKUP(A356&amp;" "&amp;B356,'HIDDEN import'!A:G,5,FALSE)="M",TRUE,IFERROR(VLOOKUP(E356,'Optional features'!B:D,3,FALSE)="Yes",IFERROR(VLOOKUP(E356,'HIDDEN calc sheet'!A:B,2,FALSE),IFERROR(VLOOKUP(E356,'Additional questions'!B:D,3,FALSE)="Yes",VLOOKUP(E356,'Hardware Feature set'!B:D,3,FALSE)="No"))))</f>
        <v>1</v>
      </c>
      <c r="J356" s="6" t="b">
        <f>IF(VLOOKUP(B356,'Profile selection'!B:C,2,FALSE)="Yes",TRUE,FALSE)</f>
        <v>0</v>
      </c>
    </row>
    <row r="357" spans="1:10" x14ac:dyDescent="0.25">
      <c r="A357" t="str">
        <f>'HIDDEN import'!B356</f>
        <v>TC_K_13_CS</v>
      </c>
      <c r="B357" t="str">
        <f>'HIDDEN import'!C356</f>
        <v>Smart Charging</v>
      </c>
      <c r="C357" t="str">
        <f>'HIDDEN import'!D356</f>
        <v>Set Charging Profile - Persistent over reboot</v>
      </c>
      <c r="D357" t="str">
        <f>IF(VLOOKUP(A357&amp;" "&amp;B357,'HIDDEN import'!A:G,5,FALSE)="M",MD!$A$1,(IF(AND(VLOOKUP(A357,'HIDDEN import'!B:E,4,FALSE)="C",OR(NOT(ISERROR(VLOOKUP(E357,'Optional features'!B:D,1,FALSE)=E357)),NOT(ISERROR(VLOOKUP(E357,'HIDDEN calc sheet'!A:C,1,FALSE)=E357)))),MD!$A$3,MD!$A$2)))</f>
        <v>Mandatory test for a mandatory feature</v>
      </c>
      <c r="E357" t="str">
        <f>IF('HIDDEN import'!F356=0,"",'HIDDEN import'!F356)</f>
        <v/>
      </c>
      <c r="F357" t="str">
        <f>IF('HIDDEN import'!G356=0,"",'HIDDEN import'!G356)</f>
        <v/>
      </c>
      <c r="G357" s="95" t="str">
        <f>IFERROR(VLOOKUP($A357,'HIDDEN Testrun Results'!$A:$B,2,FALSE),"")</f>
        <v/>
      </c>
      <c r="H357" s="6" t="b">
        <f t="shared" si="5"/>
        <v>0</v>
      </c>
      <c r="I357" s="6" t="b">
        <f>IF(VLOOKUP(A357&amp;" "&amp;B357,'HIDDEN import'!A:G,5,FALSE)="M",TRUE,IFERROR(VLOOKUP(E357,'Optional features'!B:D,3,FALSE)="Yes",IFERROR(VLOOKUP(E357,'HIDDEN calc sheet'!A:B,2,FALSE),IFERROR(VLOOKUP(E357,'Additional questions'!B:D,3,FALSE)="Yes",VLOOKUP(E357,'Hardware Feature set'!B:D,3,FALSE)="No"))))</f>
        <v>1</v>
      </c>
      <c r="J357" s="6" t="b">
        <f>IF(VLOOKUP(B357,'Profile selection'!B:C,2,FALSE)="Yes",TRUE,FALSE)</f>
        <v>0</v>
      </c>
    </row>
    <row r="358" spans="1:10" x14ac:dyDescent="0.25">
      <c r="A358" t="str">
        <f>'HIDDEN import'!B357</f>
        <v>TC_K_14_CS</v>
      </c>
      <c r="B358" t="str">
        <f>'HIDDEN import'!C357</f>
        <v>Smart Charging</v>
      </c>
      <c r="C358" t="str">
        <f>'HIDDEN import'!D357</f>
        <v>Set Charging Profile - Unexisting EVSEid</v>
      </c>
      <c r="D358" t="str">
        <f>IF(VLOOKUP(A358&amp;" "&amp;B358,'HIDDEN import'!A:G,5,FALSE)="M",MD!$A$1,(IF(AND(VLOOKUP(A358,'HIDDEN import'!B:E,4,FALSE)="C",OR(NOT(ISERROR(VLOOKUP(E358,'Optional features'!B:D,1,FALSE)=E358)),NOT(ISERROR(VLOOKUP(E358,'HIDDEN calc sheet'!A:C,1,FALSE)=E358)))),MD!$A$3,MD!$A$2)))</f>
        <v>Mandatory test for a mandatory feature</v>
      </c>
      <c r="E358" t="str">
        <f>IF('HIDDEN import'!F357=0,"",'HIDDEN import'!F357)</f>
        <v/>
      </c>
      <c r="F358" t="str">
        <f>IF('HIDDEN import'!G357=0,"",'HIDDEN import'!G357)</f>
        <v/>
      </c>
      <c r="G358" s="95" t="str">
        <f>IFERROR(VLOOKUP($A358,'HIDDEN Testrun Results'!$A:$B,2,FALSE),"")</f>
        <v/>
      </c>
      <c r="H358" s="6" t="b">
        <f t="shared" si="5"/>
        <v>0</v>
      </c>
      <c r="I358" s="6" t="b">
        <f>IF(VLOOKUP(A358&amp;" "&amp;B358,'HIDDEN import'!A:G,5,FALSE)="M",TRUE,IFERROR(VLOOKUP(E358,'Optional features'!B:D,3,FALSE)="Yes",IFERROR(VLOOKUP(E358,'HIDDEN calc sheet'!A:B,2,FALSE),IFERROR(VLOOKUP(E358,'Additional questions'!B:D,3,FALSE)="Yes",VLOOKUP(E358,'Hardware Feature set'!B:D,3,FALSE)="No"))))</f>
        <v>1</v>
      </c>
      <c r="J358" s="6" t="b">
        <f>IF(VLOOKUP(B358,'Profile selection'!B:C,2,FALSE)="Yes",TRUE,FALSE)</f>
        <v>0</v>
      </c>
    </row>
    <row r="359" spans="1:10" x14ac:dyDescent="0.25">
      <c r="A359" t="str">
        <f>'HIDDEN import'!B358</f>
        <v>TC_K_28_CS</v>
      </c>
      <c r="B359" t="str">
        <f>'HIDDEN import'!C358</f>
        <v>Smart Charging</v>
      </c>
      <c r="C359" t="str">
        <f>'HIDDEN import'!D358</f>
        <v>Set Charging Profile - TxDefaultProfile with transaction ongoing</v>
      </c>
      <c r="D359" t="str">
        <f>IF(VLOOKUP(A359&amp;" "&amp;B359,'HIDDEN import'!A:G,5,FALSE)="M",MD!$A$1,(IF(AND(VLOOKUP(A359,'HIDDEN import'!B:E,4,FALSE)="C",OR(NOT(ISERROR(VLOOKUP(E359,'Optional features'!B:D,1,FALSE)=E359)),NOT(ISERROR(VLOOKUP(E359,'HIDDEN calc sheet'!A:C,1,FALSE)=E359)))),MD!$A$3,MD!$A$2)))</f>
        <v>Mandatory test for a mandatory feature</v>
      </c>
      <c r="E359" t="str">
        <f>IF('HIDDEN import'!F358=0,"",'HIDDEN import'!F358)</f>
        <v/>
      </c>
      <c r="F359" t="str">
        <f>IF('HIDDEN import'!G358=0,"",'HIDDEN import'!G358)</f>
        <v/>
      </c>
      <c r="G359" s="95" t="str">
        <f>IFERROR(VLOOKUP($A359,'HIDDEN Testrun Results'!$A:$B,2,FALSE),"")</f>
        <v/>
      </c>
      <c r="H359" s="6" t="b">
        <f t="shared" si="5"/>
        <v>0</v>
      </c>
      <c r="I359" s="6" t="b">
        <f>IF(VLOOKUP(A359&amp;" "&amp;B359,'HIDDEN import'!A:G,5,FALSE)="M",TRUE,IFERROR(VLOOKUP(E359,'Optional features'!B:D,3,FALSE)="Yes",IFERROR(VLOOKUP(E359,'HIDDEN calc sheet'!A:B,2,FALSE),IFERROR(VLOOKUP(E359,'Additional questions'!B:D,3,FALSE)="Yes",VLOOKUP(E359,'Hardware Feature set'!B:D,3,FALSE)="No"))))</f>
        <v>1</v>
      </c>
      <c r="J359" s="6" t="b">
        <f>IF(VLOOKUP(B359,'Profile selection'!B:C,2,FALSE)="Yes",TRUE,FALSE)</f>
        <v>0</v>
      </c>
    </row>
    <row r="360" spans="1:10" x14ac:dyDescent="0.25">
      <c r="A360" t="str">
        <f>'HIDDEN import'!B359</f>
        <v>TC_K_16_CS</v>
      </c>
      <c r="B360" t="str">
        <f>'HIDDEN import'!C359</f>
        <v>Smart Charging</v>
      </c>
      <c r="C360" t="str">
        <f>'HIDDEN import'!D359</f>
        <v>Set Charging Profile - Unknown transactionId</v>
      </c>
      <c r="D360" t="str">
        <f>IF(VLOOKUP(A360&amp;" "&amp;B360,'HIDDEN import'!A:G,5,FALSE)="M",MD!$A$1,(IF(AND(VLOOKUP(A360,'HIDDEN import'!B:E,4,FALSE)="C",OR(NOT(ISERROR(VLOOKUP(E360,'Optional features'!B:D,1,FALSE)=E360)),NOT(ISERROR(VLOOKUP(E360,'HIDDEN calc sheet'!A:C,1,FALSE)=E360)))),MD!$A$3,MD!$A$2)))</f>
        <v>Mandatory test for a mandatory feature</v>
      </c>
      <c r="E360" t="str">
        <f>IF('HIDDEN import'!F359=0,"",'HIDDEN import'!F359)</f>
        <v/>
      </c>
      <c r="F360" t="str">
        <f>IF('HIDDEN import'!G359=0,"",'HIDDEN import'!G359)</f>
        <v/>
      </c>
      <c r="G360" s="95" t="str">
        <f>IFERROR(VLOOKUP($A360,'HIDDEN Testrun Results'!$A:$B,2,FALSE),"")</f>
        <v/>
      </c>
      <c r="H360" s="6" t="b">
        <f t="shared" si="5"/>
        <v>0</v>
      </c>
      <c r="I360" s="6" t="b">
        <f>IF(VLOOKUP(A360&amp;" "&amp;B360,'HIDDEN import'!A:G,5,FALSE)="M",TRUE,IFERROR(VLOOKUP(E360,'Optional features'!B:D,3,FALSE)="Yes",IFERROR(VLOOKUP(E360,'HIDDEN calc sheet'!A:B,2,FALSE),IFERROR(VLOOKUP(E360,'Additional questions'!B:D,3,FALSE)="Yes",VLOOKUP(E360,'Hardware Feature set'!B:D,3,FALSE)="No"))))</f>
        <v>1</v>
      </c>
      <c r="J360" s="6" t="b">
        <f>IF(VLOOKUP(B360,'Profile selection'!B:C,2,FALSE)="Yes",TRUE,FALSE)</f>
        <v>0</v>
      </c>
    </row>
    <row r="361" spans="1:10" x14ac:dyDescent="0.25">
      <c r="A361" t="str">
        <f>'HIDDEN import'!B360</f>
        <v>TC_K_21_CS</v>
      </c>
      <c r="B361" t="str">
        <f>'HIDDEN import'!C360</f>
        <v>Smart Charging</v>
      </c>
      <c r="C361" t="str">
        <f>'HIDDEN import'!D360</f>
        <v>Set Charging Profile - ValidFrom</v>
      </c>
      <c r="D361" t="str">
        <f>IF(VLOOKUP(A361&amp;" "&amp;B361,'HIDDEN import'!A:G,5,FALSE)="M",MD!$A$1,(IF(AND(VLOOKUP(A361,'HIDDEN import'!B:E,4,FALSE)="C",OR(NOT(ISERROR(VLOOKUP(E361,'Optional features'!B:D,1,FALSE)=E361)),NOT(ISERROR(VLOOKUP(E361,'HIDDEN calc sheet'!A:C,1,FALSE)=E361)))),MD!$A$3,MD!$A$2)))</f>
        <v>Mandatory test for a mandatory feature</v>
      </c>
      <c r="E361" t="str">
        <f>IF('HIDDEN import'!F360=0,"",'HIDDEN import'!F360)</f>
        <v/>
      </c>
      <c r="F361" t="str">
        <f>IF('HIDDEN import'!G360=0,"",'HIDDEN import'!G360)</f>
        <v/>
      </c>
      <c r="G361" s="95" t="str">
        <f>IFERROR(VLOOKUP($A361,'HIDDEN Testrun Results'!$A:$B,2,FALSE),"")</f>
        <v/>
      </c>
      <c r="H361" s="6" t="b">
        <f t="shared" si="5"/>
        <v>0</v>
      </c>
      <c r="I361" s="6" t="b">
        <f>IF(VLOOKUP(A361&amp;" "&amp;B361,'HIDDEN import'!A:G,5,FALSE)="M",TRUE,IFERROR(VLOOKUP(E361,'Optional features'!B:D,3,FALSE)="Yes",IFERROR(VLOOKUP(E361,'HIDDEN calc sheet'!A:B,2,FALSE),IFERROR(VLOOKUP(E361,'Additional questions'!B:D,3,FALSE)="Yes",VLOOKUP(E361,'Hardware Feature set'!B:D,3,FALSE)="No"))))</f>
        <v>1</v>
      </c>
      <c r="J361" s="6" t="b">
        <f>IF(VLOOKUP(B361,'Profile selection'!B:C,2,FALSE)="Yes",TRUE,FALSE)</f>
        <v>0</v>
      </c>
    </row>
    <row r="362" spans="1:10" x14ac:dyDescent="0.25">
      <c r="A362" t="str">
        <f>'HIDDEN import'!B361</f>
        <v>TC_K_22_CS</v>
      </c>
      <c r="B362" t="str">
        <f>'HIDDEN import'!C361</f>
        <v>Smart Charging</v>
      </c>
      <c r="C362" t="str">
        <f>'HIDDEN import'!D361</f>
        <v>Set Charging Profile - ValidTo</v>
      </c>
      <c r="D362" t="str">
        <f>IF(VLOOKUP(A362&amp;" "&amp;B362,'HIDDEN import'!A:G,5,FALSE)="M",MD!$A$1,(IF(AND(VLOOKUP(A362,'HIDDEN import'!B:E,4,FALSE)="C",OR(NOT(ISERROR(VLOOKUP(E362,'Optional features'!B:D,1,FALSE)=E362)),NOT(ISERROR(VLOOKUP(E362,'HIDDEN calc sheet'!A:C,1,FALSE)=E362)))),MD!$A$3,MD!$A$2)))</f>
        <v>Mandatory test for a mandatory feature</v>
      </c>
      <c r="E362" t="str">
        <f>IF('HIDDEN import'!F361=0,"",'HIDDEN import'!F361)</f>
        <v/>
      </c>
      <c r="F362" t="str">
        <f>IF('HIDDEN import'!G361=0,"",'HIDDEN import'!G361)</f>
        <v/>
      </c>
      <c r="G362" s="95" t="str">
        <f>IFERROR(VLOOKUP($A362,'HIDDEN Testrun Results'!$A:$B,2,FALSE),"")</f>
        <v/>
      </c>
      <c r="H362" s="6" t="b">
        <f t="shared" si="5"/>
        <v>0</v>
      </c>
      <c r="I362" s="6" t="b">
        <f>IF(VLOOKUP(A362&amp;" "&amp;B362,'HIDDEN import'!A:G,5,FALSE)="M",TRUE,IFERROR(VLOOKUP(E362,'Optional features'!B:D,3,FALSE)="Yes",IFERROR(VLOOKUP(E362,'HIDDEN calc sheet'!A:B,2,FALSE),IFERROR(VLOOKUP(E362,'Additional questions'!B:D,3,FALSE)="Yes",VLOOKUP(E362,'Hardware Feature set'!B:D,3,FALSE)="No"))))</f>
        <v>1</v>
      </c>
      <c r="J362" s="6" t="b">
        <f>IF(VLOOKUP(B362,'Profile selection'!B:C,2,FALSE)="Yes",TRUE,FALSE)</f>
        <v>0</v>
      </c>
    </row>
    <row r="363" spans="1:10" x14ac:dyDescent="0.25">
      <c r="A363" t="str">
        <f>'HIDDEN import'!B362</f>
        <v>TC_K_23_CS</v>
      </c>
      <c r="B363" t="str">
        <f>'HIDDEN import'!C362</f>
        <v>Smart Charging</v>
      </c>
      <c r="C363" t="str">
        <f>'HIDDEN import'!D362</f>
        <v>Set Charging Profile - StartSchedule</v>
      </c>
      <c r="D363" t="str">
        <f>IF(VLOOKUP(A363&amp;" "&amp;B363,'HIDDEN import'!A:G,5,FALSE)="M",MD!$A$1,(IF(AND(VLOOKUP(A363,'HIDDEN import'!B:E,4,FALSE)="C",OR(NOT(ISERROR(VLOOKUP(E363,'Optional features'!B:D,1,FALSE)=E363)),NOT(ISERROR(VLOOKUP(E363,'HIDDEN calc sheet'!A:C,1,FALSE)=E363)))),MD!$A$3,MD!$A$2)))</f>
        <v>Mandatory test for a mandatory feature</v>
      </c>
      <c r="E363" t="str">
        <f>IF('HIDDEN import'!F362=0,"",'HIDDEN import'!F362)</f>
        <v/>
      </c>
      <c r="F363" t="str">
        <f>IF('HIDDEN import'!G362=0,"",'HIDDEN import'!G362)</f>
        <v/>
      </c>
      <c r="G363" s="95" t="str">
        <f>IFERROR(VLOOKUP($A363,'HIDDEN Testrun Results'!$A:$B,2,FALSE),"")</f>
        <v/>
      </c>
      <c r="H363" s="6" t="b">
        <f t="shared" si="5"/>
        <v>0</v>
      </c>
      <c r="I363" s="6" t="b">
        <f>IF(VLOOKUP(A363&amp;" "&amp;B363,'HIDDEN import'!A:G,5,FALSE)="M",TRUE,IFERROR(VLOOKUP(E363,'Optional features'!B:D,3,FALSE)="Yes",IFERROR(VLOOKUP(E363,'HIDDEN calc sheet'!A:B,2,FALSE),IFERROR(VLOOKUP(E363,'Additional questions'!B:D,3,FALSE)="Yes",VLOOKUP(E363,'Hardware Feature set'!B:D,3,FALSE)="No"))))</f>
        <v>1</v>
      </c>
      <c r="J363" s="6" t="b">
        <f>IF(VLOOKUP(B363,'Profile selection'!B:C,2,FALSE)="Yes",TRUE,FALSE)</f>
        <v>0</v>
      </c>
    </row>
    <row r="364" spans="1:10" x14ac:dyDescent="0.25">
      <c r="A364" t="str">
        <f>'HIDDEN import'!B363</f>
        <v>TC_K_04_CS</v>
      </c>
      <c r="B364" t="str">
        <f>'HIDDEN import'!C363</f>
        <v>Smart Charging</v>
      </c>
      <c r="C364" t="str">
        <f>'HIDDEN import'!D363</f>
        <v>Replace charging profile - With chargingProfileId</v>
      </c>
      <c r="D364" t="str">
        <f>IF(VLOOKUP(A364&amp;" "&amp;B364,'HIDDEN import'!A:G,5,FALSE)="M",MD!$A$1,(IF(AND(VLOOKUP(A364,'HIDDEN import'!B:E,4,FALSE)="C",OR(NOT(ISERROR(VLOOKUP(E364,'Optional features'!B:D,1,FALSE)=E364)),NOT(ISERROR(VLOOKUP(E364,'HIDDEN calc sheet'!A:C,1,FALSE)=E364)))),MD!$A$3,MD!$A$2)))</f>
        <v>Mandatory test for a mandatory feature</v>
      </c>
      <c r="E364" t="str">
        <f>IF('HIDDEN import'!F363=0,"",'HIDDEN import'!F363)</f>
        <v/>
      </c>
      <c r="F364" t="str">
        <f>IF('HIDDEN import'!G363=0,"",'HIDDEN import'!G363)</f>
        <v/>
      </c>
      <c r="G364" s="95" t="str">
        <f>IFERROR(VLOOKUP($A364,'HIDDEN Testrun Results'!$A:$B,2,FALSE),"")</f>
        <v/>
      </c>
      <c r="H364" s="6" t="b">
        <f t="shared" si="5"/>
        <v>0</v>
      </c>
      <c r="I364" s="6" t="b">
        <f>IF(VLOOKUP(A364&amp;" "&amp;B364,'HIDDEN import'!A:G,5,FALSE)="M",TRUE,IFERROR(VLOOKUP(E364,'Optional features'!B:D,3,FALSE)="Yes",IFERROR(VLOOKUP(E364,'HIDDEN calc sheet'!A:B,2,FALSE),IFERROR(VLOOKUP(E364,'Additional questions'!B:D,3,FALSE)="Yes",VLOOKUP(E364,'Hardware Feature set'!B:D,3,FALSE)="No"))))</f>
        <v>1</v>
      </c>
      <c r="J364" s="6" t="b">
        <f>IF(VLOOKUP(B364,'Profile selection'!B:C,2,FALSE)="Yes",TRUE,FALSE)</f>
        <v>0</v>
      </c>
    </row>
    <row r="365" spans="1:10" x14ac:dyDescent="0.25">
      <c r="A365" t="str">
        <f>'HIDDEN import'!B364</f>
        <v>TC_K_37_CS</v>
      </c>
      <c r="B365" t="str">
        <f>'HIDDEN import'!C364</f>
        <v>Smart Charging</v>
      </c>
      <c r="C365" t="str">
        <f>'HIDDEN import'!D364</f>
        <v>Remote start transaction with charging profile - Success</v>
      </c>
      <c r="D365" t="str">
        <f>IF(VLOOKUP(A365&amp;" "&amp;B365,'HIDDEN import'!A:G,5,FALSE)="M",MD!$A$1,(IF(AND(VLOOKUP(A365,'HIDDEN import'!B:E,4,FALSE)="C",OR(NOT(ISERROR(VLOOKUP(E365,'Optional features'!B:D,1,FALSE)=E365)),NOT(ISERROR(VLOOKUP(E365,'HIDDEN calc sheet'!A:C,1,FALSE)=E365)))),MD!$A$3,MD!$A$2)))</f>
        <v>Mandatory test for a mandatory feature</v>
      </c>
      <c r="E365" t="str">
        <f>IF('HIDDEN import'!F364=0,"",'HIDDEN import'!F364)</f>
        <v/>
      </c>
      <c r="F365" t="str">
        <f>IF('HIDDEN import'!G364=0,"",'HIDDEN import'!G364)</f>
        <v/>
      </c>
      <c r="G365" s="95" t="str">
        <f>IFERROR(VLOOKUP($A365,'HIDDEN Testrun Results'!$A:$B,2,FALSE),"")</f>
        <v/>
      </c>
      <c r="H365" s="6" t="b">
        <f t="shared" si="5"/>
        <v>0</v>
      </c>
      <c r="I365" s="6" t="b">
        <f>IF(VLOOKUP(A365&amp;" "&amp;B365,'HIDDEN import'!A:G,5,FALSE)="M",TRUE,IFERROR(VLOOKUP(E365,'Optional features'!B:D,3,FALSE)="Yes",IFERROR(VLOOKUP(E365,'HIDDEN calc sheet'!A:B,2,FALSE),IFERROR(VLOOKUP(E365,'Additional questions'!B:D,3,FALSE)="Yes",VLOOKUP(E365,'Hardware Feature set'!B:D,3,FALSE)="No"))))</f>
        <v>1</v>
      </c>
      <c r="J365" s="6" t="b">
        <f>IF(VLOOKUP(B365,'Profile selection'!B:C,2,FALSE)="Yes",TRUE,FALSE)</f>
        <v>0</v>
      </c>
    </row>
    <row r="366" spans="1:10" x14ac:dyDescent="0.25">
      <c r="A366" t="str">
        <f>'HIDDEN import'!B365</f>
        <v>TC_K_39_CS</v>
      </c>
      <c r="B366" t="str">
        <f>'HIDDEN import'!C365</f>
        <v>Smart Charging</v>
      </c>
      <c r="C366" t="str">
        <f>'HIDDEN import'!D365</f>
        <v>Get Composite Schedule - No ChargingProfile installed on Charging Station</v>
      </c>
      <c r="D366" t="str">
        <f>IF(VLOOKUP(A366&amp;" "&amp;B366,'HIDDEN import'!A:G,5,FALSE)="M",MD!$A$1,(IF(AND(VLOOKUP(A366,'HIDDEN import'!B:E,4,FALSE)="C",OR(NOT(ISERROR(VLOOKUP(E366,'Optional features'!B:D,1,FALSE)=E366)),NOT(ISERROR(VLOOKUP(E366,'HIDDEN calc sheet'!A:C,1,FALSE)=E366)))),MD!$A$3,MD!$A$2)))</f>
        <v>Mandatory test for a mandatory feature</v>
      </c>
      <c r="E366" t="str">
        <f>IF('HIDDEN import'!F365=0,"",'HIDDEN import'!F365)</f>
        <v/>
      </c>
      <c r="F366" t="str">
        <f>IF('HIDDEN import'!G365=0,"",'HIDDEN import'!G365)</f>
        <v/>
      </c>
      <c r="G366" s="95" t="str">
        <f>IFERROR(VLOOKUP($A366,'HIDDEN Testrun Results'!$A:$B,2,FALSE),"")</f>
        <v/>
      </c>
      <c r="H366" s="6" t="b">
        <f t="shared" si="5"/>
        <v>0</v>
      </c>
      <c r="I366" s="6" t="b">
        <f>IF(VLOOKUP(A366&amp;" "&amp;B366,'HIDDEN import'!A:G,5,FALSE)="M",TRUE,IFERROR(VLOOKUP(E366,'Optional features'!B:D,3,FALSE)="Yes",IFERROR(VLOOKUP(E366,'HIDDEN calc sheet'!A:B,2,FALSE),IFERROR(VLOOKUP(E366,'Additional questions'!B:D,3,FALSE)="Yes",VLOOKUP(E366,'Hardware Feature set'!B:D,3,FALSE)="No"))))</f>
        <v>1</v>
      </c>
      <c r="J366" s="6" t="b">
        <f>IF(VLOOKUP(B366,'Profile selection'!B:C,2,FALSE)="Yes",TRUE,FALSE)</f>
        <v>0</v>
      </c>
    </row>
    <row r="367" spans="1:10" x14ac:dyDescent="0.25">
      <c r="A367" t="str">
        <f>'HIDDEN import'!B366</f>
        <v>TC_K_40_CS</v>
      </c>
      <c r="B367" t="str">
        <f>'HIDDEN import'!C366</f>
        <v>Smart Charging</v>
      </c>
      <c r="C367" t="str">
        <f>'HIDDEN import'!D366</f>
        <v>Get Composite Schedule - Stacking ChargingProfiles</v>
      </c>
      <c r="D367" t="str">
        <f>IF(VLOOKUP(A367&amp;" "&amp;B367,'HIDDEN import'!A:G,5,FALSE)="M",MD!$A$1,(IF(AND(VLOOKUP(A367,'HIDDEN import'!B:E,4,FALSE)="C",OR(NOT(ISERROR(VLOOKUP(E367,'Optional features'!B:D,1,FALSE)=E367)),NOT(ISERROR(VLOOKUP(E367,'HIDDEN calc sheet'!A:C,1,FALSE)=E367)))),MD!$A$3,MD!$A$2)))</f>
        <v>Mandatory test for a mandatory feature</v>
      </c>
      <c r="E367" t="str">
        <f>IF('HIDDEN import'!F366=0,"",'HIDDEN import'!F366)</f>
        <v>SC-2</v>
      </c>
      <c r="F367" t="str">
        <f>IF('HIDDEN import'!G366=0,"",'HIDDEN import'!G366)</f>
        <v>ChargingRateUnit</v>
      </c>
      <c r="G367" s="95" t="str">
        <f>IFERROR(VLOOKUP($A367,'HIDDEN Testrun Results'!$A:$B,2,FALSE),"")</f>
        <v/>
      </c>
      <c r="H367" s="6" t="b">
        <f t="shared" si="5"/>
        <v>0</v>
      </c>
      <c r="I367" s="6" t="b">
        <f>IF(VLOOKUP(A367&amp;" "&amp;B367,'HIDDEN import'!A:G,5,FALSE)="M",TRUE,IFERROR(VLOOKUP(E367,'Optional features'!B:D,3,FALSE)="Yes",IFERROR(VLOOKUP(E367,'HIDDEN calc sheet'!A:B,2,FALSE),IFERROR(VLOOKUP(E367,'Additional questions'!B:D,3,FALSE)="Yes",VLOOKUP(E367,'Hardware Feature set'!B:D,3,FALSE)="No"))))</f>
        <v>1</v>
      </c>
      <c r="J367" s="6" t="b">
        <f>IF(VLOOKUP(B367,'Profile selection'!B:C,2,FALSE)="Yes",TRUE,FALSE)</f>
        <v>0</v>
      </c>
    </row>
    <row r="368" spans="1:10" x14ac:dyDescent="0.25">
      <c r="A368" t="str">
        <f>'HIDDEN import'!B367</f>
        <v>TC_K_41_CS</v>
      </c>
      <c r="B368" t="str">
        <f>'HIDDEN import'!C367</f>
        <v>Smart Charging</v>
      </c>
      <c r="C368" t="str">
        <f>'HIDDEN import'!D367</f>
        <v>Get Composite Schedule - Combining chargingProfilePurposes</v>
      </c>
      <c r="D368" t="str">
        <f>IF(VLOOKUP(A368&amp;" "&amp;B368,'HIDDEN import'!A:G,5,FALSE)="M",MD!$A$1,(IF(AND(VLOOKUP(A368,'HIDDEN import'!B:E,4,FALSE)="C",OR(NOT(ISERROR(VLOOKUP(E368,'Optional features'!B:D,1,FALSE)=E368)),NOT(ISERROR(VLOOKUP(E368,'HIDDEN calc sheet'!A:C,1,FALSE)=E368)))),MD!$A$3,MD!$A$2)))</f>
        <v>Mandatory test for a mandatory feature</v>
      </c>
      <c r="E368" t="str">
        <f>IF('HIDDEN import'!F367=0,"",'HIDDEN import'!F367)</f>
        <v/>
      </c>
      <c r="F368" t="str">
        <f>IF('HIDDEN import'!G367=0,"",'HIDDEN import'!G367)</f>
        <v/>
      </c>
      <c r="G368" s="95" t="str">
        <f>IFERROR(VLOOKUP($A368,'HIDDEN Testrun Results'!$A:$B,2,FALSE),"")</f>
        <v/>
      </c>
      <c r="H368" s="6" t="b">
        <f t="shared" si="5"/>
        <v>0</v>
      </c>
      <c r="I368" s="6" t="b">
        <f>IF(VLOOKUP(A368&amp;" "&amp;B368,'HIDDEN import'!A:G,5,FALSE)="M",TRUE,IFERROR(VLOOKUP(E368,'Optional features'!B:D,3,FALSE)="Yes",IFERROR(VLOOKUP(E368,'HIDDEN calc sheet'!A:B,2,FALSE),IFERROR(VLOOKUP(E368,'Additional questions'!B:D,3,FALSE)="Yes",VLOOKUP(E368,'Hardware Feature set'!B:D,3,FALSE)="No"))))</f>
        <v>1</v>
      </c>
      <c r="J368" s="6" t="b">
        <f>IF(VLOOKUP(B368,'Profile selection'!B:C,2,FALSE)="Yes",TRUE,FALSE)</f>
        <v>0</v>
      </c>
    </row>
    <row r="369" spans="1:10" x14ac:dyDescent="0.25">
      <c r="A369" t="str">
        <f>'HIDDEN import'!B368</f>
        <v>TC_K_42_CS</v>
      </c>
      <c r="B369" t="str">
        <f>'HIDDEN import'!C368</f>
        <v>Smart Charging</v>
      </c>
      <c r="C369" t="str">
        <f>'HIDDEN import'!D368</f>
        <v>Get Composite Schedule - chargingRateUnit not supported</v>
      </c>
      <c r="D369" t="str">
        <f>IF(VLOOKUP(A369&amp;" "&amp;B369,'HIDDEN import'!A:G,5,FALSE)="M",MD!$A$1,(IF(AND(VLOOKUP(A369,'HIDDEN import'!B:E,4,FALSE)="C",OR(NOT(ISERROR(VLOOKUP(E369,'Optional features'!B:D,1,FALSE)=E369)),NOT(ISERROR(VLOOKUP(E369,'HIDDEN calc sheet'!A:C,1,FALSE)=E369)))),MD!$A$3,MD!$A$2)))</f>
        <v>Mandatory for optional feature</v>
      </c>
      <c r="E369" t="str">
        <f>IF('HIDDEN import'!F368=0,"",'HIDDEN import'!F368)</f>
        <v>NOT (SC-2.1 and SC-2.2)</v>
      </c>
      <c r="F369" t="str">
        <f>IF('HIDDEN import'!G368=0,"",'HIDDEN import'!G368)</f>
        <v/>
      </c>
      <c r="G369" s="95" t="str">
        <f>IFERROR(VLOOKUP($A369,'HIDDEN Testrun Results'!$A:$B,2,FALSE),"")</f>
        <v/>
      </c>
      <c r="H369" s="6" t="b">
        <f t="shared" si="5"/>
        <v>0</v>
      </c>
      <c r="I369" s="6" t="b">
        <f>IF(VLOOKUP(A369&amp;" "&amp;B369,'HIDDEN import'!A:G,5,FALSE)="M",TRUE,IFERROR(VLOOKUP(E369,'Optional features'!B:D,3,FALSE)="Yes",IFERROR(VLOOKUP(E369,'HIDDEN calc sheet'!A:B,2,FALSE),IFERROR(VLOOKUP(E369,'Additional questions'!B:D,3,FALSE)="Yes",VLOOKUP(E369,'Hardware Feature set'!B:D,3,FALSE)="No"))))</f>
        <v>1</v>
      </c>
      <c r="J369" s="6" t="b">
        <f>IF(VLOOKUP(B369,'Profile selection'!B:C,2,FALSE)="Yes",TRUE,FALSE)</f>
        <v>0</v>
      </c>
    </row>
    <row r="370" spans="1:10" x14ac:dyDescent="0.25">
      <c r="A370" t="str">
        <f>'HIDDEN import'!B369</f>
        <v>TC_K_47_CS</v>
      </c>
      <c r="B370" t="str">
        <f>'HIDDEN import'!C369</f>
        <v>Smart Charging</v>
      </c>
      <c r="C370" t="str">
        <f>'HIDDEN import'!D369</f>
        <v>Get Composite Schedule - Unknown EVSEId</v>
      </c>
      <c r="D370" t="str">
        <f>IF(VLOOKUP(A370&amp;" "&amp;B370,'HIDDEN import'!A:G,5,FALSE)="M",MD!$A$1,(IF(AND(VLOOKUP(A370,'HIDDEN import'!B:E,4,FALSE)="C",OR(NOT(ISERROR(VLOOKUP(E370,'Optional features'!B:D,1,FALSE)=E370)),NOT(ISERROR(VLOOKUP(E370,'HIDDEN calc sheet'!A:C,1,FALSE)=E370)))),MD!$A$3,MD!$A$2)))</f>
        <v>Mandatory test for a mandatory feature</v>
      </c>
      <c r="E370" t="str">
        <f>IF('HIDDEN import'!F369=0,"",'HIDDEN import'!F369)</f>
        <v/>
      </c>
      <c r="F370" t="str">
        <f>IF('HIDDEN import'!G369=0,"",'HIDDEN import'!G369)</f>
        <v/>
      </c>
      <c r="G370" s="95" t="str">
        <f>IFERROR(VLOOKUP($A370,'HIDDEN Testrun Results'!$A:$B,2,FALSE),"")</f>
        <v/>
      </c>
      <c r="H370" s="6" t="b">
        <f t="shared" si="5"/>
        <v>0</v>
      </c>
      <c r="I370" s="6" t="b">
        <f>IF(VLOOKUP(A370&amp;" "&amp;B370,'HIDDEN import'!A:G,5,FALSE)="M",TRUE,IFERROR(VLOOKUP(E370,'Optional features'!B:D,3,FALSE)="Yes",IFERROR(VLOOKUP(E370,'HIDDEN calc sheet'!A:B,2,FALSE),IFERROR(VLOOKUP(E370,'Additional questions'!B:D,3,FALSE)="Yes",VLOOKUP(E370,'Hardware Feature set'!B:D,3,FALSE)="No"))))</f>
        <v>1</v>
      </c>
      <c r="J370" s="6" t="b">
        <f>IF(VLOOKUP(B370,'Profile selection'!B:C,2,FALSE)="Yes",TRUE,FALSE)</f>
        <v>0</v>
      </c>
    </row>
    <row r="371" spans="1:10" x14ac:dyDescent="0.25">
      <c r="A371" t="str">
        <f>'HIDDEN import'!B370</f>
        <v>TC_K_29_CS</v>
      </c>
      <c r="B371" t="str">
        <f>'HIDDEN import'!C370</f>
        <v>Smart Charging</v>
      </c>
      <c r="C371" t="str">
        <f>'HIDDEN import'!D370</f>
        <v>Get Charging Profile - EvseId 0</v>
      </c>
      <c r="D371" t="str">
        <f>IF(VLOOKUP(A371&amp;" "&amp;B371,'HIDDEN import'!A:G,5,FALSE)="M",MD!$A$1,(IF(AND(VLOOKUP(A371,'HIDDEN import'!B:E,4,FALSE)="C",OR(NOT(ISERROR(VLOOKUP(E371,'Optional features'!B:D,1,FALSE)=E371)),NOT(ISERROR(VLOOKUP(E371,'HIDDEN calc sheet'!A:C,1,FALSE)=E371)))),MD!$A$3,MD!$A$2)))</f>
        <v>Mandatory test for a mandatory feature</v>
      </c>
      <c r="E371" t="str">
        <f>IF('HIDDEN import'!F370=0,"",'HIDDEN import'!F370)</f>
        <v/>
      </c>
      <c r="F371" t="str">
        <f>IF('HIDDEN import'!G370=0,"",'HIDDEN import'!G370)</f>
        <v/>
      </c>
      <c r="G371" s="95" t="str">
        <f>IFERROR(VLOOKUP($A371,'HIDDEN Testrun Results'!$A:$B,2,FALSE),"")</f>
        <v/>
      </c>
      <c r="H371" s="6" t="b">
        <f t="shared" si="5"/>
        <v>0</v>
      </c>
      <c r="I371" s="6" t="b">
        <f>IF(VLOOKUP(A371&amp;" "&amp;B371,'HIDDEN import'!A:G,5,FALSE)="M",TRUE,IFERROR(VLOOKUP(E371,'Optional features'!B:D,3,FALSE)="Yes",IFERROR(VLOOKUP(E371,'HIDDEN calc sheet'!A:B,2,FALSE),IFERROR(VLOOKUP(E371,'Additional questions'!B:D,3,FALSE)="Yes",VLOOKUP(E371,'Hardware Feature set'!B:D,3,FALSE)="No"))))</f>
        <v>1</v>
      </c>
      <c r="J371" s="6" t="b">
        <f>IF(VLOOKUP(B371,'Profile selection'!B:C,2,FALSE)="Yes",TRUE,FALSE)</f>
        <v>0</v>
      </c>
    </row>
    <row r="372" spans="1:10" x14ac:dyDescent="0.25">
      <c r="A372" t="str">
        <f>'HIDDEN import'!B371</f>
        <v>TC_K_30_CS</v>
      </c>
      <c r="B372" t="str">
        <f>'HIDDEN import'!C371</f>
        <v>Smart Charging</v>
      </c>
      <c r="C372" t="str">
        <f>'HIDDEN import'!D371</f>
        <v>Get Charging Profile - EvseId &gt; 0</v>
      </c>
      <c r="D372" t="str">
        <f>IF(VLOOKUP(A372&amp;" "&amp;B372,'HIDDEN import'!A:G,5,FALSE)="M",MD!$A$1,(IF(AND(VLOOKUP(A372,'HIDDEN import'!B:E,4,FALSE)="C",OR(NOT(ISERROR(VLOOKUP(E372,'Optional features'!B:D,1,FALSE)=E372)),NOT(ISERROR(VLOOKUP(E372,'HIDDEN calc sheet'!A:C,1,FALSE)=E372)))),MD!$A$3,MD!$A$2)))</f>
        <v>Mandatory test for a mandatory feature</v>
      </c>
      <c r="E372" t="str">
        <f>IF('HIDDEN import'!F371=0,"",'HIDDEN import'!F371)</f>
        <v/>
      </c>
      <c r="F372" t="str">
        <f>IF('HIDDEN import'!G371=0,"",'HIDDEN import'!G371)</f>
        <v/>
      </c>
      <c r="G372" s="95" t="str">
        <f>IFERROR(VLOOKUP($A372,'HIDDEN Testrun Results'!$A:$B,2,FALSE),"")</f>
        <v/>
      </c>
      <c r="H372" s="6" t="b">
        <f t="shared" si="5"/>
        <v>0</v>
      </c>
      <c r="I372" s="6" t="b">
        <f>IF(VLOOKUP(A372&amp;" "&amp;B372,'HIDDEN import'!A:G,5,FALSE)="M",TRUE,IFERROR(VLOOKUP(E372,'Optional features'!B:D,3,FALSE)="Yes",IFERROR(VLOOKUP(E372,'HIDDEN calc sheet'!A:B,2,FALSE),IFERROR(VLOOKUP(E372,'Additional questions'!B:D,3,FALSE)="Yes",VLOOKUP(E372,'Hardware Feature set'!B:D,3,FALSE)="No"))))</f>
        <v>1</v>
      </c>
      <c r="J372" s="6" t="b">
        <f>IF(VLOOKUP(B372,'Profile selection'!B:C,2,FALSE)="Yes",TRUE,FALSE)</f>
        <v>0</v>
      </c>
    </row>
    <row r="373" spans="1:10" x14ac:dyDescent="0.25">
      <c r="A373" t="str">
        <f>'HIDDEN import'!B372</f>
        <v>TC_K_31_CS</v>
      </c>
      <c r="B373" t="str">
        <f>'HIDDEN import'!C372</f>
        <v>Smart Charging</v>
      </c>
      <c r="C373" t="str">
        <f>'HIDDEN import'!D372</f>
        <v>Get Charging Profile - No EvseId</v>
      </c>
      <c r="D373" t="str">
        <f>IF(VLOOKUP(A373&amp;" "&amp;B373,'HIDDEN import'!A:G,5,FALSE)="M",MD!$A$1,(IF(AND(VLOOKUP(A373,'HIDDEN import'!B:E,4,FALSE)="C",OR(NOT(ISERROR(VLOOKUP(E373,'Optional features'!B:D,1,FALSE)=E373)),NOT(ISERROR(VLOOKUP(E373,'HIDDEN calc sheet'!A:C,1,FALSE)=E373)))),MD!$A$3,MD!$A$2)))</f>
        <v>Mandatory test for a mandatory feature</v>
      </c>
      <c r="E373" t="str">
        <f>IF('HIDDEN import'!F372=0,"",'HIDDEN import'!F372)</f>
        <v/>
      </c>
      <c r="F373" t="str">
        <f>IF('HIDDEN import'!G372=0,"",'HIDDEN import'!G372)</f>
        <v/>
      </c>
      <c r="G373" s="95" t="str">
        <f>IFERROR(VLOOKUP($A373,'HIDDEN Testrun Results'!$A:$B,2,FALSE),"")</f>
        <v/>
      </c>
      <c r="H373" s="6" t="b">
        <f t="shared" si="5"/>
        <v>0</v>
      </c>
      <c r="I373" s="6" t="b">
        <f>IF(VLOOKUP(A373&amp;" "&amp;B373,'HIDDEN import'!A:G,5,FALSE)="M",TRUE,IFERROR(VLOOKUP(E373,'Optional features'!B:D,3,FALSE)="Yes",IFERROR(VLOOKUP(E373,'HIDDEN calc sheet'!A:B,2,FALSE),IFERROR(VLOOKUP(E373,'Additional questions'!B:D,3,FALSE)="Yes",VLOOKUP(E373,'Hardware Feature set'!B:D,3,FALSE)="No"))))</f>
        <v>1</v>
      </c>
      <c r="J373" s="6" t="b">
        <f>IF(VLOOKUP(B373,'Profile selection'!B:C,2,FALSE)="Yes",TRUE,FALSE)</f>
        <v>0</v>
      </c>
    </row>
    <row r="374" spans="1:10" x14ac:dyDescent="0.25">
      <c r="A374" t="str">
        <f>'HIDDEN import'!B373</f>
        <v>TC_K_32_CS</v>
      </c>
      <c r="B374" t="str">
        <f>'HIDDEN import'!C373</f>
        <v>Smart Charging</v>
      </c>
      <c r="C374" t="str">
        <f>'HIDDEN import'!D373</f>
        <v>Get Charging Profile - chargingProfileId</v>
      </c>
      <c r="D374" t="str">
        <f>IF(VLOOKUP(A374&amp;" "&amp;B374,'HIDDEN import'!A:G,5,FALSE)="M",MD!$A$1,(IF(AND(VLOOKUP(A374,'HIDDEN import'!B:E,4,FALSE)="C",OR(NOT(ISERROR(VLOOKUP(E374,'Optional features'!B:D,1,FALSE)=E374)),NOT(ISERROR(VLOOKUP(E374,'HIDDEN calc sheet'!A:C,1,FALSE)=E374)))),MD!$A$3,MD!$A$2)))</f>
        <v>Mandatory test for a mandatory feature</v>
      </c>
      <c r="E374" t="str">
        <f>IF('HIDDEN import'!F373=0,"",'HIDDEN import'!F373)</f>
        <v/>
      </c>
      <c r="F374" t="str">
        <f>IF('HIDDEN import'!G373=0,"",'HIDDEN import'!G373)</f>
        <v/>
      </c>
      <c r="G374" s="95" t="str">
        <f>IFERROR(VLOOKUP($A374,'HIDDEN Testrun Results'!$A:$B,2,FALSE),"")</f>
        <v/>
      </c>
      <c r="H374" s="6" t="b">
        <f t="shared" si="5"/>
        <v>0</v>
      </c>
      <c r="I374" s="6" t="b">
        <f>IF(VLOOKUP(A374&amp;" "&amp;B374,'HIDDEN import'!A:G,5,FALSE)="M",TRUE,IFERROR(VLOOKUP(E374,'Optional features'!B:D,3,FALSE)="Yes",IFERROR(VLOOKUP(E374,'HIDDEN calc sheet'!A:B,2,FALSE),IFERROR(VLOOKUP(E374,'Additional questions'!B:D,3,FALSE)="Yes",VLOOKUP(E374,'Hardware Feature set'!B:D,3,FALSE)="No"))))</f>
        <v>1</v>
      </c>
      <c r="J374" s="6" t="b">
        <f>IF(VLOOKUP(B374,'Profile selection'!B:C,2,FALSE)="Yes",TRUE,FALSE)</f>
        <v>0</v>
      </c>
    </row>
    <row r="375" spans="1:10" x14ac:dyDescent="0.25">
      <c r="A375" t="str">
        <f>'HIDDEN import'!B374</f>
        <v>TC_K_33_CS</v>
      </c>
      <c r="B375" t="str">
        <f>'HIDDEN import'!C374</f>
        <v>Smart Charging</v>
      </c>
      <c r="C375" t="str">
        <f>'HIDDEN import'!D374</f>
        <v>Get Charging Profile - EvseId &gt; 0 + stackLevel</v>
      </c>
      <c r="D375" t="str">
        <f>IF(VLOOKUP(A375&amp;" "&amp;B375,'HIDDEN import'!A:G,5,FALSE)="M",MD!$A$1,(IF(AND(VLOOKUP(A375,'HIDDEN import'!B:E,4,FALSE)="C",OR(NOT(ISERROR(VLOOKUP(E375,'Optional features'!B:D,1,FALSE)=E375)),NOT(ISERROR(VLOOKUP(E375,'HIDDEN calc sheet'!A:C,1,FALSE)=E375)))),MD!$A$3,MD!$A$2)))</f>
        <v>Mandatory test for a mandatory feature</v>
      </c>
      <c r="E375" t="str">
        <f>IF('HIDDEN import'!F374=0,"",'HIDDEN import'!F374)</f>
        <v/>
      </c>
      <c r="F375" t="str">
        <f>IF('HIDDEN import'!G374=0,"",'HIDDEN import'!G374)</f>
        <v/>
      </c>
      <c r="G375" s="95" t="str">
        <f>IFERROR(VLOOKUP($A375,'HIDDEN Testrun Results'!$A:$B,2,FALSE),"")</f>
        <v/>
      </c>
      <c r="H375" s="6" t="b">
        <f t="shared" si="5"/>
        <v>0</v>
      </c>
      <c r="I375" s="6" t="b">
        <f>IF(VLOOKUP(A375&amp;" "&amp;B375,'HIDDEN import'!A:G,5,FALSE)="M",TRUE,IFERROR(VLOOKUP(E375,'Optional features'!B:D,3,FALSE)="Yes",IFERROR(VLOOKUP(E375,'HIDDEN calc sheet'!A:B,2,FALSE),IFERROR(VLOOKUP(E375,'Additional questions'!B:D,3,FALSE)="Yes",VLOOKUP(E375,'Hardware Feature set'!B:D,3,FALSE)="No"))))</f>
        <v>1</v>
      </c>
      <c r="J375" s="6" t="b">
        <f>IF(VLOOKUP(B375,'Profile selection'!B:C,2,FALSE)="Yes",TRUE,FALSE)</f>
        <v>0</v>
      </c>
    </row>
    <row r="376" spans="1:10" x14ac:dyDescent="0.25">
      <c r="A376" t="str">
        <f>'HIDDEN import'!B375</f>
        <v>TC_K_34_CS</v>
      </c>
      <c r="B376" t="str">
        <f>'HIDDEN import'!C375</f>
        <v>Smart Charging</v>
      </c>
      <c r="C376" t="str">
        <f>'HIDDEN import'!D375</f>
        <v>Get Charging Profile - EvseId &gt; 0 + chargingLimitSource</v>
      </c>
      <c r="D376" t="str">
        <f>IF(VLOOKUP(A376&amp;" "&amp;B376,'HIDDEN import'!A:G,5,FALSE)="M",MD!$A$1,(IF(AND(VLOOKUP(A376,'HIDDEN import'!B:E,4,FALSE)="C",OR(NOT(ISERROR(VLOOKUP(E376,'Optional features'!B:D,1,FALSE)=E376)),NOT(ISERROR(VLOOKUP(E376,'HIDDEN calc sheet'!A:C,1,FALSE)=E376)))),MD!$A$3,MD!$A$2)))</f>
        <v>Mandatory test for a mandatory feature</v>
      </c>
      <c r="E376" t="str">
        <f>IF('HIDDEN import'!F375=0,"",'HIDDEN import'!F375)</f>
        <v/>
      </c>
      <c r="F376" t="str">
        <f>IF('HIDDEN import'!G375=0,"",'HIDDEN import'!G375)</f>
        <v/>
      </c>
      <c r="G376" s="95" t="str">
        <f>IFERROR(VLOOKUP($A376,'HIDDEN Testrun Results'!$A:$B,2,FALSE),"")</f>
        <v/>
      </c>
      <c r="H376" s="6" t="b">
        <f t="shared" si="5"/>
        <v>0</v>
      </c>
      <c r="I376" s="6" t="b">
        <f>IF(VLOOKUP(A376&amp;" "&amp;B376,'HIDDEN import'!A:G,5,FALSE)="M",TRUE,IFERROR(VLOOKUP(E376,'Optional features'!B:D,3,FALSE)="Yes",IFERROR(VLOOKUP(E376,'HIDDEN calc sheet'!A:B,2,FALSE),IFERROR(VLOOKUP(E376,'Additional questions'!B:D,3,FALSE)="Yes",VLOOKUP(E376,'Hardware Feature set'!B:D,3,FALSE)="No"))))</f>
        <v>1</v>
      </c>
      <c r="J376" s="6" t="b">
        <f>IF(VLOOKUP(B376,'Profile selection'!B:C,2,FALSE)="Yes",TRUE,FALSE)</f>
        <v>0</v>
      </c>
    </row>
    <row r="377" spans="1:10" x14ac:dyDescent="0.25">
      <c r="A377" t="str">
        <f>'HIDDEN import'!B376</f>
        <v>TC_K_35_CS</v>
      </c>
      <c r="B377" t="str">
        <f>'HIDDEN import'!C376</f>
        <v>Smart Charging</v>
      </c>
      <c r="C377" t="str">
        <f>'HIDDEN import'!D376</f>
        <v>Get Charging Profile - EvseId &gt; 0 + chargingProfilePurpose</v>
      </c>
      <c r="D377" t="str">
        <f>IF(VLOOKUP(A377&amp;" "&amp;B377,'HIDDEN import'!A:G,5,FALSE)="M",MD!$A$1,(IF(AND(VLOOKUP(A377,'HIDDEN import'!B:E,4,FALSE)="C",OR(NOT(ISERROR(VLOOKUP(E377,'Optional features'!B:D,1,FALSE)=E377)),NOT(ISERROR(VLOOKUP(E377,'HIDDEN calc sheet'!A:C,1,FALSE)=E377)))),MD!$A$3,MD!$A$2)))</f>
        <v>Mandatory test for a mandatory feature</v>
      </c>
      <c r="E377" t="str">
        <f>IF('HIDDEN import'!F376=0,"",'HIDDEN import'!F376)</f>
        <v/>
      </c>
      <c r="F377" t="str">
        <f>IF('HIDDEN import'!G376=0,"",'HIDDEN import'!G376)</f>
        <v/>
      </c>
      <c r="G377" s="95" t="str">
        <f>IFERROR(VLOOKUP($A377,'HIDDEN Testrun Results'!$A:$B,2,FALSE),"")</f>
        <v/>
      </c>
      <c r="H377" s="6" t="b">
        <f t="shared" si="5"/>
        <v>0</v>
      </c>
      <c r="I377" s="6" t="b">
        <f>IF(VLOOKUP(A377&amp;" "&amp;B377,'HIDDEN import'!A:G,5,FALSE)="M",TRUE,IFERROR(VLOOKUP(E377,'Optional features'!B:D,3,FALSE)="Yes",IFERROR(VLOOKUP(E377,'HIDDEN calc sheet'!A:B,2,FALSE),IFERROR(VLOOKUP(E377,'Additional questions'!B:D,3,FALSE)="Yes",VLOOKUP(E377,'Hardware Feature set'!B:D,3,FALSE)="No"))))</f>
        <v>1</v>
      </c>
      <c r="J377" s="6" t="b">
        <f>IF(VLOOKUP(B377,'Profile selection'!B:C,2,FALSE)="Yes",TRUE,FALSE)</f>
        <v>0</v>
      </c>
    </row>
    <row r="378" spans="1:10" x14ac:dyDescent="0.25">
      <c r="A378" t="str">
        <f>'HIDDEN import'!B377</f>
        <v>TC_K_36_CS</v>
      </c>
      <c r="B378" t="str">
        <f>'HIDDEN import'!C377</f>
        <v>Smart Charging</v>
      </c>
      <c r="C378" t="str">
        <f>'HIDDEN import'!D377</f>
        <v>Get Charging Profile - EvseId &gt; 0 + chargingProfilePurpose + stackLevel</v>
      </c>
      <c r="D378" t="str">
        <f>IF(VLOOKUP(A378&amp;" "&amp;B378,'HIDDEN import'!A:G,5,FALSE)="M",MD!$A$1,(IF(AND(VLOOKUP(A378,'HIDDEN import'!B:E,4,FALSE)="C",OR(NOT(ISERROR(VLOOKUP(E378,'Optional features'!B:D,1,FALSE)=E378)),NOT(ISERROR(VLOOKUP(E378,'HIDDEN calc sheet'!A:C,1,FALSE)=E378)))),MD!$A$3,MD!$A$2)))</f>
        <v>Mandatory test for a mandatory feature</v>
      </c>
      <c r="E378" t="str">
        <f>IF('HIDDEN import'!F377=0,"",'HIDDEN import'!F377)</f>
        <v/>
      </c>
      <c r="F378" t="str">
        <f>IF('HIDDEN import'!G377=0,"",'HIDDEN import'!G377)</f>
        <v/>
      </c>
      <c r="G378" s="95" t="str">
        <f>IFERROR(VLOOKUP($A378,'HIDDEN Testrun Results'!$A:$B,2,FALSE),"")</f>
        <v/>
      </c>
      <c r="H378" s="6" t="b">
        <f t="shared" si="5"/>
        <v>0</v>
      </c>
      <c r="I378" s="6" t="b">
        <f>IF(VLOOKUP(A378&amp;" "&amp;B378,'HIDDEN import'!A:G,5,FALSE)="M",TRUE,IFERROR(VLOOKUP(E378,'Optional features'!B:D,3,FALSE)="Yes",IFERROR(VLOOKUP(E378,'HIDDEN calc sheet'!A:B,2,FALSE),IFERROR(VLOOKUP(E378,'Additional questions'!B:D,3,FALSE)="Yes",VLOOKUP(E378,'Hardware Feature set'!B:D,3,FALSE)="No"))))</f>
        <v>1</v>
      </c>
      <c r="J378" s="6" t="b">
        <f>IF(VLOOKUP(B378,'Profile selection'!B:C,2,FALSE)="Yes",TRUE,FALSE)</f>
        <v>0</v>
      </c>
    </row>
    <row r="379" spans="1:10" x14ac:dyDescent="0.25">
      <c r="A379" t="str">
        <f>'HIDDEN import'!B378</f>
        <v>TC_K_05_CS</v>
      </c>
      <c r="B379" t="str">
        <f>'HIDDEN import'!C378</f>
        <v>Smart Charging</v>
      </c>
      <c r="C379" t="str">
        <f>'HIDDEN import'!D378</f>
        <v>Clear Charging Profile - With chargingProfileId</v>
      </c>
      <c r="D379" t="str">
        <f>IF(VLOOKUP(A379&amp;" "&amp;B379,'HIDDEN import'!A:G,5,FALSE)="M",MD!$A$1,(IF(AND(VLOOKUP(A379,'HIDDEN import'!B:E,4,FALSE)="C",OR(NOT(ISERROR(VLOOKUP(E379,'Optional features'!B:D,1,FALSE)=E379)),NOT(ISERROR(VLOOKUP(E379,'HIDDEN calc sheet'!A:C,1,FALSE)=E379)))),MD!$A$3,MD!$A$2)))</f>
        <v>Mandatory test for a mandatory feature</v>
      </c>
      <c r="E379" t="str">
        <f>IF('HIDDEN import'!F378=0,"",'HIDDEN import'!F378)</f>
        <v/>
      </c>
      <c r="F379" t="str">
        <f>IF('HIDDEN import'!G378=0,"",'HIDDEN import'!G378)</f>
        <v/>
      </c>
      <c r="G379" s="95" t="str">
        <f>IFERROR(VLOOKUP($A379,'HIDDEN Testrun Results'!$A:$B,2,FALSE),"")</f>
        <v/>
      </c>
      <c r="H379" s="6" t="b">
        <f t="shared" si="5"/>
        <v>0</v>
      </c>
      <c r="I379" s="6" t="b">
        <f>IF(VLOOKUP(A379&amp;" "&amp;B379,'HIDDEN import'!A:G,5,FALSE)="M",TRUE,IFERROR(VLOOKUP(E379,'Optional features'!B:D,3,FALSE)="Yes",IFERROR(VLOOKUP(E379,'HIDDEN calc sheet'!A:B,2,FALSE),IFERROR(VLOOKUP(E379,'Additional questions'!B:D,3,FALSE)="Yes",VLOOKUP(E379,'Hardware Feature set'!B:D,3,FALSE)="No"))))</f>
        <v>1</v>
      </c>
      <c r="J379" s="6" t="b">
        <f>IF(VLOOKUP(B379,'Profile selection'!B:C,2,FALSE)="Yes",TRUE,FALSE)</f>
        <v>0</v>
      </c>
    </row>
    <row r="380" spans="1:10" x14ac:dyDescent="0.25">
      <c r="A380" t="str">
        <f>'HIDDEN import'!B379</f>
        <v>TC_K_06_CS</v>
      </c>
      <c r="B380" t="str">
        <f>'HIDDEN import'!C379</f>
        <v>Smart Charging</v>
      </c>
      <c r="C380" t="str">
        <f>'HIDDEN import'!D379</f>
        <v>Clear Charging Profile - With stackLevel/purpose combination for one profile</v>
      </c>
      <c r="D380" t="str">
        <f>IF(VLOOKUP(A380&amp;" "&amp;B380,'HIDDEN import'!A:G,5,FALSE)="M",MD!$A$1,(IF(AND(VLOOKUP(A380,'HIDDEN import'!B:E,4,FALSE)="C",OR(NOT(ISERROR(VLOOKUP(E380,'Optional features'!B:D,1,FALSE)=E380)),NOT(ISERROR(VLOOKUP(E380,'HIDDEN calc sheet'!A:C,1,FALSE)=E380)))),MD!$A$3,MD!$A$2)))</f>
        <v>Mandatory test for a mandatory feature</v>
      </c>
      <c r="E380" t="str">
        <f>IF('HIDDEN import'!F379=0,"",'HIDDEN import'!F379)</f>
        <v/>
      </c>
      <c r="F380" t="str">
        <f>IF('HIDDEN import'!G379=0,"",'HIDDEN import'!G379)</f>
        <v/>
      </c>
      <c r="G380" s="95" t="str">
        <f>IFERROR(VLOOKUP($A380,'HIDDEN Testrun Results'!$A:$B,2,FALSE),"")</f>
        <v/>
      </c>
      <c r="H380" s="6" t="b">
        <f t="shared" si="5"/>
        <v>0</v>
      </c>
      <c r="I380" s="6" t="b">
        <f>IF(VLOOKUP(A380&amp;" "&amp;B380,'HIDDEN import'!A:G,5,FALSE)="M",TRUE,IFERROR(VLOOKUP(E380,'Optional features'!B:D,3,FALSE)="Yes",IFERROR(VLOOKUP(E380,'HIDDEN calc sheet'!A:B,2,FALSE),IFERROR(VLOOKUP(E380,'Additional questions'!B:D,3,FALSE)="Yes",VLOOKUP(E380,'Hardware Feature set'!B:D,3,FALSE)="No"))))</f>
        <v>1</v>
      </c>
      <c r="J380" s="6" t="b">
        <f>IF(VLOOKUP(B380,'Profile selection'!B:C,2,FALSE)="Yes",TRUE,FALSE)</f>
        <v>0</v>
      </c>
    </row>
    <row r="381" spans="1:10" x14ac:dyDescent="0.25">
      <c r="A381" t="str">
        <f>'HIDDEN import'!B380</f>
        <v>TC_K_07_CS</v>
      </c>
      <c r="B381" t="str">
        <f>'HIDDEN import'!C380</f>
        <v>Smart Charging</v>
      </c>
      <c r="C381" t="str">
        <f>'HIDDEN import'!D380</f>
        <v>Clear Charging Profile - With unknown stackLevel/purpose combination</v>
      </c>
      <c r="D381" t="str">
        <f>IF(VLOOKUP(A381&amp;" "&amp;B381,'HIDDEN import'!A:G,5,FALSE)="M",MD!$A$1,(IF(AND(VLOOKUP(A381,'HIDDEN import'!B:E,4,FALSE)="C",OR(NOT(ISERROR(VLOOKUP(E381,'Optional features'!B:D,1,FALSE)=E381)),NOT(ISERROR(VLOOKUP(E381,'HIDDEN calc sheet'!A:C,1,FALSE)=E381)))),MD!$A$3,MD!$A$2)))</f>
        <v>Mandatory test for a mandatory feature</v>
      </c>
      <c r="E381" t="str">
        <f>IF('HIDDEN import'!F380=0,"",'HIDDEN import'!F380)</f>
        <v/>
      </c>
      <c r="F381" t="str">
        <f>IF('HIDDEN import'!G380=0,"",'HIDDEN import'!G380)</f>
        <v/>
      </c>
      <c r="G381" s="95" t="str">
        <f>IFERROR(VLOOKUP($A381,'HIDDEN Testrun Results'!$A:$B,2,FALSE),"")</f>
        <v/>
      </c>
      <c r="H381" s="6" t="b">
        <f t="shared" si="5"/>
        <v>0</v>
      </c>
      <c r="I381" s="6" t="b">
        <f>IF(VLOOKUP(A381&amp;" "&amp;B381,'HIDDEN import'!A:G,5,FALSE)="M",TRUE,IFERROR(VLOOKUP(E381,'Optional features'!B:D,3,FALSE)="Yes",IFERROR(VLOOKUP(E381,'HIDDEN calc sheet'!A:B,2,FALSE),IFERROR(VLOOKUP(E381,'Additional questions'!B:D,3,FALSE)="Yes",VLOOKUP(E381,'Hardware Feature set'!B:D,3,FALSE)="No"))))</f>
        <v>1</v>
      </c>
      <c r="J381" s="6" t="b">
        <f>IF(VLOOKUP(B381,'Profile selection'!B:C,2,FALSE)="Yes",TRUE,FALSE)</f>
        <v>0</v>
      </c>
    </row>
    <row r="382" spans="1:10" x14ac:dyDescent="0.25">
      <c r="A382" t="str">
        <f>'HIDDEN import'!B381</f>
        <v>TC_K_08_CS</v>
      </c>
      <c r="B382" t="str">
        <f>'HIDDEN import'!C381</f>
        <v>Smart Charging</v>
      </c>
      <c r="C382" t="str">
        <f>'HIDDEN import'!D381</f>
        <v>Clear Charging Profile - Without previous charging profile</v>
      </c>
      <c r="D382" t="str">
        <f>IF(VLOOKUP(A382&amp;" "&amp;B382,'HIDDEN import'!A:G,5,FALSE)="M",MD!$A$1,(IF(AND(VLOOKUP(A382,'HIDDEN import'!B:E,4,FALSE)="C",OR(NOT(ISERROR(VLOOKUP(E382,'Optional features'!B:D,1,FALSE)=E382)),NOT(ISERROR(VLOOKUP(E382,'HIDDEN calc sheet'!A:C,1,FALSE)=E382)))),MD!$A$3,MD!$A$2)))</f>
        <v>Mandatory test for a mandatory feature</v>
      </c>
      <c r="E382" t="str">
        <f>IF('HIDDEN import'!F381=0,"",'HIDDEN import'!F381)</f>
        <v/>
      </c>
      <c r="F382" t="str">
        <f>IF('HIDDEN import'!G381=0,"",'HIDDEN import'!G381)</f>
        <v/>
      </c>
      <c r="G382" s="95" t="str">
        <f>IFERROR(VLOOKUP($A382,'HIDDEN Testrun Results'!$A:$B,2,FALSE),"")</f>
        <v/>
      </c>
      <c r="H382" s="6" t="b">
        <f t="shared" si="5"/>
        <v>0</v>
      </c>
      <c r="I382" s="6" t="b">
        <f>IF(VLOOKUP(A382&amp;" "&amp;B382,'HIDDEN import'!A:G,5,FALSE)="M",TRUE,IFERROR(VLOOKUP(E382,'Optional features'!B:D,3,FALSE)="Yes",IFERROR(VLOOKUP(E382,'HIDDEN calc sheet'!A:B,2,FALSE),IFERROR(VLOOKUP(E382,'Additional questions'!B:D,3,FALSE)="Yes",VLOOKUP(E382,'Hardware Feature set'!B:D,3,FALSE)="No"))))</f>
        <v>1</v>
      </c>
      <c r="J382" s="6" t="b">
        <f>IF(VLOOKUP(B382,'Profile selection'!B:C,2,FALSE)="Yes",TRUE,FALSE)</f>
        <v>0</v>
      </c>
    </row>
    <row r="383" spans="1:10" x14ac:dyDescent="0.25">
      <c r="A383" t="str">
        <f>'HIDDEN import'!B382</f>
        <v>TC_K_09_CS</v>
      </c>
      <c r="B383" t="str">
        <f>'HIDDEN import'!C382</f>
        <v>Smart Charging</v>
      </c>
      <c r="C383" t="str">
        <f>'HIDDEN import'!D382</f>
        <v>Clear Charging Profile - Clearing a TxDefaultProfile - With ongoing transaction</v>
      </c>
      <c r="D383" t="str">
        <f>IF(VLOOKUP(A383&amp;" "&amp;B383,'HIDDEN import'!A:G,5,FALSE)="M",MD!$A$1,(IF(AND(VLOOKUP(A383,'HIDDEN import'!B:E,4,FALSE)="C",OR(NOT(ISERROR(VLOOKUP(E383,'Optional features'!B:D,1,FALSE)=E383)),NOT(ISERROR(VLOOKUP(E383,'HIDDEN calc sheet'!A:C,1,FALSE)=E383)))),MD!$A$3,MD!$A$2)))</f>
        <v>Mandatory test for a mandatory feature</v>
      </c>
      <c r="E383" t="str">
        <f>IF('HIDDEN import'!F382=0,"",'HIDDEN import'!F382)</f>
        <v/>
      </c>
      <c r="F383" t="str">
        <f>IF('HIDDEN import'!G382=0,"",'HIDDEN import'!G382)</f>
        <v/>
      </c>
      <c r="G383" s="95" t="str">
        <f>IFERROR(VLOOKUP($A383,'HIDDEN Testrun Results'!$A:$B,2,FALSE),"")</f>
        <v/>
      </c>
      <c r="H383" s="6" t="b">
        <f t="shared" si="5"/>
        <v>0</v>
      </c>
      <c r="I383" s="6" t="b">
        <f>IF(VLOOKUP(A383&amp;" "&amp;B383,'HIDDEN import'!A:G,5,FALSE)="M",TRUE,IFERROR(VLOOKUP(E383,'Optional features'!B:D,3,FALSE)="Yes",IFERROR(VLOOKUP(E383,'HIDDEN calc sheet'!A:B,2,FALSE),IFERROR(VLOOKUP(E383,'Additional questions'!B:D,3,FALSE)="Yes",VLOOKUP(E383,'Hardware Feature set'!B:D,3,FALSE)="No"))))</f>
        <v>1</v>
      </c>
      <c r="J383" s="6" t="b">
        <f>IF(VLOOKUP(B383,'Profile selection'!B:C,2,FALSE)="Yes",TRUE,FALSE)</f>
        <v>0</v>
      </c>
    </row>
    <row r="384" spans="1:10" x14ac:dyDescent="0.25">
      <c r="A384" t="str">
        <f>'HIDDEN import'!B383</f>
        <v>TC_K_24_CS</v>
      </c>
      <c r="B384" t="str">
        <f>'HIDDEN import'!C383</f>
        <v>Smart Charging</v>
      </c>
      <c r="C384" t="str">
        <f>'HIDDEN import'!D383</f>
        <v>Clear Charging Profile - With stackLevel/purpose combination for multiple profiles</v>
      </c>
      <c r="D384" t="str">
        <f>IF(VLOOKUP(A384&amp;" "&amp;B384,'HIDDEN import'!A:G,5,FALSE)="M",MD!$A$1,(IF(AND(VLOOKUP(A384,'HIDDEN import'!B:E,4,FALSE)="C",OR(NOT(ISERROR(VLOOKUP(E384,'Optional features'!B:D,1,FALSE)=E384)),NOT(ISERROR(VLOOKUP(E384,'HIDDEN calc sheet'!A:C,1,FALSE)=E384)))),MD!$A$3,MD!$A$2)))</f>
        <v>Mandatory for optional feature</v>
      </c>
      <c r="E384" t="str">
        <f>IF('HIDDEN import'!F383=0,"",'HIDDEN import'!F383)</f>
        <v>HFS-8 &gt; 1</v>
      </c>
      <c r="F384" t="str">
        <f>IF('HIDDEN import'!G383=0,"",'HIDDEN import'!G383)</f>
        <v/>
      </c>
      <c r="G384" s="95" t="str">
        <f>IFERROR(VLOOKUP($A384,'HIDDEN Testrun Results'!$A:$B,2,FALSE),"")</f>
        <v/>
      </c>
      <c r="H384" s="6" t="b">
        <f t="shared" si="5"/>
        <v>0</v>
      </c>
      <c r="I384" s="6" t="b">
        <f>IF(VLOOKUP(A384&amp;" "&amp;B384,'HIDDEN import'!A:G,5,FALSE)="M",TRUE,IFERROR(VLOOKUP(E384,'Optional features'!B:D,3,FALSE)="Yes",IFERROR(VLOOKUP(E384,'HIDDEN calc sheet'!A:B,2,FALSE),IFERROR(VLOOKUP(E384,'Additional questions'!B:D,3,FALSE)="Yes",VLOOKUP(E384,'Hardware Feature set'!B:D,3,FALSE)="No"))))</f>
        <v>0</v>
      </c>
      <c r="J384" s="6" t="b">
        <f>IF(VLOOKUP(B384,'Profile selection'!B:C,2,FALSE)="Yes",TRUE,FALSE)</f>
        <v>0</v>
      </c>
    </row>
    <row r="385" spans="1:10" x14ac:dyDescent="0.25">
      <c r="A385" t="str">
        <f>'HIDDEN import'!B384</f>
        <v>TC_A_12_CS</v>
      </c>
      <c r="B385" t="str">
        <f>'HIDDEN import'!C384</f>
        <v>ISO 15118 Support</v>
      </c>
      <c r="C385" t="str">
        <f>'HIDDEN import'!D384</f>
        <v>Update Charging Station Certificate by request of CSMS - Success - V2G Certificate</v>
      </c>
      <c r="D385" t="str">
        <f>IF(VLOOKUP(A385&amp;" "&amp;B385,'HIDDEN import'!A:G,5,FALSE)="M",MD!$A$1,(IF(AND(VLOOKUP(A385,'HIDDEN import'!B:E,4,FALSE)="C",OR(NOT(ISERROR(VLOOKUP(E385,'Optional features'!B:D,1,FALSE)=E385)),NOT(ISERROR(VLOOKUP(E385,'HIDDEN calc sheet'!A:C,1,FALSE)=E385)))),MD!$A$3,MD!$A$2)))</f>
        <v>Mandatory test for a mandatory feature</v>
      </c>
      <c r="E385" t="str">
        <f>IF('HIDDEN import'!F384=0,"",'HIDDEN import'!F384)</f>
        <v/>
      </c>
      <c r="F385" t="str">
        <f>IF('HIDDEN import'!G384=0,"",'HIDDEN import'!G384)</f>
        <v/>
      </c>
      <c r="G385" s="95" t="str">
        <f>IFERROR(VLOOKUP($A385,'HIDDEN Testrun Results'!$A:$B,2,FALSE),"")</f>
        <v/>
      </c>
      <c r="H385" s="6" t="b">
        <f t="shared" si="5"/>
        <v>0</v>
      </c>
      <c r="I385" s="6" t="b">
        <f>IF(VLOOKUP(A385&amp;" "&amp;B385,'HIDDEN import'!A:G,5,FALSE)="M",TRUE,IFERROR(VLOOKUP(E385,'Optional features'!B:D,3,FALSE)="Yes",IFERROR(VLOOKUP(E385,'HIDDEN calc sheet'!A:B,2,FALSE),IFERROR(VLOOKUP(E385,'Additional questions'!B:D,3,FALSE)="Yes",VLOOKUP(E385,'Hardware Feature set'!B:D,3,FALSE)="No"))))</f>
        <v>1</v>
      </c>
      <c r="J385" s="6" t="b">
        <f>IF(VLOOKUP(B385,'Profile selection'!B:C,2,FALSE)="Yes",TRUE,FALSE)</f>
        <v>0</v>
      </c>
    </row>
    <row r="386" spans="1:10" x14ac:dyDescent="0.25">
      <c r="A386" t="str">
        <f>'HIDDEN import'!B385</f>
        <v>TC_C_50_CS</v>
      </c>
      <c r="B386" t="str">
        <f>'HIDDEN import'!C385</f>
        <v>ISO 15118 Support</v>
      </c>
      <c r="C386" t="str">
        <f>'HIDDEN import'!D385</f>
        <v>Authorization using Contract Certificates 15118 - Online - Local contract certificate validation - Accepted</v>
      </c>
      <c r="D386" t="str">
        <f>IF(VLOOKUP(A386&amp;" "&amp;B386,'HIDDEN import'!A:G,5,FALSE)="M",MD!$A$1,(IF(AND(VLOOKUP(A386,'HIDDEN import'!B:E,4,FALSE)="C",OR(NOT(ISERROR(VLOOKUP(E386,'Optional features'!B:D,1,FALSE)=E386)),NOT(ISERROR(VLOOKUP(E386,'HIDDEN calc sheet'!A:C,1,FALSE)=E386)))),MD!$A$3,MD!$A$2)))</f>
        <v>Mandatory test for a mandatory feature</v>
      </c>
      <c r="E386" t="str">
        <f>IF('HIDDEN import'!F385=0,"",'HIDDEN import'!F385)</f>
        <v/>
      </c>
      <c r="F386" t="str">
        <f>IF('HIDDEN import'!G385=0,"",'HIDDEN import'!G385)</f>
        <v/>
      </c>
      <c r="G386" s="95" t="str">
        <f>IFERROR(VLOOKUP($A386,'HIDDEN Testrun Results'!$A:$B,2,FALSE),"")</f>
        <v/>
      </c>
      <c r="H386" s="6" t="b">
        <f t="shared" si="5"/>
        <v>0</v>
      </c>
      <c r="I386" s="6" t="b">
        <f>IF(VLOOKUP(A386&amp;" "&amp;B386,'HIDDEN import'!A:G,5,FALSE)="M",TRUE,IFERROR(VLOOKUP(E386,'Optional features'!B:D,3,FALSE)="Yes",IFERROR(VLOOKUP(E386,'HIDDEN calc sheet'!A:B,2,FALSE),IFERROR(VLOOKUP(E386,'Additional questions'!B:D,3,FALSE)="Yes",VLOOKUP(E386,'Hardware Feature set'!B:D,3,FALSE)="No"))))</f>
        <v>1</v>
      </c>
      <c r="J386" s="6" t="b">
        <f>IF(VLOOKUP(B386,'Profile selection'!B:C,2,FALSE)="Yes",TRUE,FALSE)</f>
        <v>0</v>
      </c>
    </row>
    <row r="387" spans="1:10" x14ac:dyDescent="0.25">
      <c r="A387" t="str">
        <f>'HIDDEN import'!B386</f>
        <v>TC_C_51_CS</v>
      </c>
      <c r="B387" t="str">
        <f>'HIDDEN import'!C386</f>
        <v>ISO 15118 Support</v>
      </c>
      <c r="C387" t="str">
        <f>'HIDDEN import'!D386</f>
        <v>Authorization using Contract Certificates 15118 - Online - Local contract certificate validation - Rejected</v>
      </c>
      <c r="D387" t="str">
        <f>IF(VLOOKUP(A387&amp;" "&amp;B387,'HIDDEN import'!A:G,5,FALSE)="M",MD!$A$1,(IF(AND(VLOOKUP(A387,'HIDDEN import'!B:E,4,FALSE)="C",OR(NOT(ISERROR(VLOOKUP(E387,'Optional features'!B:D,1,FALSE)=E387)),NOT(ISERROR(VLOOKUP(E387,'HIDDEN calc sheet'!A:C,1,FALSE)=E387)))),MD!$A$3,MD!$A$2)))</f>
        <v>Mandatory test for a mandatory feature</v>
      </c>
      <c r="E387" t="str">
        <f>IF('HIDDEN import'!F386=0,"",'HIDDEN import'!F386)</f>
        <v/>
      </c>
      <c r="F387" t="str">
        <f>IF('HIDDEN import'!G386=0,"",'HIDDEN import'!G386)</f>
        <v/>
      </c>
      <c r="G387" s="95" t="str">
        <f>IFERROR(VLOOKUP($A387,'HIDDEN Testrun Results'!$A:$B,2,FALSE),"")</f>
        <v/>
      </c>
      <c r="H387" s="6" t="b">
        <f t="shared" si="5"/>
        <v>0</v>
      </c>
      <c r="I387" s="6" t="b">
        <f>IF(VLOOKUP(A387&amp;" "&amp;B387,'HIDDEN import'!A:G,5,FALSE)="M",TRUE,IFERROR(VLOOKUP(E387,'Optional features'!B:D,3,FALSE)="Yes",IFERROR(VLOOKUP(E387,'HIDDEN calc sheet'!A:B,2,FALSE),IFERROR(VLOOKUP(E387,'Additional questions'!B:D,3,FALSE)="Yes",VLOOKUP(E387,'Hardware Feature set'!B:D,3,FALSE)="No"))))</f>
        <v>1</v>
      </c>
      <c r="J387" s="6" t="b">
        <f>IF(VLOOKUP(B387,'Profile selection'!B:C,2,FALSE)="Yes",TRUE,FALSE)</f>
        <v>0</v>
      </c>
    </row>
    <row r="388" spans="1:10" x14ac:dyDescent="0.25">
      <c r="A388" t="str">
        <f>'HIDDEN import'!B387</f>
        <v>TC_C_52_CS</v>
      </c>
      <c r="B388" t="str">
        <f>'HIDDEN import'!C387</f>
        <v>ISO 15118 Support</v>
      </c>
      <c r="C388" t="str">
        <f>'HIDDEN import'!D387</f>
        <v>Authorization using Contract Certificates 15118 - Online - Central contract certificate validation - Accepted</v>
      </c>
      <c r="D388" t="str">
        <f>IF(VLOOKUP(A388&amp;" "&amp;B388,'HIDDEN import'!A:G,5,FALSE)="M",MD!$A$1,(IF(AND(VLOOKUP(A388,'HIDDEN import'!B:E,4,FALSE)="C",OR(NOT(ISERROR(VLOOKUP(E388,'Optional features'!B:D,1,FALSE)=E388)),NOT(ISERROR(VLOOKUP(E388,'HIDDEN calc sheet'!A:C,1,FALSE)=E388)))),MD!$A$3,MD!$A$2)))</f>
        <v>Mandatory for optional feature</v>
      </c>
      <c r="E388" t="str">
        <f>IF('HIDDEN import'!F387=0,"",'HIDDEN import'!F387)</f>
        <v>ISO-5</v>
      </c>
      <c r="F388" t="str">
        <f>IF('HIDDEN import'!G387=0,"",'HIDDEN import'!G387)</f>
        <v/>
      </c>
      <c r="G388" s="95" t="str">
        <f>IFERROR(VLOOKUP($A388,'HIDDEN Testrun Results'!$A:$B,2,FALSE),"")</f>
        <v/>
      </c>
      <c r="H388" s="6" t="b">
        <f t="shared" ref="H388:H445" si="6">IF(NOT(J388),FALSE,IF(NOT(ISLOGICAL(I388)),I388,AND(I388,J388)))</f>
        <v>0</v>
      </c>
      <c r="I388" s="6" t="b">
        <f>IF(VLOOKUP(A388&amp;" "&amp;B388,'HIDDEN import'!A:G,5,FALSE)="M",TRUE,IFERROR(VLOOKUP(E388,'Optional features'!B:D,3,FALSE)="Yes",IFERROR(VLOOKUP(E388,'HIDDEN calc sheet'!A:B,2,FALSE),IFERROR(VLOOKUP(E388,'Additional questions'!B:D,3,FALSE)="Yes",VLOOKUP(E388,'Hardware Feature set'!B:D,3,FALSE)="No"))))</f>
        <v>0</v>
      </c>
      <c r="J388" s="6" t="b">
        <f>IF(VLOOKUP(B388,'Profile selection'!B:C,2,FALSE)="Yes",TRUE,FALSE)</f>
        <v>0</v>
      </c>
    </row>
    <row r="389" spans="1:10" x14ac:dyDescent="0.25">
      <c r="A389" t="str">
        <f>'HIDDEN import'!B388</f>
        <v>TC_C_53_CS</v>
      </c>
      <c r="B389" t="str">
        <f>'HIDDEN import'!C388</f>
        <v>ISO 15118 Support</v>
      </c>
      <c r="C389" t="str">
        <f>'HIDDEN import'!D388</f>
        <v>Authorization using Contract Certificates 15118 - Online - Central contract validation fails</v>
      </c>
      <c r="D389" t="str">
        <f>IF(VLOOKUP(A389&amp;" "&amp;B389,'HIDDEN import'!A:G,5,FALSE)="M",MD!$A$1,(IF(AND(VLOOKUP(A389,'HIDDEN import'!B:E,4,FALSE)="C",OR(NOT(ISERROR(VLOOKUP(E389,'Optional features'!B:D,1,FALSE)=E389)),NOT(ISERROR(VLOOKUP(E389,'HIDDEN calc sheet'!A:C,1,FALSE)=E389)))),MD!$A$3,MD!$A$2)))</f>
        <v>Mandatory for optional feature</v>
      </c>
      <c r="E389" t="str">
        <f>IF('HIDDEN import'!F388=0,"",'HIDDEN import'!F388)</f>
        <v>ISO-5</v>
      </c>
      <c r="F389" t="str">
        <f>IF('HIDDEN import'!G388=0,"",'HIDDEN import'!G388)</f>
        <v/>
      </c>
      <c r="G389" s="95" t="str">
        <f>IFERROR(VLOOKUP($A389,'HIDDEN Testrun Results'!$A:$B,2,FALSE),"")</f>
        <v/>
      </c>
      <c r="H389" s="6" t="b">
        <f t="shared" si="6"/>
        <v>0</v>
      </c>
      <c r="I389" s="6" t="b">
        <f>IF(VLOOKUP(A389&amp;" "&amp;B389,'HIDDEN import'!A:G,5,FALSE)="M",TRUE,IFERROR(VLOOKUP(E389,'Optional features'!B:D,3,FALSE)="Yes",IFERROR(VLOOKUP(E389,'HIDDEN calc sheet'!A:B,2,FALSE),IFERROR(VLOOKUP(E389,'Additional questions'!B:D,3,FALSE)="Yes",VLOOKUP(E389,'Hardware Feature set'!B:D,3,FALSE)="No"))))</f>
        <v>0</v>
      </c>
      <c r="J389" s="6" t="b">
        <f>IF(VLOOKUP(B389,'Profile selection'!B:C,2,FALSE)="Yes",TRUE,FALSE)</f>
        <v>0</v>
      </c>
    </row>
    <row r="390" spans="1:10" x14ac:dyDescent="0.25">
      <c r="A390" t="str">
        <f>'HIDDEN import'!B389</f>
        <v>TC_C_54_CS</v>
      </c>
      <c r="B390" t="str">
        <f>'HIDDEN import'!C389</f>
        <v>ISO 15118 Support</v>
      </c>
      <c r="C390" t="str">
        <f>'HIDDEN import'!D389</f>
        <v>Authorization using Contract Certificates 15118 - Offline - ContractValidationOffline is true</v>
      </c>
      <c r="D390" t="str">
        <f>IF(VLOOKUP(A390&amp;" "&amp;B390,'HIDDEN import'!A:G,5,FALSE)="M",MD!$A$1,(IF(AND(VLOOKUP(A390,'HIDDEN import'!B:E,4,FALSE)="C",OR(NOT(ISERROR(VLOOKUP(E390,'Optional features'!B:D,1,FALSE)=E390)),NOT(ISERROR(VLOOKUP(E390,'HIDDEN calc sheet'!A:C,1,FALSE)=E390)))),MD!$A$3,MD!$A$2)))</f>
        <v>Mandatory test for a mandatory feature</v>
      </c>
      <c r="E390" t="str">
        <f>IF('HIDDEN import'!F389=0,"",'HIDDEN import'!F389)</f>
        <v/>
      </c>
      <c r="F390" t="str">
        <f>IF('HIDDEN import'!G389=0,"",'HIDDEN import'!G389)</f>
        <v/>
      </c>
      <c r="G390" s="95" t="str">
        <f>IFERROR(VLOOKUP($A390,'HIDDEN Testrun Results'!$A:$B,2,FALSE),"")</f>
        <v/>
      </c>
      <c r="H390" s="6" t="b">
        <f t="shared" si="6"/>
        <v>0</v>
      </c>
      <c r="I390" s="6" t="b">
        <f>IF(VLOOKUP(A390&amp;" "&amp;B390,'HIDDEN import'!A:G,5,FALSE)="M",TRUE,IFERROR(VLOOKUP(E390,'Optional features'!B:D,3,FALSE)="Yes",IFERROR(VLOOKUP(E390,'HIDDEN calc sheet'!A:B,2,FALSE),IFERROR(VLOOKUP(E390,'Additional questions'!B:D,3,FALSE)="Yes",VLOOKUP(E390,'Hardware Feature set'!B:D,3,FALSE)="No"))))</f>
        <v>1</v>
      </c>
      <c r="J390" s="6" t="b">
        <f>IF(VLOOKUP(B390,'Profile selection'!B:C,2,FALSE)="Yes",TRUE,FALSE)</f>
        <v>0</v>
      </c>
    </row>
    <row r="391" spans="1:10" x14ac:dyDescent="0.25">
      <c r="A391" t="str">
        <f>'HIDDEN import'!B390</f>
        <v>TC_C_55_CS</v>
      </c>
      <c r="B391" t="str">
        <f>'HIDDEN import'!C390</f>
        <v>ISO 15118 Support</v>
      </c>
      <c r="C391" t="str">
        <f>'HIDDEN import'!D390</f>
        <v>Authorization using Contract Certificates 15118 - Offline - ContractValidationOffline is false</v>
      </c>
      <c r="D391" t="str">
        <f>IF(VLOOKUP(A391&amp;" "&amp;B391,'HIDDEN import'!A:G,5,FALSE)="M",MD!$A$1,(IF(AND(VLOOKUP(A391,'HIDDEN import'!B:E,4,FALSE)="C",OR(NOT(ISERROR(VLOOKUP(E391,'Optional features'!B:D,1,FALSE)=E391)),NOT(ISERROR(VLOOKUP(E391,'HIDDEN calc sheet'!A:C,1,FALSE)=E391)))),MD!$A$3,MD!$A$2)))</f>
        <v>Mandatory test for a mandatory feature</v>
      </c>
      <c r="E391" t="str">
        <f>IF('HIDDEN import'!F390=0,"",'HIDDEN import'!F390)</f>
        <v/>
      </c>
      <c r="F391" t="str">
        <f>IF('HIDDEN import'!G390=0,"",'HIDDEN import'!G390)</f>
        <v/>
      </c>
      <c r="G391" s="95" t="str">
        <f>IFERROR(VLOOKUP($A391,'HIDDEN Testrun Results'!$A:$B,2,FALSE),"")</f>
        <v/>
      </c>
      <c r="H391" s="6" t="b">
        <f t="shared" si="6"/>
        <v>0</v>
      </c>
      <c r="I391" s="6" t="b">
        <f>IF(VLOOKUP(A391&amp;" "&amp;B391,'HIDDEN import'!A:G,5,FALSE)="M",TRUE,IFERROR(VLOOKUP(E391,'Optional features'!B:D,3,FALSE)="Yes",IFERROR(VLOOKUP(E391,'HIDDEN calc sheet'!A:B,2,FALSE),IFERROR(VLOOKUP(E391,'Additional questions'!B:D,3,FALSE)="Yes",VLOOKUP(E391,'Hardware Feature set'!B:D,3,FALSE)="No"))))</f>
        <v>1</v>
      </c>
      <c r="J391" s="6" t="b">
        <f>IF(VLOOKUP(B391,'Profile selection'!B:C,2,FALSE)="Yes",TRUE,FALSE)</f>
        <v>0</v>
      </c>
    </row>
    <row r="392" spans="1:10" x14ac:dyDescent="0.25">
      <c r="A392" t="str">
        <f>'HIDDEN import'!B391</f>
        <v>TC_E_46_CS</v>
      </c>
      <c r="B392" t="str">
        <f>'HIDDEN import'!C391</f>
        <v>ISO 15118 Support</v>
      </c>
      <c r="C392" t="str">
        <f>'HIDDEN import'!D391</f>
        <v>End of charging process 15118 - End of charging process 15118</v>
      </c>
      <c r="D392" t="str">
        <f>IF(VLOOKUP(A392&amp;" "&amp;B392,'HIDDEN import'!A:G,5,FALSE)="M",MD!$A$1,(IF(AND(VLOOKUP(A392,'HIDDEN import'!B:E,4,FALSE)="C",OR(NOT(ISERROR(VLOOKUP(E392,'Optional features'!B:D,1,FALSE)=E392)),NOT(ISERROR(VLOOKUP(E392,'HIDDEN calc sheet'!A:C,1,FALSE)=E392)))),MD!$A$3,MD!$A$2)))</f>
        <v>Mandatory test for a mandatory feature</v>
      </c>
      <c r="E392" t="str">
        <f>IF('HIDDEN import'!F391=0,"",'HIDDEN import'!F391)</f>
        <v/>
      </c>
      <c r="F392" t="str">
        <f>IF('HIDDEN import'!G391=0,"",'HIDDEN import'!G391)</f>
        <v/>
      </c>
      <c r="G392" s="95" t="str">
        <f>IFERROR(VLOOKUP($A392,'HIDDEN Testrun Results'!$A:$B,2,FALSE),"")</f>
        <v/>
      </c>
      <c r="H392" s="6" t="b">
        <f t="shared" si="6"/>
        <v>0</v>
      </c>
      <c r="I392" s="6" t="b">
        <f>IF(VLOOKUP(A392&amp;" "&amp;B392,'HIDDEN import'!A:G,5,FALSE)="M",TRUE,IFERROR(VLOOKUP(E392,'Optional features'!B:D,3,FALSE)="Yes",IFERROR(VLOOKUP(E392,'HIDDEN calc sheet'!A:B,2,FALSE),IFERROR(VLOOKUP(E392,'Additional questions'!B:D,3,FALSE)="Yes",VLOOKUP(E392,'Hardware Feature set'!B:D,3,FALSE)="No"))))</f>
        <v>1</v>
      </c>
      <c r="J392" s="6" t="b">
        <f>IF(VLOOKUP(B392,'Profile selection'!B:C,2,FALSE)="Yes",TRUE,FALSE)</f>
        <v>0</v>
      </c>
    </row>
    <row r="393" spans="1:10" x14ac:dyDescent="0.25">
      <c r="A393" t="str">
        <f>'HIDDEN import'!B392</f>
        <v>TC_K_01_CS</v>
      </c>
      <c r="B393" t="str">
        <f>'HIDDEN import'!C392</f>
        <v>ISO 15118 Support</v>
      </c>
      <c r="C393" t="str">
        <f>'HIDDEN import'!D392</f>
        <v>Set Charging Profile - TxDefaultProfile - Specific EVSE</v>
      </c>
      <c r="D393" t="str">
        <f>IF(VLOOKUP(A393&amp;" "&amp;B393,'HIDDEN import'!A:G,5,FALSE)="M",MD!$A$1,(IF(AND(VLOOKUP(A393,'HIDDEN import'!B:E,4,FALSE)="C",OR(NOT(ISERROR(VLOOKUP(E393,'Optional features'!B:D,1,FALSE)=E393)),NOT(ISERROR(VLOOKUP(E393,'HIDDEN calc sheet'!A:C,1,FALSE)=E393)))),MD!$A$3,MD!$A$2)))</f>
        <v>Mandatory test for a mandatory feature</v>
      </c>
      <c r="E393" t="str">
        <f>IF('HIDDEN import'!F392=0,"",'HIDDEN import'!F392)</f>
        <v/>
      </c>
      <c r="F393" t="str">
        <f>IF('HIDDEN import'!G392=0,"",'HIDDEN import'!G392)</f>
        <v/>
      </c>
      <c r="G393" s="95" t="str">
        <f>IFERROR(VLOOKUP($A393,'HIDDEN Testrun Results'!$A:$B,2,FALSE),"")</f>
        <v/>
      </c>
      <c r="H393" s="6" t="b">
        <f t="shared" si="6"/>
        <v>0</v>
      </c>
      <c r="I393" s="6" t="b">
        <f>IF(VLOOKUP(A393&amp;" "&amp;B393,'HIDDEN import'!A:G,5,FALSE)="M",TRUE,IFERROR(VLOOKUP(E393,'Optional features'!B:D,3,FALSE)="Yes",IFERROR(VLOOKUP(E393,'HIDDEN calc sheet'!A:B,2,FALSE),IFERROR(VLOOKUP(E393,'Additional questions'!B:D,3,FALSE)="Yes",VLOOKUP(E393,'Hardware Feature set'!B:D,3,FALSE)="No"))))</f>
        <v>1</v>
      </c>
      <c r="J393" s="6" t="b">
        <f>IF(VLOOKUP(B393,'Profile selection'!B:C,2,FALSE)="Yes",TRUE,FALSE)</f>
        <v>0</v>
      </c>
    </row>
    <row r="394" spans="1:10" x14ac:dyDescent="0.25">
      <c r="A394" t="str">
        <f>'HIDDEN import'!B393</f>
        <v>TC_K_10_CS</v>
      </c>
      <c r="B394" t="str">
        <f>'HIDDEN import'!C393</f>
        <v>ISO 15118 Support</v>
      </c>
      <c r="C394" t="str">
        <f>'HIDDEN import'!D393</f>
        <v>Set Charging Profile - TxDefaultProfile - All EVSE</v>
      </c>
      <c r="D394" t="str">
        <f>IF(VLOOKUP(A394&amp;" "&amp;B394,'HIDDEN import'!A:G,5,FALSE)="M",MD!$A$1,(IF(AND(VLOOKUP(A394,'HIDDEN import'!B:E,4,FALSE)="C",OR(NOT(ISERROR(VLOOKUP(E394,'Optional features'!B:D,1,FALSE)=E394)),NOT(ISERROR(VLOOKUP(E394,'HIDDEN calc sheet'!A:C,1,FALSE)=E394)))),MD!$A$3,MD!$A$2)))</f>
        <v>Mandatory test for a mandatory feature</v>
      </c>
      <c r="E394" t="str">
        <f>IF('HIDDEN import'!F393=0,"",'HIDDEN import'!F393)</f>
        <v/>
      </c>
      <c r="F394" t="str">
        <f>IF('HIDDEN import'!G393=0,"",'HIDDEN import'!G393)</f>
        <v/>
      </c>
      <c r="G394" s="95" t="str">
        <f>IFERROR(VLOOKUP($A394,'HIDDEN Testrun Results'!$A:$B,2,FALSE),"")</f>
        <v/>
      </c>
      <c r="H394" s="6" t="b">
        <f t="shared" si="6"/>
        <v>0</v>
      </c>
      <c r="I394" s="6" t="b">
        <f>IF(VLOOKUP(A394&amp;" "&amp;B394,'HIDDEN import'!A:G,5,FALSE)="M",TRUE,IFERROR(VLOOKUP(E394,'Optional features'!B:D,3,FALSE)="Yes",IFERROR(VLOOKUP(E394,'HIDDEN calc sheet'!A:B,2,FALSE),IFERROR(VLOOKUP(E394,'Additional questions'!B:D,3,FALSE)="Yes",VLOOKUP(E394,'Hardware Feature set'!B:D,3,FALSE)="No"))))</f>
        <v>1</v>
      </c>
      <c r="J394" s="6" t="b">
        <f>IF(VLOOKUP(B394,'Profile selection'!B:C,2,FALSE)="Yes",TRUE,FALSE)</f>
        <v>0</v>
      </c>
    </row>
    <row r="395" spans="1:10" x14ac:dyDescent="0.25">
      <c r="A395" t="str">
        <f>'HIDDEN import'!B394</f>
        <v>TC_K_60_CS</v>
      </c>
      <c r="B395" t="str">
        <f>'HIDDEN import'!C394</f>
        <v>ISO 15118 Support</v>
      </c>
      <c r="C395" t="str">
        <f>'HIDDEN import'!D394</f>
        <v>Set Charging Profile - TxProfile with ongoing transaction on the specified EVSE</v>
      </c>
      <c r="D395" t="str">
        <f>IF(VLOOKUP(A395&amp;" "&amp;B395,'HIDDEN import'!A:G,5,FALSE)="M",MD!$A$1,(IF(AND(VLOOKUP(A395,'HIDDEN import'!B:E,4,FALSE)="C",OR(NOT(ISERROR(VLOOKUP(E395,'Optional features'!B:D,1,FALSE)=E395)),NOT(ISERROR(VLOOKUP(E395,'HIDDEN calc sheet'!A:C,1,FALSE)=E395)))),MD!$A$3,MD!$A$2)))</f>
        <v>Mandatory test for a mandatory feature</v>
      </c>
      <c r="E395" t="str">
        <f>IF('HIDDEN import'!F394=0,"",'HIDDEN import'!F394)</f>
        <v/>
      </c>
      <c r="F395" t="str">
        <f>IF('HIDDEN import'!G394=0,"",'HIDDEN import'!G394)</f>
        <v/>
      </c>
      <c r="G395" s="95" t="str">
        <f>IFERROR(VLOOKUP($A395,'HIDDEN Testrun Results'!$A:$B,2,FALSE),"")</f>
        <v/>
      </c>
      <c r="H395" s="6" t="b">
        <f t="shared" si="6"/>
        <v>0</v>
      </c>
      <c r="I395" s="6" t="b">
        <f>IF(VLOOKUP(A395&amp;" "&amp;B395,'HIDDEN import'!A:G,5,FALSE)="M",TRUE,IFERROR(VLOOKUP(E395,'Optional features'!B:D,3,FALSE)="Yes",IFERROR(VLOOKUP(E395,'HIDDEN calc sheet'!A:B,2,FALSE),IFERROR(VLOOKUP(E395,'Additional questions'!B:D,3,FALSE)="Yes",VLOOKUP(E395,'Hardware Feature set'!B:D,3,FALSE)="No"))))</f>
        <v>1</v>
      </c>
      <c r="J395" s="6" t="b">
        <f>IF(VLOOKUP(B395,'Profile selection'!B:C,2,FALSE)="Yes",TRUE,FALSE)</f>
        <v>0</v>
      </c>
    </row>
    <row r="396" spans="1:10" x14ac:dyDescent="0.25">
      <c r="A396" t="str">
        <f>'HIDDEN import'!B395</f>
        <v>TC_K_02_CS</v>
      </c>
      <c r="B396" t="str">
        <f>'HIDDEN import'!C395</f>
        <v>ISO 15118 Support</v>
      </c>
      <c r="C396" t="str">
        <f>'HIDDEN import'!D395</f>
        <v>Set Charging Profile - TxProfile without ongoing transaction on the specified EVSE</v>
      </c>
      <c r="D396" t="str">
        <f>IF(VLOOKUP(A396&amp;" "&amp;B396,'HIDDEN import'!A:G,5,FALSE)="M",MD!$A$1,(IF(AND(VLOOKUP(A396,'HIDDEN import'!B:E,4,FALSE)="C",OR(NOT(ISERROR(VLOOKUP(E396,'Optional features'!B:D,1,FALSE)=E396)),NOT(ISERROR(VLOOKUP(E396,'HIDDEN calc sheet'!A:C,1,FALSE)=E396)))),MD!$A$3,MD!$A$2)))</f>
        <v>Mandatory test for a mandatory feature</v>
      </c>
      <c r="E396" t="str">
        <f>IF('HIDDEN import'!F395=0,"",'HIDDEN import'!F395)</f>
        <v/>
      </c>
      <c r="F396" t="str">
        <f>IF('HIDDEN import'!G395=0,"",'HIDDEN import'!G395)</f>
        <v/>
      </c>
      <c r="G396" s="95" t="str">
        <f>IFERROR(VLOOKUP($A396,'HIDDEN Testrun Results'!$A:$B,2,FALSE),"")</f>
        <v/>
      </c>
      <c r="H396" s="6" t="b">
        <f t="shared" si="6"/>
        <v>0</v>
      </c>
      <c r="I396" s="6" t="b">
        <f>IF(VLOOKUP(A396&amp;" "&amp;B396,'HIDDEN import'!A:G,5,FALSE)="M",TRUE,IFERROR(VLOOKUP(E396,'Optional features'!B:D,3,FALSE)="Yes",IFERROR(VLOOKUP(E396,'HIDDEN calc sheet'!A:B,2,FALSE),IFERROR(VLOOKUP(E396,'Additional questions'!B:D,3,FALSE)="Yes",VLOOKUP(E396,'Hardware Feature set'!B:D,3,FALSE)="No"))))</f>
        <v>1</v>
      </c>
      <c r="J396" s="6" t="b">
        <f>IF(VLOOKUP(B396,'Profile selection'!B:C,2,FALSE)="Yes",TRUE,FALSE)</f>
        <v>0</v>
      </c>
    </row>
    <row r="397" spans="1:10" x14ac:dyDescent="0.25">
      <c r="A397" t="str">
        <f>'HIDDEN import'!B396</f>
        <v>TC_K_11_CS</v>
      </c>
      <c r="B397" t="str">
        <f>'HIDDEN import'!C396</f>
        <v>ISO 15118 Support</v>
      </c>
      <c r="C397" t="str">
        <f>'HIDDEN import'!D396</f>
        <v>Set Charging Profile - Unable to set TxProfile on all EVSE at once</v>
      </c>
      <c r="D397" t="str">
        <f>IF(VLOOKUP(A397&amp;" "&amp;B397,'HIDDEN import'!A:G,5,FALSE)="M",MD!$A$1,(IF(AND(VLOOKUP(A397,'HIDDEN import'!B:E,4,FALSE)="C",OR(NOT(ISERROR(VLOOKUP(E397,'Optional features'!B:D,1,FALSE)=E397)),NOT(ISERROR(VLOOKUP(E397,'HIDDEN calc sheet'!A:C,1,FALSE)=E397)))),MD!$A$3,MD!$A$2)))</f>
        <v>Mandatory test for a mandatory feature</v>
      </c>
      <c r="E397" t="str">
        <f>IF('HIDDEN import'!F396=0,"",'HIDDEN import'!F396)</f>
        <v/>
      </c>
      <c r="F397" t="str">
        <f>IF('HIDDEN import'!G396=0,"",'HIDDEN import'!G396)</f>
        <v/>
      </c>
      <c r="G397" s="95" t="str">
        <f>IFERROR(VLOOKUP($A397,'HIDDEN Testrun Results'!$A:$B,2,FALSE),"")</f>
        <v/>
      </c>
      <c r="H397" s="6" t="b">
        <f t="shared" si="6"/>
        <v>0</v>
      </c>
      <c r="I397" s="6" t="b">
        <f>IF(VLOOKUP(A397&amp;" "&amp;B397,'HIDDEN import'!A:G,5,FALSE)="M",TRUE,IFERROR(VLOOKUP(E397,'Optional features'!B:D,3,FALSE)="Yes",IFERROR(VLOOKUP(E397,'HIDDEN calc sheet'!A:B,2,FALSE),IFERROR(VLOOKUP(E397,'Additional questions'!B:D,3,FALSE)="Yes",VLOOKUP(E397,'Hardware Feature set'!B:D,3,FALSE)="No"))))</f>
        <v>1</v>
      </c>
      <c r="J397" s="6" t="b">
        <f>IF(VLOOKUP(B397,'Profile selection'!B:C,2,FALSE)="Yes",TRUE,FALSE)</f>
        <v>0</v>
      </c>
    </row>
    <row r="398" spans="1:10" x14ac:dyDescent="0.25">
      <c r="A398" t="str">
        <f>'HIDDEN import'!B397</f>
        <v>TC_K_03_CS</v>
      </c>
      <c r="B398" t="str">
        <f>'HIDDEN import'!C397</f>
        <v>ISO 15118 Support</v>
      </c>
      <c r="C398" t="str">
        <f>'HIDDEN import'!D397</f>
        <v>Set Charging Profile - ChargingStationMaxProfile</v>
      </c>
      <c r="D398" t="str">
        <f>IF(VLOOKUP(A398&amp;" "&amp;B398,'HIDDEN import'!A:G,5,FALSE)="M",MD!$A$1,(IF(AND(VLOOKUP(A398,'HIDDEN import'!B:E,4,FALSE)="C",OR(NOT(ISERROR(VLOOKUP(E398,'Optional features'!B:D,1,FALSE)=E398)),NOT(ISERROR(VLOOKUP(E398,'HIDDEN calc sheet'!A:C,1,FALSE)=E398)))),MD!$A$3,MD!$A$2)))</f>
        <v>Mandatory test for a mandatory feature</v>
      </c>
      <c r="E398" t="str">
        <f>IF('HIDDEN import'!F397=0,"",'HIDDEN import'!F397)</f>
        <v/>
      </c>
      <c r="F398" t="str">
        <f>IF('HIDDEN import'!G397=0,"",'HIDDEN import'!G397)</f>
        <v/>
      </c>
      <c r="G398" s="95" t="str">
        <f>IFERROR(VLOOKUP($A398,'HIDDEN Testrun Results'!$A:$B,2,FALSE),"")</f>
        <v/>
      </c>
      <c r="H398" s="6" t="b">
        <f t="shared" si="6"/>
        <v>0</v>
      </c>
      <c r="I398" s="6" t="b">
        <f>IF(VLOOKUP(A398&amp;" "&amp;B398,'HIDDEN import'!A:G,5,FALSE)="M",TRUE,IFERROR(VLOOKUP(E398,'Optional features'!B:D,3,FALSE)="Yes",IFERROR(VLOOKUP(E398,'HIDDEN calc sheet'!A:B,2,FALSE),IFERROR(VLOOKUP(E398,'Additional questions'!B:D,3,FALSE)="Yes",VLOOKUP(E398,'Hardware Feature set'!B:D,3,FALSE)="No"))))</f>
        <v>1</v>
      </c>
      <c r="J398" s="6" t="b">
        <f>IF(VLOOKUP(B398,'Profile selection'!B:C,2,FALSE)="Yes",TRUE,FALSE)</f>
        <v>0</v>
      </c>
    </row>
    <row r="399" spans="1:10" x14ac:dyDescent="0.25">
      <c r="A399" t="str">
        <f>'HIDDEN import'!B398</f>
        <v>TC_K_19_CS</v>
      </c>
      <c r="B399" t="str">
        <f>'HIDDEN import'!C398</f>
        <v>ISO 15118 Support</v>
      </c>
      <c r="C399" t="str">
        <f>'HIDDEN import'!D398</f>
        <v>Set Charging Profile - ChargingProfileKind is Recurring</v>
      </c>
      <c r="D399" t="str">
        <f>IF(VLOOKUP(A399&amp;" "&amp;B399,'HIDDEN import'!A:G,5,FALSE)="M",MD!$A$1,(IF(AND(VLOOKUP(A399,'HIDDEN import'!B:E,4,FALSE)="C",OR(NOT(ISERROR(VLOOKUP(E399,'Optional features'!B:D,1,FALSE)=E399)),NOT(ISERROR(VLOOKUP(E399,'HIDDEN calc sheet'!A:C,1,FALSE)=E399)))),MD!$A$3,MD!$A$2)))</f>
        <v>Mandatory test for a mandatory feature</v>
      </c>
      <c r="E399" t="str">
        <f>IF('HIDDEN import'!F398=0,"",'HIDDEN import'!F398)</f>
        <v/>
      </c>
      <c r="F399" t="str">
        <f>IF('HIDDEN import'!G398=0,"",'HIDDEN import'!G398)</f>
        <v/>
      </c>
      <c r="G399" s="95" t="str">
        <f>IFERROR(VLOOKUP($A399,'HIDDEN Testrun Results'!$A:$B,2,FALSE),"")</f>
        <v/>
      </c>
      <c r="H399" s="6" t="b">
        <f t="shared" si="6"/>
        <v>0</v>
      </c>
      <c r="I399" s="6" t="b">
        <f>IF(VLOOKUP(A399&amp;" "&amp;B399,'HIDDEN import'!A:G,5,FALSE)="M",TRUE,IFERROR(VLOOKUP(E399,'Optional features'!B:D,3,FALSE)="Yes",IFERROR(VLOOKUP(E399,'HIDDEN calc sheet'!A:B,2,FALSE),IFERROR(VLOOKUP(E399,'Additional questions'!B:D,3,FALSE)="Yes",VLOOKUP(E399,'Hardware Feature set'!B:D,3,FALSE)="No"))))</f>
        <v>1</v>
      </c>
      <c r="J399" s="6" t="b">
        <f>IF(VLOOKUP(B399,'Profile selection'!B:C,2,FALSE)="Yes",TRUE,FALSE)</f>
        <v>0</v>
      </c>
    </row>
    <row r="400" spans="1:10" x14ac:dyDescent="0.25">
      <c r="A400" t="str">
        <f>'HIDDEN import'!B399</f>
        <v>TC_K_12_CS</v>
      </c>
      <c r="B400" t="str">
        <f>'HIDDEN import'!C399</f>
        <v>ISO 15118 Support</v>
      </c>
      <c r="C400" t="str">
        <f>'HIDDEN import'!D399</f>
        <v>Set Charging Profile - ChargerRateUnit Rejected</v>
      </c>
      <c r="D400" t="str">
        <f>IF(VLOOKUP(A400&amp;" "&amp;B400,'HIDDEN import'!A:G,5,FALSE)="M",MD!$A$1,(IF(AND(VLOOKUP(A400,'HIDDEN import'!B:E,4,FALSE)="C",OR(NOT(ISERROR(VLOOKUP(E400,'Optional features'!B:D,1,FALSE)=E400)),NOT(ISERROR(VLOOKUP(E400,'HIDDEN calc sheet'!A:C,1,FALSE)=E400)))),MD!$A$3,MD!$A$2)))</f>
        <v>Mandatory for optional feature</v>
      </c>
      <c r="E400" t="str">
        <f>IF('HIDDEN import'!F399=0,"",'HIDDEN import'!F399)</f>
        <v>NOT (SC-2.1 and SC-2.2)</v>
      </c>
      <c r="F400" t="str">
        <f>IF('HIDDEN import'!G399=0,"",'HIDDEN import'!G399)</f>
        <v/>
      </c>
      <c r="G400" s="95" t="str">
        <f>IFERROR(VLOOKUP($A400,'HIDDEN Testrun Results'!$A:$B,2,FALSE),"")</f>
        <v/>
      </c>
      <c r="H400" s="6" t="b">
        <f t="shared" si="6"/>
        <v>0</v>
      </c>
      <c r="I400" s="6" t="b">
        <f>IF(VLOOKUP(A400&amp;" "&amp;B400,'HIDDEN import'!A:G,5,FALSE)="M",TRUE,IFERROR(VLOOKUP(E400,'Optional features'!B:D,3,FALSE)="Yes",IFERROR(VLOOKUP(E400,'HIDDEN calc sheet'!A:B,2,FALSE),IFERROR(VLOOKUP(E400,'Additional questions'!B:D,3,FALSE)="Yes",VLOOKUP(E400,'Hardware Feature set'!B:D,3,FALSE)="No"))))</f>
        <v>1</v>
      </c>
      <c r="J400" s="6" t="b">
        <f>IF(VLOOKUP(B400,'Profile selection'!B:C,2,FALSE)="Yes",TRUE,FALSE)</f>
        <v>0</v>
      </c>
    </row>
    <row r="401" spans="1:10" x14ac:dyDescent="0.25">
      <c r="A401" t="str">
        <f>'HIDDEN import'!B400</f>
        <v>TC_K_13_CS</v>
      </c>
      <c r="B401" t="str">
        <f>'HIDDEN import'!C400</f>
        <v>ISO 15118 Support</v>
      </c>
      <c r="C401" t="str">
        <f>'HIDDEN import'!D400</f>
        <v>Set Charging Profile - Persistent over reboot</v>
      </c>
      <c r="D401" t="str">
        <f>IF(VLOOKUP(A401&amp;" "&amp;B401,'HIDDEN import'!A:G,5,FALSE)="M",MD!$A$1,(IF(AND(VLOOKUP(A401,'HIDDEN import'!B:E,4,FALSE)="C",OR(NOT(ISERROR(VLOOKUP(E401,'Optional features'!B:D,1,FALSE)=E401)),NOT(ISERROR(VLOOKUP(E401,'HIDDEN calc sheet'!A:C,1,FALSE)=E401)))),MD!$A$3,MD!$A$2)))</f>
        <v>Mandatory test for a mandatory feature</v>
      </c>
      <c r="E401" t="str">
        <f>IF('HIDDEN import'!F400=0,"",'HIDDEN import'!F400)</f>
        <v/>
      </c>
      <c r="F401" t="str">
        <f>IF('HIDDEN import'!G400=0,"",'HIDDEN import'!G400)</f>
        <v/>
      </c>
      <c r="G401" s="95" t="str">
        <f>IFERROR(VLOOKUP($A401,'HIDDEN Testrun Results'!$A:$B,2,FALSE),"")</f>
        <v/>
      </c>
      <c r="H401" s="6" t="b">
        <f t="shared" si="6"/>
        <v>0</v>
      </c>
      <c r="I401" s="6" t="b">
        <f>IF(VLOOKUP(A401&amp;" "&amp;B401,'HIDDEN import'!A:G,5,FALSE)="M",TRUE,IFERROR(VLOOKUP(E401,'Optional features'!B:D,3,FALSE)="Yes",IFERROR(VLOOKUP(E401,'HIDDEN calc sheet'!A:B,2,FALSE),IFERROR(VLOOKUP(E401,'Additional questions'!B:D,3,FALSE)="Yes",VLOOKUP(E401,'Hardware Feature set'!B:D,3,FALSE)="No"))))</f>
        <v>1</v>
      </c>
      <c r="J401" s="6" t="b">
        <f>IF(VLOOKUP(B401,'Profile selection'!B:C,2,FALSE)="Yes",TRUE,FALSE)</f>
        <v>0</v>
      </c>
    </row>
    <row r="402" spans="1:10" x14ac:dyDescent="0.25">
      <c r="A402" t="str">
        <f>'HIDDEN import'!B401</f>
        <v>TC_K_14_CS</v>
      </c>
      <c r="B402" t="str">
        <f>'HIDDEN import'!C401</f>
        <v>ISO 15118 Support</v>
      </c>
      <c r="C402" t="str">
        <f>'HIDDEN import'!D401</f>
        <v>Set Charging Profile - Unexisting EVSEid</v>
      </c>
      <c r="D402" t="str">
        <f>IF(VLOOKUP(A402&amp;" "&amp;B402,'HIDDEN import'!A:G,5,FALSE)="M",MD!$A$1,(IF(AND(VLOOKUP(A402,'HIDDEN import'!B:E,4,FALSE)="C",OR(NOT(ISERROR(VLOOKUP(E402,'Optional features'!B:D,1,FALSE)=E402)),NOT(ISERROR(VLOOKUP(E402,'HIDDEN calc sheet'!A:C,1,FALSE)=E402)))),MD!$A$3,MD!$A$2)))</f>
        <v>Mandatory test for a mandatory feature</v>
      </c>
      <c r="E402" t="str">
        <f>IF('HIDDEN import'!F401=0,"",'HIDDEN import'!F401)</f>
        <v/>
      </c>
      <c r="F402" t="str">
        <f>IF('HIDDEN import'!G401=0,"",'HIDDEN import'!G401)</f>
        <v/>
      </c>
      <c r="G402" s="95" t="str">
        <f>IFERROR(VLOOKUP($A402,'HIDDEN Testrun Results'!$A:$B,2,FALSE),"")</f>
        <v/>
      </c>
      <c r="H402" s="6" t="b">
        <f t="shared" si="6"/>
        <v>0</v>
      </c>
      <c r="I402" s="6" t="b">
        <f>IF(VLOOKUP(A402&amp;" "&amp;B402,'HIDDEN import'!A:G,5,FALSE)="M",TRUE,IFERROR(VLOOKUP(E402,'Optional features'!B:D,3,FALSE)="Yes",IFERROR(VLOOKUP(E402,'HIDDEN calc sheet'!A:B,2,FALSE),IFERROR(VLOOKUP(E402,'Additional questions'!B:D,3,FALSE)="Yes",VLOOKUP(E402,'Hardware Feature set'!B:D,3,FALSE)="No"))))</f>
        <v>1</v>
      </c>
      <c r="J402" s="6" t="b">
        <f>IF(VLOOKUP(B402,'Profile selection'!B:C,2,FALSE)="Yes",TRUE,FALSE)</f>
        <v>0</v>
      </c>
    </row>
    <row r="403" spans="1:10" x14ac:dyDescent="0.25">
      <c r="A403" t="str">
        <f>'HIDDEN import'!B402</f>
        <v>TC_K_28_CS</v>
      </c>
      <c r="B403" t="str">
        <f>'HIDDEN import'!C402</f>
        <v>ISO 15118 Support</v>
      </c>
      <c r="C403" t="str">
        <f>'HIDDEN import'!D402</f>
        <v>Set Charging Profile - TxDefaultProfile with transaction ongoing</v>
      </c>
      <c r="D403" t="str">
        <f>IF(VLOOKUP(A403&amp;" "&amp;B403,'HIDDEN import'!A:G,5,FALSE)="M",MD!$A$1,(IF(AND(VLOOKUP(A403,'HIDDEN import'!B:E,4,FALSE)="C",OR(NOT(ISERROR(VLOOKUP(E403,'Optional features'!B:D,1,FALSE)=E403)),NOT(ISERROR(VLOOKUP(E403,'HIDDEN calc sheet'!A:C,1,FALSE)=E403)))),MD!$A$3,MD!$A$2)))</f>
        <v>Mandatory test for a mandatory feature</v>
      </c>
      <c r="E403" t="str">
        <f>IF('HIDDEN import'!F402=0,"",'HIDDEN import'!F402)</f>
        <v/>
      </c>
      <c r="F403" t="str">
        <f>IF('HIDDEN import'!G402=0,"",'HIDDEN import'!G402)</f>
        <v/>
      </c>
      <c r="G403" s="95" t="str">
        <f>IFERROR(VLOOKUP($A403,'HIDDEN Testrun Results'!$A:$B,2,FALSE),"")</f>
        <v/>
      </c>
      <c r="H403" s="6" t="b">
        <f t="shared" si="6"/>
        <v>0</v>
      </c>
      <c r="I403" s="6" t="b">
        <f>IF(VLOOKUP(A403&amp;" "&amp;B403,'HIDDEN import'!A:G,5,FALSE)="M",TRUE,IFERROR(VLOOKUP(E403,'Optional features'!B:D,3,FALSE)="Yes",IFERROR(VLOOKUP(E403,'HIDDEN calc sheet'!A:B,2,FALSE),IFERROR(VLOOKUP(E403,'Additional questions'!B:D,3,FALSE)="Yes",VLOOKUP(E403,'Hardware Feature set'!B:D,3,FALSE)="No"))))</f>
        <v>1</v>
      </c>
      <c r="J403" s="6" t="b">
        <f>IF(VLOOKUP(B403,'Profile selection'!B:C,2,FALSE)="Yes",TRUE,FALSE)</f>
        <v>0</v>
      </c>
    </row>
    <row r="404" spans="1:10" x14ac:dyDescent="0.25">
      <c r="A404" t="str">
        <f>'HIDDEN import'!B403</f>
        <v>TC_K_16_CS</v>
      </c>
      <c r="B404" t="str">
        <f>'HIDDEN import'!C403</f>
        <v>ISO 15118 Support</v>
      </c>
      <c r="C404" t="str">
        <f>'HIDDEN import'!D403</f>
        <v>Set Charging Profile - Unknown transactionId</v>
      </c>
      <c r="D404" t="str">
        <f>IF(VLOOKUP(A404&amp;" "&amp;B404,'HIDDEN import'!A:G,5,FALSE)="M",MD!$A$1,(IF(AND(VLOOKUP(A404,'HIDDEN import'!B:E,4,FALSE)="C",OR(NOT(ISERROR(VLOOKUP(E404,'Optional features'!B:D,1,FALSE)=E404)),NOT(ISERROR(VLOOKUP(E404,'HIDDEN calc sheet'!A:C,1,FALSE)=E404)))),MD!$A$3,MD!$A$2)))</f>
        <v>Mandatory test for a mandatory feature</v>
      </c>
      <c r="E404" t="str">
        <f>IF('HIDDEN import'!F403=0,"",'HIDDEN import'!F403)</f>
        <v/>
      </c>
      <c r="F404" t="str">
        <f>IF('HIDDEN import'!G403=0,"",'HIDDEN import'!G403)</f>
        <v/>
      </c>
      <c r="G404" s="95" t="str">
        <f>IFERROR(VLOOKUP($A404,'HIDDEN Testrun Results'!$A:$B,2,FALSE),"")</f>
        <v/>
      </c>
      <c r="H404" s="6" t="b">
        <f t="shared" si="6"/>
        <v>0</v>
      </c>
      <c r="I404" s="6" t="b">
        <f>IF(VLOOKUP(A404&amp;" "&amp;B404,'HIDDEN import'!A:G,5,FALSE)="M",TRUE,IFERROR(VLOOKUP(E404,'Optional features'!B:D,3,FALSE)="Yes",IFERROR(VLOOKUP(E404,'HIDDEN calc sheet'!A:B,2,FALSE),IFERROR(VLOOKUP(E404,'Additional questions'!B:D,3,FALSE)="Yes",VLOOKUP(E404,'Hardware Feature set'!B:D,3,FALSE)="No"))))</f>
        <v>1</v>
      </c>
      <c r="J404" s="6" t="b">
        <f>IF(VLOOKUP(B404,'Profile selection'!B:C,2,FALSE)="Yes",TRUE,FALSE)</f>
        <v>0</v>
      </c>
    </row>
    <row r="405" spans="1:10" x14ac:dyDescent="0.25">
      <c r="A405" t="str">
        <f>'HIDDEN import'!B404</f>
        <v>TC_K_21_CS</v>
      </c>
      <c r="B405" t="str">
        <f>'HIDDEN import'!C404</f>
        <v>ISO 15118 Support</v>
      </c>
      <c r="C405" t="str">
        <f>'HIDDEN import'!D404</f>
        <v>Set Charging Profile - ValidFrom</v>
      </c>
      <c r="D405" t="str">
        <f>IF(VLOOKUP(A405&amp;" "&amp;B405,'HIDDEN import'!A:G,5,FALSE)="M",MD!$A$1,(IF(AND(VLOOKUP(A405,'HIDDEN import'!B:E,4,FALSE)="C",OR(NOT(ISERROR(VLOOKUP(E405,'Optional features'!B:D,1,FALSE)=E405)),NOT(ISERROR(VLOOKUP(E405,'HIDDEN calc sheet'!A:C,1,FALSE)=E405)))),MD!$A$3,MD!$A$2)))</f>
        <v>Mandatory test for a mandatory feature</v>
      </c>
      <c r="E405" t="str">
        <f>IF('HIDDEN import'!F404=0,"",'HIDDEN import'!F404)</f>
        <v/>
      </c>
      <c r="F405" t="str">
        <f>IF('HIDDEN import'!G404=0,"",'HIDDEN import'!G404)</f>
        <v/>
      </c>
      <c r="G405" s="95" t="str">
        <f>IFERROR(VLOOKUP($A405,'HIDDEN Testrun Results'!$A:$B,2,FALSE),"")</f>
        <v/>
      </c>
      <c r="H405" s="6" t="b">
        <f t="shared" si="6"/>
        <v>0</v>
      </c>
      <c r="I405" s="6" t="b">
        <f>IF(VLOOKUP(A405&amp;" "&amp;B405,'HIDDEN import'!A:G,5,FALSE)="M",TRUE,IFERROR(VLOOKUP(E405,'Optional features'!B:D,3,FALSE)="Yes",IFERROR(VLOOKUP(E405,'HIDDEN calc sheet'!A:B,2,FALSE),IFERROR(VLOOKUP(E405,'Additional questions'!B:D,3,FALSE)="Yes",VLOOKUP(E405,'Hardware Feature set'!B:D,3,FALSE)="No"))))</f>
        <v>1</v>
      </c>
      <c r="J405" s="6" t="b">
        <f>IF(VLOOKUP(B405,'Profile selection'!B:C,2,FALSE)="Yes",TRUE,FALSE)</f>
        <v>0</v>
      </c>
    </row>
    <row r="406" spans="1:10" x14ac:dyDescent="0.25">
      <c r="A406" t="str">
        <f>'HIDDEN import'!B405</f>
        <v>TC_K_22_CS</v>
      </c>
      <c r="B406" t="str">
        <f>'HIDDEN import'!C405</f>
        <v>ISO 15118 Support</v>
      </c>
      <c r="C406" t="str">
        <f>'HIDDEN import'!D405</f>
        <v>Set Charging Profile - ValidTo</v>
      </c>
      <c r="D406" t="str">
        <f>IF(VLOOKUP(A406&amp;" "&amp;B406,'HIDDEN import'!A:G,5,FALSE)="M",MD!$A$1,(IF(AND(VLOOKUP(A406,'HIDDEN import'!B:E,4,FALSE)="C",OR(NOT(ISERROR(VLOOKUP(E406,'Optional features'!B:D,1,FALSE)=E406)),NOT(ISERROR(VLOOKUP(E406,'HIDDEN calc sheet'!A:C,1,FALSE)=E406)))),MD!$A$3,MD!$A$2)))</f>
        <v>Mandatory test for a mandatory feature</v>
      </c>
      <c r="E406" t="str">
        <f>IF('HIDDEN import'!F405=0,"",'HIDDEN import'!F405)</f>
        <v/>
      </c>
      <c r="F406" t="str">
        <f>IF('HIDDEN import'!G405=0,"",'HIDDEN import'!G405)</f>
        <v/>
      </c>
      <c r="G406" s="95" t="str">
        <f>IFERROR(VLOOKUP($A406,'HIDDEN Testrun Results'!$A:$B,2,FALSE),"")</f>
        <v/>
      </c>
      <c r="H406" s="6" t="b">
        <f t="shared" si="6"/>
        <v>0</v>
      </c>
      <c r="I406" s="6" t="b">
        <f>IF(VLOOKUP(A406&amp;" "&amp;B406,'HIDDEN import'!A:G,5,FALSE)="M",TRUE,IFERROR(VLOOKUP(E406,'Optional features'!B:D,3,FALSE)="Yes",IFERROR(VLOOKUP(E406,'HIDDEN calc sheet'!A:B,2,FALSE),IFERROR(VLOOKUP(E406,'Additional questions'!B:D,3,FALSE)="Yes",VLOOKUP(E406,'Hardware Feature set'!B:D,3,FALSE)="No"))))</f>
        <v>1</v>
      </c>
      <c r="J406" s="6" t="b">
        <f>IF(VLOOKUP(B406,'Profile selection'!B:C,2,FALSE)="Yes",TRUE,FALSE)</f>
        <v>0</v>
      </c>
    </row>
    <row r="407" spans="1:10" x14ac:dyDescent="0.25">
      <c r="A407" t="str">
        <f>'HIDDEN import'!B406</f>
        <v>TC_K_23_CS</v>
      </c>
      <c r="B407" t="str">
        <f>'HIDDEN import'!C406</f>
        <v>ISO 15118 Support</v>
      </c>
      <c r="C407" t="str">
        <f>'HIDDEN import'!D406</f>
        <v>Set Charging Profile - StartSchedule</v>
      </c>
      <c r="D407" t="str">
        <f>IF(VLOOKUP(A407&amp;" "&amp;B407,'HIDDEN import'!A:G,5,FALSE)="M",MD!$A$1,(IF(AND(VLOOKUP(A407,'HIDDEN import'!B:E,4,FALSE)="C",OR(NOT(ISERROR(VLOOKUP(E407,'Optional features'!B:D,1,FALSE)=E407)),NOT(ISERROR(VLOOKUP(E407,'HIDDEN calc sheet'!A:C,1,FALSE)=E407)))),MD!$A$3,MD!$A$2)))</f>
        <v>Mandatory test for a mandatory feature</v>
      </c>
      <c r="E407" t="str">
        <f>IF('HIDDEN import'!F406=0,"",'HIDDEN import'!F406)</f>
        <v/>
      </c>
      <c r="F407" t="str">
        <f>IF('HIDDEN import'!G406=0,"",'HIDDEN import'!G406)</f>
        <v/>
      </c>
      <c r="G407" s="95" t="str">
        <f>IFERROR(VLOOKUP($A407,'HIDDEN Testrun Results'!$A:$B,2,FALSE),"")</f>
        <v/>
      </c>
      <c r="H407" s="6" t="b">
        <f t="shared" si="6"/>
        <v>0</v>
      </c>
      <c r="I407" s="6" t="b">
        <f>IF(VLOOKUP(A407&amp;" "&amp;B407,'HIDDEN import'!A:G,5,FALSE)="M",TRUE,IFERROR(VLOOKUP(E407,'Optional features'!B:D,3,FALSE)="Yes",IFERROR(VLOOKUP(E407,'HIDDEN calc sheet'!A:B,2,FALSE),IFERROR(VLOOKUP(E407,'Additional questions'!B:D,3,FALSE)="Yes",VLOOKUP(E407,'Hardware Feature set'!B:D,3,FALSE)="No"))))</f>
        <v>1</v>
      </c>
      <c r="J407" s="6" t="b">
        <f>IF(VLOOKUP(B407,'Profile selection'!B:C,2,FALSE)="Yes",TRUE,FALSE)</f>
        <v>0</v>
      </c>
    </row>
    <row r="408" spans="1:10" x14ac:dyDescent="0.25">
      <c r="A408" t="str">
        <f>'HIDDEN import'!B407</f>
        <v>TC_K_04_CS</v>
      </c>
      <c r="B408" t="str">
        <f>'HIDDEN import'!C407</f>
        <v>ISO 15118 Support</v>
      </c>
      <c r="C408" t="str">
        <f>'HIDDEN import'!D407</f>
        <v>Replace charging profile - With chargingProfileId</v>
      </c>
      <c r="D408" t="str">
        <f>IF(VLOOKUP(A408&amp;" "&amp;B408,'HIDDEN import'!A:G,5,FALSE)="M",MD!$A$1,(IF(AND(VLOOKUP(A408,'HIDDEN import'!B:E,4,FALSE)="C",OR(NOT(ISERROR(VLOOKUP(E408,'Optional features'!B:D,1,FALSE)=E408)),NOT(ISERROR(VLOOKUP(E408,'HIDDEN calc sheet'!A:C,1,FALSE)=E408)))),MD!$A$3,MD!$A$2)))</f>
        <v>Mandatory test for a mandatory feature</v>
      </c>
      <c r="E408" t="str">
        <f>IF('HIDDEN import'!F407=0,"",'HIDDEN import'!F407)</f>
        <v/>
      </c>
      <c r="F408" t="str">
        <f>IF('HIDDEN import'!G407=0,"",'HIDDEN import'!G407)</f>
        <v/>
      </c>
      <c r="G408" s="95" t="str">
        <f>IFERROR(VLOOKUP($A408,'HIDDEN Testrun Results'!$A:$B,2,FALSE),"")</f>
        <v/>
      </c>
      <c r="H408" s="6" t="b">
        <f t="shared" si="6"/>
        <v>0</v>
      </c>
      <c r="I408" s="6" t="b">
        <f>IF(VLOOKUP(A408&amp;" "&amp;B408,'HIDDEN import'!A:G,5,FALSE)="M",TRUE,IFERROR(VLOOKUP(E408,'Optional features'!B:D,3,FALSE)="Yes",IFERROR(VLOOKUP(E408,'HIDDEN calc sheet'!A:B,2,FALSE),IFERROR(VLOOKUP(E408,'Additional questions'!B:D,3,FALSE)="Yes",VLOOKUP(E408,'Hardware Feature set'!B:D,3,FALSE)="No"))))</f>
        <v>1</v>
      </c>
      <c r="J408" s="6" t="b">
        <f>IF(VLOOKUP(B408,'Profile selection'!B:C,2,FALSE)="Yes",TRUE,FALSE)</f>
        <v>0</v>
      </c>
    </row>
    <row r="409" spans="1:10" x14ac:dyDescent="0.25">
      <c r="A409" t="str">
        <f>'HIDDEN import'!B408</f>
        <v>TC_K_39_CS</v>
      </c>
      <c r="B409" t="str">
        <f>'HIDDEN import'!C408</f>
        <v>ISO 15118 Support</v>
      </c>
      <c r="C409" t="str">
        <f>'HIDDEN import'!D408</f>
        <v>Get Composite Schedule - No ChargingProfile installed on Charging Station</v>
      </c>
      <c r="D409" t="str">
        <f>IF(VLOOKUP(A409&amp;" "&amp;B409,'HIDDEN import'!A:G,5,FALSE)="M",MD!$A$1,(IF(AND(VLOOKUP(A409,'HIDDEN import'!B:E,4,FALSE)="C",OR(NOT(ISERROR(VLOOKUP(E409,'Optional features'!B:D,1,FALSE)=E409)),NOT(ISERROR(VLOOKUP(E409,'HIDDEN calc sheet'!A:C,1,FALSE)=E409)))),MD!$A$3,MD!$A$2)))</f>
        <v>Mandatory test for a mandatory feature</v>
      </c>
      <c r="E409" t="str">
        <f>IF('HIDDEN import'!F408=0,"",'HIDDEN import'!F408)</f>
        <v/>
      </c>
      <c r="F409" t="str">
        <f>IF('HIDDEN import'!G408=0,"",'HIDDEN import'!G408)</f>
        <v/>
      </c>
      <c r="G409" s="95" t="str">
        <f>IFERROR(VLOOKUP($A409,'HIDDEN Testrun Results'!$A:$B,2,FALSE),"")</f>
        <v/>
      </c>
      <c r="H409" s="6" t="b">
        <f t="shared" si="6"/>
        <v>0</v>
      </c>
      <c r="I409" s="6" t="b">
        <f>IF(VLOOKUP(A409&amp;" "&amp;B409,'HIDDEN import'!A:G,5,FALSE)="M",TRUE,IFERROR(VLOOKUP(E409,'Optional features'!B:D,3,FALSE)="Yes",IFERROR(VLOOKUP(E409,'HIDDEN calc sheet'!A:B,2,FALSE),IFERROR(VLOOKUP(E409,'Additional questions'!B:D,3,FALSE)="Yes",VLOOKUP(E409,'Hardware Feature set'!B:D,3,FALSE)="No"))))</f>
        <v>1</v>
      </c>
      <c r="J409" s="6" t="b">
        <f>IF(VLOOKUP(B409,'Profile selection'!B:C,2,FALSE)="Yes",TRUE,FALSE)</f>
        <v>0</v>
      </c>
    </row>
    <row r="410" spans="1:10" x14ac:dyDescent="0.25">
      <c r="A410" t="str">
        <f>'HIDDEN import'!B409</f>
        <v>TC_K_40_CS</v>
      </c>
      <c r="B410" t="str">
        <f>'HIDDEN import'!C409</f>
        <v>ISO 15118 Support</v>
      </c>
      <c r="C410" t="str">
        <f>'HIDDEN import'!D409</f>
        <v>Get Composite Schedule - Stacking ChargingProfiles</v>
      </c>
      <c r="D410" t="str">
        <f>IF(VLOOKUP(A410&amp;" "&amp;B410,'HIDDEN import'!A:G,5,FALSE)="M",MD!$A$1,(IF(AND(VLOOKUP(A410,'HIDDEN import'!B:E,4,FALSE)="C",OR(NOT(ISERROR(VLOOKUP(E410,'Optional features'!B:D,1,FALSE)=E410)),NOT(ISERROR(VLOOKUP(E410,'HIDDEN calc sheet'!A:C,1,FALSE)=E410)))),MD!$A$3,MD!$A$2)))</f>
        <v>Mandatory test for a mandatory feature</v>
      </c>
      <c r="E410" t="str">
        <f>IF('HIDDEN import'!F409=0,"",'HIDDEN import'!F409)</f>
        <v/>
      </c>
      <c r="F410" t="str">
        <f>IF('HIDDEN import'!G409=0,"",'HIDDEN import'!G409)</f>
        <v/>
      </c>
      <c r="G410" s="95" t="str">
        <f>IFERROR(VLOOKUP($A410,'HIDDEN Testrun Results'!$A:$B,2,FALSE),"")</f>
        <v/>
      </c>
      <c r="H410" s="6" t="b">
        <f t="shared" si="6"/>
        <v>0</v>
      </c>
      <c r="I410" s="6" t="b">
        <f>IF(VLOOKUP(A410&amp;" "&amp;B410,'HIDDEN import'!A:G,5,FALSE)="M",TRUE,IFERROR(VLOOKUP(E410,'Optional features'!B:D,3,FALSE)="Yes",IFERROR(VLOOKUP(E410,'HIDDEN calc sheet'!A:B,2,FALSE),IFERROR(VLOOKUP(E410,'Additional questions'!B:D,3,FALSE)="Yes",VLOOKUP(E410,'Hardware Feature set'!B:D,3,FALSE)="No"))))</f>
        <v>1</v>
      </c>
      <c r="J410" s="6" t="b">
        <f>IF(VLOOKUP(B410,'Profile selection'!B:C,2,FALSE)="Yes",TRUE,FALSE)</f>
        <v>0</v>
      </c>
    </row>
    <row r="411" spans="1:10" x14ac:dyDescent="0.25">
      <c r="A411" t="str">
        <f>'HIDDEN import'!B410</f>
        <v>TC_K_41_CS</v>
      </c>
      <c r="B411" t="str">
        <f>'HIDDEN import'!C410</f>
        <v>ISO 15118 Support</v>
      </c>
      <c r="C411" t="str">
        <f>'HIDDEN import'!D410</f>
        <v>Get Composite Schedule - Combining chargingProfilePurposes</v>
      </c>
      <c r="D411" t="str">
        <f>IF(VLOOKUP(A411&amp;" "&amp;B411,'HIDDEN import'!A:G,5,FALSE)="M",MD!$A$1,(IF(AND(VLOOKUP(A411,'HIDDEN import'!B:E,4,FALSE)="C",OR(NOT(ISERROR(VLOOKUP(E411,'Optional features'!B:D,1,FALSE)=E411)),NOT(ISERROR(VLOOKUP(E411,'HIDDEN calc sheet'!A:C,1,FALSE)=E411)))),MD!$A$3,MD!$A$2)))</f>
        <v>Mandatory test for a mandatory feature</v>
      </c>
      <c r="E411" t="str">
        <f>IF('HIDDEN import'!F410=0,"",'HIDDEN import'!F410)</f>
        <v/>
      </c>
      <c r="F411" t="str">
        <f>IF('HIDDEN import'!G410=0,"",'HIDDEN import'!G410)</f>
        <v/>
      </c>
      <c r="G411" s="95" t="str">
        <f>IFERROR(VLOOKUP($A411,'HIDDEN Testrun Results'!$A:$B,2,FALSE),"")</f>
        <v/>
      </c>
      <c r="H411" s="6" t="b">
        <f t="shared" si="6"/>
        <v>0</v>
      </c>
      <c r="I411" s="6" t="b">
        <f>IF(VLOOKUP(A411&amp;" "&amp;B411,'HIDDEN import'!A:G,5,FALSE)="M",TRUE,IFERROR(VLOOKUP(E411,'Optional features'!B:D,3,FALSE)="Yes",IFERROR(VLOOKUP(E411,'HIDDEN calc sheet'!A:B,2,FALSE),IFERROR(VLOOKUP(E411,'Additional questions'!B:D,3,FALSE)="Yes",VLOOKUP(E411,'Hardware Feature set'!B:D,3,FALSE)="No"))))</f>
        <v>1</v>
      </c>
      <c r="J411" s="6" t="b">
        <f>IF(VLOOKUP(B411,'Profile selection'!B:C,2,FALSE)="Yes",TRUE,FALSE)</f>
        <v>0</v>
      </c>
    </row>
    <row r="412" spans="1:10" x14ac:dyDescent="0.25">
      <c r="A412" t="str">
        <f>'HIDDEN import'!B411</f>
        <v>TC_K_42_CS</v>
      </c>
      <c r="B412" t="str">
        <f>'HIDDEN import'!C411</f>
        <v>ISO 15118 Support</v>
      </c>
      <c r="C412" t="str">
        <f>'HIDDEN import'!D411</f>
        <v>Get Composite Schedule - chargingRateUnit  not supported</v>
      </c>
      <c r="D412" t="str">
        <f>IF(VLOOKUP(A412&amp;" "&amp;B412,'HIDDEN import'!A:G,5,FALSE)="M",MD!$A$1,(IF(AND(VLOOKUP(A412,'HIDDEN import'!B:E,4,FALSE)="C",OR(NOT(ISERROR(VLOOKUP(E412,'Optional features'!B:D,1,FALSE)=E412)),NOT(ISERROR(VLOOKUP(E412,'HIDDEN calc sheet'!A:C,1,FALSE)=E412)))),MD!$A$3,MD!$A$2)))</f>
        <v>Mandatory for optional feature</v>
      </c>
      <c r="E412" t="str">
        <f>IF('HIDDEN import'!F411=0,"",'HIDDEN import'!F411)</f>
        <v>NOT (SC-2.1 and SC-2.2)</v>
      </c>
      <c r="F412" t="str">
        <f>IF('HIDDEN import'!G411=0,"",'HIDDEN import'!G411)</f>
        <v/>
      </c>
      <c r="G412" s="95" t="str">
        <f>IFERROR(VLOOKUP($A412,'HIDDEN Testrun Results'!$A:$B,2,FALSE),"")</f>
        <v/>
      </c>
      <c r="H412" s="6" t="b">
        <f t="shared" si="6"/>
        <v>0</v>
      </c>
      <c r="I412" s="6" t="b">
        <f>IF(VLOOKUP(A412&amp;" "&amp;B412,'HIDDEN import'!A:G,5,FALSE)="M",TRUE,IFERROR(VLOOKUP(E412,'Optional features'!B:D,3,FALSE)="Yes",IFERROR(VLOOKUP(E412,'HIDDEN calc sheet'!A:B,2,FALSE),IFERROR(VLOOKUP(E412,'Additional questions'!B:D,3,FALSE)="Yes",VLOOKUP(E412,'Hardware Feature set'!B:D,3,FALSE)="No"))))</f>
        <v>1</v>
      </c>
      <c r="J412" s="6" t="b">
        <f>IF(VLOOKUP(B412,'Profile selection'!B:C,2,FALSE)="Yes",TRUE,FALSE)</f>
        <v>0</v>
      </c>
    </row>
    <row r="413" spans="1:10" x14ac:dyDescent="0.25">
      <c r="A413" t="str">
        <f>'HIDDEN import'!B412</f>
        <v>TC_K_47_CS</v>
      </c>
      <c r="B413" t="str">
        <f>'HIDDEN import'!C412</f>
        <v>ISO 15118 Support</v>
      </c>
      <c r="C413" t="str">
        <f>'HIDDEN import'!D412</f>
        <v>Get Composite Schedule - Unknown EVSEId</v>
      </c>
      <c r="D413" t="str">
        <f>IF(VLOOKUP(A413&amp;" "&amp;B413,'HIDDEN import'!A:G,5,FALSE)="M",MD!$A$1,(IF(AND(VLOOKUP(A413,'HIDDEN import'!B:E,4,FALSE)="C",OR(NOT(ISERROR(VLOOKUP(E413,'Optional features'!B:D,1,FALSE)=E413)),NOT(ISERROR(VLOOKUP(E413,'HIDDEN calc sheet'!A:C,1,FALSE)=E413)))),MD!$A$3,MD!$A$2)))</f>
        <v>Mandatory test for a mandatory feature</v>
      </c>
      <c r="E413" t="str">
        <f>IF('HIDDEN import'!F412=0,"",'HIDDEN import'!F412)</f>
        <v/>
      </c>
      <c r="F413" t="str">
        <f>IF('HIDDEN import'!G412=0,"",'HIDDEN import'!G412)</f>
        <v/>
      </c>
      <c r="G413" s="95" t="str">
        <f>IFERROR(VLOOKUP($A413,'HIDDEN Testrun Results'!$A:$B,2,FALSE),"")</f>
        <v/>
      </c>
      <c r="H413" s="6" t="b">
        <f t="shared" si="6"/>
        <v>0</v>
      </c>
      <c r="I413" s="6" t="b">
        <f>IF(VLOOKUP(A413&amp;" "&amp;B413,'HIDDEN import'!A:G,5,FALSE)="M",TRUE,IFERROR(VLOOKUP(E413,'Optional features'!B:D,3,FALSE)="Yes",IFERROR(VLOOKUP(E413,'HIDDEN calc sheet'!A:B,2,FALSE),IFERROR(VLOOKUP(E413,'Additional questions'!B:D,3,FALSE)="Yes",VLOOKUP(E413,'Hardware Feature set'!B:D,3,FALSE)="No"))))</f>
        <v>1</v>
      </c>
      <c r="J413" s="6" t="b">
        <f>IF(VLOOKUP(B413,'Profile selection'!B:C,2,FALSE)="Yes",TRUE,FALSE)</f>
        <v>0</v>
      </c>
    </row>
    <row r="414" spans="1:10" x14ac:dyDescent="0.25">
      <c r="A414" t="str">
        <f>'HIDDEN import'!B413</f>
        <v>TC_K_29_CS</v>
      </c>
      <c r="B414" t="str">
        <f>'HIDDEN import'!C413</f>
        <v>ISO 15118 Support</v>
      </c>
      <c r="C414" t="str">
        <f>'HIDDEN import'!D413</f>
        <v>Get Charging Profile - EvseId 0</v>
      </c>
      <c r="D414" t="str">
        <f>IF(VLOOKUP(A414&amp;" "&amp;B414,'HIDDEN import'!A:G,5,FALSE)="M",MD!$A$1,(IF(AND(VLOOKUP(A414,'HIDDEN import'!B:E,4,FALSE)="C",OR(NOT(ISERROR(VLOOKUP(E414,'Optional features'!B:D,1,FALSE)=E414)),NOT(ISERROR(VLOOKUP(E414,'HIDDEN calc sheet'!A:C,1,FALSE)=E414)))),MD!$A$3,MD!$A$2)))</f>
        <v>Mandatory test for a mandatory feature</v>
      </c>
      <c r="E414" t="str">
        <f>IF('HIDDEN import'!F413=0,"",'HIDDEN import'!F413)</f>
        <v/>
      </c>
      <c r="F414" t="str">
        <f>IF('HIDDEN import'!G413=0,"",'HIDDEN import'!G413)</f>
        <v/>
      </c>
      <c r="G414" s="95" t="str">
        <f>IFERROR(VLOOKUP($A414,'HIDDEN Testrun Results'!$A:$B,2,FALSE),"")</f>
        <v/>
      </c>
      <c r="H414" s="6" t="b">
        <f t="shared" si="6"/>
        <v>0</v>
      </c>
      <c r="I414" s="6" t="b">
        <f>IF(VLOOKUP(A414&amp;" "&amp;B414,'HIDDEN import'!A:G,5,FALSE)="M",TRUE,IFERROR(VLOOKUP(E414,'Optional features'!B:D,3,FALSE)="Yes",IFERROR(VLOOKUP(E414,'HIDDEN calc sheet'!A:B,2,FALSE),IFERROR(VLOOKUP(E414,'Additional questions'!B:D,3,FALSE)="Yes",VLOOKUP(E414,'Hardware Feature set'!B:D,3,FALSE)="No"))))</f>
        <v>1</v>
      </c>
      <c r="J414" s="6" t="b">
        <f>IF(VLOOKUP(B414,'Profile selection'!B:C,2,FALSE)="Yes",TRUE,FALSE)</f>
        <v>0</v>
      </c>
    </row>
    <row r="415" spans="1:10" x14ac:dyDescent="0.25">
      <c r="A415" t="str">
        <f>'HIDDEN import'!B414</f>
        <v>TC_K_30_CS</v>
      </c>
      <c r="B415" t="str">
        <f>'HIDDEN import'!C414</f>
        <v>ISO 15118 Support</v>
      </c>
      <c r="C415" t="str">
        <f>'HIDDEN import'!D414</f>
        <v>Get Charging Profile - EvseId &gt; 0</v>
      </c>
      <c r="D415" t="str">
        <f>IF(VLOOKUP(A415&amp;" "&amp;B415,'HIDDEN import'!A:G,5,FALSE)="M",MD!$A$1,(IF(AND(VLOOKUP(A415,'HIDDEN import'!B:E,4,FALSE)="C",OR(NOT(ISERROR(VLOOKUP(E415,'Optional features'!B:D,1,FALSE)=E415)),NOT(ISERROR(VLOOKUP(E415,'HIDDEN calc sheet'!A:C,1,FALSE)=E415)))),MD!$A$3,MD!$A$2)))</f>
        <v>Mandatory test for a mandatory feature</v>
      </c>
      <c r="E415" t="str">
        <f>IF('HIDDEN import'!F414=0,"",'HIDDEN import'!F414)</f>
        <v/>
      </c>
      <c r="F415" t="str">
        <f>IF('HIDDEN import'!G414=0,"",'HIDDEN import'!G414)</f>
        <v/>
      </c>
      <c r="G415" s="95" t="str">
        <f>IFERROR(VLOOKUP($A415,'HIDDEN Testrun Results'!$A:$B,2,FALSE),"")</f>
        <v/>
      </c>
      <c r="H415" s="6" t="b">
        <f t="shared" si="6"/>
        <v>0</v>
      </c>
      <c r="I415" s="6" t="b">
        <f>IF(VLOOKUP(A415&amp;" "&amp;B415,'HIDDEN import'!A:G,5,FALSE)="M",TRUE,IFERROR(VLOOKUP(E415,'Optional features'!B:D,3,FALSE)="Yes",IFERROR(VLOOKUP(E415,'HIDDEN calc sheet'!A:B,2,FALSE),IFERROR(VLOOKUP(E415,'Additional questions'!B:D,3,FALSE)="Yes",VLOOKUP(E415,'Hardware Feature set'!B:D,3,FALSE)="No"))))</f>
        <v>1</v>
      </c>
      <c r="J415" s="6" t="b">
        <f>IF(VLOOKUP(B415,'Profile selection'!B:C,2,FALSE)="Yes",TRUE,FALSE)</f>
        <v>0</v>
      </c>
    </row>
    <row r="416" spans="1:10" x14ac:dyDescent="0.25">
      <c r="A416" t="str">
        <f>'HIDDEN import'!B415</f>
        <v>TC_K_31_CS</v>
      </c>
      <c r="B416" t="str">
        <f>'HIDDEN import'!C415</f>
        <v>ISO 15118 Support</v>
      </c>
      <c r="C416" t="str">
        <f>'HIDDEN import'!D415</f>
        <v>Get Charging Profile - No EvseId</v>
      </c>
      <c r="D416" t="str">
        <f>IF(VLOOKUP(A416&amp;" "&amp;B416,'HIDDEN import'!A:G,5,FALSE)="M",MD!$A$1,(IF(AND(VLOOKUP(A416,'HIDDEN import'!B:E,4,FALSE)="C",OR(NOT(ISERROR(VLOOKUP(E416,'Optional features'!B:D,1,FALSE)=E416)),NOT(ISERROR(VLOOKUP(E416,'HIDDEN calc sheet'!A:C,1,FALSE)=E416)))),MD!$A$3,MD!$A$2)))</f>
        <v>Mandatory test for a mandatory feature</v>
      </c>
      <c r="E416" t="str">
        <f>IF('HIDDEN import'!F415=0,"",'HIDDEN import'!F415)</f>
        <v/>
      </c>
      <c r="F416" t="str">
        <f>IF('HIDDEN import'!G415=0,"",'HIDDEN import'!G415)</f>
        <v/>
      </c>
      <c r="G416" s="95" t="str">
        <f>IFERROR(VLOOKUP($A416,'HIDDEN Testrun Results'!$A:$B,2,FALSE),"")</f>
        <v/>
      </c>
      <c r="H416" s="6" t="b">
        <f t="shared" si="6"/>
        <v>0</v>
      </c>
      <c r="I416" s="6" t="b">
        <f>IF(VLOOKUP(A416&amp;" "&amp;B416,'HIDDEN import'!A:G,5,FALSE)="M",TRUE,IFERROR(VLOOKUP(E416,'Optional features'!B:D,3,FALSE)="Yes",IFERROR(VLOOKUP(E416,'HIDDEN calc sheet'!A:B,2,FALSE),IFERROR(VLOOKUP(E416,'Additional questions'!B:D,3,FALSE)="Yes",VLOOKUP(E416,'Hardware Feature set'!B:D,3,FALSE)="No"))))</f>
        <v>1</v>
      </c>
      <c r="J416" s="6" t="b">
        <f>IF(VLOOKUP(B416,'Profile selection'!B:C,2,FALSE)="Yes",TRUE,FALSE)</f>
        <v>0</v>
      </c>
    </row>
    <row r="417" spans="1:10" x14ac:dyDescent="0.25">
      <c r="A417" t="str">
        <f>'HIDDEN import'!B416</f>
        <v>TC_K_32_CS</v>
      </c>
      <c r="B417" t="str">
        <f>'HIDDEN import'!C416</f>
        <v>ISO 15118 Support</v>
      </c>
      <c r="C417" t="str">
        <f>'HIDDEN import'!D416</f>
        <v>Get Charging Profile - chargingProfileId</v>
      </c>
      <c r="D417" t="str">
        <f>IF(VLOOKUP(A417&amp;" "&amp;B417,'HIDDEN import'!A:G,5,FALSE)="M",MD!$A$1,(IF(AND(VLOOKUP(A417,'HIDDEN import'!B:E,4,FALSE)="C",OR(NOT(ISERROR(VLOOKUP(E417,'Optional features'!B:D,1,FALSE)=E417)),NOT(ISERROR(VLOOKUP(E417,'HIDDEN calc sheet'!A:C,1,FALSE)=E417)))),MD!$A$3,MD!$A$2)))</f>
        <v>Mandatory test for a mandatory feature</v>
      </c>
      <c r="E417" t="str">
        <f>IF('HIDDEN import'!F416=0,"",'HIDDEN import'!F416)</f>
        <v/>
      </c>
      <c r="F417" t="str">
        <f>IF('HIDDEN import'!G416=0,"",'HIDDEN import'!G416)</f>
        <v/>
      </c>
      <c r="G417" s="95" t="str">
        <f>IFERROR(VLOOKUP($A417,'HIDDEN Testrun Results'!$A:$B,2,FALSE),"")</f>
        <v/>
      </c>
      <c r="H417" s="6" t="b">
        <f t="shared" si="6"/>
        <v>0</v>
      </c>
      <c r="I417" s="6" t="b">
        <f>IF(VLOOKUP(A417&amp;" "&amp;B417,'HIDDEN import'!A:G,5,FALSE)="M",TRUE,IFERROR(VLOOKUP(E417,'Optional features'!B:D,3,FALSE)="Yes",IFERROR(VLOOKUP(E417,'HIDDEN calc sheet'!A:B,2,FALSE),IFERROR(VLOOKUP(E417,'Additional questions'!B:D,3,FALSE)="Yes",VLOOKUP(E417,'Hardware Feature set'!B:D,3,FALSE)="No"))))</f>
        <v>1</v>
      </c>
      <c r="J417" s="6" t="b">
        <f>IF(VLOOKUP(B417,'Profile selection'!B:C,2,FALSE)="Yes",TRUE,FALSE)</f>
        <v>0</v>
      </c>
    </row>
    <row r="418" spans="1:10" x14ac:dyDescent="0.25">
      <c r="A418" t="str">
        <f>'HIDDEN import'!B417</f>
        <v>TC_K_33_CS</v>
      </c>
      <c r="B418" t="str">
        <f>'HIDDEN import'!C417</f>
        <v>ISO 15118 Support</v>
      </c>
      <c r="C418" t="str">
        <f>'HIDDEN import'!D417</f>
        <v>Get Charging Profile - EvseId &gt; 0 + stackLevel</v>
      </c>
      <c r="D418" t="str">
        <f>IF(VLOOKUP(A418&amp;" "&amp;B418,'HIDDEN import'!A:G,5,FALSE)="M",MD!$A$1,(IF(AND(VLOOKUP(A418,'HIDDEN import'!B:E,4,FALSE)="C",OR(NOT(ISERROR(VLOOKUP(E418,'Optional features'!B:D,1,FALSE)=E418)),NOT(ISERROR(VLOOKUP(E418,'HIDDEN calc sheet'!A:C,1,FALSE)=E418)))),MD!$A$3,MD!$A$2)))</f>
        <v>Mandatory test for a mandatory feature</v>
      </c>
      <c r="E418" t="str">
        <f>IF('HIDDEN import'!F417=0,"",'HIDDEN import'!F417)</f>
        <v/>
      </c>
      <c r="F418" t="str">
        <f>IF('HIDDEN import'!G417=0,"",'HIDDEN import'!G417)</f>
        <v/>
      </c>
      <c r="G418" s="95" t="str">
        <f>IFERROR(VLOOKUP($A418,'HIDDEN Testrun Results'!$A:$B,2,FALSE),"")</f>
        <v/>
      </c>
      <c r="H418" s="6" t="b">
        <f t="shared" si="6"/>
        <v>0</v>
      </c>
      <c r="I418" s="6" t="b">
        <f>IF(VLOOKUP(A418&amp;" "&amp;B418,'HIDDEN import'!A:G,5,FALSE)="M",TRUE,IFERROR(VLOOKUP(E418,'Optional features'!B:D,3,FALSE)="Yes",IFERROR(VLOOKUP(E418,'HIDDEN calc sheet'!A:B,2,FALSE),IFERROR(VLOOKUP(E418,'Additional questions'!B:D,3,FALSE)="Yes",VLOOKUP(E418,'Hardware Feature set'!B:D,3,FALSE)="No"))))</f>
        <v>1</v>
      </c>
      <c r="J418" s="6" t="b">
        <f>IF(VLOOKUP(B418,'Profile selection'!B:C,2,FALSE)="Yes",TRUE,FALSE)</f>
        <v>0</v>
      </c>
    </row>
    <row r="419" spans="1:10" x14ac:dyDescent="0.25">
      <c r="A419" t="str">
        <f>'HIDDEN import'!B418</f>
        <v>TC_K_34_CS</v>
      </c>
      <c r="B419" t="str">
        <f>'HIDDEN import'!C418</f>
        <v>ISO 15118 Support</v>
      </c>
      <c r="C419" t="str">
        <f>'HIDDEN import'!D418</f>
        <v>Get Charging Profile - EvseId &gt; 0 + chargingLimitSource</v>
      </c>
      <c r="D419" t="str">
        <f>IF(VLOOKUP(A419&amp;" "&amp;B419,'HIDDEN import'!A:G,5,FALSE)="M",MD!$A$1,(IF(AND(VLOOKUP(A419,'HIDDEN import'!B:E,4,FALSE)="C",OR(NOT(ISERROR(VLOOKUP(E419,'Optional features'!B:D,1,FALSE)=E419)),NOT(ISERROR(VLOOKUP(E419,'HIDDEN calc sheet'!A:C,1,FALSE)=E419)))),MD!$A$3,MD!$A$2)))</f>
        <v>Mandatory test for a mandatory feature</v>
      </c>
      <c r="E419" t="str">
        <f>IF('HIDDEN import'!F418=0,"",'HIDDEN import'!F418)</f>
        <v/>
      </c>
      <c r="F419" t="str">
        <f>IF('HIDDEN import'!G418=0,"",'HIDDEN import'!G418)</f>
        <v/>
      </c>
      <c r="G419" s="95" t="str">
        <f>IFERROR(VLOOKUP($A419,'HIDDEN Testrun Results'!$A:$B,2,FALSE),"")</f>
        <v/>
      </c>
      <c r="H419" s="6" t="b">
        <f t="shared" si="6"/>
        <v>0</v>
      </c>
      <c r="I419" s="6" t="b">
        <f>IF(VLOOKUP(A419&amp;" "&amp;B419,'HIDDEN import'!A:G,5,FALSE)="M",TRUE,IFERROR(VLOOKUP(E419,'Optional features'!B:D,3,FALSE)="Yes",IFERROR(VLOOKUP(E419,'HIDDEN calc sheet'!A:B,2,FALSE),IFERROR(VLOOKUP(E419,'Additional questions'!B:D,3,FALSE)="Yes",VLOOKUP(E419,'Hardware Feature set'!B:D,3,FALSE)="No"))))</f>
        <v>1</v>
      </c>
      <c r="J419" s="6" t="b">
        <f>IF(VLOOKUP(B419,'Profile selection'!B:C,2,FALSE)="Yes",TRUE,FALSE)</f>
        <v>0</v>
      </c>
    </row>
    <row r="420" spans="1:10" x14ac:dyDescent="0.25">
      <c r="A420" t="str">
        <f>'HIDDEN import'!B419</f>
        <v>TC_K_35_CS</v>
      </c>
      <c r="B420" t="str">
        <f>'HIDDEN import'!C419</f>
        <v>ISO 15118 Support</v>
      </c>
      <c r="C420" t="str">
        <f>'HIDDEN import'!D419</f>
        <v>Get Charging Profile - EvseId &gt; 0 + chargingProfilePurpose</v>
      </c>
      <c r="D420" t="str">
        <f>IF(VLOOKUP(A420&amp;" "&amp;B420,'HIDDEN import'!A:G,5,FALSE)="M",MD!$A$1,(IF(AND(VLOOKUP(A420,'HIDDEN import'!B:E,4,FALSE)="C",OR(NOT(ISERROR(VLOOKUP(E420,'Optional features'!B:D,1,FALSE)=E420)),NOT(ISERROR(VLOOKUP(E420,'HIDDEN calc sheet'!A:C,1,FALSE)=E420)))),MD!$A$3,MD!$A$2)))</f>
        <v>Mandatory test for a mandatory feature</v>
      </c>
      <c r="E420" t="str">
        <f>IF('HIDDEN import'!F419=0,"",'HIDDEN import'!F419)</f>
        <v/>
      </c>
      <c r="F420" t="str">
        <f>IF('HIDDEN import'!G419=0,"",'HIDDEN import'!G419)</f>
        <v/>
      </c>
      <c r="G420" s="95" t="str">
        <f>IFERROR(VLOOKUP($A420,'HIDDEN Testrun Results'!$A:$B,2,FALSE),"")</f>
        <v/>
      </c>
      <c r="H420" s="6" t="b">
        <f t="shared" si="6"/>
        <v>0</v>
      </c>
      <c r="I420" s="6" t="b">
        <f>IF(VLOOKUP(A420&amp;" "&amp;B420,'HIDDEN import'!A:G,5,FALSE)="M",TRUE,IFERROR(VLOOKUP(E420,'Optional features'!B:D,3,FALSE)="Yes",IFERROR(VLOOKUP(E420,'HIDDEN calc sheet'!A:B,2,FALSE),IFERROR(VLOOKUP(E420,'Additional questions'!B:D,3,FALSE)="Yes",VLOOKUP(E420,'Hardware Feature set'!B:D,3,FALSE)="No"))))</f>
        <v>1</v>
      </c>
      <c r="J420" s="6" t="b">
        <f>IF(VLOOKUP(B420,'Profile selection'!B:C,2,FALSE)="Yes",TRUE,FALSE)</f>
        <v>0</v>
      </c>
    </row>
    <row r="421" spans="1:10" x14ac:dyDescent="0.25">
      <c r="A421" t="str">
        <f>'HIDDEN import'!B420</f>
        <v>TC_K_36_CS</v>
      </c>
      <c r="B421" t="str">
        <f>'HIDDEN import'!C420</f>
        <v>ISO 15118 Support</v>
      </c>
      <c r="C421" t="str">
        <f>'HIDDEN import'!D420</f>
        <v>Get Charging Profile - EvseId &gt; 0 + chargingProfilePurpose + stackLevel</v>
      </c>
      <c r="D421" t="str">
        <f>IF(VLOOKUP(A421&amp;" "&amp;B421,'HIDDEN import'!A:G,5,FALSE)="M",MD!$A$1,(IF(AND(VLOOKUP(A421,'HIDDEN import'!B:E,4,FALSE)="C",OR(NOT(ISERROR(VLOOKUP(E421,'Optional features'!B:D,1,FALSE)=E421)),NOT(ISERROR(VLOOKUP(E421,'HIDDEN calc sheet'!A:C,1,FALSE)=E421)))),MD!$A$3,MD!$A$2)))</f>
        <v>Mandatory test for a mandatory feature</v>
      </c>
      <c r="E421" t="str">
        <f>IF('HIDDEN import'!F420=0,"",'HIDDEN import'!F420)</f>
        <v/>
      </c>
      <c r="F421" t="str">
        <f>IF('HIDDEN import'!G420=0,"",'HIDDEN import'!G420)</f>
        <v/>
      </c>
      <c r="G421" s="95" t="str">
        <f>IFERROR(VLOOKUP($A421,'HIDDEN Testrun Results'!$A:$B,2,FALSE),"")</f>
        <v/>
      </c>
      <c r="H421" s="6" t="b">
        <f t="shared" si="6"/>
        <v>0</v>
      </c>
      <c r="I421" s="6" t="b">
        <f>IF(VLOOKUP(A421&amp;" "&amp;B421,'HIDDEN import'!A:G,5,FALSE)="M",TRUE,IFERROR(VLOOKUP(E421,'Optional features'!B:D,3,FALSE)="Yes",IFERROR(VLOOKUP(E421,'HIDDEN calc sheet'!A:B,2,FALSE),IFERROR(VLOOKUP(E421,'Additional questions'!B:D,3,FALSE)="Yes",VLOOKUP(E421,'Hardware Feature set'!B:D,3,FALSE)="No"))))</f>
        <v>1</v>
      </c>
      <c r="J421" s="6" t="b">
        <f>IF(VLOOKUP(B421,'Profile selection'!B:C,2,FALSE)="Yes",TRUE,FALSE)</f>
        <v>0</v>
      </c>
    </row>
    <row r="422" spans="1:10" x14ac:dyDescent="0.25">
      <c r="A422" t="str">
        <f>'HIDDEN import'!B421</f>
        <v>TC_K_05_CS</v>
      </c>
      <c r="B422" t="str">
        <f>'HIDDEN import'!C421</f>
        <v>ISO 15118 Support</v>
      </c>
      <c r="C422" t="str">
        <f>'HIDDEN import'!D421</f>
        <v>Clear Charging Profile - With chargingProfileId</v>
      </c>
      <c r="D422" t="str">
        <f>IF(VLOOKUP(A422&amp;" "&amp;B422,'HIDDEN import'!A:G,5,FALSE)="M",MD!$A$1,(IF(AND(VLOOKUP(A422,'HIDDEN import'!B:E,4,FALSE)="C",OR(NOT(ISERROR(VLOOKUP(E422,'Optional features'!B:D,1,FALSE)=E422)),NOT(ISERROR(VLOOKUP(E422,'HIDDEN calc sheet'!A:C,1,FALSE)=E422)))),MD!$A$3,MD!$A$2)))</f>
        <v>Mandatory test for a mandatory feature</v>
      </c>
      <c r="E422" t="str">
        <f>IF('HIDDEN import'!F421=0,"",'HIDDEN import'!F421)</f>
        <v/>
      </c>
      <c r="F422" t="str">
        <f>IF('HIDDEN import'!G421=0,"",'HIDDEN import'!G421)</f>
        <v/>
      </c>
      <c r="G422" s="95" t="str">
        <f>IFERROR(VLOOKUP($A422,'HIDDEN Testrun Results'!$A:$B,2,FALSE),"")</f>
        <v/>
      </c>
      <c r="H422" s="6" t="b">
        <f t="shared" si="6"/>
        <v>0</v>
      </c>
      <c r="I422" s="6" t="b">
        <f>IF(VLOOKUP(A422&amp;" "&amp;B422,'HIDDEN import'!A:G,5,FALSE)="M",TRUE,IFERROR(VLOOKUP(E422,'Optional features'!B:D,3,FALSE)="Yes",IFERROR(VLOOKUP(E422,'HIDDEN calc sheet'!A:B,2,FALSE),IFERROR(VLOOKUP(E422,'Additional questions'!B:D,3,FALSE)="Yes",VLOOKUP(E422,'Hardware Feature set'!B:D,3,FALSE)="No"))))</f>
        <v>1</v>
      </c>
      <c r="J422" s="6" t="b">
        <f>IF(VLOOKUP(B422,'Profile selection'!B:C,2,FALSE)="Yes",TRUE,FALSE)</f>
        <v>0</v>
      </c>
    </row>
    <row r="423" spans="1:10" x14ac:dyDescent="0.25">
      <c r="A423" t="str">
        <f>'HIDDEN import'!B422</f>
        <v>TC_K_06_CS</v>
      </c>
      <c r="B423" t="str">
        <f>'HIDDEN import'!C422</f>
        <v>ISO 15118 Support</v>
      </c>
      <c r="C423" t="str">
        <f>'HIDDEN import'!D422</f>
        <v>Clear Charging Profile - With stackLevel/purpose combination for one profile</v>
      </c>
      <c r="D423" t="str">
        <f>IF(VLOOKUP(A423&amp;" "&amp;B423,'HIDDEN import'!A:G,5,FALSE)="M",MD!$A$1,(IF(AND(VLOOKUP(A423,'HIDDEN import'!B:E,4,FALSE)="C",OR(NOT(ISERROR(VLOOKUP(E423,'Optional features'!B:D,1,FALSE)=E423)),NOT(ISERROR(VLOOKUP(E423,'HIDDEN calc sheet'!A:C,1,FALSE)=E423)))),MD!$A$3,MD!$A$2)))</f>
        <v>Mandatory test for a mandatory feature</v>
      </c>
      <c r="E423" t="str">
        <f>IF('HIDDEN import'!F422=0,"",'HIDDEN import'!F422)</f>
        <v/>
      </c>
      <c r="F423" t="str">
        <f>IF('HIDDEN import'!G422=0,"",'HIDDEN import'!G422)</f>
        <v/>
      </c>
      <c r="G423" s="95" t="str">
        <f>IFERROR(VLOOKUP($A423,'HIDDEN Testrun Results'!$A:$B,2,FALSE),"")</f>
        <v/>
      </c>
      <c r="H423" s="6" t="b">
        <f t="shared" si="6"/>
        <v>0</v>
      </c>
      <c r="I423" s="6" t="b">
        <f>IF(VLOOKUP(A423&amp;" "&amp;B423,'HIDDEN import'!A:G,5,FALSE)="M",TRUE,IFERROR(VLOOKUP(E423,'Optional features'!B:D,3,FALSE)="Yes",IFERROR(VLOOKUP(E423,'HIDDEN calc sheet'!A:B,2,FALSE),IFERROR(VLOOKUP(E423,'Additional questions'!B:D,3,FALSE)="Yes",VLOOKUP(E423,'Hardware Feature set'!B:D,3,FALSE)="No"))))</f>
        <v>1</v>
      </c>
      <c r="J423" s="6" t="b">
        <f>IF(VLOOKUP(B423,'Profile selection'!B:C,2,FALSE)="Yes",TRUE,FALSE)</f>
        <v>0</v>
      </c>
    </row>
    <row r="424" spans="1:10" x14ac:dyDescent="0.25">
      <c r="A424" t="str">
        <f>'HIDDEN import'!B423</f>
        <v>TC_K_24_CS</v>
      </c>
      <c r="B424" t="str">
        <f>'HIDDEN import'!C423</f>
        <v>ISO 15118 Support</v>
      </c>
      <c r="C424" t="str">
        <f>'HIDDEN import'!D423</f>
        <v>Clear Charging Profile - With stackLevel/purpose combination for multiple profiles</v>
      </c>
      <c r="D424" t="str">
        <f>IF(VLOOKUP(A424&amp;" "&amp;B424,'HIDDEN import'!A:G,5,FALSE)="M",MD!$A$1,(IF(AND(VLOOKUP(A424,'HIDDEN import'!B:E,4,FALSE)="C",OR(NOT(ISERROR(VLOOKUP(E424,'Optional features'!B:D,1,FALSE)=E424)),NOT(ISERROR(VLOOKUP(E424,'HIDDEN calc sheet'!A:C,1,FALSE)=E424)))),MD!$A$3,MD!$A$2)))</f>
        <v>Mandatory for optional feature</v>
      </c>
      <c r="E424" t="str">
        <f>IF('HIDDEN import'!F423=0,"",'HIDDEN import'!F423)</f>
        <v>HFS-8 &gt; 1</v>
      </c>
      <c r="F424" t="str">
        <f>IF('HIDDEN import'!G423=0,"",'HIDDEN import'!G423)</f>
        <v/>
      </c>
      <c r="G424" s="95" t="str">
        <f>IFERROR(VLOOKUP($A424,'HIDDEN Testrun Results'!$A:$B,2,FALSE),"")</f>
        <v/>
      </c>
      <c r="H424" s="6" t="b">
        <f t="shared" si="6"/>
        <v>0</v>
      </c>
      <c r="I424" s="6" t="b">
        <f>IF(VLOOKUP(A424&amp;" "&amp;B424,'HIDDEN import'!A:G,5,FALSE)="M",TRUE,IFERROR(VLOOKUP(E424,'Optional features'!B:D,3,FALSE)="Yes",IFERROR(VLOOKUP(E424,'HIDDEN calc sheet'!A:B,2,FALSE),IFERROR(VLOOKUP(E424,'Additional questions'!B:D,3,FALSE)="Yes",VLOOKUP(E424,'Hardware Feature set'!B:D,3,FALSE)="No"))))</f>
        <v>0</v>
      </c>
      <c r="J424" s="6" t="b">
        <f>IF(VLOOKUP(B424,'Profile selection'!B:C,2,FALSE)="Yes",TRUE,FALSE)</f>
        <v>0</v>
      </c>
    </row>
    <row r="425" spans="1:10" x14ac:dyDescent="0.25">
      <c r="A425" t="str">
        <f>'HIDDEN import'!B424</f>
        <v>TC_K_07_CS</v>
      </c>
      <c r="B425" t="str">
        <f>'HIDDEN import'!C424</f>
        <v>ISO 15118 Support</v>
      </c>
      <c r="C425" t="str">
        <f>'HIDDEN import'!D424</f>
        <v>Clear Charging Profile - With unknown stackLevel/purpose combination</v>
      </c>
      <c r="D425" t="str">
        <f>IF(VLOOKUP(A425&amp;" "&amp;B425,'HIDDEN import'!A:G,5,FALSE)="M",MD!$A$1,(IF(AND(VLOOKUP(A425,'HIDDEN import'!B:E,4,FALSE)="C",OR(NOT(ISERROR(VLOOKUP(E425,'Optional features'!B:D,1,FALSE)=E425)),NOT(ISERROR(VLOOKUP(E425,'HIDDEN calc sheet'!A:C,1,FALSE)=E425)))),MD!$A$3,MD!$A$2)))</f>
        <v>Mandatory test for a mandatory feature</v>
      </c>
      <c r="E425" t="str">
        <f>IF('HIDDEN import'!F424=0,"",'HIDDEN import'!F424)</f>
        <v/>
      </c>
      <c r="F425" t="str">
        <f>IF('HIDDEN import'!G424=0,"",'HIDDEN import'!G424)</f>
        <v/>
      </c>
      <c r="G425" s="95" t="str">
        <f>IFERROR(VLOOKUP($A425,'HIDDEN Testrun Results'!$A:$B,2,FALSE),"")</f>
        <v/>
      </c>
      <c r="H425" s="6" t="b">
        <f t="shared" si="6"/>
        <v>0</v>
      </c>
      <c r="I425" s="6" t="b">
        <f>IF(VLOOKUP(A425&amp;" "&amp;B425,'HIDDEN import'!A:G,5,FALSE)="M",TRUE,IFERROR(VLOOKUP(E425,'Optional features'!B:D,3,FALSE)="Yes",IFERROR(VLOOKUP(E425,'HIDDEN calc sheet'!A:B,2,FALSE),IFERROR(VLOOKUP(E425,'Additional questions'!B:D,3,FALSE)="Yes",VLOOKUP(E425,'Hardware Feature set'!B:D,3,FALSE)="No"))))</f>
        <v>1</v>
      </c>
      <c r="J425" s="6" t="b">
        <f>IF(VLOOKUP(B425,'Profile selection'!B:C,2,FALSE)="Yes",TRUE,FALSE)</f>
        <v>0</v>
      </c>
    </row>
    <row r="426" spans="1:10" x14ac:dyDescent="0.25">
      <c r="A426" t="str">
        <f>'HIDDEN import'!B425</f>
        <v>TC_K_08_CS</v>
      </c>
      <c r="B426" t="str">
        <f>'HIDDEN import'!C425</f>
        <v>ISO 15118 Support</v>
      </c>
      <c r="C426" t="str">
        <f>'HIDDEN import'!D425</f>
        <v>Clear Charging Profile - Without previous charging profile</v>
      </c>
      <c r="D426" t="str">
        <f>IF(VLOOKUP(A426&amp;" "&amp;B426,'HIDDEN import'!A:G,5,FALSE)="M",MD!$A$1,(IF(AND(VLOOKUP(A426,'HIDDEN import'!B:E,4,FALSE)="C",OR(NOT(ISERROR(VLOOKUP(E426,'Optional features'!B:D,1,FALSE)=E426)),NOT(ISERROR(VLOOKUP(E426,'HIDDEN calc sheet'!A:C,1,FALSE)=E426)))),MD!$A$3,MD!$A$2)))</f>
        <v>Mandatory test for a mandatory feature</v>
      </c>
      <c r="E426" t="str">
        <f>IF('HIDDEN import'!F425=0,"",'HIDDEN import'!F425)</f>
        <v/>
      </c>
      <c r="F426" t="str">
        <f>IF('HIDDEN import'!G425=0,"",'HIDDEN import'!G425)</f>
        <v/>
      </c>
      <c r="G426" s="95" t="str">
        <f>IFERROR(VLOOKUP($A426,'HIDDEN Testrun Results'!$A:$B,2,FALSE),"")</f>
        <v/>
      </c>
      <c r="H426" s="6" t="b">
        <f t="shared" si="6"/>
        <v>0</v>
      </c>
      <c r="I426" s="6" t="b">
        <f>IF(VLOOKUP(A426&amp;" "&amp;B426,'HIDDEN import'!A:G,5,FALSE)="M",TRUE,IFERROR(VLOOKUP(E426,'Optional features'!B:D,3,FALSE)="Yes",IFERROR(VLOOKUP(E426,'HIDDEN calc sheet'!A:B,2,FALSE),IFERROR(VLOOKUP(E426,'Additional questions'!B:D,3,FALSE)="Yes",VLOOKUP(E426,'Hardware Feature set'!B:D,3,FALSE)="No"))))</f>
        <v>1</v>
      </c>
      <c r="J426" s="6" t="b">
        <f>IF(VLOOKUP(B426,'Profile selection'!B:C,2,FALSE)="Yes",TRUE,FALSE)</f>
        <v>0</v>
      </c>
    </row>
    <row r="427" spans="1:10" x14ac:dyDescent="0.25">
      <c r="A427" t="str">
        <f>'HIDDEN import'!B426</f>
        <v>TC_K_09_CS</v>
      </c>
      <c r="B427" t="str">
        <f>'HIDDEN import'!C426</f>
        <v>ISO 15118 Support</v>
      </c>
      <c r="C427" t="str">
        <f>'HIDDEN import'!D426</f>
        <v>Clear Charging Profile - Clearing a TxDefaultProfile - With ongoing transaction</v>
      </c>
      <c r="D427" t="str">
        <f>IF(VLOOKUP(A427&amp;" "&amp;B427,'HIDDEN import'!A:G,5,FALSE)="M",MD!$A$1,(IF(AND(VLOOKUP(A427,'HIDDEN import'!B:E,4,FALSE)="C",OR(NOT(ISERROR(VLOOKUP(E427,'Optional features'!B:D,1,FALSE)=E427)),NOT(ISERROR(VLOOKUP(E427,'HIDDEN calc sheet'!A:C,1,FALSE)=E427)))),MD!$A$3,MD!$A$2)))</f>
        <v>Mandatory test for a mandatory feature</v>
      </c>
      <c r="E427" t="str">
        <f>IF('HIDDEN import'!F426=0,"",'HIDDEN import'!F426)</f>
        <v/>
      </c>
      <c r="F427" t="str">
        <f>IF('HIDDEN import'!G426=0,"",'HIDDEN import'!G426)</f>
        <v/>
      </c>
      <c r="G427" s="95" t="str">
        <f>IFERROR(VLOOKUP($A427,'HIDDEN Testrun Results'!$A:$B,2,FALSE),"")</f>
        <v/>
      </c>
      <c r="H427" s="6" t="b">
        <f t="shared" si="6"/>
        <v>0</v>
      </c>
      <c r="I427" s="6" t="b">
        <f>IF(VLOOKUP(A427&amp;" "&amp;B427,'HIDDEN import'!A:G,5,FALSE)="M",TRUE,IFERROR(VLOOKUP(E427,'Optional features'!B:D,3,FALSE)="Yes",IFERROR(VLOOKUP(E427,'HIDDEN calc sheet'!A:B,2,FALSE),IFERROR(VLOOKUP(E427,'Additional questions'!B:D,3,FALSE)="Yes",VLOOKUP(E427,'Hardware Feature set'!B:D,3,FALSE)="No"))))</f>
        <v>1</v>
      </c>
      <c r="J427" s="6" t="b">
        <f>IF(VLOOKUP(B427,'Profile selection'!B:C,2,FALSE)="Yes",TRUE,FALSE)</f>
        <v>0</v>
      </c>
    </row>
    <row r="428" spans="1:10" x14ac:dyDescent="0.25">
      <c r="A428" t="str">
        <f>'HIDDEN import'!B427</f>
        <v>TC_K_53_CS</v>
      </c>
      <c r="B428" t="str">
        <f>'HIDDEN import'!C427</f>
        <v>ISO 15118 Support</v>
      </c>
      <c r="C428" t="str">
        <f>'HIDDEN import'!D427</f>
        <v>Charging with load leveling based on High Level Communication - Success</v>
      </c>
      <c r="D428" t="str">
        <f>IF(VLOOKUP(A428&amp;" "&amp;B428,'HIDDEN import'!A:G,5,FALSE)="M",MD!$A$1,(IF(AND(VLOOKUP(A428,'HIDDEN import'!B:E,4,FALSE)="C",OR(NOT(ISERROR(VLOOKUP(E428,'Optional features'!B:D,1,FALSE)=E428)),NOT(ISERROR(VLOOKUP(E428,'HIDDEN calc sheet'!A:C,1,FALSE)=E428)))),MD!$A$3,MD!$A$2)))</f>
        <v>Mandatory test for a mandatory feature</v>
      </c>
      <c r="E428" t="str">
        <f>IF('HIDDEN import'!F427=0,"",'HIDDEN import'!F427)</f>
        <v/>
      </c>
      <c r="F428" t="str">
        <f>IF('HIDDEN import'!G427=0,"",'HIDDEN import'!G427)</f>
        <v/>
      </c>
      <c r="G428" s="95" t="str">
        <f>IFERROR(VLOOKUP($A428,'HIDDEN Testrun Results'!$A:$B,2,FALSE),"")</f>
        <v/>
      </c>
      <c r="H428" s="6" t="b">
        <f t="shared" si="6"/>
        <v>0</v>
      </c>
      <c r="I428" s="6" t="b">
        <f>IF(VLOOKUP(A428&amp;" "&amp;B428,'HIDDEN import'!A:G,5,FALSE)="M",TRUE,IFERROR(VLOOKUP(E428,'Optional features'!B:D,3,FALSE)="Yes",IFERROR(VLOOKUP(E428,'HIDDEN calc sheet'!A:B,2,FALSE),IFERROR(VLOOKUP(E428,'Additional questions'!B:D,3,FALSE)="Yes",VLOOKUP(E428,'Hardware Feature set'!B:D,3,FALSE)="No"))))</f>
        <v>1</v>
      </c>
      <c r="J428" s="6" t="b">
        <f>IF(VLOOKUP(B428,'Profile selection'!B:C,2,FALSE)="Yes",TRUE,FALSE)</f>
        <v>0</v>
      </c>
    </row>
    <row r="429" spans="1:10" x14ac:dyDescent="0.25">
      <c r="A429" t="str">
        <f>'HIDDEN import'!B428</f>
        <v>TC_K_54_CS</v>
      </c>
      <c r="B429" t="str">
        <f>'HIDDEN import'!C428</f>
        <v>ISO 15118 Support</v>
      </c>
      <c r="C429" t="str">
        <f>'HIDDEN import'!D428</f>
        <v>Charging with load leveling based on High Level Communication - No SASchedule (rejected)</v>
      </c>
      <c r="D429" t="str">
        <f>IF(VLOOKUP(A429&amp;" "&amp;B429,'HIDDEN import'!A:G,5,FALSE)="M",MD!$A$1,(IF(AND(VLOOKUP(A429,'HIDDEN import'!B:E,4,FALSE)="C",OR(NOT(ISERROR(VLOOKUP(E429,'Optional features'!B:D,1,FALSE)=E429)),NOT(ISERROR(VLOOKUP(E429,'HIDDEN calc sheet'!A:C,1,FALSE)=E429)))),MD!$A$3,MD!$A$2)))</f>
        <v>Mandatory test for a mandatory feature</v>
      </c>
      <c r="E429" t="str">
        <f>IF('HIDDEN import'!F428=0,"",'HIDDEN import'!F428)</f>
        <v/>
      </c>
      <c r="F429" t="str">
        <f>IF('HIDDEN import'!G428=0,"",'HIDDEN import'!G428)</f>
        <v/>
      </c>
      <c r="G429" s="95" t="str">
        <f>IFERROR(VLOOKUP($A429,'HIDDEN Testrun Results'!$A:$B,2,FALSE),"")</f>
        <v/>
      </c>
      <c r="H429" s="6" t="b">
        <f t="shared" si="6"/>
        <v>0</v>
      </c>
      <c r="I429" s="6" t="b">
        <f>IF(VLOOKUP(A429&amp;" "&amp;B429,'HIDDEN import'!A:G,5,FALSE)="M",TRUE,IFERROR(VLOOKUP(E429,'Optional features'!B:D,3,FALSE)="Yes",IFERROR(VLOOKUP(E429,'HIDDEN calc sheet'!A:B,2,FALSE),IFERROR(VLOOKUP(E429,'Additional questions'!B:D,3,FALSE)="Yes",VLOOKUP(E429,'Hardware Feature set'!B:D,3,FALSE)="No"))))</f>
        <v>1</v>
      </c>
      <c r="J429" s="6" t="b">
        <f>IF(VLOOKUP(B429,'Profile selection'!B:C,2,FALSE)="Yes",TRUE,FALSE)</f>
        <v>0</v>
      </c>
    </row>
    <row r="430" spans="1:10" x14ac:dyDescent="0.25">
      <c r="A430" t="str">
        <f>'HIDDEN import'!B429</f>
        <v>TC_K_56_CS</v>
      </c>
      <c r="B430" t="str">
        <f>'HIDDEN import'!C429</f>
        <v>ISO 15118 Support</v>
      </c>
      <c r="C430" t="str">
        <f>'HIDDEN import'!D429</f>
        <v>Charging with load leveling based on High Level Communication - Offline</v>
      </c>
      <c r="D430" t="str">
        <f>IF(VLOOKUP(A430&amp;" "&amp;B430,'HIDDEN import'!A:G,5,FALSE)="M",MD!$A$1,(IF(AND(VLOOKUP(A430,'HIDDEN import'!B:E,4,FALSE)="C",OR(NOT(ISERROR(VLOOKUP(E430,'Optional features'!B:D,1,FALSE)=E430)),NOT(ISERROR(VLOOKUP(E430,'HIDDEN calc sheet'!A:C,1,FALSE)=E430)))),MD!$A$3,MD!$A$2)))</f>
        <v>Mandatory test for a mandatory feature</v>
      </c>
      <c r="E430" t="str">
        <f>IF('HIDDEN import'!F429=0,"",'HIDDEN import'!F429)</f>
        <v/>
      </c>
      <c r="F430" t="str">
        <f>IF('HIDDEN import'!G429=0,"",'HIDDEN import'!G429)</f>
        <v/>
      </c>
      <c r="G430" s="95" t="str">
        <f>IFERROR(VLOOKUP($A430,'HIDDEN Testrun Results'!$A:$B,2,FALSE),"")</f>
        <v/>
      </c>
      <c r="H430" s="6" t="b">
        <f t="shared" si="6"/>
        <v>0</v>
      </c>
      <c r="I430" s="6" t="b">
        <f>IF(VLOOKUP(A430&amp;" "&amp;B430,'HIDDEN import'!A:G,5,FALSE)="M",TRUE,IFERROR(VLOOKUP(E430,'Optional features'!B:D,3,FALSE)="Yes",IFERROR(VLOOKUP(E430,'HIDDEN calc sheet'!A:B,2,FALSE),IFERROR(VLOOKUP(E430,'Additional questions'!B:D,3,FALSE)="Yes",VLOOKUP(E430,'Hardware Feature set'!B:D,3,FALSE)="No"))))</f>
        <v>1</v>
      </c>
      <c r="J430" s="6" t="b">
        <f>IF(VLOOKUP(B430,'Profile selection'!B:C,2,FALSE)="Yes",TRUE,FALSE)</f>
        <v>0</v>
      </c>
    </row>
    <row r="431" spans="1:10" x14ac:dyDescent="0.25">
      <c r="A431" t="str">
        <f>'HIDDEN import'!B430</f>
        <v>TC_K_57_CS</v>
      </c>
      <c r="B431" t="str">
        <f>'HIDDEN import'!C430</f>
        <v>ISO 15118 Support</v>
      </c>
      <c r="C431" t="str">
        <f>'HIDDEN import'!D430</f>
        <v>Renegotiating a Charging Schedule - Initiated by EV</v>
      </c>
      <c r="D431" t="str">
        <f>IF(VLOOKUP(A431&amp;" "&amp;B431,'HIDDEN import'!A:G,5,FALSE)="M",MD!$A$1,(IF(AND(VLOOKUP(A431,'HIDDEN import'!B:E,4,FALSE)="C",OR(NOT(ISERROR(VLOOKUP(E431,'Optional features'!B:D,1,FALSE)=E431)),NOT(ISERROR(VLOOKUP(E431,'HIDDEN calc sheet'!A:C,1,FALSE)=E431)))),MD!$A$3,MD!$A$2)))</f>
        <v>Mandatory test for a mandatory feature</v>
      </c>
      <c r="E431" t="str">
        <f>IF('HIDDEN import'!F430=0,"",'HIDDEN import'!F430)</f>
        <v/>
      </c>
      <c r="F431" t="str">
        <f>IF('HIDDEN import'!G430=0,"",'HIDDEN import'!G430)</f>
        <v/>
      </c>
      <c r="G431" s="95" t="str">
        <f>IFERROR(VLOOKUP($A431,'HIDDEN Testrun Results'!$A:$B,2,FALSE),"")</f>
        <v/>
      </c>
      <c r="H431" s="6" t="b">
        <f t="shared" si="6"/>
        <v>0</v>
      </c>
      <c r="I431" s="6" t="b">
        <f>IF(VLOOKUP(A431&amp;" "&amp;B431,'HIDDEN import'!A:G,5,FALSE)="M",TRUE,IFERROR(VLOOKUP(E431,'Optional features'!B:D,3,FALSE)="Yes",IFERROR(VLOOKUP(E431,'HIDDEN calc sheet'!A:B,2,FALSE),IFERROR(VLOOKUP(E431,'Additional questions'!B:D,3,FALSE)="Yes",VLOOKUP(E431,'Hardware Feature set'!B:D,3,FALSE)="No"))))</f>
        <v>1</v>
      </c>
      <c r="J431" s="6" t="b">
        <f>IF(VLOOKUP(B431,'Profile selection'!B:C,2,FALSE)="Yes",TRUE,FALSE)</f>
        <v>0</v>
      </c>
    </row>
    <row r="432" spans="1:10" x14ac:dyDescent="0.25">
      <c r="A432" t="str">
        <f>'HIDDEN import'!B431</f>
        <v>TC_K_58_CS</v>
      </c>
      <c r="B432" t="str">
        <f>'HIDDEN import'!C431</f>
        <v>ISO 15118 Support</v>
      </c>
      <c r="C432" t="str">
        <f>'HIDDEN import'!D431</f>
        <v>Renegotiating a Charging Schedule - Initiated by CSMS</v>
      </c>
      <c r="D432" t="str">
        <f>IF(VLOOKUP(A432&amp;" "&amp;B432,'HIDDEN import'!A:G,5,FALSE)="M",MD!$A$1,(IF(AND(VLOOKUP(A432,'HIDDEN import'!B:E,4,FALSE)="C",OR(NOT(ISERROR(VLOOKUP(E432,'Optional features'!B:D,1,FALSE)=E432)),NOT(ISERROR(VLOOKUP(E432,'HIDDEN calc sheet'!A:C,1,FALSE)=E432)))),MD!$A$3,MD!$A$2)))</f>
        <v>Mandatory test for a mandatory feature</v>
      </c>
      <c r="E432" t="str">
        <f>IF('HIDDEN import'!F431=0,"",'HIDDEN import'!F431)</f>
        <v/>
      </c>
      <c r="F432" t="str">
        <f>IF('HIDDEN import'!G431=0,"",'HIDDEN import'!G431)</f>
        <v/>
      </c>
      <c r="G432" s="95" t="str">
        <f>IFERROR(VLOOKUP($A432,'HIDDEN Testrun Results'!$A:$B,2,FALSE),"")</f>
        <v/>
      </c>
      <c r="H432" s="6" t="b">
        <f t="shared" si="6"/>
        <v>0</v>
      </c>
      <c r="I432" s="6" t="b">
        <f>IF(VLOOKUP(A432&amp;" "&amp;B432,'HIDDEN import'!A:G,5,FALSE)="M",TRUE,IFERROR(VLOOKUP(E432,'Optional features'!B:D,3,FALSE)="Yes",IFERROR(VLOOKUP(E432,'HIDDEN calc sheet'!A:B,2,FALSE),IFERROR(VLOOKUP(E432,'Additional questions'!B:D,3,FALSE)="Yes",VLOOKUP(E432,'Hardware Feature set'!B:D,3,FALSE)="No"))))</f>
        <v>1</v>
      </c>
      <c r="J432" s="6" t="b">
        <f>IF(VLOOKUP(B432,'Profile selection'!B:C,2,FALSE)="Yes",TRUE,FALSE)</f>
        <v>0</v>
      </c>
    </row>
    <row r="433" spans="1:10" x14ac:dyDescent="0.25">
      <c r="A433" t="str">
        <f>'HIDDEN import'!B432</f>
        <v>TC_M_26_CS</v>
      </c>
      <c r="B433" t="str">
        <f>'HIDDEN import'!C432</f>
        <v>ISO 15118 Support</v>
      </c>
      <c r="C433" t="str">
        <f>'HIDDEN import'!D432</f>
        <v>Certificate Installation EV - Success</v>
      </c>
      <c r="D433" t="str">
        <f>IF(VLOOKUP(A433&amp;" "&amp;B433,'HIDDEN import'!A:G,5,FALSE)="M",MD!$A$1,(IF(AND(VLOOKUP(A433,'HIDDEN import'!B:E,4,FALSE)="C",OR(NOT(ISERROR(VLOOKUP(E433,'Optional features'!B:D,1,FALSE)=E433)),NOT(ISERROR(VLOOKUP(E433,'HIDDEN calc sheet'!A:C,1,FALSE)=E433)))),MD!$A$3,MD!$A$2)))</f>
        <v>Mandatory test for a mandatory feature</v>
      </c>
      <c r="E433" t="str">
        <f>IF('HIDDEN import'!F432=0,"",'HIDDEN import'!F432)</f>
        <v/>
      </c>
      <c r="F433" t="str">
        <f>IF('HIDDEN import'!G432=0,"",'HIDDEN import'!G432)</f>
        <v/>
      </c>
      <c r="G433" s="95" t="str">
        <f>IFERROR(VLOOKUP($A433,'HIDDEN Testrun Results'!$A:$B,2,FALSE),"")</f>
        <v/>
      </c>
      <c r="H433" s="6" t="b">
        <f t="shared" si="6"/>
        <v>0</v>
      </c>
      <c r="I433" s="6" t="b">
        <f>IF(VLOOKUP(A433&amp;" "&amp;B433,'HIDDEN import'!A:G,5,FALSE)="M",TRUE,IFERROR(VLOOKUP(E433,'Optional features'!B:D,3,FALSE)="Yes",IFERROR(VLOOKUP(E433,'HIDDEN calc sheet'!A:B,2,FALSE),IFERROR(VLOOKUP(E433,'Additional questions'!B:D,3,FALSE)="Yes",VLOOKUP(E433,'Hardware Feature set'!B:D,3,FALSE)="No"))))</f>
        <v>1</v>
      </c>
      <c r="J433" s="6" t="b">
        <f>IF(VLOOKUP(B433,'Profile selection'!B:C,2,FALSE)="Yes",TRUE,FALSE)</f>
        <v>0</v>
      </c>
    </row>
    <row r="434" spans="1:10" x14ac:dyDescent="0.25">
      <c r="A434" t="str">
        <f>'HIDDEN import'!B433</f>
        <v>TC_M_27_CS</v>
      </c>
      <c r="B434" t="str">
        <f>'HIDDEN import'!C433</f>
        <v>ISO 15118 Support</v>
      </c>
      <c r="C434" t="str">
        <f>'HIDDEN import'!D433</f>
        <v>Certificate Installation EV - Failed</v>
      </c>
      <c r="D434" t="str">
        <f>IF(VLOOKUP(A434&amp;" "&amp;B434,'HIDDEN import'!A:G,5,FALSE)="M",MD!$A$1,(IF(AND(VLOOKUP(A434,'HIDDEN import'!B:E,4,FALSE)="C",OR(NOT(ISERROR(VLOOKUP(E434,'Optional features'!B:D,1,FALSE)=E434)),NOT(ISERROR(VLOOKUP(E434,'HIDDEN calc sheet'!A:C,1,FALSE)=E434)))),MD!$A$3,MD!$A$2)))</f>
        <v>Mandatory test for a mandatory feature</v>
      </c>
      <c r="E434" t="str">
        <f>IF('HIDDEN import'!F433=0,"",'HIDDEN import'!F433)</f>
        <v/>
      </c>
      <c r="F434" t="str">
        <f>IF('HIDDEN import'!G433=0,"",'HIDDEN import'!G433)</f>
        <v/>
      </c>
      <c r="G434" s="95" t="str">
        <f>IFERROR(VLOOKUP($A434,'HIDDEN Testrun Results'!$A:$B,2,FALSE),"")</f>
        <v/>
      </c>
      <c r="H434" s="6" t="b">
        <f t="shared" si="6"/>
        <v>0</v>
      </c>
      <c r="I434" s="6" t="b">
        <f>IF(VLOOKUP(A434&amp;" "&amp;B434,'HIDDEN import'!A:G,5,FALSE)="M",TRUE,IFERROR(VLOOKUP(E434,'Optional features'!B:D,3,FALSE)="Yes",IFERROR(VLOOKUP(E434,'HIDDEN calc sheet'!A:B,2,FALSE),IFERROR(VLOOKUP(E434,'Additional questions'!B:D,3,FALSE)="Yes",VLOOKUP(E434,'Hardware Feature set'!B:D,3,FALSE)="No"))))</f>
        <v>1</v>
      </c>
      <c r="J434" s="6" t="b">
        <f>IF(VLOOKUP(B434,'Profile selection'!B:C,2,FALSE)="Yes",TRUE,FALSE)</f>
        <v>0</v>
      </c>
    </row>
    <row r="435" spans="1:10" x14ac:dyDescent="0.25">
      <c r="A435" t="str">
        <f>'HIDDEN import'!B434</f>
        <v>TC_M_28_CS</v>
      </c>
      <c r="B435" t="str">
        <f>'HIDDEN import'!C434</f>
        <v>ISO 15118 Support</v>
      </c>
      <c r="C435" t="str">
        <f>'HIDDEN import'!D434</f>
        <v>Certificate Update EV - Success</v>
      </c>
      <c r="D435" t="str">
        <f>IF(VLOOKUP(A435&amp;" "&amp;B435,'HIDDEN import'!A:G,5,FALSE)="M",MD!$A$1,(IF(AND(VLOOKUP(A435,'HIDDEN import'!B:E,4,FALSE)="C",OR(NOT(ISERROR(VLOOKUP(E435,'Optional features'!B:D,1,FALSE)=E435)),NOT(ISERROR(VLOOKUP(E435,'HIDDEN calc sheet'!A:C,1,FALSE)=E435)))),MD!$A$3,MD!$A$2)))</f>
        <v>Mandatory test for a mandatory feature</v>
      </c>
      <c r="E435" t="str">
        <f>IF('HIDDEN import'!F434=0,"",'HIDDEN import'!F434)</f>
        <v/>
      </c>
      <c r="F435" t="str">
        <f>IF('HIDDEN import'!G434=0,"",'HIDDEN import'!G434)</f>
        <v/>
      </c>
      <c r="G435" s="95" t="str">
        <f>IFERROR(VLOOKUP($A435,'HIDDEN Testrun Results'!$A:$B,2,FALSE),"")</f>
        <v/>
      </c>
      <c r="H435" s="6" t="b">
        <f t="shared" si="6"/>
        <v>0</v>
      </c>
      <c r="I435" s="6" t="b">
        <f>IF(VLOOKUP(A435&amp;" "&amp;B435,'HIDDEN import'!A:G,5,FALSE)="M",TRUE,IFERROR(VLOOKUP(E435,'Optional features'!B:D,3,FALSE)="Yes",IFERROR(VLOOKUP(E435,'HIDDEN calc sheet'!A:B,2,FALSE),IFERROR(VLOOKUP(E435,'Additional questions'!B:D,3,FALSE)="Yes",VLOOKUP(E435,'Hardware Feature set'!B:D,3,FALSE)="No"))))</f>
        <v>1</v>
      </c>
      <c r="J435" s="6" t="b">
        <f>IF(VLOOKUP(B435,'Profile selection'!B:C,2,FALSE)="Yes",TRUE,FALSE)</f>
        <v>0</v>
      </c>
    </row>
    <row r="436" spans="1:10" x14ac:dyDescent="0.25">
      <c r="A436" t="str">
        <f>'HIDDEN import'!B435</f>
        <v>TC_M_29_CS</v>
      </c>
      <c r="B436" t="str">
        <f>'HIDDEN import'!C435</f>
        <v>ISO 15118 Support</v>
      </c>
      <c r="C436" t="str">
        <f>'HIDDEN import'!D435</f>
        <v>Certificate Update EV - Failed</v>
      </c>
      <c r="D436" t="str">
        <f>IF(VLOOKUP(A436&amp;" "&amp;B436,'HIDDEN import'!A:G,5,FALSE)="M",MD!$A$1,(IF(AND(VLOOKUP(A436,'HIDDEN import'!B:E,4,FALSE)="C",OR(NOT(ISERROR(VLOOKUP(E436,'Optional features'!B:D,1,FALSE)=E436)),NOT(ISERROR(VLOOKUP(E436,'HIDDEN calc sheet'!A:C,1,FALSE)=E436)))),MD!$A$3,MD!$A$2)))</f>
        <v>Mandatory test for a mandatory feature</v>
      </c>
      <c r="E436" t="str">
        <f>IF('HIDDEN import'!F435=0,"",'HIDDEN import'!F435)</f>
        <v/>
      </c>
      <c r="F436" t="str">
        <f>IF('HIDDEN import'!G435=0,"",'HIDDEN import'!G435)</f>
        <v/>
      </c>
      <c r="G436" s="95" t="str">
        <f>IFERROR(VLOOKUP($A436,'HIDDEN Testrun Results'!$A:$B,2,FALSE),"")</f>
        <v/>
      </c>
      <c r="H436" s="6" t="b">
        <f t="shared" si="6"/>
        <v>0</v>
      </c>
      <c r="I436" s="6" t="b">
        <f>IF(VLOOKUP(A436&amp;" "&amp;B436,'HIDDEN import'!A:G,5,FALSE)="M",TRUE,IFERROR(VLOOKUP(E436,'Optional features'!B:D,3,FALSE)="Yes",IFERROR(VLOOKUP(E436,'HIDDEN calc sheet'!A:B,2,FALSE),IFERROR(VLOOKUP(E436,'Additional questions'!B:D,3,FALSE)="Yes",VLOOKUP(E436,'Hardware Feature set'!B:D,3,FALSE)="No"))))</f>
        <v>1</v>
      </c>
      <c r="J436" s="6" t="b">
        <f>IF(VLOOKUP(B436,'Profile selection'!B:C,2,FALSE)="Yes",TRUE,FALSE)</f>
        <v>0</v>
      </c>
    </row>
    <row r="437" spans="1:10" x14ac:dyDescent="0.25">
      <c r="A437" t="str">
        <f>'HIDDEN import'!B436</f>
        <v>TC_M_14_CS</v>
      </c>
      <c r="B437" t="str">
        <f>'HIDDEN import'!C436</f>
        <v>ISO 15118 Support</v>
      </c>
      <c r="C437" t="str">
        <f>'HIDDEN import'!D436</f>
        <v>Retrieve certificates from Charging Station - V2GRootCertificate</v>
      </c>
      <c r="D437" t="str">
        <f>IF(VLOOKUP(A437&amp;" "&amp;B437,'HIDDEN import'!A:G,5,FALSE)="M",MD!$A$1,(IF(AND(VLOOKUP(A437,'HIDDEN import'!B:E,4,FALSE)="C",OR(NOT(ISERROR(VLOOKUP(E437,'Optional features'!B:D,1,FALSE)=E437)),NOT(ISERROR(VLOOKUP(E437,'HIDDEN calc sheet'!A:C,1,FALSE)=E437)))),MD!$A$3,MD!$A$2)))</f>
        <v>Mandatory test for a mandatory feature</v>
      </c>
      <c r="E437" t="str">
        <f>IF('HIDDEN import'!F436=0,"",'HIDDEN import'!F436)</f>
        <v/>
      </c>
      <c r="F437" t="str">
        <f>IF('HIDDEN import'!G436=0,"",'HIDDEN import'!G436)</f>
        <v/>
      </c>
      <c r="G437" s="95" t="str">
        <f>IFERROR(VLOOKUP($A437,'HIDDEN Testrun Results'!$A:$B,2,FALSE),"")</f>
        <v/>
      </c>
      <c r="H437" s="6" t="b">
        <f t="shared" si="6"/>
        <v>0</v>
      </c>
      <c r="I437" s="6" t="b">
        <f>IF(VLOOKUP(A437&amp;" "&amp;B437,'HIDDEN import'!A:G,5,FALSE)="M",TRUE,IFERROR(VLOOKUP(E437,'Optional features'!B:D,3,FALSE)="Yes",IFERROR(VLOOKUP(E437,'HIDDEN calc sheet'!A:B,2,FALSE),IFERROR(VLOOKUP(E437,'Additional questions'!B:D,3,FALSE)="Yes",VLOOKUP(E437,'Hardware Feature set'!B:D,3,FALSE)="No"))))</f>
        <v>1</v>
      </c>
      <c r="J437" s="6" t="b">
        <f>IF(VLOOKUP(B437,'Profile selection'!B:C,2,FALSE)="Yes",TRUE,FALSE)</f>
        <v>0</v>
      </c>
    </row>
    <row r="438" spans="1:10" x14ac:dyDescent="0.25">
      <c r="A438" t="str">
        <f>'HIDDEN import'!B437</f>
        <v>TC_M_15_CS</v>
      </c>
      <c r="B438" t="str">
        <f>'HIDDEN import'!C437</f>
        <v>ISO 15118 Support</v>
      </c>
      <c r="C438" t="str">
        <f>'HIDDEN import'!D437</f>
        <v>Retrieve certificates from Charging Station - V2GCertificateChain</v>
      </c>
      <c r="D438" t="str">
        <f>IF(VLOOKUP(A438&amp;" "&amp;B438,'HIDDEN import'!A:G,5,FALSE)="M",MD!$A$1,(IF(AND(VLOOKUP(A438,'HIDDEN import'!B:E,4,FALSE)="C",OR(NOT(ISERROR(VLOOKUP(E438,'Optional features'!B:D,1,FALSE)=E438)),NOT(ISERROR(VLOOKUP(E438,'HIDDEN calc sheet'!A:C,1,FALSE)=E438)))),MD!$A$3,MD!$A$2)))</f>
        <v>Mandatory test for a mandatory feature</v>
      </c>
      <c r="E438" t="str">
        <f>IF('HIDDEN import'!F437=0,"",'HIDDEN import'!F437)</f>
        <v/>
      </c>
      <c r="F438" t="str">
        <f>IF('HIDDEN import'!G437=0,"",'HIDDEN import'!G437)</f>
        <v/>
      </c>
      <c r="G438" s="95" t="str">
        <f>IFERROR(VLOOKUP($A438,'HIDDEN Testrun Results'!$A:$B,2,FALSE),"")</f>
        <v/>
      </c>
      <c r="H438" s="6" t="b">
        <f t="shared" si="6"/>
        <v>0</v>
      </c>
      <c r="I438" s="6" t="b">
        <f>IF(VLOOKUP(A438&amp;" "&amp;B438,'HIDDEN import'!A:G,5,FALSE)="M",TRUE,IFERROR(VLOOKUP(E438,'Optional features'!B:D,3,FALSE)="Yes",IFERROR(VLOOKUP(E438,'HIDDEN calc sheet'!A:B,2,FALSE),IFERROR(VLOOKUP(E438,'Additional questions'!B:D,3,FALSE)="Yes",VLOOKUP(E438,'Hardware Feature set'!B:D,3,FALSE)="No"))))</f>
        <v>1</v>
      </c>
      <c r="J438" s="6" t="b">
        <f>IF(VLOOKUP(B438,'Profile selection'!B:C,2,FALSE)="Yes",TRUE,FALSE)</f>
        <v>0</v>
      </c>
    </row>
    <row r="439" spans="1:10" x14ac:dyDescent="0.25">
      <c r="A439" t="str">
        <f>'HIDDEN import'!B438</f>
        <v>TC_M_16_CS</v>
      </c>
      <c r="B439" t="str">
        <f>'HIDDEN import'!C438</f>
        <v>ISO 15118 Support</v>
      </c>
      <c r="C439" t="str">
        <f>'HIDDEN import'!D438</f>
        <v>Retrieve certificates from Charging Station - MORootCertificate</v>
      </c>
      <c r="D439" t="str">
        <f>IF(VLOOKUP(A439&amp;" "&amp;B439,'HIDDEN import'!A:G,5,FALSE)="M",MD!$A$1,(IF(AND(VLOOKUP(A439,'HIDDEN import'!B:E,4,FALSE)="C",OR(NOT(ISERROR(VLOOKUP(E439,'Optional features'!B:D,1,FALSE)=E439)),NOT(ISERROR(VLOOKUP(E439,'HIDDEN calc sheet'!A:C,1,FALSE)=E439)))),MD!$A$3,MD!$A$2)))</f>
        <v>Mandatory test for a mandatory feature</v>
      </c>
      <c r="E439" t="str">
        <f>IF('HIDDEN import'!F438=0,"",'HIDDEN import'!F438)</f>
        <v/>
      </c>
      <c r="F439" t="str">
        <f>IF('HIDDEN import'!G438=0,"",'HIDDEN import'!G438)</f>
        <v/>
      </c>
      <c r="G439" s="95" t="str">
        <f>IFERROR(VLOOKUP($A439,'HIDDEN Testrun Results'!$A:$B,2,FALSE),"")</f>
        <v/>
      </c>
      <c r="H439" s="6" t="b">
        <f t="shared" si="6"/>
        <v>0</v>
      </c>
      <c r="I439" s="6" t="b">
        <f>IF(VLOOKUP(A439&amp;" "&amp;B439,'HIDDEN import'!A:G,5,FALSE)="M",TRUE,IFERROR(VLOOKUP(E439,'Optional features'!B:D,3,FALSE)="Yes",IFERROR(VLOOKUP(E439,'HIDDEN calc sheet'!A:B,2,FALSE),IFERROR(VLOOKUP(E439,'Additional questions'!B:D,3,FALSE)="Yes",VLOOKUP(E439,'Hardware Feature set'!B:D,3,FALSE)="No"))))</f>
        <v>1</v>
      </c>
      <c r="J439" s="6" t="b">
        <f>IF(VLOOKUP(B439,'Profile selection'!B:C,2,FALSE)="Yes",TRUE,FALSE)</f>
        <v>0</v>
      </c>
    </row>
    <row r="440" spans="1:10" x14ac:dyDescent="0.25">
      <c r="A440" t="str">
        <f>'HIDDEN import'!B439</f>
        <v>TC_M_03_CS</v>
      </c>
      <c r="B440" t="str">
        <f>'HIDDEN import'!C439</f>
        <v>ISO 15118 Support</v>
      </c>
      <c r="C440" t="str">
        <f>'HIDDEN import'!D439</f>
        <v>Install CA certificate - V2GRootCertificate</v>
      </c>
      <c r="D440" t="str">
        <f>IF(VLOOKUP(A440&amp;" "&amp;B440,'HIDDEN import'!A:G,5,FALSE)="M",MD!$A$1,(IF(AND(VLOOKUP(A440,'HIDDEN import'!B:E,4,FALSE)="C",OR(NOT(ISERROR(VLOOKUP(E440,'Optional features'!B:D,1,FALSE)=E440)),NOT(ISERROR(VLOOKUP(E440,'HIDDEN calc sheet'!A:C,1,FALSE)=E440)))),MD!$A$3,MD!$A$2)))</f>
        <v>Mandatory test for a mandatory feature</v>
      </c>
      <c r="E440" t="str">
        <f>IF('HIDDEN import'!F439=0,"",'HIDDEN import'!F439)</f>
        <v/>
      </c>
      <c r="F440" t="str">
        <f>IF('HIDDEN import'!G439=0,"",'HIDDEN import'!G439)</f>
        <v/>
      </c>
      <c r="G440" s="95" t="str">
        <f>IFERROR(VLOOKUP($A440,'HIDDEN Testrun Results'!$A:$B,2,FALSE),"")</f>
        <v/>
      </c>
      <c r="H440" s="6" t="b">
        <f t="shared" si="6"/>
        <v>0</v>
      </c>
      <c r="I440" s="6" t="b">
        <f>IF(VLOOKUP(A440&amp;" "&amp;B440,'HIDDEN import'!A:G,5,FALSE)="M",TRUE,IFERROR(VLOOKUP(E440,'Optional features'!B:D,3,FALSE)="Yes",IFERROR(VLOOKUP(E440,'HIDDEN calc sheet'!A:B,2,FALSE),IFERROR(VLOOKUP(E440,'Additional questions'!B:D,3,FALSE)="Yes",VLOOKUP(E440,'Hardware Feature set'!B:D,3,FALSE)="No"))))</f>
        <v>1</v>
      </c>
      <c r="J440" s="6" t="b">
        <f>IF(VLOOKUP(B440,'Profile selection'!B:C,2,FALSE)="Yes",TRUE,FALSE)</f>
        <v>0</v>
      </c>
    </row>
    <row r="441" spans="1:10" x14ac:dyDescent="0.25">
      <c r="A441" t="str">
        <f>'HIDDEN import'!B440</f>
        <v>TC_M_04_CS</v>
      </c>
      <c r="B441" t="str">
        <f>'HIDDEN import'!C440</f>
        <v>ISO 15118 Support</v>
      </c>
      <c r="C441" t="str">
        <f>'HIDDEN import'!D440</f>
        <v>Install CA certificate - MORootCertificate</v>
      </c>
      <c r="D441" t="str">
        <f>IF(VLOOKUP(A441&amp;" "&amp;B441,'HIDDEN import'!A:G,5,FALSE)="M",MD!$A$1,(IF(AND(VLOOKUP(A441,'HIDDEN import'!B:E,4,FALSE)="C",OR(NOT(ISERROR(VLOOKUP(E441,'Optional features'!B:D,1,FALSE)=E441)),NOT(ISERROR(VLOOKUP(E441,'HIDDEN calc sheet'!A:C,1,FALSE)=E441)))),MD!$A$3,MD!$A$2)))</f>
        <v>Mandatory test for a mandatory feature</v>
      </c>
      <c r="E441" t="str">
        <f>IF('HIDDEN import'!F440=0,"",'HIDDEN import'!F440)</f>
        <v/>
      </c>
      <c r="F441" t="str">
        <f>IF('HIDDEN import'!G440=0,"",'HIDDEN import'!G440)</f>
        <v/>
      </c>
      <c r="G441" s="95" t="str">
        <f>IFERROR(VLOOKUP($A441,'HIDDEN Testrun Results'!$A:$B,2,FALSE),"")</f>
        <v/>
      </c>
      <c r="H441" s="6" t="b">
        <f t="shared" si="6"/>
        <v>0</v>
      </c>
      <c r="I441" s="6" t="b">
        <f>IF(VLOOKUP(A441&amp;" "&amp;B441,'HIDDEN import'!A:G,5,FALSE)="M",TRUE,IFERROR(VLOOKUP(E441,'Optional features'!B:D,3,FALSE)="Yes",IFERROR(VLOOKUP(E441,'HIDDEN calc sheet'!A:B,2,FALSE),IFERROR(VLOOKUP(E441,'Additional questions'!B:D,3,FALSE)="Yes",VLOOKUP(E441,'Hardware Feature set'!B:D,3,FALSE)="No"))))</f>
        <v>1</v>
      </c>
      <c r="J441" s="6" t="b">
        <f>IF(VLOOKUP(B441,'Profile selection'!B:C,2,FALSE)="Yes",TRUE,FALSE)</f>
        <v>0</v>
      </c>
    </row>
    <row r="442" spans="1:10" x14ac:dyDescent="0.25">
      <c r="A442" t="str">
        <f>'HIDDEN import'!B441</f>
        <v>TC_M_24_CS</v>
      </c>
      <c r="B442" t="str">
        <f>'HIDDEN import'!C441</f>
        <v>ISO 15118 Support</v>
      </c>
      <c r="C442" t="str">
        <f>'HIDDEN import'!D441</f>
        <v>Get Charging Station Certificate status - Success</v>
      </c>
      <c r="D442" t="str">
        <f>IF(VLOOKUP(A442&amp;" "&amp;B442,'HIDDEN import'!A:G,5,FALSE)="M",MD!$A$1,(IF(AND(VLOOKUP(A442,'HIDDEN import'!B:E,4,FALSE)="C",OR(NOT(ISERROR(VLOOKUP(E442,'Optional features'!B:D,1,FALSE)=E442)),NOT(ISERROR(VLOOKUP(E442,'HIDDEN calc sheet'!A:C,1,FALSE)=E442)))),MD!$A$3,MD!$A$2)))</f>
        <v>Mandatory test for a mandatory feature</v>
      </c>
      <c r="E442" t="str">
        <f>IF('HIDDEN import'!F441=0,"",'HIDDEN import'!F441)</f>
        <v/>
      </c>
      <c r="F442" t="str">
        <f>IF('HIDDEN import'!G441=0,"",'HIDDEN import'!G441)</f>
        <v/>
      </c>
      <c r="G442" s="95" t="str">
        <f>IFERROR(VLOOKUP($A442,'HIDDEN Testrun Results'!$A:$B,2,FALSE),"")</f>
        <v/>
      </c>
      <c r="H442" s="6" t="b">
        <f t="shared" si="6"/>
        <v>0</v>
      </c>
      <c r="I442" s="6" t="b">
        <f>IF(VLOOKUP(A442&amp;" "&amp;B442,'HIDDEN import'!A:G,5,FALSE)="M",TRUE,IFERROR(VLOOKUP(E442,'Optional features'!B:D,3,FALSE)="Yes",IFERROR(VLOOKUP(E442,'HIDDEN calc sheet'!A:B,2,FALSE),IFERROR(VLOOKUP(E442,'Additional questions'!B:D,3,FALSE)="Yes",VLOOKUP(E442,'Hardware Feature set'!B:D,3,FALSE)="No"))))</f>
        <v>1</v>
      </c>
      <c r="J442" s="6" t="b">
        <f>IF(VLOOKUP(B442,'Profile selection'!B:C,2,FALSE)="Yes",TRUE,FALSE)</f>
        <v>0</v>
      </c>
    </row>
    <row r="443" spans="1:10" x14ac:dyDescent="0.25">
      <c r="A443" t="str">
        <f>'HIDDEN import'!B442</f>
        <v>TC_M_25_CS</v>
      </c>
      <c r="B443" t="str">
        <f>'HIDDEN import'!C442</f>
        <v>ISO 15118 Support</v>
      </c>
      <c r="C443" t="str">
        <f>'HIDDEN import'!D442</f>
        <v>Get Charging Station Certificate status - Rejected</v>
      </c>
      <c r="D443" t="str">
        <f>IF(VLOOKUP(A443&amp;" "&amp;B443,'HIDDEN import'!A:G,5,FALSE)="M",MD!$A$1,(IF(AND(VLOOKUP(A443,'HIDDEN import'!B:E,4,FALSE)="C",OR(NOT(ISERROR(VLOOKUP(E443,'Optional features'!B:D,1,FALSE)=E443)),NOT(ISERROR(VLOOKUP(E443,'HIDDEN calc sheet'!A:C,1,FALSE)=E443)))),MD!$A$3,MD!$A$2)))</f>
        <v>Mandatory test for a mandatory feature</v>
      </c>
      <c r="E443" t="str">
        <f>IF('HIDDEN import'!F442=0,"",'HIDDEN import'!F442)</f>
        <v/>
      </c>
      <c r="F443" t="str">
        <f>IF('HIDDEN import'!G442=0,"",'HIDDEN import'!G442)</f>
        <v/>
      </c>
      <c r="G443" s="95" t="str">
        <f>IFERROR(VLOOKUP($A443,'HIDDEN Testrun Results'!$A:$B,2,FALSE),"")</f>
        <v/>
      </c>
      <c r="H443" s="6" t="b">
        <f t="shared" si="6"/>
        <v>0</v>
      </c>
      <c r="I443" s="6" t="b">
        <f>IF(VLOOKUP(A443&amp;" "&amp;B443,'HIDDEN import'!A:G,5,FALSE)="M",TRUE,IFERROR(VLOOKUP(E443,'Optional features'!B:D,3,FALSE)="Yes",IFERROR(VLOOKUP(E443,'HIDDEN calc sheet'!A:B,2,FALSE),IFERROR(VLOOKUP(E443,'Additional questions'!B:D,3,FALSE)="Yes",VLOOKUP(E443,'Hardware Feature set'!B:D,3,FALSE)="No"))))</f>
        <v>1</v>
      </c>
      <c r="J443" s="6" t="b">
        <f>IF(VLOOKUP(B443,'Profile selection'!B:C,2,FALSE)="Yes",TRUE,FALSE)</f>
        <v>0</v>
      </c>
    </row>
    <row r="444" spans="1:10" x14ac:dyDescent="0.25">
      <c r="A444" t="str">
        <f>'HIDDEN import'!B443</f>
        <v>TC_N_63_CS</v>
      </c>
      <c r="B444" t="str">
        <f>'HIDDEN import'!C443</f>
        <v>ISO 15118 Support</v>
      </c>
      <c r="C444" t="str">
        <f>'HIDDEN import'!D443</f>
        <v>Clear Customer Information - Clear and report - customerCertificate</v>
      </c>
      <c r="D444" t="str">
        <f>IF(VLOOKUP(A444&amp;" "&amp;B444,'HIDDEN import'!A:G,5,FALSE)="M",MD!$A$1,(IF(AND(VLOOKUP(A444,'HIDDEN import'!B:E,4,FALSE)="C",OR(NOT(ISERROR(VLOOKUP(E444,'Optional features'!B:D,1,FALSE)=E444)),NOT(ISERROR(VLOOKUP(E444,'HIDDEN calc sheet'!A:C,1,FALSE)=E444)))),MD!$A$3,MD!$A$2)))</f>
        <v>Mandatory for optional feature</v>
      </c>
      <c r="E444" t="str">
        <f>IF('HIDDEN import'!F443=0,"",'HIDDEN import'!F443)</f>
        <v>ISO-4</v>
      </c>
      <c r="F444" t="str">
        <f>IF('HIDDEN import'!G443=0,"",'HIDDEN import'!G443)</f>
        <v/>
      </c>
      <c r="G444" s="95" t="str">
        <f>IFERROR(VLOOKUP($A444,'HIDDEN Testrun Results'!$A:$B,2,FALSE),"")</f>
        <v/>
      </c>
      <c r="H444" s="6" t="b">
        <f t="shared" si="6"/>
        <v>0</v>
      </c>
      <c r="I444" s="6" t="b">
        <f>IF(VLOOKUP(A444&amp;" "&amp;B444,'HIDDEN import'!A:G,5,FALSE)="M",TRUE,IFERROR(VLOOKUP(E444,'Optional features'!B:D,3,FALSE)="Yes",IFERROR(VLOOKUP(E444,'HIDDEN calc sheet'!A:B,2,FALSE),IFERROR(VLOOKUP(E444,'Additional questions'!B:D,3,FALSE)="Yes",VLOOKUP(E444,'Hardware Feature set'!B:D,3,FALSE)="No"))))</f>
        <v>0</v>
      </c>
      <c r="J444" s="6" t="b">
        <f>IF(VLOOKUP(B444,'Profile selection'!B:C,2,FALSE)="Yes",TRUE,FALSE)</f>
        <v>0</v>
      </c>
    </row>
    <row r="445" spans="1:10" ht="15.75" customHeight="1" x14ac:dyDescent="0.25">
      <c r="A445" t="str">
        <f>'HIDDEN import'!B444</f>
        <v>TC_N_63_CS</v>
      </c>
      <c r="B445" t="str">
        <f>'HIDDEN import'!C444</f>
        <v>ISO 15118 Support</v>
      </c>
      <c r="C445" t="str">
        <f>'HIDDEN import'!D444</f>
        <v>Clear Customer Information - Clear and report - customerCertificate</v>
      </c>
      <c r="D445" t="str">
        <f>IF(VLOOKUP(A445&amp;" "&amp;B445,'HIDDEN import'!A:G,5,FALSE)="M",MD!$A$1,(IF(AND(VLOOKUP(A445,'HIDDEN import'!B:E,4,FALSE)="C",OR(NOT(ISERROR(VLOOKUP(E445,'Optional features'!B:D,1,FALSE)=E445)),NOT(ISERROR(VLOOKUP(E445,'HIDDEN calc sheet'!A:C,1,FALSE)=E445)))),MD!$A$3,MD!$A$2)))</f>
        <v>Mandatory for optional feature</v>
      </c>
      <c r="E445" t="str">
        <f>IF('HIDDEN import'!F444=0,"",'HIDDEN import'!F444)</f>
        <v>ISO-4</v>
      </c>
      <c r="F445" t="str">
        <f>IF('HIDDEN import'!G444=0,"",'HIDDEN import'!G444)</f>
        <v/>
      </c>
      <c r="G445" s="95" t="str">
        <f>IFERROR(VLOOKUP($A445,'HIDDEN Testrun Results'!$A:$B,2,FALSE),"")</f>
        <v/>
      </c>
      <c r="H445" s="6" t="b">
        <f t="shared" si="6"/>
        <v>0</v>
      </c>
      <c r="I445" s="6" t="b">
        <f>IF(VLOOKUP(A445&amp;" "&amp;B445,'HIDDEN import'!A:G,5,FALSE)="M",TRUE,IFERROR(VLOOKUP(E445,'Optional features'!B:D,3,FALSE)="Yes",IFERROR(VLOOKUP(E445,'HIDDEN calc sheet'!A:B,2,FALSE),IFERROR(VLOOKUP(E445,'Additional questions'!B:D,3,FALSE)="Yes",VLOOKUP(E445,'Hardware Feature set'!B:D,3,FALSE)="No"))))</f>
        <v>0</v>
      </c>
      <c r="J445" s="6" t="b">
        <f>IF(VLOOKUP(B445,'Profile selection'!B:C,2,FALSE)="Yes",TRUE,FALSE)</f>
        <v>0</v>
      </c>
    </row>
  </sheetData>
  <sheetProtection algorithmName="SHA-512" hashValue="hRg+o6G7oNrWh3bpJMBjgRlUdZHeEdWKihxSRV2HyxfQEqWXvMa4XStODCIf8YN6E3QYwGrDV9PN4p0PiFCIHg==" saltValue="T21jRulHH4hPxrwtchOoBQ==" spinCount="100000" sheet="1" formatColumns="0" autoFilter="0"/>
  <autoFilter ref="A2:J445" xr:uid="{BD8AEFF0-6C9E-4092-8A8D-C5FF711F20D5}"/>
  <sortState xmlns:xlrd2="http://schemas.microsoft.com/office/spreadsheetml/2017/richdata2" ref="A3:J444">
    <sortCondition ref="A3:A444"/>
  </sortState>
  <mergeCells count="1">
    <mergeCell ref="A1:C1"/>
  </mergeCells>
  <pageMargins left="0.7" right="0.7" top="0.75" bottom="0.75" header="0.3" footer="0.3"/>
  <pageSetup paperSize="9" orientation="portrait" r:id="rId1"/>
  <headerFoot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E41E37-E4D8-4D58-87C7-704F401B18C5}">
  <ds:schemaRefs>
    <ds:schemaRef ds:uri="http://schemas.openxmlformats.org/package/2006/metadata/core-properties"/>
    <ds:schemaRef ds:uri="http://schemas.microsoft.com/office/2006/metadata/properties"/>
    <ds:schemaRef ds:uri="4c0df782-0713-43be-b8d1-e2ff849827a7"/>
    <ds:schemaRef ds:uri="http://purl.org/dc/terms/"/>
    <ds:schemaRef ds:uri="http://purl.org/dc/elements/1.1/"/>
    <ds:schemaRef ds:uri="http://schemas.microsoft.com/office/2006/documentManagement/types"/>
    <ds:schemaRef ds:uri="4d8613b4-e81d-4525-b3bf-245aa758d498"/>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3.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65</vt:i4>
      </vt:variant>
    </vt:vector>
  </HeadingPairs>
  <TitlesOfParts>
    <vt:vector size="81"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calc sheet</vt:lpstr>
      <vt:lpstr>HIDDEN features</vt:lpstr>
      <vt:lpstr>HIDDEN import</vt:lpstr>
      <vt:lpstr>MD</vt:lpstr>
      <vt:lpstr>Additional_DUT_information</vt:lpstr>
      <vt:lpstr>Additional_Network_Communication_Ports</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Authorization_options_for_local_stop</vt:lpstr>
      <vt:lpstr>Authorization_options_for_remote_start</vt:lpstr>
      <vt:lpstr>certificate_photo</vt:lpstr>
      <vt:lpstr>Cipher_Suites</vt:lpstr>
      <vt:lpstr>Communication_technology</vt:lpstr>
      <vt:lpstr>CP_Advanced_Security</vt:lpstr>
      <vt:lpstr>CP_CORE</vt:lpstr>
      <vt:lpstr>CP_CORE_2</vt:lpstr>
      <vt:lpstr>CP_ISO15118_Support</vt:lpstr>
      <vt:lpstr>CP_Smart_Charging</vt:lpstr>
      <vt:lpstr>'HIDDEN features'!CS_features_2025_06_16</vt:lpstr>
      <vt:lpstr>'HIDDEN features'!CS_features_2025_06_18</vt:lpstr>
      <vt:lpstr>'HIDDEN features'!CS_features_2025_06_18_1</vt:lpstr>
      <vt:lpstr>'HIDDEN features'!CS_features_2025_06_18_2</vt:lpstr>
      <vt:lpstr>'HIDDEN import'!CS_testcases_2025_06_18_1</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OCPP_201_Certification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Klapwijk, Paul</cp:lastModifiedBy>
  <cp:revision/>
  <dcterms:created xsi:type="dcterms:W3CDTF">2023-01-12T22:50:24Z</dcterms:created>
  <dcterms:modified xsi:type="dcterms:W3CDTF">2025-12-03T16:59:39Z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