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wsl.localhost\Ubuntu\home\paul\local_git\release_2026-06\locken\"/>
    </mc:Choice>
  </mc:AlternateContent>
  <xr:revisionPtr revIDLastSave="0" documentId="13_ncr:1_{FB4BE7C7-95F4-4A5C-B709-67B763BB78B4}" xr6:coauthVersionLast="47" xr6:coauthVersionMax="47" xr10:uidLastSave="{00000000-0000-0000-0000-000000000000}"/>
  <workbookProtection workbookAlgorithmName="SHA-512" workbookHashValue="6SLsbA7AmBW0rOZAYEET3fxMxlUYEi6tLGHORSohrA+J+VWqvqV57m8fWNRJRYYtlAUGimneyT4f9ro2fijhRQ==" workbookSaltValue="MqM0d/FJ6KX8GQ8U13I/RQ==" workbookSpinCount="100000" lockStructure="1"/>
  <bookViews>
    <workbookView xWindow="22932" yWindow="-108" windowWidth="30936" windowHeight="16776" tabRatio="840" xr2:uid="{AA674DD9-1E2A-F346-8CC4-024FE9D19703}"/>
  </bookViews>
  <sheets>
    <sheet name="Explanation" sheetId="12" r:id="rId1"/>
    <sheet name="General information" sheetId="3" r:id="rId2"/>
    <sheet name="Profile selection" sheetId="13" r:id="rId3"/>
    <sheet name="Optional features" sheetId="5"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features" sheetId="16" state="hidden" r:id="rId11"/>
    <sheet name="HIDDEN import" sheetId="11" state="hidden" r:id="rId12"/>
    <sheet name="HIDDEN calc sheet" sheetId="15" state="hidden" r:id="rId13"/>
    <sheet name="MD" sheetId="9" state="hidden" r:id="rId14"/>
  </sheets>
  <definedNames>
    <definedName name="_xlnm._FilterDatabase" localSheetId="8" hidden="1">'CSMS Testcases'!$A$2:$O$252</definedName>
    <definedName name="_xlnm._FilterDatabase" localSheetId="11" hidden="1">'HIDDEN import'!$A$1:$G$252</definedName>
    <definedName name="Additional_questions">'Additional questions'!$B$4:$D$13</definedName>
    <definedName name="Additional_questions_description">'Additional questions'!$C$2</definedName>
    <definedName name="Additional_Test_information">'Statement of Approval'!$B$23:$C$25</definedName>
    <definedName name="Advanced_Device_Management">'Optional features'!$B$52:$D$53</definedName>
    <definedName name="Advanced_User_Interface">'Optional features'!$B$62:$D$63</definedName>
    <definedName name="Authorization_options_for_local_start">'Optional features'!$B$18:$D$25</definedName>
    <definedName name="Authorization_options_for_remote_start">'Optional features'!$B$26:$D$30</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Advanced_Security">'Optional features'!$B$44:$D$45</definedName>
    <definedName name="CP_CORE">'Optional features'!$B$4:$D$16</definedName>
    <definedName name="CP_CORE_2">'Optional features'!$B$32:$D$39</definedName>
    <definedName name="CP_ISO15118_Support">'Optional features'!$B$55:$D$56</definedName>
    <definedName name="CP_Smart_Charging">'Optional features'!$B$41:$D$42</definedName>
    <definedName name="CSMS_testcases_2025_06_18" localSheetId="11">'HIDDEN import'!$B$1:$G$252</definedName>
    <definedName name="Device_info">'General information'!$B$2:$C$5</definedName>
    <definedName name="DUT_photo">'Statement of Approval'!$B$29:$F$71</definedName>
    <definedName name="Local_Authorization_List_Management">'Optional features'!$B$58:$D$60</definedName>
    <definedName name="Measured_performance">'Performance Measurement'!$B$10:$F$12</definedName>
    <definedName name="OCPP_201_Certification">Explanation!$C$6:$D$10</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Explanation!$D$48</definedName>
    <definedName name="Profile_Selection">'Profile selection'!$B$3:$D$7</definedName>
    <definedName name="Reservations">'Optional features'!$B$47:$D$50</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Testcases'!$A$2:$Q$9999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B20" i="15" l="1"/>
  <c r="B16" i="15"/>
  <c r="B14" i="15"/>
  <c r="B15" i="15"/>
  <c r="B17" i="15"/>
  <c r="B18" i="15"/>
  <c r="B19" i="15"/>
  <c r="C10" i="15" l="1"/>
  <c r="B59" i="15"/>
  <c r="E13" i="10" l="1"/>
  <c r="E12" i="10"/>
  <c r="E11" i="10"/>
  <c r="E10" i="10"/>
  <c r="E8" i="10"/>
  <c r="E7" i="10"/>
  <c r="E5" i="10"/>
  <c r="E63" i="5"/>
  <c r="E60" i="5"/>
  <c r="E59" i="5"/>
  <c r="E56" i="5"/>
  <c r="E53" i="5"/>
  <c r="E50" i="5"/>
  <c r="E49" i="5"/>
  <c r="E48" i="5"/>
  <c r="E42" i="5"/>
  <c r="E38" i="5"/>
  <c r="E39" i="5"/>
  <c r="E37" i="5"/>
  <c r="E34" i="5"/>
  <c r="E35" i="5"/>
  <c r="E33" i="5"/>
  <c r="F28" i="5"/>
  <c r="F29" i="5"/>
  <c r="F30" i="5"/>
  <c r="F27" i="5"/>
  <c r="F22" i="5"/>
  <c r="F23" i="5"/>
  <c r="F21" i="5"/>
  <c r="F19" i="5"/>
  <c r="E13" i="5"/>
  <c r="E14" i="5"/>
  <c r="E15" i="5"/>
  <c r="E16" i="5"/>
  <c r="E12" i="5"/>
  <c r="E6" i="5"/>
  <c r="E7" i="5"/>
  <c r="E8" i="5"/>
  <c r="E9" i="5"/>
  <c r="E10" i="5"/>
  <c r="E5" i="5"/>
  <c r="E5" i="13"/>
  <c r="E6" i="13"/>
  <c r="E7" i="13"/>
  <c r="E4" i="13"/>
  <c r="B8" i="15" l="1"/>
  <c r="B7" i="15"/>
  <c r="B6" i="15"/>
  <c r="B5" i="15"/>
  <c r="B4" i="15"/>
  <c r="C48" i="5" l="1"/>
  <c r="C53" i="5"/>
  <c r="C63" i="5"/>
  <c r="C59" i="5"/>
  <c r="E39" i="16" l="1"/>
  <c r="E38" i="16"/>
  <c r="E37" i="16"/>
  <c r="E36" i="16"/>
  <c r="E35" i="16"/>
  <c r="N14" i="1" l="1"/>
  <c r="N13" i="1"/>
  <c r="C39" i="5"/>
  <c r="E34" i="16"/>
  <c r="C6" i="17" l="1"/>
  <c r="B22" i="15"/>
  <c r="B23" i="15"/>
  <c r="B24" i="15"/>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21" i="15"/>
  <c r="B52" i="15" l="1"/>
  <c r="B53" i="15"/>
  <c r="B54" i="15"/>
  <c r="B55" i="15"/>
  <c r="B56" i="15"/>
  <c r="B57" i="15"/>
  <c r="B58" i="15"/>
  <c r="G12" i="17"/>
  <c r="G4" i="17"/>
  <c r="C23" i="17"/>
  <c r="C24" i="17"/>
  <c r="B2" i="15"/>
  <c r="E9" i="10" l="1"/>
  <c r="E6" i="10"/>
  <c r="G16" i="17" l="1"/>
  <c r="G20" i="17" l="1"/>
  <c r="G19" i="17"/>
  <c r="G18" i="17"/>
  <c r="G17" i="17"/>
  <c r="G15" i="17"/>
  <c r="G14" i="17"/>
  <c r="G13" i="17"/>
  <c r="G9" i="17"/>
  <c r="G8" i="17"/>
  <c r="G7" i="17"/>
  <c r="G6" i="17"/>
  <c r="I1" i="17" s="1"/>
  <c r="G5" i="17"/>
  <c r="C12" i="8"/>
  <c r="D12" i="8"/>
  <c r="E12" i="8"/>
  <c r="E11" i="8"/>
  <c r="D11" i="8"/>
  <c r="C11" i="8"/>
  <c r="N20" i="1" l="1"/>
  <c r="H7" i="8" l="1"/>
  <c r="H6" i="8"/>
  <c r="I1" i="8" s="1"/>
  <c r="F1" i="10"/>
  <c r="E45" i="5"/>
  <c r="E36" i="5"/>
  <c r="F24" i="5"/>
  <c r="F20" i="5"/>
  <c r="D5" i="3"/>
  <c r="D4" i="3"/>
  <c r="D3" i="3"/>
  <c r="D2" i="3"/>
  <c r="F1" i="3" s="1"/>
  <c r="F26" i="5"/>
  <c r="A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 i="11"/>
  <c r="D36" i="5" l="1"/>
  <c r="D11" i="5"/>
  <c r="C11" i="5"/>
  <c r="E11" i="5" l="1"/>
  <c r="F1" i="5" s="1"/>
  <c r="I2" i="17" s="1"/>
  <c r="B10" i="15" a="1"/>
  <c r="B10" i="15" s="1"/>
  <c r="B11" i="15" s="1"/>
  <c r="C25" i="17" s="1"/>
  <c r="B3" i="15"/>
  <c r="F2" i="10" l="1"/>
  <c r="F2" i="5"/>
  <c r="F2" i="3"/>
  <c r="I2" i="8"/>
  <c r="E3" i="16"/>
  <c r="E4" i="16"/>
  <c r="E5" i="16"/>
  <c r="E6" i="16"/>
  <c r="E7" i="16"/>
  <c r="E8" i="16"/>
  <c r="E9" i="16"/>
  <c r="E10" i="16"/>
  <c r="E11" i="16"/>
  <c r="E12" i="16"/>
  <c r="E13" i="16"/>
  <c r="E14" i="16"/>
  <c r="E15" i="16"/>
  <c r="E16" i="16"/>
  <c r="E17" i="16"/>
  <c r="E18" i="16"/>
  <c r="E19" i="16"/>
  <c r="E20" i="16"/>
  <c r="E21" i="16"/>
  <c r="E22" i="16"/>
  <c r="E23" i="16"/>
  <c r="E24" i="16"/>
  <c r="E25" i="16"/>
  <c r="E26" i="16"/>
  <c r="E27" i="16"/>
  <c r="E28" i="16"/>
  <c r="E29" i="16"/>
  <c r="E30" i="16"/>
  <c r="E31" i="16"/>
  <c r="E32" i="16"/>
  <c r="E33" i="16"/>
  <c r="E2" i="16"/>
  <c r="C60" i="5"/>
  <c r="C56" i="5"/>
  <c r="C50" i="5"/>
  <c r="C49" i="5"/>
  <c r="C42" i="5"/>
  <c r="C38" i="5"/>
  <c r="C37" i="5"/>
  <c r="C36" i="5"/>
  <c r="C35" i="5"/>
  <c r="C34" i="5"/>
  <c r="C33" i="5"/>
  <c r="C30" i="5"/>
  <c r="C29" i="5"/>
  <c r="C28" i="5"/>
  <c r="C27" i="5"/>
  <c r="C24" i="5"/>
  <c r="C23" i="5"/>
  <c r="C22" i="5"/>
  <c r="C21" i="5"/>
  <c r="C20" i="5"/>
  <c r="C19" i="5"/>
  <c r="C6" i="5"/>
  <c r="C7" i="5"/>
  <c r="C8" i="5"/>
  <c r="C9" i="5"/>
  <c r="C10" i="5"/>
  <c r="C12" i="5"/>
  <c r="C13" i="5"/>
  <c r="C14" i="5"/>
  <c r="C15" i="5"/>
  <c r="C16" i="5"/>
  <c r="C5" i="5"/>
  <c r="E4" i="1" l="1"/>
  <c r="F4" i="1"/>
  <c r="E5" i="1"/>
  <c r="F5" i="1"/>
  <c r="E6" i="1"/>
  <c r="F6" i="1"/>
  <c r="E7" i="1"/>
  <c r="F7" i="1"/>
  <c r="E8" i="1"/>
  <c r="F8" i="1"/>
  <c r="E9" i="1"/>
  <c r="F9" i="1"/>
  <c r="E10" i="1"/>
  <c r="F10" i="1"/>
  <c r="E11" i="1"/>
  <c r="F11" i="1"/>
  <c r="E12" i="1"/>
  <c r="F12" i="1"/>
  <c r="E13" i="1"/>
  <c r="F13" i="1"/>
  <c r="E14" i="1"/>
  <c r="F14" i="1"/>
  <c r="E15" i="1"/>
  <c r="F15" i="1"/>
  <c r="E16" i="1"/>
  <c r="F16" i="1"/>
  <c r="E17" i="1"/>
  <c r="F17" i="1"/>
  <c r="E18" i="1"/>
  <c r="F18" i="1"/>
  <c r="E19" i="1"/>
  <c r="F19" i="1"/>
  <c r="E20" i="1"/>
  <c r="F20" i="1"/>
  <c r="E21" i="1"/>
  <c r="F21" i="1"/>
  <c r="E22" i="1"/>
  <c r="F22" i="1"/>
  <c r="E23" i="1"/>
  <c r="F23" i="1"/>
  <c r="E24" i="1"/>
  <c r="F24" i="1"/>
  <c r="E25" i="1"/>
  <c r="F25" i="1"/>
  <c r="E26" i="1"/>
  <c r="F26" i="1"/>
  <c r="E27" i="1"/>
  <c r="F27" i="1"/>
  <c r="E28" i="1"/>
  <c r="F28" i="1"/>
  <c r="E29" i="1"/>
  <c r="F29" i="1"/>
  <c r="E30" i="1"/>
  <c r="F30" i="1"/>
  <c r="E31" i="1"/>
  <c r="F31" i="1"/>
  <c r="E32" i="1"/>
  <c r="F32" i="1"/>
  <c r="E33" i="1"/>
  <c r="F33" i="1"/>
  <c r="E34" i="1"/>
  <c r="F34" i="1"/>
  <c r="E35" i="1"/>
  <c r="F35" i="1"/>
  <c r="E36" i="1"/>
  <c r="F36" i="1"/>
  <c r="E37" i="1"/>
  <c r="F37" i="1"/>
  <c r="E38" i="1"/>
  <c r="F38" i="1"/>
  <c r="E39" i="1"/>
  <c r="F39" i="1"/>
  <c r="E40" i="1"/>
  <c r="F40" i="1"/>
  <c r="E41" i="1"/>
  <c r="F41" i="1"/>
  <c r="E42" i="1"/>
  <c r="F42" i="1"/>
  <c r="E43" i="1"/>
  <c r="F43" i="1"/>
  <c r="E44" i="1"/>
  <c r="F44" i="1"/>
  <c r="E45" i="1"/>
  <c r="F45" i="1"/>
  <c r="E46" i="1"/>
  <c r="F46" i="1"/>
  <c r="E47" i="1"/>
  <c r="F47" i="1"/>
  <c r="E48" i="1"/>
  <c r="F48" i="1"/>
  <c r="E49" i="1"/>
  <c r="F49" i="1"/>
  <c r="E50" i="1"/>
  <c r="F50" i="1"/>
  <c r="E51" i="1"/>
  <c r="F51" i="1"/>
  <c r="E52" i="1"/>
  <c r="F52" i="1"/>
  <c r="E53" i="1"/>
  <c r="F53" i="1"/>
  <c r="E54" i="1"/>
  <c r="F54" i="1"/>
  <c r="E55" i="1"/>
  <c r="F55" i="1"/>
  <c r="E56" i="1"/>
  <c r="F56" i="1"/>
  <c r="E57" i="1"/>
  <c r="F57" i="1"/>
  <c r="E58" i="1"/>
  <c r="F58" i="1"/>
  <c r="E59" i="1"/>
  <c r="F59" i="1"/>
  <c r="E60" i="1"/>
  <c r="F60" i="1"/>
  <c r="E61" i="1"/>
  <c r="F61" i="1"/>
  <c r="E62" i="1"/>
  <c r="F62" i="1"/>
  <c r="E63" i="1"/>
  <c r="F63" i="1"/>
  <c r="E64" i="1"/>
  <c r="F64" i="1"/>
  <c r="E65" i="1"/>
  <c r="F65" i="1"/>
  <c r="E66" i="1"/>
  <c r="F66" i="1"/>
  <c r="E67" i="1"/>
  <c r="F67" i="1"/>
  <c r="E68" i="1"/>
  <c r="F68" i="1"/>
  <c r="E69" i="1"/>
  <c r="F69" i="1"/>
  <c r="E70" i="1"/>
  <c r="F70" i="1"/>
  <c r="E71" i="1"/>
  <c r="F71" i="1"/>
  <c r="E72" i="1"/>
  <c r="F72" i="1"/>
  <c r="E73" i="1"/>
  <c r="L73" i="1" s="1"/>
  <c r="F73" i="1"/>
  <c r="E74" i="1"/>
  <c r="F74" i="1"/>
  <c r="E75" i="1"/>
  <c r="L75" i="1" s="1"/>
  <c r="F75" i="1"/>
  <c r="E76" i="1"/>
  <c r="L76" i="1" s="1"/>
  <c r="F76" i="1"/>
  <c r="E77" i="1"/>
  <c r="F77" i="1"/>
  <c r="E78" i="1"/>
  <c r="F78" i="1"/>
  <c r="E79" i="1"/>
  <c r="F79" i="1"/>
  <c r="E80" i="1"/>
  <c r="F80" i="1"/>
  <c r="E81" i="1"/>
  <c r="F81" i="1"/>
  <c r="E82" i="1"/>
  <c r="F82" i="1"/>
  <c r="E83" i="1"/>
  <c r="F83" i="1"/>
  <c r="E84" i="1"/>
  <c r="F84" i="1"/>
  <c r="E85" i="1"/>
  <c r="F85" i="1"/>
  <c r="E86" i="1"/>
  <c r="F86" i="1"/>
  <c r="E87" i="1"/>
  <c r="F87" i="1"/>
  <c r="E88" i="1"/>
  <c r="F88" i="1"/>
  <c r="E89" i="1"/>
  <c r="F89" i="1"/>
  <c r="E90" i="1"/>
  <c r="F90" i="1"/>
  <c r="E91" i="1"/>
  <c r="F91" i="1"/>
  <c r="E92" i="1"/>
  <c r="F92" i="1"/>
  <c r="E93" i="1"/>
  <c r="F93" i="1"/>
  <c r="E94" i="1"/>
  <c r="F94" i="1"/>
  <c r="E95" i="1"/>
  <c r="F95" i="1"/>
  <c r="E96" i="1"/>
  <c r="F96" i="1"/>
  <c r="E97" i="1"/>
  <c r="F97" i="1"/>
  <c r="E98" i="1"/>
  <c r="F98" i="1"/>
  <c r="E99" i="1"/>
  <c r="F99" i="1"/>
  <c r="E100" i="1"/>
  <c r="F100" i="1"/>
  <c r="E101" i="1"/>
  <c r="F101" i="1"/>
  <c r="E102" i="1"/>
  <c r="F102" i="1"/>
  <c r="E103" i="1"/>
  <c r="F103" i="1"/>
  <c r="E104" i="1"/>
  <c r="F104" i="1"/>
  <c r="E105" i="1"/>
  <c r="F105" i="1"/>
  <c r="E106" i="1"/>
  <c r="F106" i="1"/>
  <c r="E107" i="1"/>
  <c r="F107" i="1"/>
  <c r="E108" i="1"/>
  <c r="F108" i="1"/>
  <c r="E109" i="1"/>
  <c r="F109" i="1"/>
  <c r="E110" i="1"/>
  <c r="F110" i="1"/>
  <c r="E111" i="1"/>
  <c r="F111" i="1"/>
  <c r="E112" i="1"/>
  <c r="F112" i="1"/>
  <c r="E113" i="1"/>
  <c r="F113" i="1"/>
  <c r="E114" i="1"/>
  <c r="F114" i="1"/>
  <c r="E115" i="1"/>
  <c r="F115" i="1"/>
  <c r="E116" i="1"/>
  <c r="F116" i="1"/>
  <c r="E117" i="1"/>
  <c r="F117" i="1"/>
  <c r="E118" i="1"/>
  <c r="F118" i="1"/>
  <c r="E119" i="1"/>
  <c r="F119" i="1"/>
  <c r="E120" i="1"/>
  <c r="F120" i="1"/>
  <c r="E121" i="1"/>
  <c r="F121" i="1"/>
  <c r="E122" i="1"/>
  <c r="F122" i="1"/>
  <c r="E123" i="1"/>
  <c r="F123" i="1"/>
  <c r="E124" i="1"/>
  <c r="F124" i="1"/>
  <c r="E125" i="1"/>
  <c r="F125" i="1"/>
  <c r="E126" i="1"/>
  <c r="F126" i="1"/>
  <c r="E127" i="1"/>
  <c r="F127" i="1"/>
  <c r="E128" i="1"/>
  <c r="F128" i="1"/>
  <c r="E129" i="1"/>
  <c r="F129" i="1"/>
  <c r="E130" i="1"/>
  <c r="F130" i="1"/>
  <c r="E131" i="1"/>
  <c r="F131" i="1"/>
  <c r="E132" i="1"/>
  <c r="F132" i="1"/>
  <c r="E133" i="1"/>
  <c r="F133" i="1"/>
  <c r="E134" i="1"/>
  <c r="F134" i="1"/>
  <c r="E135" i="1"/>
  <c r="F135" i="1"/>
  <c r="E136" i="1"/>
  <c r="F136" i="1"/>
  <c r="E137" i="1"/>
  <c r="F137" i="1"/>
  <c r="E138" i="1"/>
  <c r="F138" i="1"/>
  <c r="E139" i="1"/>
  <c r="F139" i="1"/>
  <c r="E140" i="1"/>
  <c r="F140" i="1"/>
  <c r="E141" i="1"/>
  <c r="F141" i="1"/>
  <c r="E142" i="1"/>
  <c r="F142" i="1"/>
  <c r="E143" i="1"/>
  <c r="F143" i="1"/>
  <c r="E144" i="1"/>
  <c r="F144" i="1"/>
  <c r="E145" i="1"/>
  <c r="F145" i="1"/>
  <c r="E146" i="1"/>
  <c r="F146" i="1"/>
  <c r="E147" i="1"/>
  <c r="F147" i="1"/>
  <c r="E148" i="1"/>
  <c r="F148" i="1"/>
  <c r="E149" i="1"/>
  <c r="F149" i="1"/>
  <c r="E150" i="1"/>
  <c r="F150" i="1"/>
  <c r="E151" i="1"/>
  <c r="F151" i="1"/>
  <c r="E152" i="1"/>
  <c r="F152" i="1"/>
  <c r="E153" i="1"/>
  <c r="F153" i="1"/>
  <c r="E154" i="1"/>
  <c r="F154" i="1"/>
  <c r="E155" i="1"/>
  <c r="F155" i="1"/>
  <c r="E156" i="1"/>
  <c r="F156" i="1"/>
  <c r="E157" i="1"/>
  <c r="F157" i="1"/>
  <c r="E158" i="1"/>
  <c r="F158" i="1"/>
  <c r="E159" i="1"/>
  <c r="F159" i="1"/>
  <c r="E160" i="1"/>
  <c r="F160" i="1"/>
  <c r="E161" i="1"/>
  <c r="F161" i="1"/>
  <c r="E162" i="1"/>
  <c r="F162" i="1"/>
  <c r="E163" i="1"/>
  <c r="F163" i="1"/>
  <c r="E164" i="1"/>
  <c r="F164" i="1"/>
  <c r="E165" i="1"/>
  <c r="F165" i="1"/>
  <c r="E166" i="1"/>
  <c r="F166" i="1"/>
  <c r="E167" i="1"/>
  <c r="F167" i="1"/>
  <c r="E168" i="1"/>
  <c r="F168" i="1"/>
  <c r="E169" i="1"/>
  <c r="F169" i="1"/>
  <c r="E170" i="1"/>
  <c r="F170" i="1"/>
  <c r="E171" i="1"/>
  <c r="F171" i="1"/>
  <c r="E172" i="1"/>
  <c r="F172" i="1"/>
  <c r="E173" i="1"/>
  <c r="F173" i="1"/>
  <c r="E174" i="1"/>
  <c r="F174" i="1"/>
  <c r="E175" i="1"/>
  <c r="F175" i="1"/>
  <c r="E176" i="1"/>
  <c r="F176" i="1"/>
  <c r="E177" i="1"/>
  <c r="F177" i="1"/>
  <c r="E178" i="1"/>
  <c r="F178" i="1"/>
  <c r="E179" i="1"/>
  <c r="F179" i="1"/>
  <c r="E180" i="1"/>
  <c r="F180" i="1"/>
  <c r="E181" i="1"/>
  <c r="F181" i="1"/>
  <c r="E182" i="1"/>
  <c r="F182" i="1"/>
  <c r="E183" i="1"/>
  <c r="F183" i="1"/>
  <c r="E184" i="1"/>
  <c r="F184" i="1"/>
  <c r="E185" i="1"/>
  <c r="F185" i="1"/>
  <c r="E186" i="1"/>
  <c r="F186" i="1"/>
  <c r="E187" i="1"/>
  <c r="F187" i="1"/>
  <c r="E188" i="1"/>
  <c r="F188" i="1"/>
  <c r="E189" i="1"/>
  <c r="F189" i="1"/>
  <c r="E190" i="1"/>
  <c r="F190" i="1"/>
  <c r="E191" i="1"/>
  <c r="F191" i="1"/>
  <c r="E192" i="1"/>
  <c r="F192" i="1"/>
  <c r="E193" i="1"/>
  <c r="F193" i="1"/>
  <c r="E194" i="1"/>
  <c r="F194" i="1"/>
  <c r="E195" i="1"/>
  <c r="F195" i="1"/>
  <c r="E196" i="1"/>
  <c r="F196" i="1"/>
  <c r="E197" i="1"/>
  <c r="F197" i="1"/>
  <c r="E198" i="1"/>
  <c r="F198" i="1"/>
  <c r="E199" i="1"/>
  <c r="F199" i="1"/>
  <c r="E200" i="1"/>
  <c r="F200" i="1"/>
  <c r="E201" i="1"/>
  <c r="F201" i="1"/>
  <c r="E202" i="1"/>
  <c r="F202" i="1"/>
  <c r="E203" i="1"/>
  <c r="F203" i="1"/>
  <c r="E204" i="1"/>
  <c r="F204" i="1"/>
  <c r="E205" i="1"/>
  <c r="F205" i="1"/>
  <c r="E206" i="1"/>
  <c r="F206" i="1"/>
  <c r="E207" i="1"/>
  <c r="F207" i="1"/>
  <c r="E208" i="1"/>
  <c r="F208" i="1"/>
  <c r="E209" i="1"/>
  <c r="F209" i="1"/>
  <c r="E210" i="1"/>
  <c r="F210" i="1"/>
  <c r="E211" i="1"/>
  <c r="F211" i="1"/>
  <c r="E212" i="1"/>
  <c r="F212" i="1"/>
  <c r="E213" i="1"/>
  <c r="F213" i="1"/>
  <c r="E214" i="1"/>
  <c r="F214" i="1"/>
  <c r="E215" i="1"/>
  <c r="F215" i="1"/>
  <c r="E216" i="1"/>
  <c r="F216" i="1"/>
  <c r="E217" i="1"/>
  <c r="F217" i="1"/>
  <c r="E218" i="1"/>
  <c r="F218" i="1"/>
  <c r="E219" i="1"/>
  <c r="F219" i="1"/>
  <c r="E220" i="1"/>
  <c r="F220" i="1"/>
  <c r="E221" i="1"/>
  <c r="F221" i="1"/>
  <c r="E222" i="1"/>
  <c r="F222" i="1"/>
  <c r="E223" i="1"/>
  <c r="F223" i="1"/>
  <c r="E224" i="1"/>
  <c r="F224" i="1"/>
  <c r="E225" i="1"/>
  <c r="F225" i="1"/>
  <c r="E226" i="1"/>
  <c r="F226" i="1"/>
  <c r="E227" i="1"/>
  <c r="F227" i="1"/>
  <c r="E228" i="1"/>
  <c r="F228" i="1"/>
  <c r="E229" i="1"/>
  <c r="F229" i="1"/>
  <c r="E230" i="1"/>
  <c r="F230" i="1"/>
  <c r="E231" i="1"/>
  <c r="F231" i="1"/>
  <c r="E232" i="1"/>
  <c r="F232" i="1"/>
  <c r="E233" i="1"/>
  <c r="F233" i="1"/>
  <c r="E234" i="1"/>
  <c r="F234" i="1"/>
  <c r="E235" i="1"/>
  <c r="F235" i="1"/>
  <c r="E236" i="1"/>
  <c r="F236" i="1"/>
  <c r="E237" i="1"/>
  <c r="F237" i="1"/>
  <c r="E238" i="1"/>
  <c r="F238" i="1"/>
  <c r="E239" i="1"/>
  <c r="F239" i="1"/>
  <c r="E240" i="1"/>
  <c r="F240" i="1"/>
  <c r="E241" i="1"/>
  <c r="F241" i="1"/>
  <c r="E242" i="1"/>
  <c r="F242" i="1"/>
  <c r="E243" i="1"/>
  <c r="F243" i="1"/>
  <c r="E244" i="1"/>
  <c r="F244" i="1"/>
  <c r="E245" i="1"/>
  <c r="F245" i="1"/>
  <c r="E246" i="1"/>
  <c r="F246" i="1"/>
  <c r="E247" i="1"/>
  <c r="F247" i="1"/>
  <c r="E248" i="1"/>
  <c r="F248" i="1"/>
  <c r="E249" i="1"/>
  <c r="F249" i="1"/>
  <c r="E250" i="1"/>
  <c r="F250" i="1"/>
  <c r="E251" i="1"/>
  <c r="F251" i="1"/>
  <c r="E252" i="1"/>
  <c r="F252" i="1"/>
  <c r="F3" i="1"/>
  <c r="E3" i="1"/>
  <c r="A4" i="1"/>
  <c r="G4" i="1" s="1"/>
  <c r="B4" i="1"/>
  <c r="C4" i="1"/>
  <c r="A5" i="1"/>
  <c r="G5" i="1" s="1"/>
  <c r="B5" i="1"/>
  <c r="C5" i="1"/>
  <c r="A6" i="1"/>
  <c r="G6" i="1" s="1"/>
  <c r="B6" i="1"/>
  <c r="C6" i="1"/>
  <c r="A7" i="1"/>
  <c r="G7" i="1" s="1"/>
  <c r="B7" i="1"/>
  <c r="J7" i="1" s="1"/>
  <c r="C7" i="1"/>
  <c r="A8" i="1"/>
  <c r="G8" i="1" s="1"/>
  <c r="B8" i="1"/>
  <c r="C8" i="1"/>
  <c r="A9" i="1"/>
  <c r="G9" i="1" s="1"/>
  <c r="B9" i="1"/>
  <c r="J9" i="1" s="1"/>
  <c r="C9" i="1"/>
  <c r="A10" i="1"/>
  <c r="G10" i="1" s="1"/>
  <c r="B10" i="1"/>
  <c r="C10" i="1"/>
  <c r="A11" i="1"/>
  <c r="G11" i="1" s="1"/>
  <c r="B11" i="1"/>
  <c r="J11" i="1" s="1"/>
  <c r="C11" i="1"/>
  <c r="A12" i="1"/>
  <c r="G12" i="1" s="1"/>
  <c r="B12" i="1"/>
  <c r="J12" i="1" s="1"/>
  <c r="C12" i="1"/>
  <c r="A13" i="1"/>
  <c r="G13" i="1" s="1"/>
  <c r="B13" i="1"/>
  <c r="C13" i="1"/>
  <c r="A14" i="1"/>
  <c r="G14" i="1" s="1"/>
  <c r="B14" i="1"/>
  <c r="C14" i="1"/>
  <c r="A15" i="1"/>
  <c r="G15" i="1" s="1"/>
  <c r="B15" i="1"/>
  <c r="J15" i="1" s="1"/>
  <c r="C15" i="1"/>
  <c r="A16" i="1"/>
  <c r="G16" i="1" s="1"/>
  <c r="B16" i="1"/>
  <c r="J16" i="1" s="1"/>
  <c r="C16" i="1"/>
  <c r="A17" i="1"/>
  <c r="G17" i="1" s="1"/>
  <c r="B17" i="1"/>
  <c r="C17" i="1"/>
  <c r="A18" i="1"/>
  <c r="G18" i="1" s="1"/>
  <c r="B18" i="1"/>
  <c r="J18" i="1" s="1"/>
  <c r="C18" i="1"/>
  <c r="A19" i="1"/>
  <c r="G19" i="1" s="1"/>
  <c r="B19" i="1"/>
  <c r="C19" i="1"/>
  <c r="A20" i="1"/>
  <c r="G20" i="1" s="1"/>
  <c r="B20" i="1"/>
  <c r="C20" i="1"/>
  <c r="A21" i="1"/>
  <c r="G21" i="1" s="1"/>
  <c r="B21" i="1"/>
  <c r="C21" i="1"/>
  <c r="A22" i="1"/>
  <c r="G22" i="1" s="1"/>
  <c r="B22" i="1"/>
  <c r="C22" i="1"/>
  <c r="A23" i="1"/>
  <c r="G23" i="1" s="1"/>
  <c r="B23" i="1"/>
  <c r="J23" i="1" s="1"/>
  <c r="C23" i="1"/>
  <c r="A24" i="1"/>
  <c r="G24" i="1" s="1"/>
  <c r="B24" i="1"/>
  <c r="C24" i="1"/>
  <c r="A25" i="1"/>
  <c r="G25" i="1" s="1"/>
  <c r="B25" i="1"/>
  <c r="C25" i="1"/>
  <c r="A26" i="1"/>
  <c r="G26" i="1" s="1"/>
  <c r="B26" i="1"/>
  <c r="C26" i="1"/>
  <c r="A27" i="1"/>
  <c r="G27" i="1" s="1"/>
  <c r="B27" i="1"/>
  <c r="J27" i="1" s="1"/>
  <c r="C27" i="1"/>
  <c r="A28" i="1"/>
  <c r="G28" i="1" s="1"/>
  <c r="B28" i="1"/>
  <c r="J28" i="1" s="1"/>
  <c r="C28" i="1"/>
  <c r="A29" i="1"/>
  <c r="G29" i="1" s="1"/>
  <c r="B29" i="1"/>
  <c r="C29" i="1"/>
  <c r="A30" i="1"/>
  <c r="G30" i="1" s="1"/>
  <c r="B30" i="1"/>
  <c r="C30" i="1"/>
  <c r="A31" i="1"/>
  <c r="G31" i="1" s="1"/>
  <c r="B31" i="1"/>
  <c r="J31" i="1" s="1"/>
  <c r="C31" i="1"/>
  <c r="A32" i="1"/>
  <c r="G32" i="1" s="1"/>
  <c r="B32" i="1"/>
  <c r="J32" i="1" s="1"/>
  <c r="C32" i="1"/>
  <c r="A33" i="1"/>
  <c r="G33" i="1" s="1"/>
  <c r="B33" i="1"/>
  <c r="C33" i="1"/>
  <c r="A34" i="1"/>
  <c r="G34" i="1" s="1"/>
  <c r="B34" i="1"/>
  <c r="J34" i="1" s="1"/>
  <c r="C34" i="1"/>
  <c r="A35" i="1"/>
  <c r="G35" i="1" s="1"/>
  <c r="B35" i="1"/>
  <c r="C35" i="1"/>
  <c r="A36" i="1"/>
  <c r="G36" i="1" s="1"/>
  <c r="B36" i="1"/>
  <c r="C36" i="1"/>
  <c r="A37" i="1"/>
  <c r="G37" i="1" s="1"/>
  <c r="B37" i="1"/>
  <c r="C37" i="1"/>
  <c r="A38" i="1"/>
  <c r="G38" i="1" s="1"/>
  <c r="B38" i="1"/>
  <c r="C38" i="1"/>
  <c r="A39" i="1"/>
  <c r="G39" i="1" s="1"/>
  <c r="B39" i="1"/>
  <c r="J39" i="1" s="1"/>
  <c r="C39" i="1"/>
  <c r="A40" i="1"/>
  <c r="G40" i="1" s="1"/>
  <c r="B40" i="1"/>
  <c r="C40" i="1"/>
  <c r="A41" i="1"/>
  <c r="G41" i="1" s="1"/>
  <c r="B41" i="1"/>
  <c r="C41" i="1"/>
  <c r="A42" i="1"/>
  <c r="G42" i="1" s="1"/>
  <c r="B42" i="1"/>
  <c r="C42" i="1"/>
  <c r="A43" i="1"/>
  <c r="G43" i="1" s="1"/>
  <c r="B43" i="1"/>
  <c r="C43" i="1"/>
  <c r="A44" i="1"/>
  <c r="G44" i="1" s="1"/>
  <c r="B44" i="1"/>
  <c r="J44" i="1" s="1"/>
  <c r="C44" i="1"/>
  <c r="A45" i="1"/>
  <c r="G45" i="1" s="1"/>
  <c r="B45" i="1"/>
  <c r="C45" i="1"/>
  <c r="A46" i="1"/>
  <c r="G46" i="1" s="1"/>
  <c r="B46" i="1"/>
  <c r="C46" i="1"/>
  <c r="A47" i="1"/>
  <c r="G47" i="1" s="1"/>
  <c r="B47" i="1"/>
  <c r="J47" i="1" s="1"/>
  <c r="C47" i="1"/>
  <c r="A48" i="1"/>
  <c r="G48" i="1" s="1"/>
  <c r="B48" i="1"/>
  <c r="J48" i="1" s="1"/>
  <c r="C48" i="1"/>
  <c r="A49" i="1"/>
  <c r="G49" i="1" s="1"/>
  <c r="B49" i="1"/>
  <c r="J49" i="1" s="1"/>
  <c r="C49" i="1"/>
  <c r="A50" i="1"/>
  <c r="G50" i="1" s="1"/>
  <c r="B50" i="1"/>
  <c r="C50" i="1"/>
  <c r="A51" i="1"/>
  <c r="G51" i="1" s="1"/>
  <c r="B51" i="1"/>
  <c r="C51" i="1"/>
  <c r="A52" i="1"/>
  <c r="G52" i="1" s="1"/>
  <c r="B52" i="1"/>
  <c r="C52" i="1"/>
  <c r="A53" i="1"/>
  <c r="G53" i="1" s="1"/>
  <c r="B53" i="1"/>
  <c r="C53" i="1"/>
  <c r="A54" i="1"/>
  <c r="G54" i="1" s="1"/>
  <c r="B54" i="1"/>
  <c r="C54" i="1"/>
  <c r="A55" i="1"/>
  <c r="G55" i="1" s="1"/>
  <c r="B55" i="1"/>
  <c r="J55" i="1" s="1"/>
  <c r="C55" i="1"/>
  <c r="A56" i="1"/>
  <c r="G56" i="1" s="1"/>
  <c r="B56" i="1"/>
  <c r="C56" i="1"/>
  <c r="A57" i="1"/>
  <c r="G57" i="1" s="1"/>
  <c r="B57" i="1"/>
  <c r="C57" i="1"/>
  <c r="A58" i="1"/>
  <c r="G58" i="1" s="1"/>
  <c r="B58" i="1"/>
  <c r="C58" i="1"/>
  <c r="A59" i="1"/>
  <c r="G59" i="1" s="1"/>
  <c r="B59" i="1"/>
  <c r="C59" i="1"/>
  <c r="A60" i="1"/>
  <c r="G60" i="1" s="1"/>
  <c r="B60" i="1"/>
  <c r="J60" i="1" s="1"/>
  <c r="C60" i="1"/>
  <c r="A61" i="1"/>
  <c r="G61" i="1" s="1"/>
  <c r="B61" i="1"/>
  <c r="C61" i="1"/>
  <c r="A62" i="1"/>
  <c r="G62" i="1" s="1"/>
  <c r="B62" i="1"/>
  <c r="C62" i="1"/>
  <c r="A63" i="1"/>
  <c r="G63" i="1" s="1"/>
  <c r="B63" i="1"/>
  <c r="J63" i="1" s="1"/>
  <c r="C63" i="1"/>
  <c r="A64" i="1"/>
  <c r="G64" i="1" s="1"/>
  <c r="B64" i="1"/>
  <c r="J64" i="1" s="1"/>
  <c r="C64" i="1"/>
  <c r="A65" i="1"/>
  <c r="G65" i="1" s="1"/>
  <c r="B65" i="1"/>
  <c r="J65" i="1" s="1"/>
  <c r="C65" i="1"/>
  <c r="A66" i="1"/>
  <c r="G66" i="1" s="1"/>
  <c r="B66" i="1"/>
  <c r="C66" i="1"/>
  <c r="A67" i="1"/>
  <c r="G67" i="1" s="1"/>
  <c r="B67" i="1"/>
  <c r="C67" i="1"/>
  <c r="A68" i="1"/>
  <c r="G68" i="1" s="1"/>
  <c r="B68" i="1"/>
  <c r="C68" i="1"/>
  <c r="A69" i="1"/>
  <c r="G69" i="1" s="1"/>
  <c r="B69" i="1"/>
  <c r="C69" i="1"/>
  <c r="A70" i="1"/>
  <c r="G70" i="1" s="1"/>
  <c r="B70" i="1"/>
  <c r="C70" i="1"/>
  <c r="A71" i="1"/>
  <c r="G71" i="1" s="1"/>
  <c r="B71" i="1"/>
  <c r="C71" i="1"/>
  <c r="A72" i="1"/>
  <c r="G72" i="1" s="1"/>
  <c r="B72" i="1"/>
  <c r="C72" i="1"/>
  <c r="A73" i="1"/>
  <c r="G73" i="1" s="1"/>
  <c r="B73" i="1"/>
  <c r="C73" i="1"/>
  <c r="A74" i="1"/>
  <c r="G74" i="1" s="1"/>
  <c r="B74" i="1"/>
  <c r="C74" i="1"/>
  <c r="A75" i="1"/>
  <c r="G75" i="1" s="1"/>
  <c r="B75" i="1"/>
  <c r="J75" i="1" s="1"/>
  <c r="C75" i="1"/>
  <c r="A76" i="1"/>
  <c r="G76" i="1" s="1"/>
  <c r="B76" i="1"/>
  <c r="J76" i="1" s="1"/>
  <c r="C76" i="1"/>
  <c r="A77" i="1"/>
  <c r="G77" i="1" s="1"/>
  <c r="B77" i="1"/>
  <c r="C77" i="1"/>
  <c r="A78" i="1"/>
  <c r="G78" i="1" s="1"/>
  <c r="B78" i="1"/>
  <c r="C78" i="1"/>
  <c r="A79" i="1"/>
  <c r="G79" i="1" s="1"/>
  <c r="B79" i="1"/>
  <c r="J79" i="1" s="1"/>
  <c r="C79" i="1"/>
  <c r="A80" i="1"/>
  <c r="G80" i="1" s="1"/>
  <c r="B80" i="1"/>
  <c r="J80" i="1" s="1"/>
  <c r="C80" i="1"/>
  <c r="A81" i="1"/>
  <c r="G81" i="1" s="1"/>
  <c r="B81" i="1"/>
  <c r="C81" i="1"/>
  <c r="A82" i="1"/>
  <c r="G82" i="1" s="1"/>
  <c r="B82" i="1"/>
  <c r="J82" i="1" s="1"/>
  <c r="C82" i="1"/>
  <c r="A83" i="1"/>
  <c r="G83" i="1" s="1"/>
  <c r="B83" i="1"/>
  <c r="C83" i="1"/>
  <c r="A84" i="1"/>
  <c r="G84" i="1" s="1"/>
  <c r="B84" i="1"/>
  <c r="C84" i="1"/>
  <c r="A85" i="1"/>
  <c r="G85" i="1" s="1"/>
  <c r="B85" i="1"/>
  <c r="C85" i="1"/>
  <c r="A86" i="1"/>
  <c r="G86" i="1" s="1"/>
  <c r="B86" i="1"/>
  <c r="C86" i="1"/>
  <c r="A87" i="1"/>
  <c r="G87" i="1" s="1"/>
  <c r="B87" i="1"/>
  <c r="J87" i="1" s="1"/>
  <c r="C87" i="1"/>
  <c r="A88" i="1"/>
  <c r="G88" i="1" s="1"/>
  <c r="B88" i="1"/>
  <c r="C88" i="1"/>
  <c r="A89" i="1"/>
  <c r="G89" i="1" s="1"/>
  <c r="B89" i="1"/>
  <c r="C89" i="1"/>
  <c r="A90" i="1"/>
  <c r="G90" i="1" s="1"/>
  <c r="B90" i="1"/>
  <c r="J90" i="1" s="1"/>
  <c r="C90" i="1"/>
  <c r="A91" i="1"/>
  <c r="G91" i="1" s="1"/>
  <c r="B91" i="1"/>
  <c r="C91" i="1"/>
  <c r="A92" i="1"/>
  <c r="G92" i="1" s="1"/>
  <c r="B92" i="1"/>
  <c r="J92" i="1" s="1"/>
  <c r="C92" i="1"/>
  <c r="A93" i="1"/>
  <c r="G93" i="1" s="1"/>
  <c r="B93" i="1"/>
  <c r="C93" i="1"/>
  <c r="A94" i="1"/>
  <c r="G94" i="1" s="1"/>
  <c r="B94" i="1"/>
  <c r="C94" i="1"/>
  <c r="A95" i="1"/>
  <c r="G95" i="1" s="1"/>
  <c r="B95" i="1"/>
  <c r="J95" i="1" s="1"/>
  <c r="C95" i="1"/>
  <c r="A96" i="1"/>
  <c r="G96" i="1" s="1"/>
  <c r="B96" i="1"/>
  <c r="J96" i="1" s="1"/>
  <c r="C96" i="1"/>
  <c r="A97" i="1"/>
  <c r="G97" i="1" s="1"/>
  <c r="B97" i="1"/>
  <c r="J97" i="1" s="1"/>
  <c r="C97" i="1"/>
  <c r="A98" i="1"/>
  <c r="G98" i="1" s="1"/>
  <c r="B98" i="1"/>
  <c r="J98" i="1" s="1"/>
  <c r="C98" i="1"/>
  <c r="A99" i="1"/>
  <c r="G99" i="1" s="1"/>
  <c r="B99" i="1"/>
  <c r="C99" i="1"/>
  <c r="A100" i="1"/>
  <c r="G100" i="1" s="1"/>
  <c r="B100" i="1"/>
  <c r="C100" i="1"/>
  <c r="A101" i="1"/>
  <c r="G101" i="1" s="1"/>
  <c r="B101" i="1"/>
  <c r="C101" i="1"/>
  <c r="A102" i="1"/>
  <c r="G102" i="1" s="1"/>
  <c r="B102" i="1"/>
  <c r="J102" i="1" s="1"/>
  <c r="C102" i="1"/>
  <c r="A103" i="1"/>
  <c r="G103" i="1" s="1"/>
  <c r="B103" i="1"/>
  <c r="C103" i="1"/>
  <c r="A104" i="1"/>
  <c r="G104" i="1" s="1"/>
  <c r="B104" i="1"/>
  <c r="C104" i="1"/>
  <c r="A105" i="1"/>
  <c r="G105" i="1" s="1"/>
  <c r="B105" i="1"/>
  <c r="C105" i="1"/>
  <c r="A106" i="1"/>
  <c r="G106" i="1" s="1"/>
  <c r="B106" i="1"/>
  <c r="C106" i="1"/>
  <c r="A107" i="1"/>
  <c r="G107" i="1" s="1"/>
  <c r="B107" i="1"/>
  <c r="C107" i="1"/>
  <c r="A108" i="1"/>
  <c r="G108" i="1" s="1"/>
  <c r="B108" i="1"/>
  <c r="J108" i="1" s="1"/>
  <c r="C108" i="1"/>
  <c r="A109" i="1"/>
  <c r="G109" i="1" s="1"/>
  <c r="B109" i="1"/>
  <c r="C109" i="1"/>
  <c r="A110" i="1"/>
  <c r="G110" i="1" s="1"/>
  <c r="B110" i="1"/>
  <c r="C110" i="1"/>
  <c r="A111" i="1"/>
  <c r="G111" i="1" s="1"/>
  <c r="B111" i="1"/>
  <c r="J111" i="1" s="1"/>
  <c r="C111" i="1"/>
  <c r="A112" i="1"/>
  <c r="G112" i="1" s="1"/>
  <c r="B112" i="1"/>
  <c r="J112" i="1" s="1"/>
  <c r="C112" i="1"/>
  <c r="A113" i="1"/>
  <c r="G113" i="1" s="1"/>
  <c r="B113" i="1"/>
  <c r="C113" i="1"/>
  <c r="A114" i="1"/>
  <c r="G114" i="1" s="1"/>
  <c r="B114" i="1"/>
  <c r="C114" i="1"/>
  <c r="A115" i="1"/>
  <c r="G115" i="1" s="1"/>
  <c r="B115" i="1"/>
  <c r="C115" i="1"/>
  <c r="A116" i="1"/>
  <c r="G116" i="1" s="1"/>
  <c r="B116" i="1"/>
  <c r="C116" i="1"/>
  <c r="A117" i="1"/>
  <c r="G117" i="1" s="1"/>
  <c r="B117" i="1"/>
  <c r="C117" i="1"/>
  <c r="A118" i="1"/>
  <c r="G118" i="1" s="1"/>
  <c r="B118" i="1"/>
  <c r="C118" i="1"/>
  <c r="A119" i="1"/>
  <c r="G119" i="1" s="1"/>
  <c r="B119" i="1"/>
  <c r="C119" i="1"/>
  <c r="A120" i="1"/>
  <c r="G120" i="1" s="1"/>
  <c r="B120" i="1"/>
  <c r="C120" i="1"/>
  <c r="A121" i="1"/>
  <c r="G121" i="1" s="1"/>
  <c r="B121" i="1"/>
  <c r="C121" i="1"/>
  <c r="A122" i="1"/>
  <c r="G122" i="1" s="1"/>
  <c r="B122" i="1"/>
  <c r="C122" i="1"/>
  <c r="A123" i="1"/>
  <c r="G123" i="1" s="1"/>
  <c r="B123" i="1"/>
  <c r="C123" i="1"/>
  <c r="A124" i="1"/>
  <c r="G124" i="1" s="1"/>
  <c r="B124" i="1"/>
  <c r="J124" i="1" s="1"/>
  <c r="C124" i="1"/>
  <c r="A125" i="1"/>
  <c r="G125" i="1" s="1"/>
  <c r="B125" i="1"/>
  <c r="C125" i="1"/>
  <c r="A126" i="1"/>
  <c r="G126" i="1" s="1"/>
  <c r="B126" i="1"/>
  <c r="C126" i="1"/>
  <c r="A127" i="1"/>
  <c r="G127" i="1" s="1"/>
  <c r="B127" i="1"/>
  <c r="J127" i="1" s="1"/>
  <c r="C127" i="1"/>
  <c r="A128" i="1"/>
  <c r="G128" i="1" s="1"/>
  <c r="B128" i="1"/>
  <c r="J128" i="1" s="1"/>
  <c r="C128" i="1"/>
  <c r="A129" i="1"/>
  <c r="G129" i="1" s="1"/>
  <c r="B129" i="1"/>
  <c r="C129" i="1"/>
  <c r="A130" i="1"/>
  <c r="G130" i="1" s="1"/>
  <c r="B130" i="1"/>
  <c r="J130" i="1" s="1"/>
  <c r="C130" i="1"/>
  <c r="A131" i="1"/>
  <c r="G131" i="1" s="1"/>
  <c r="B131" i="1"/>
  <c r="C131" i="1"/>
  <c r="A132" i="1"/>
  <c r="G132" i="1" s="1"/>
  <c r="B132" i="1"/>
  <c r="C132" i="1"/>
  <c r="A133" i="1"/>
  <c r="G133" i="1" s="1"/>
  <c r="B133" i="1"/>
  <c r="C133" i="1"/>
  <c r="A134" i="1"/>
  <c r="G134" i="1" s="1"/>
  <c r="B134" i="1"/>
  <c r="C134" i="1"/>
  <c r="A135" i="1"/>
  <c r="G135" i="1" s="1"/>
  <c r="B135" i="1"/>
  <c r="C135" i="1"/>
  <c r="A136" i="1"/>
  <c r="G136" i="1" s="1"/>
  <c r="B136" i="1"/>
  <c r="C136" i="1"/>
  <c r="A137" i="1"/>
  <c r="G137" i="1" s="1"/>
  <c r="B137" i="1"/>
  <c r="C137" i="1"/>
  <c r="A138" i="1"/>
  <c r="G138" i="1" s="1"/>
  <c r="B138" i="1"/>
  <c r="C138" i="1"/>
  <c r="A139" i="1"/>
  <c r="G139" i="1" s="1"/>
  <c r="B139" i="1"/>
  <c r="J139" i="1" s="1"/>
  <c r="C139" i="1"/>
  <c r="A140" i="1"/>
  <c r="G140" i="1" s="1"/>
  <c r="B140" i="1"/>
  <c r="J140" i="1" s="1"/>
  <c r="C140" i="1"/>
  <c r="A141" i="1"/>
  <c r="G141" i="1" s="1"/>
  <c r="B141" i="1"/>
  <c r="C141" i="1"/>
  <c r="A142" i="1"/>
  <c r="G142" i="1" s="1"/>
  <c r="B142" i="1"/>
  <c r="C142" i="1"/>
  <c r="A143" i="1"/>
  <c r="G143" i="1" s="1"/>
  <c r="B143" i="1"/>
  <c r="J143" i="1" s="1"/>
  <c r="C143" i="1"/>
  <c r="A144" i="1"/>
  <c r="G144" i="1" s="1"/>
  <c r="B144" i="1"/>
  <c r="J144" i="1" s="1"/>
  <c r="C144" i="1"/>
  <c r="A145" i="1"/>
  <c r="G145" i="1" s="1"/>
  <c r="B145" i="1"/>
  <c r="C145" i="1"/>
  <c r="A146" i="1"/>
  <c r="G146" i="1" s="1"/>
  <c r="B146" i="1"/>
  <c r="C146" i="1"/>
  <c r="A147" i="1"/>
  <c r="G147" i="1" s="1"/>
  <c r="B147" i="1"/>
  <c r="C147" i="1"/>
  <c r="A148" i="1"/>
  <c r="G148" i="1" s="1"/>
  <c r="B148" i="1"/>
  <c r="C148" i="1"/>
  <c r="A149" i="1"/>
  <c r="G149" i="1" s="1"/>
  <c r="B149" i="1"/>
  <c r="C149" i="1"/>
  <c r="A150" i="1"/>
  <c r="G150" i="1" s="1"/>
  <c r="B150" i="1"/>
  <c r="C150" i="1"/>
  <c r="A151" i="1"/>
  <c r="G151" i="1" s="1"/>
  <c r="B151" i="1"/>
  <c r="J151" i="1" s="1"/>
  <c r="C151" i="1"/>
  <c r="A152" i="1"/>
  <c r="G152" i="1" s="1"/>
  <c r="B152" i="1"/>
  <c r="C152" i="1"/>
  <c r="A153" i="1"/>
  <c r="G153" i="1" s="1"/>
  <c r="B153" i="1"/>
  <c r="C153" i="1"/>
  <c r="A154" i="1"/>
  <c r="G154" i="1" s="1"/>
  <c r="B154" i="1"/>
  <c r="C154" i="1"/>
  <c r="A155" i="1"/>
  <c r="G155" i="1" s="1"/>
  <c r="B155" i="1"/>
  <c r="C155" i="1"/>
  <c r="A156" i="1"/>
  <c r="G156" i="1" s="1"/>
  <c r="B156" i="1"/>
  <c r="J156" i="1" s="1"/>
  <c r="C156" i="1"/>
  <c r="A157" i="1"/>
  <c r="G157" i="1" s="1"/>
  <c r="B157" i="1"/>
  <c r="C157" i="1"/>
  <c r="A158" i="1"/>
  <c r="G158" i="1" s="1"/>
  <c r="B158" i="1"/>
  <c r="C158" i="1"/>
  <c r="A159" i="1"/>
  <c r="G159" i="1" s="1"/>
  <c r="B159" i="1"/>
  <c r="J159" i="1" s="1"/>
  <c r="C159" i="1"/>
  <c r="A160" i="1"/>
  <c r="G160" i="1" s="1"/>
  <c r="B160" i="1"/>
  <c r="J160" i="1" s="1"/>
  <c r="C160" i="1"/>
  <c r="A161" i="1"/>
  <c r="G161" i="1" s="1"/>
  <c r="B161" i="1"/>
  <c r="C161" i="1"/>
  <c r="A162" i="1"/>
  <c r="G162" i="1" s="1"/>
  <c r="B162" i="1"/>
  <c r="C162" i="1"/>
  <c r="A163" i="1"/>
  <c r="G163" i="1" s="1"/>
  <c r="B163" i="1"/>
  <c r="C163" i="1"/>
  <c r="A164" i="1"/>
  <c r="G164" i="1" s="1"/>
  <c r="B164" i="1"/>
  <c r="C164" i="1"/>
  <c r="A165" i="1"/>
  <c r="G165" i="1" s="1"/>
  <c r="B165" i="1"/>
  <c r="C165" i="1"/>
  <c r="A166" i="1"/>
  <c r="G166" i="1" s="1"/>
  <c r="B166" i="1"/>
  <c r="C166" i="1"/>
  <c r="A167" i="1"/>
  <c r="G167" i="1" s="1"/>
  <c r="B167" i="1"/>
  <c r="C167" i="1"/>
  <c r="A168" i="1"/>
  <c r="G168" i="1" s="1"/>
  <c r="B168" i="1"/>
  <c r="C168" i="1"/>
  <c r="A169" i="1"/>
  <c r="G169" i="1" s="1"/>
  <c r="B169" i="1"/>
  <c r="J169" i="1" s="1"/>
  <c r="C169" i="1"/>
  <c r="A170" i="1"/>
  <c r="G170" i="1" s="1"/>
  <c r="B170" i="1"/>
  <c r="C170" i="1"/>
  <c r="A171" i="1"/>
  <c r="G171" i="1" s="1"/>
  <c r="B171" i="1"/>
  <c r="C171" i="1"/>
  <c r="A172" i="1"/>
  <c r="G172" i="1" s="1"/>
  <c r="B172" i="1"/>
  <c r="J172" i="1" s="1"/>
  <c r="C172" i="1"/>
  <c r="A173" i="1"/>
  <c r="G173" i="1" s="1"/>
  <c r="B173" i="1"/>
  <c r="C173" i="1"/>
  <c r="A174" i="1"/>
  <c r="G174" i="1" s="1"/>
  <c r="B174" i="1"/>
  <c r="C174" i="1"/>
  <c r="A175" i="1"/>
  <c r="G175" i="1" s="1"/>
  <c r="B175" i="1"/>
  <c r="J175" i="1" s="1"/>
  <c r="C175" i="1"/>
  <c r="A176" i="1"/>
  <c r="G176" i="1" s="1"/>
  <c r="B176" i="1"/>
  <c r="J176" i="1" s="1"/>
  <c r="C176" i="1"/>
  <c r="A177" i="1"/>
  <c r="G177" i="1" s="1"/>
  <c r="B177" i="1"/>
  <c r="C177" i="1"/>
  <c r="A178" i="1"/>
  <c r="G178" i="1" s="1"/>
  <c r="B178" i="1"/>
  <c r="C178" i="1"/>
  <c r="A179" i="1"/>
  <c r="G179" i="1" s="1"/>
  <c r="B179" i="1"/>
  <c r="C179" i="1"/>
  <c r="A180" i="1"/>
  <c r="G180" i="1" s="1"/>
  <c r="B180" i="1"/>
  <c r="C180" i="1"/>
  <c r="A181" i="1"/>
  <c r="G181" i="1" s="1"/>
  <c r="B181" i="1"/>
  <c r="C181" i="1"/>
  <c r="A182" i="1"/>
  <c r="G182" i="1" s="1"/>
  <c r="B182" i="1"/>
  <c r="C182" i="1"/>
  <c r="A183" i="1"/>
  <c r="G183" i="1" s="1"/>
  <c r="B183" i="1"/>
  <c r="C183" i="1"/>
  <c r="A184" i="1"/>
  <c r="G184" i="1" s="1"/>
  <c r="B184" i="1"/>
  <c r="C184" i="1"/>
  <c r="A185" i="1"/>
  <c r="G185" i="1" s="1"/>
  <c r="B185" i="1"/>
  <c r="C185" i="1"/>
  <c r="A186" i="1"/>
  <c r="G186" i="1" s="1"/>
  <c r="B186" i="1"/>
  <c r="C186" i="1"/>
  <c r="A187" i="1"/>
  <c r="G187" i="1" s="1"/>
  <c r="B187" i="1"/>
  <c r="J187" i="1" s="1"/>
  <c r="C187" i="1"/>
  <c r="A188" i="1"/>
  <c r="G188" i="1" s="1"/>
  <c r="B188" i="1"/>
  <c r="J188" i="1" s="1"/>
  <c r="C188" i="1"/>
  <c r="A189" i="1"/>
  <c r="G189" i="1" s="1"/>
  <c r="B189" i="1"/>
  <c r="C189" i="1"/>
  <c r="A190" i="1"/>
  <c r="G190" i="1" s="1"/>
  <c r="B190" i="1"/>
  <c r="C190" i="1"/>
  <c r="A191" i="1"/>
  <c r="G191" i="1" s="1"/>
  <c r="B191" i="1"/>
  <c r="J191" i="1" s="1"/>
  <c r="C191" i="1"/>
  <c r="A192" i="1"/>
  <c r="G192" i="1" s="1"/>
  <c r="B192" i="1"/>
  <c r="J192" i="1" s="1"/>
  <c r="C192" i="1"/>
  <c r="A193" i="1"/>
  <c r="G193" i="1" s="1"/>
  <c r="B193" i="1"/>
  <c r="C193" i="1"/>
  <c r="A194" i="1"/>
  <c r="G194" i="1" s="1"/>
  <c r="B194" i="1"/>
  <c r="J194" i="1" s="1"/>
  <c r="C194" i="1"/>
  <c r="A195" i="1"/>
  <c r="G195" i="1" s="1"/>
  <c r="B195" i="1"/>
  <c r="C195" i="1"/>
  <c r="A196" i="1"/>
  <c r="G196" i="1" s="1"/>
  <c r="B196" i="1"/>
  <c r="C196" i="1"/>
  <c r="A197" i="1"/>
  <c r="G197" i="1" s="1"/>
  <c r="B197" i="1"/>
  <c r="C197" i="1"/>
  <c r="A198" i="1"/>
  <c r="G198" i="1" s="1"/>
  <c r="B198" i="1"/>
  <c r="C198" i="1"/>
  <c r="A199" i="1"/>
  <c r="G199" i="1" s="1"/>
  <c r="B199" i="1"/>
  <c r="C199" i="1"/>
  <c r="A200" i="1"/>
  <c r="G200" i="1" s="1"/>
  <c r="B200" i="1"/>
  <c r="C200" i="1"/>
  <c r="A201" i="1"/>
  <c r="G201" i="1" s="1"/>
  <c r="B201" i="1"/>
  <c r="C201" i="1"/>
  <c r="A202" i="1"/>
  <c r="G202" i="1" s="1"/>
  <c r="B202" i="1"/>
  <c r="J202" i="1" s="1"/>
  <c r="C202" i="1"/>
  <c r="A203" i="1"/>
  <c r="G203" i="1" s="1"/>
  <c r="B203" i="1"/>
  <c r="C203" i="1"/>
  <c r="A204" i="1"/>
  <c r="G204" i="1" s="1"/>
  <c r="B204" i="1"/>
  <c r="J204" i="1" s="1"/>
  <c r="C204" i="1"/>
  <c r="A205" i="1"/>
  <c r="G205" i="1" s="1"/>
  <c r="B205" i="1"/>
  <c r="C205" i="1"/>
  <c r="A206" i="1"/>
  <c r="G206" i="1" s="1"/>
  <c r="B206" i="1"/>
  <c r="C206" i="1"/>
  <c r="A207" i="1"/>
  <c r="G207" i="1" s="1"/>
  <c r="B207" i="1"/>
  <c r="J207" i="1" s="1"/>
  <c r="C207" i="1"/>
  <c r="A208" i="1"/>
  <c r="G208" i="1" s="1"/>
  <c r="B208" i="1"/>
  <c r="J208" i="1" s="1"/>
  <c r="C208" i="1"/>
  <c r="A209" i="1"/>
  <c r="G209" i="1" s="1"/>
  <c r="B209" i="1"/>
  <c r="C209" i="1"/>
  <c r="A210" i="1"/>
  <c r="G210" i="1" s="1"/>
  <c r="B210" i="1"/>
  <c r="J210" i="1" s="1"/>
  <c r="C210" i="1"/>
  <c r="A211" i="1"/>
  <c r="G211" i="1" s="1"/>
  <c r="B211" i="1"/>
  <c r="C211" i="1"/>
  <c r="A212" i="1"/>
  <c r="G212" i="1" s="1"/>
  <c r="B212" i="1"/>
  <c r="C212" i="1"/>
  <c r="A213" i="1"/>
  <c r="G213" i="1" s="1"/>
  <c r="B213" i="1"/>
  <c r="C213" i="1"/>
  <c r="A214" i="1"/>
  <c r="G214" i="1" s="1"/>
  <c r="B214" i="1"/>
  <c r="J214" i="1" s="1"/>
  <c r="C214" i="1"/>
  <c r="A215" i="1"/>
  <c r="G215" i="1" s="1"/>
  <c r="B215" i="1"/>
  <c r="C215" i="1"/>
  <c r="A216" i="1"/>
  <c r="G216" i="1" s="1"/>
  <c r="B216" i="1"/>
  <c r="C216" i="1"/>
  <c r="A217" i="1"/>
  <c r="G217" i="1" s="1"/>
  <c r="B217" i="1"/>
  <c r="C217" i="1"/>
  <c r="A218" i="1"/>
  <c r="G218" i="1" s="1"/>
  <c r="B218" i="1"/>
  <c r="J218" i="1" s="1"/>
  <c r="C218" i="1"/>
  <c r="A219" i="1"/>
  <c r="G219" i="1" s="1"/>
  <c r="B219" i="1"/>
  <c r="C219" i="1"/>
  <c r="A220" i="1"/>
  <c r="G220" i="1" s="1"/>
  <c r="B220" i="1"/>
  <c r="J220" i="1" s="1"/>
  <c r="C220" i="1"/>
  <c r="A221" i="1"/>
  <c r="G221" i="1" s="1"/>
  <c r="B221" i="1"/>
  <c r="C221" i="1"/>
  <c r="A222" i="1"/>
  <c r="G222" i="1" s="1"/>
  <c r="B222" i="1"/>
  <c r="C222" i="1"/>
  <c r="A223" i="1"/>
  <c r="G223" i="1" s="1"/>
  <c r="B223" i="1"/>
  <c r="J223" i="1" s="1"/>
  <c r="C223" i="1"/>
  <c r="A224" i="1"/>
  <c r="G224" i="1" s="1"/>
  <c r="B224" i="1"/>
  <c r="J224" i="1" s="1"/>
  <c r="C224" i="1"/>
  <c r="A225" i="1"/>
  <c r="G225" i="1" s="1"/>
  <c r="B225" i="1"/>
  <c r="C225" i="1"/>
  <c r="A226" i="1"/>
  <c r="G226" i="1" s="1"/>
  <c r="B226" i="1"/>
  <c r="C226" i="1"/>
  <c r="A227" i="1"/>
  <c r="G227" i="1" s="1"/>
  <c r="B227" i="1"/>
  <c r="C227" i="1"/>
  <c r="A228" i="1"/>
  <c r="G228" i="1" s="1"/>
  <c r="B228" i="1"/>
  <c r="C228" i="1"/>
  <c r="A229" i="1"/>
  <c r="G229" i="1" s="1"/>
  <c r="B229" i="1"/>
  <c r="C229" i="1"/>
  <c r="A230" i="1"/>
  <c r="G230" i="1" s="1"/>
  <c r="B230" i="1"/>
  <c r="C230" i="1"/>
  <c r="A231" i="1"/>
  <c r="G231" i="1" s="1"/>
  <c r="B231" i="1"/>
  <c r="C231" i="1"/>
  <c r="A232" i="1"/>
  <c r="G232" i="1" s="1"/>
  <c r="B232" i="1"/>
  <c r="C232" i="1"/>
  <c r="A233" i="1"/>
  <c r="G233" i="1" s="1"/>
  <c r="B233" i="1"/>
  <c r="C233" i="1"/>
  <c r="A234" i="1"/>
  <c r="G234" i="1" s="1"/>
  <c r="B234" i="1"/>
  <c r="C234" i="1"/>
  <c r="A235" i="1"/>
  <c r="G235" i="1" s="1"/>
  <c r="B235" i="1"/>
  <c r="J235" i="1" s="1"/>
  <c r="C235" i="1"/>
  <c r="A236" i="1"/>
  <c r="G236" i="1" s="1"/>
  <c r="B236" i="1"/>
  <c r="J236" i="1" s="1"/>
  <c r="C236" i="1"/>
  <c r="A237" i="1"/>
  <c r="G237" i="1" s="1"/>
  <c r="B237" i="1"/>
  <c r="C237" i="1"/>
  <c r="A238" i="1"/>
  <c r="G238" i="1" s="1"/>
  <c r="B238" i="1"/>
  <c r="C238" i="1"/>
  <c r="A239" i="1"/>
  <c r="G239" i="1" s="1"/>
  <c r="B239" i="1"/>
  <c r="J239" i="1" s="1"/>
  <c r="C239" i="1"/>
  <c r="A240" i="1"/>
  <c r="G240" i="1" s="1"/>
  <c r="B240" i="1"/>
  <c r="J240" i="1" s="1"/>
  <c r="C240" i="1"/>
  <c r="A241" i="1"/>
  <c r="G241" i="1" s="1"/>
  <c r="B241" i="1"/>
  <c r="C241" i="1"/>
  <c r="A242" i="1"/>
  <c r="G242" i="1" s="1"/>
  <c r="B242" i="1"/>
  <c r="C242" i="1"/>
  <c r="A243" i="1"/>
  <c r="G243" i="1" s="1"/>
  <c r="B243" i="1"/>
  <c r="C243" i="1"/>
  <c r="A244" i="1"/>
  <c r="G244" i="1" s="1"/>
  <c r="B244" i="1"/>
  <c r="C244" i="1"/>
  <c r="A245" i="1"/>
  <c r="G245" i="1" s="1"/>
  <c r="B245" i="1"/>
  <c r="C245" i="1"/>
  <c r="A246" i="1"/>
  <c r="G246" i="1" s="1"/>
  <c r="B246" i="1"/>
  <c r="C246" i="1"/>
  <c r="A247" i="1"/>
  <c r="G247" i="1" s="1"/>
  <c r="B247" i="1"/>
  <c r="C247" i="1"/>
  <c r="A248" i="1"/>
  <c r="G248" i="1" s="1"/>
  <c r="B248" i="1"/>
  <c r="C248" i="1"/>
  <c r="A249" i="1"/>
  <c r="G249" i="1" s="1"/>
  <c r="B249" i="1"/>
  <c r="C249" i="1"/>
  <c r="A250" i="1"/>
  <c r="G250" i="1" s="1"/>
  <c r="B250" i="1"/>
  <c r="C250" i="1"/>
  <c r="A251" i="1"/>
  <c r="G251" i="1" s="1"/>
  <c r="B251" i="1"/>
  <c r="C251" i="1"/>
  <c r="A252" i="1"/>
  <c r="G252" i="1" s="1"/>
  <c r="B252" i="1"/>
  <c r="J252" i="1" s="1"/>
  <c r="C252" i="1"/>
  <c r="B3" i="1"/>
  <c r="C3" i="1"/>
  <c r="A3" i="1"/>
  <c r="G3" i="1" s="1"/>
  <c r="D8" i="15" l="1"/>
  <c r="D5" i="15"/>
  <c r="D4" i="15"/>
  <c r="D6" i="15"/>
  <c r="D7" i="15"/>
  <c r="M90" i="1"/>
  <c r="M11" i="1"/>
  <c r="M202" i="1"/>
  <c r="M16" i="1"/>
  <c r="M80" i="1"/>
  <c r="M32" i="1"/>
  <c r="M12" i="1"/>
  <c r="M128" i="1"/>
  <c r="M64" i="1"/>
  <c r="M96" i="1"/>
  <c r="M97" i="1"/>
  <c r="M28" i="1"/>
  <c r="M18" i="1"/>
  <c r="M82" i="1"/>
  <c r="M65" i="1"/>
  <c r="M49" i="1"/>
  <c r="M208" i="1"/>
  <c r="M92" i="1"/>
  <c r="M76" i="1"/>
  <c r="M112" i="1"/>
  <c r="M23" i="1"/>
  <c r="M44" i="1"/>
  <c r="M194" i="1"/>
  <c r="M151" i="1"/>
  <c r="M34" i="1"/>
  <c r="M210" i="1"/>
  <c r="M39" i="1"/>
  <c r="M144" i="1"/>
  <c r="D2" i="15"/>
  <c r="D3" i="15"/>
  <c r="M140" i="1"/>
  <c r="M95" i="1"/>
  <c r="M188" i="1"/>
  <c r="M15" i="1"/>
  <c r="M176" i="1"/>
  <c r="M156" i="1"/>
  <c r="M159" i="1"/>
  <c r="M47" i="1"/>
  <c r="M127" i="1"/>
  <c r="M239" i="1"/>
  <c r="M214" i="1"/>
  <c r="M31" i="1"/>
  <c r="M102" i="1"/>
  <c r="M75" i="1"/>
  <c r="M187" i="1"/>
  <c r="M224" i="1"/>
  <c r="M175" i="1"/>
  <c r="M111" i="1"/>
  <c r="M63" i="1"/>
  <c r="M236" i="1"/>
  <c r="M124" i="1"/>
  <c r="M235" i="1"/>
  <c r="M223" i="1"/>
  <c r="M172" i="1"/>
  <c r="M108" i="1"/>
  <c r="M60" i="1"/>
  <c r="M220" i="1"/>
  <c r="M169" i="1"/>
  <c r="M9" i="1"/>
  <c r="M218" i="1"/>
  <c r="M160" i="1"/>
  <c r="M98" i="1"/>
  <c r="M48" i="1"/>
  <c r="M207" i="1"/>
  <c r="M204" i="1"/>
  <c r="M143" i="1"/>
  <c r="M252" i="1"/>
  <c r="M192" i="1"/>
  <c r="M130" i="1"/>
  <c r="M79" i="1"/>
  <c r="M27" i="1"/>
  <c r="M139" i="1"/>
  <c r="M240" i="1"/>
  <c r="M191" i="1"/>
  <c r="D3" i="1"/>
  <c r="I3" i="1"/>
  <c r="M3" i="1"/>
  <c r="J3" i="1"/>
  <c r="D252" i="1"/>
  <c r="I252" i="1"/>
  <c r="H252" i="1" s="1"/>
  <c r="M251" i="1"/>
  <c r="J251" i="1"/>
  <c r="I251" i="1"/>
  <c r="M250" i="1"/>
  <c r="J250" i="1"/>
  <c r="I250" i="1"/>
  <c r="M249" i="1"/>
  <c r="J249" i="1"/>
  <c r="D249" i="1"/>
  <c r="I249" i="1"/>
  <c r="M248" i="1"/>
  <c r="J248" i="1"/>
  <c r="I248" i="1"/>
  <c r="M247" i="1"/>
  <c r="J247" i="1"/>
  <c r="I247" i="1"/>
  <c r="M246" i="1"/>
  <c r="J246" i="1"/>
  <c r="I246" i="1"/>
  <c r="M245" i="1"/>
  <c r="J245" i="1"/>
  <c r="I245" i="1"/>
  <c r="M244" i="1"/>
  <c r="J244" i="1"/>
  <c r="I244" i="1"/>
  <c r="M243" i="1"/>
  <c r="J243" i="1"/>
  <c r="D243" i="1"/>
  <c r="I243" i="1"/>
  <c r="M242" i="1"/>
  <c r="J242" i="1"/>
  <c r="I242" i="1"/>
  <c r="M241" i="1"/>
  <c r="J241" i="1"/>
  <c r="I241" i="1"/>
  <c r="D240" i="1"/>
  <c r="I240" i="1"/>
  <c r="H240" i="1" s="1"/>
  <c r="I239" i="1"/>
  <c r="H239" i="1" s="1"/>
  <c r="M238" i="1"/>
  <c r="J238" i="1"/>
  <c r="I238" i="1"/>
  <c r="M237" i="1"/>
  <c r="J237" i="1"/>
  <c r="D237" i="1"/>
  <c r="I237" i="1"/>
  <c r="D236" i="1"/>
  <c r="I236" i="1"/>
  <c r="H236" i="1" s="1"/>
  <c r="I235" i="1"/>
  <c r="H235" i="1" s="1"/>
  <c r="M234" i="1"/>
  <c r="J234" i="1"/>
  <c r="I234" i="1"/>
  <c r="M233" i="1"/>
  <c r="J233" i="1"/>
  <c r="D233" i="1"/>
  <c r="I233" i="1"/>
  <c r="M232" i="1"/>
  <c r="J232" i="1"/>
  <c r="I232" i="1"/>
  <c r="M231" i="1"/>
  <c r="J231" i="1"/>
  <c r="I231" i="1"/>
  <c r="M230" i="1"/>
  <c r="J230" i="1"/>
  <c r="I230" i="1"/>
  <c r="M229" i="1"/>
  <c r="J229" i="1"/>
  <c r="I229" i="1"/>
  <c r="M228" i="1"/>
  <c r="J228" i="1"/>
  <c r="I228" i="1"/>
  <c r="M227" i="1"/>
  <c r="J227" i="1"/>
  <c r="D227" i="1"/>
  <c r="I227" i="1"/>
  <c r="M226" i="1"/>
  <c r="J226" i="1"/>
  <c r="I226" i="1"/>
  <c r="M225" i="1"/>
  <c r="J225" i="1"/>
  <c r="I225" i="1"/>
  <c r="D224" i="1"/>
  <c r="I224" i="1"/>
  <c r="H224" i="1" s="1"/>
  <c r="I223" i="1"/>
  <c r="H223" i="1" s="1"/>
  <c r="M222" i="1"/>
  <c r="J222" i="1"/>
  <c r="I222" i="1"/>
  <c r="M221" i="1"/>
  <c r="J221" i="1"/>
  <c r="D221" i="1"/>
  <c r="I221" i="1"/>
  <c r="D220" i="1"/>
  <c r="I220" i="1"/>
  <c r="H220" i="1" s="1"/>
  <c r="M219" i="1"/>
  <c r="J219" i="1"/>
  <c r="I219" i="1"/>
  <c r="I218" i="1"/>
  <c r="H218" i="1" s="1"/>
  <c r="M217" i="1"/>
  <c r="J217" i="1"/>
  <c r="D217" i="1"/>
  <c r="I217" i="1"/>
  <c r="M216" i="1"/>
  <c r="J216" i="1"/>
  <c r="I216" i="1"/>
  <c r="M215" i="1"/>
  <c r="J215" i="1"/>
  <c r="I215" i="1"/>
  <c r="I214" i="1"/>
  <c r="H214" i="1" s="1"/>
  <c r="M213" i="1"/>
  <c r="J213" i="1"/>
  <c r="I213" i="1"/>
  <c r="M212" i="1"/>
  <c r="J212" i="1"/>
  <c r="I212" i="1"/>
  <c r="M211" i="1"/>
  <c r="J211" i="1"/>
  <c r="I211" i="1"/>
  <c r="D211" i="1"/>
  <c r="I210" i="1"/>
  <c r="H210" i="1" s="1"/>
  <c r="M209" i="1"/>
  <c r="J209" i="1"/>
  <c r="I209" i="1"/>
  <c r="D208" i="1"/>
  <c r="I208" i="1"/>
  <c r="H208" i="1" s="1"/>
  <c r="I207" i="1"/>
  <c r="H207" i="1" s="1"/>
  <c r="M206" i="1"/>
  <c r="J206" i="1"/>
  <c r="I206" i="1"/>
  <c r="M205" i="1"/>
  <c r="J205" i="1"/>
  <c r="D205" i="1"/>
  <c r="I205" i="1"/>
  <c r="D204" i="1"/>
  <c r="I204" i="1"/>
  <c r="H204" i="1" s="1"/>
  <c r="M203" i="1"/>
  <c r="J203" i="1"/>
  <c r="I203" i="1"/>
  <c r="I202" i="1"/>
  <c r="H202" i="1" s="1"/>
  <c r="D202" i="1"/>
  <c r="M201" i="1"/>
  <c r="J201" i="1"/>
  <c r="D201" i="1"/>
  <c r="I201" i="1"/>
  <c r="M200" i="1"/>
  <c r="J200" i="1"/>
  <c r="I200" i="1"/>
  <c r="M199" i="1"/>
  <c r="J199" i="1"/>
  <c r="I199" i="1"/>
  <c r="M198" i="1"/>
  <c r="J198" i="1"/>
  <c r="I198" i="1"/>
  <c r="M197" i="1"/>
  <c r="J197" i="1"/>
  <c r="I197" i="1"/>
  <c r="M196" i="1"/>
  <c r="J196" i="1"/>
  <c r="D196" i="1"/>
  <c r="I196" i="1"/>
  <c r="M195" i="1"/>
  <c r="J195" i="1"/>
  <c r="I195" i="1"/>
  <c r="I194" i="1"/>
  <c r="H194" i="1" s="1"/>
  <c r="M193" i="1"/>
  <c r="J193" i="1"/>
  <c r="I193" i="1"/>
  <c r="D192" i="1"/>
  <c r="I192" i="1"/>
  <c r="H192" i="1" s="1"/>
  <c r="I191" i="1"/>
  <c r="H191" i="1" s="1"/>
  <c r="M190" i="1"/>
  <c r="J190" i="1"/>
  <c r="I190" i="1"/>
  <c r="M189" i="1"/>
  <c r="J189" i="1"/>
  <c r="D189" i="1"/>
  <c r="I189" i="1"/>
  <c r="D188" i="1"/>
  <c r="I188" i="1"/>
  <c r="H188" i="1" s="1"/>
  <c r="I187" i="1"/>
  <c r="H187" i="1" s="1"/>
  <c r="M186" i="1"/>
  <c r="J186" i="1"/>
  <c r="I186" i="1"/>
  <c r="M185" i="1"/>
  <c r="J185" i="1"/>
  <c r="D185" i="1"/>
  <c r="I185" i="1"/>
  <c r="M184" i="1"/>
  <c r="J184" i="1"/>
  <c r="I184" i="1"/>
  <c r="M183" i="1"/>
  <c r="J183" i="1"/>
  <c r="I183" i="1"/>
  <c r="M182" i="1"/>
  <c r="J182" i="1"/>
  <c r="I182" i="1"/>
  <c r="M181" i="1"/>
  <c r="J181" i="1"/>
  <c r="I181" i="1"/>
  <c r="M180" i="1"/>
  <c r="J180" i="1"/>
  <c r="I180" i="1"/>
  <c r="M179" i="1"/>
  <c r="J179" i="1"/>
  <c r="I179" i="1"/>
  <c r="M178" i="1"/>
  <c r="J178" i="1"/>
  <c r="I178" i="1"/>
  <c r="M177" i="1"/>
  <c r="J177" i="1"/>
  <c r="I177" i="1"/>
  <c r="D176" i="1"/>
  <c r="I176" i="1"/>
  <c r="H176" i="1" s="1"/>
  <c r="I175" i="1"/>
  <c r="H175" i="1" s="1"/>
  <c r="M174" i="1"/>
  <c r="J174" i="1"/>
  <c r="I174" i="1"/>
  <c r="M173" i="1"/>
  <c r="J173" i="1"/>
  <c r="D173" i="1"/>
  <c r="I173" i="1"/>
  <c r="D172" i="1"/>
  <c r="I172" i="1"/>
  <c r="H172" i="1" s="1"/>
  <c r="M171" i="1"/>
  <c r="J171" i="1"/>
  <c r="I171" i="1"/>
  <c r="M170" i="1"/>
  <c r="J170" i="1"/>
  <c r="I170" i="1"/>
  <c r="D169" i="1"/>
  <c r="I169" i="1"/>
  <c r="H169" i="1" s="1"/>
  <c r="M168" i="1"/>
  <c r="J168" i="1"/>
  <c r="I168" i="1"/>
  <c r="M167" i="1"/>
  <c r="J167" i="1"/>
  <c r="I167" i="1"/>
  <c r="M166" i="1"/>
  <c r="J166" i="1"/>
  <c r="I166" i="1"/>
  <c r="M165" i="1"/>
  <c r="J165" i="1"/>
  <c r="I165" i="1"/>
  <c r="M164" i="1"/>
  <c r="J164" i="1"/>
  <c r="I164" i="1"/>
  <c r="M163" i="1"/>
  <c r="J163" i="1"/>
  <c r="I163" i="1"/>
  <c r="M162" i="1"/>
  <c r="J162" i="1"/>
  <c r="I162" i="1"/>
  <c r="M161" i="1"/>
  <c r="J161" i="1"/>
  <c r="I161" i="1"/>
  <c r="D160" i="1"/>
  <c r="I160" i="1"/>
  <c r="H160" i="1" s="1"/>
  <c r="I159" i="1"/>
  <c r="H159" i="1" s="1"/>
  <c r="M158" i="1"/>
  <c r="J158" i="1"/>
  <c r="I158" i="1"/>
  <c r="M157" i="1"/>
  <c r="J157" i="1"/>
  <c r="D157" i="1"/>
  <c r="I157" i="1"/>
  <c r="D156" i="1"/>
  <c r="I156" i="1"/>
  <c r="H156" i="1" s="1"/>
  <c r="M155" i="1"/>
  <c r="J155" i="1"/>
  <c r="I155" i="1"/>
  <c r="M154" i="1"/>
  <c r="J154" i="1"/>
  <c r="I154" i="1"/>
  <c r="M153" i="1"/>
  <c r="J153" i="1"/>
  <c r="D153" i="1"/>
  <c r="I153" i="1"/>
  <c r="M152" i="1"/>
  <c r="J152" i="1"/>
  <c r="I152" i="1"/>
  <c r="I151" i="1"/>
  <c r="H151" i="1" s="1"/>
  <c r="M150" i="1"/>
  <c r="J150" i="1"/>
  <c r="I150" i="1"/>
  <c r="M149" i="1"/>
  <c r="J149" i="1"/>
  <c r="I149" i="1"/>
  <c r="M148" i="1"/>
  <c r="J148" i="1"/>
  <c r="I148" i="1"/>
  <c r="M147" i="1"/>
  <c r="J147" i="1"/>
  <c r="D147" i="1"/>
  <c r="I147" i="1"/>
  <c r="M146" i="1"/>
  <c r="J146" i="1"/>
  <c r="I146" i="1"/>
  <c r="M145" i="1"/>
  <c r="J145" i="1"/>
  <c r="I145" i="1"/>
  <c r="D144" i="1"/>
  <c r="I144" i="1"/>
  <c r="H144" i="1" s="1"/>
  <c r="I143" i="1"/>
  <c r="H143" i="1" s="1"/>
  <c r="M142" i="1"/>
  <c r="J142" i="1"/>
  <c r="I142" i="1"/>
  <c r="M141" i="1"/>
  <c r="J141" i="1"/>
  <c r="D141" i="1"/>
  <c r="I141" i="1"/>
  <c r="D140" i="1"/>
  <c r="I140" i="1"/>
  <c r="H140" i="1" s="1"/>
  <c r="I139" i="1"/>
  <c r="H139" i="1" s="1"/>
  <c r="M138" i="1"/>
  <c r="J138" i="1"/>
  <c r="I138" i="1"/>
  <c r="D138" i="1"/>
  <c r="M137" i="1"/>
  <c r="J137" i="1"/>
  <c r="D137" i="1"/>
  <c r="I137" i="1"/>
  <c r="M136" i="1"/>
  <c r="J136" i="1"/>
  <c r="I136" i="1"/>
  <c r="D136" i="1"/>
  <c r="M135" i="1"/>
  <c r="J135" i="1"/>
  <c r="I135" i="1"/>
  <c r="M134" i="1"/>
  <c r="J134" i="1"/>
  <c r="I134" i="1"/>
  <c r="M133" i="1"/>
  <c r="J133" i="1"/>
  <c r="I133" i="1"/>
  <c r="M132" i="1"/>
  <c r="J132" i="1"/>
  <c r="D132" i="1"/>
  <c r="I132" i="1"/>
  <c r="M131" i="1"/>
  <c r="J131" i="1"/>
  <c r="D131" i="1"/>
  <c r="I131" i="1"/>
  <c r="I130" i="1"/>
  <c r="H130" i="1" s="1"/>
  <c r="M129" i="1"/>
  <c r="J129" i="1"/>
  <c r="D129" i="1"/>
  <c r="I129" i="1"/>
  <c r="D128" i="1"/>
  <c r="I128" i="1"/>
  <c r="H128" i="1" s="1"/>
  <c r="I127" i="1"/>
  <c r="H127" i="1" s="1"/>
  <c r="M126" i="1"/>
  <c r="J126" i="1"/>
  <c r="I126" i="1"/>
  <c r="M125" i="1"/>
  <c r="J125" i="1"/>
  <c r="D125" i="1"/>
  <c r="I125" i="1"/>
  <c r="D124" i="1"/>
  <c r="I124" i="1"/>
  <c r="H124" i="1" s="1"/>
  <c r="M123" i="1"/>
  <c r="J123" i="1"/>
  <c r="I123" i="1"/>
  <c r="M122" i="1"/>
  <c r="J122" i="1"/>
  <c r="D122" i="1"/>
  <c r="I122" i="1"/>
  <c r="M121" i="1"/>
  <c r="J121" i="1"/>
  <c r="D121" i="1"/>
  <c r="I121" i="1"/>
  <c r="M120" i="1"/>
  <c r="J120" i="1"/>
  <c r="D120" i="1"/>
  <c r="I120" i="1"/>
  <c r="M119" i="1"/>
  <c r="J119" i="1"/>
  <c r="I119" i="1"/>
  <c r="M118" i="1"/>
  <c r="J118" i="1"/>
  <c r="I118" i="1"/>
  <c r="M117" i="1"/>
  <c r="J117" i="1"/>
  <c r="I117" i="1"/>
  <c r="M116" i="1"/>
  <c r="J116" i="1"/>
  <c r="D116" i="1"/>
  <c r="I116" i="1"/>
  <c r="M115" i="1"/>
  <c r="J115" i="1"/>
  <c r="D115" i="1"/>
  <c r="I115" i="1"/>
  <c r="M114" i="1"/>
  <c r="J114" i="1"/>
  <c r="I114" i="1"/>
  <c r="M113" i="1"/>
  <c r="J113" i="1"/>
  <c r="D113" i="1"/>
  <c r="I113" i="1"/>
  <c r="D112" i="1"/>
  <c r="I112" i="1"/>
  <c r="H112" i="1" s="1"/>
  <c r="I111" i="1"/>
  <c r="H111" i="1" s="1"/>
  <c r="M110" i="1"/>
  <c r="J110" i="1"/>
  <c r="I110" i="1"/>
  <c r="M109" i="1"/>
  <c r="J109" i="1"/>
  <c r="D109" i="1"/>
  <c r="I109" i="1"/>
  <c r="D108" i="1"/>
  <c r="I108" i="1"/>
  <c r="H108" i="1" s="1"/>
  <c r="M107" i="1"/>
  <c r="J107" i="1"/>
  <c r="I107" i="1"/>
  <c r="M106" i="1"/>
  <c r="J106" i="1"/>
  <c r="D106" i="1"/>
  <c r="I106" i="1"/>
  <c r="M105" i="1"/>
  <c r="J105" i="1"/>
  <c r="D105" i="1"/>
  <c r="I105" i="1"/>
  <c r="M104" i="1"/>
  <c r="J104" i="1"/>
  <c r="D104" i="1"/>
  <c r="I104" i="1"/>
  <c r="M103" i="1"/>
  <c r="J103" i="1"/>
  <c r="I103" i="1"/>
  <c r="I102" i="1"/>
  <c r="H102" i="1" s="1"/>
  <c r="M101" i="1"/>
  <c r="J101" i="1"/>
  <c r="I101" i="1"/>
  <c r="M100" i="1"/>
  <c r="J100" i="1"/>
  <c r="I100" i="1"/>
  <c r="M99" i="1"/>
  <c r="J99" i="1"/>
  <c r="D99" i="1"/>
  <c r="I99" i="1"/>
  <c r="I98" i="1"/>
  <c r="H98" i="1" s="1"/>
  <c r="D97" i="1"/>
  <c r="I97" i="1"/>
  <c r="H97" i="1" s="1"/>
  <c r="D96" i="1"/>
  <c r="I96" i="1"/>
  <c r="H96" i="1" s="1"/>
  <c r="I95" i="1"/>
  <c r="H95" i="1" s="1"/>
  <c r="M94" i="1"/>
  <c r="J94" i="1"/>
  <c r="I94" i="1"/>
  <c r="M93" i="1"/>
  <c r="J93" i="1"/>
  <c r="D93" i="1"/>
  <c r="I93" i="1"/>
  <c r="D92" i="1"/>
  <c r="I92" i="1"/>
  <c r="H92" i="1" s="1"/>
  <c r="M91" i="1"/>
  <c r="J91" i="1"/>
  <c r="I91" i="1"/>
  <c r="D90" i="1"/>
  <c r="I90" i="1"/>
  <c r="H90" i="1" s="1"/>
  <c r="M89" i="1"/>
  <c r="J89" i="1"/>
  <c r="D89" i="1"/>
  <c r="I89" i="1"/>
  <c r="M88" i="1"/>
  <c r="J88" i="1"/>
  <c r="D88" i="1"/>
  <c r="I88" i="1"/>
  <c r="I87" i="1"/>
  <c r="H87" i="1" s="1"/>
  <c r="M86" i="1"/>
  <c r="J86" i="1"/>
  <c r="I86" i="1"/>
  <c r="M85" i="1"/>
  <c r="J85" i="1"/>
  <c r="I85" i="1"/>
  <c r="M84" i="1"/>
  <c r="J84" i="1"/>
  <c r="I84" i="1"/>
  <c r="M83" i="1"/>
  <c r="J83" i="1"/>
  <c r="D83" i="1"/>
  <c r="I83" i="1"/>
  <c r="I82" i="1"/>
  <c r="H82" i="1" s="1"/>
  <c r="M81" i="1"/>
  <c r="J81" i="1"/>
  <c r="D81" i="1"/>
  <c r="I81" i="1"/>
  <c r="D80" i="1"/>
  <c r="I80" i="1"/>
  <c r="H80" i="1" s="1"/>
  <c r="I79" i="1"/>
  <c r="H79" i="1" s="1"/>
  <c r="M78" i="1"/>
  <c r="J78" i="1"/>
  <c r="I78" i="1"/>
  <c r="M77" i="1"/>
  <c r="J77" i="1"/>
  <c r="D77" i="1"/>
  <c r="I77" i="1"/>
  <c r="D76" i="1"/>
  <c r="I76" i="1"/>
  <c r="H76" i="1" s="1"/>
  <c r="I75" i="1"/>
  <c r="H75" i="1" s="1"/>
  <c r="M74" i="1"/>
  <c r="J74" i="1"/>
  <c r="I74" i="1"/>
  <c r="D74" i="1"/>
  <c r="M73" i="1"/>
  <c r="J73" i="1"/>
  <c r="D73" i="1"/>
  <c r="I73" i="1"/>
  <c r="M72" i="1"/>
  <c r="J72" i="1"/>
  <c r="I72" i="1"/>
  <c r="M71" i="1"/>
  <c r="J71" i="1"/>
  <c r="I71" i="1"/>
  <c r="M70" i="1"/>
  <c r="J70" i="1"/>
  <c r="I70" i="1"/>
  <c r="M69" i="1"/>
  <c r="J69" i="1"/>
  <c r="I69" i="1"/>
  <c r="M68" i="1"/>
  <c r="J68" i="1"/>
  <c r="I68" i="1"/>
  <c r="D68" i="1"/>
  <c r="M67" i="1"/>
  <c r="J67" i="1"/>
  <c r="I67" i="1"/>
  <c r="M66" i="1"/>
  <c r="J66" i="1"/>
  <c r="I66" i="1"/>
  <c r="D65" i="1"/>
  <c r="I65" i="1"/>
  <c r="H65" i="1" s="1"/>
  <c r="D64" i="1"/>
  <c r="I64" i="1"/>
  <c r="H64" i="1" s="1"/>
  <c r="I63" i="1"/>
  <c r="H63" i="1" s="1"/>
  <c r="M62" i="1"/>
  <c r="J62" i="1"/>
  <c r="I62" i="1"/>
  <c r="M61" i="1"/>
  <c r="J61" i="1"/>
  <c r="D61" i="1"/>
  <c r="I61" i="1"/>
  <c r="D60" i="1"/>
  <c r="I60" i="1"/>
  <c r="H60" i="1" s="1"/>
  <c r="M59" i="1"/>
  <c r="J59" i="1"/>
  <c r="I59" i="1"/>
  <c r="M58" i="1"/>
  <c r="J58" i="1"/>
  <c r="D58" i="1"/>
  <c r="I58" i="1"/>
  <c r="M57" i="1"/>
  <c r="J57" i="1"/>
  <c r="D57" i="1"/>
  <c r="I57" i="1"/>
  <c r="M56" i="1"/>
  <c r="J56" i="1"/>
  <c r="D56" i="1"/>
  <c r="I56" i="1"/>
  <c r="I55" i="1"/>
  <c r="H55" i="1" s="1"/>
  <c r="M54" i="1"/>
  <c r="J54" i="1"/>
  <c r="I54" i="1"/>
  <c r="M53" i="1"/>
  <c r="J53" i="1"/>
  <c r="I53" i="1"/>
  <c r="M52" i="1"/>
  <c r="J52" i="1"/>
  <c r="D52" i="1"/>
  <c r="I52" i="1"/>
  <c r="M51" i="1"/>
  <c r="J51" i="1"/>
  <c r="I51" i="1"/>
  <c r="M50" i="1"/>
  <c r="J50" i="1"/>
  <c r="I50" i="1"/>
  <c r="D49" i="1"/>
  <c r="I49" i="1"/>
  <c r="H49" i="1" s="1"/>
  <c r="D48" i="1"/>
  <c r="I48" i="1"/>
  <c r="H48" i="1" s="1"/>
  <c r="I47" i="1"/>
  <c r="H47" i="1" s="1"/>
  <c r="M46" i="1"/>
  <c r="J46" i="1"/>
  <c r="I46" i="1"/>
  <c r="M45" i="1"/>
  <c r="J45" i="1"/>
  <c r="D45" i="1"/>
  <c r="I45" i="1"/>
  <c r="D44" i="1"/>
  <c r="I44" i="1"/>
  <c r="H44" i="1" s="1"/>
  <c r="M43" i="1"/>
  <c r="J43" i="1"/>
  <c r="I43" i="1"/>
  <c r="M42" i="1"/>
  <c r="J42" i="1"/>
  <c r="D42" i="1"/>
  <c r="I42" i="1"/>
  <c r="M41" i="1"/>
  <c r="J41" i="1"/>
  <c r="D41" i="1"/>
  <c r="I41" i="1"/>
  <c r="M40" i="1"/>
  <c r="J40" i="1"/>
  <c r="D40" i="1"/>
  <c r="I40" i="1"/>
  <c r="I39" i="1"/>
  <c r="H39" i="1" s="1"/>
  <c r="M38" i="1"/>
  <c r="J38" i="1"/>
  <c r="I38" i="1"/>
  <c r="M37" i="1"/>
  <c r="J37" i="1"/>
  <c r="I37" i="1"/>
  <c r="M36" i="1"/>
  <c r="J36" i="1"/>
  <c r="I36" i="1"/>
  <c r="M35" i="1"/>
  <c r="J35" i="1"/>
  <c r="I35" i="1"/>
  <c r="I34" i="1"/>
  <c r="H34" i="1" s="1"/>
  <c r="M33" i="1"/>
  <c r="J33" i="1"/>
  <c r="D33" i="1"/>
  <c r="I33" i="1"/>
  <c r="D32" i="1"/>
  <c r="I32" i="1"/>
  <c r="H32" i="1" s="1"/>
  <c r="I31" i="1"/>
  <c r="H31" i="1" s="1"/>
  <c r="M30" i="1"/>
  <c r="J30" i="1"/>
  <c r="I30" i="1"/>
  <c r="M29" i="1"/>
  <c r="J29" i="1"/>
  <c r="D29" i="1"/>
  <c r="I29" i="1"/>
  <c r="D28" i="1"/>
  <c r="I28" i="1"/>
  <c r="H28" i="1" s="1"/>
  <c r="I27" i="1"/>
  <c r="H27" i="1" s="1"/>
  <c r="M26" i="1"/>
  <c r="J26" i="1"/>
  <c r="D26" i="1"/>
  <c r="I26" i="1"/>
  <c r="M25" i="1"/>
  <c r="J25" i="1"/>
  <c r="I25" i="1"/>
  <c r="M24" i="1"/>
  <c r="J24" i="1"/>
  <c r="I24" i="1"/>
  <c r="I23" i="1"/>
  <c r="H23" i="1" s="1"/>
  <c r="M22" i="1"/>
  <c r="J22" i="1"/>
  <c r="I22" i="1"/>
  <c r="M21" i="1"/>
  <c r="J21" i="1"/>
  <c r="I21" i="1"/>
  <c r="M20" i="1"/>
  <c r="J20" i="1"/>
  <c r="I20" i="1"/>
  <c r="M19" i="1"/>
  <c r="J19" i="1"/>
  <c r="I19" i="1"/>
  <c r="I18" i="1"/>
  <c r="H18" i="1" s="1"/>
  <c r="M17" i="1"/>
  <c r="J17" i="1"/>
  <c r="D17" i="1"/>
  <c r="I17" i="1"/>
  <c r="D16" i="1"/>
  <c r="I16" i="1"/>
  <c r="H16" i="1" s="1"/>
  <c r="I15" i="1"/>
  <c r="H15" i="1" s="1"/>
  <c r="M14" i="1"/>
  <c r="J14" i="1"/>
  <c r="I14" i="1"/>
  <c r="M13" i="1"/>
  <c r="J13" i="1"/>
  <c r="D13" i="1"/>
  <c r="I13" i="1"/>
  <c r="D12" i="1"/>
  <c r="I12" i="1"/>
  <c r="H12" i="1" s="1"/>
  <c r="I11" i="1"/>
  <c r="H11" i="1" s="1"/>
  <c r="M10" i="1"/>
  <c r="J10" i="1"/>
  <c r="D10" i="1"/>
  <c r="I10" i="1"/>
  <c r="I9" i="1"/>
  <c r="H9" i="1" s="1"/>
  <c r="M8" i="1"/>
  <c r="J8" i="1"/>
  <c r="D8" i="1"/>
  <c r="I8" i="1"/>
  <c r="I7" i="1"/>
  <c r="H7" i="1" s="1"/>
  <c r="M6" i="1"/>
  <c r="J6" i="1"/>
  <c r="I6" i="1"/>
  <c r="M5" i="1"/>
  <c r="J5" i="1"/>
  <c r="I5" i="1"/>
  <c r="M4" i="1"/>
  <c r="J4" i="1"/>
  <c r="I4" i="1"/>
  <c r="D4" i="1"/>
  <c r="D251" i="1"/>
  <c r="D235" i="1"/>
  <c r="D219" i="1"/>
  <c r="D203" i="1"/>
  <c r="D187" i="1"/>
  <c r="D171" i="1"/>
  <c r="D155" i="1"/>
  <c r="D139" i="1"/>
  <c r="D123" i="1"/>
  <c r="D107" i="1"/>
  <c r="D91" i="1"/>
  <c r="D75" i="1"/>
  <c r="D59" i="1"/>
  <c r="D43" i="1"/>
  <c r="D27" i="1"/>
  <c r="D11" i="1"/>
  <c r="D200" i="1"/>
  <c r="D67" i="1"/>
  <c r="D195" i="1"/>
  <c r="D225" i="1"/>
  <c r="D177" i="1"/>
  <c r="D145" i="1"/>
  <c r="D245" i="1"/>
  <c r="D250" i="1"/>
  <c r="D186" i="1"/>
  <c r="D209" i="1"/>
  <c r="D248" i="1"/>
  <c r="D184" i="1"/>
  <c r="D51" i="1"/>
  <c r="D241" i="1"/>
  <c r="D193" i="1"/>
  <c r="D244" i="1"/>
  <c r="D180" i="1"/>
  <c r="D179" i="1"/>
  <c r="D234" i="1"/>
  <c r="D170" i="1"/>
  <c r="D36" i="1"/>
  <c r="D161" i="1"/>
  <c r="D232" i="1"/>
  <c r="D164" i="1"/>
  <c r="D100" i="1"/>
  <c r="D35" i="1"/>
  <c r="D228" i="1"/>
  <c r="D163" i="1"/>
  <c r="D154" i="1"/>
  <c r="D20" i="1"/>
  <c r="D226" i="1"/>
  <c r="D194" i="1"/>
  <c r="D178" i="1"/>
  <c r="D146" i="1"/>
  <c r="D130" i="1"/>
  <c r="D82" i="1"/>
  <c r="D66" i="1"/>
  <c r="D50" i="1"/>
  <c r="D34" i="1"/>
  <c r="D18" i="1"/>
  <c r="D168" i="1"/>
  <c r="D72" i="1"/>
  <c r="D24" i="1"/>
  <c r="D218" i="1"/>
  <c r="D152" i="1"/>
  <c r="D19" i="1"/>
  <c r="D210" i="1"/>
  <c r="D162" i="1"/>
  <c r="D114" i="1"/>
  <c r="D98" i="1"/>
  <c r="D247" i="1"/>
  <c r="D231" i="1"/>
  <c r="D215" i="1"/>
  <c r="D216" i="1"/>
  <c r="D148" i="1"/>
  <c r="D84" i="1"/>
  <c r="D212" i="1"/>
  <c r="M87" i="1"/>
  <c r="D242" i="1"/>
  <c r="M7" i="1"/>
  <c r="D239" i="1"/>
  <c r="D223" i="1"/>
  <c r="D207" i="1"/>
  <c r="D191" i="1"/>
  <c r="D175" i="1"/>
  <c r="D159" i="1"/>
  <c r="D143" i="1"/>
  <c r="D127" i="1"/>
  <c r="D111" i="1"/>
  <c r="D95" i="1"/>
  <c r="D79" i="1"/>
  <c r="D63" i="1"/>
  <c r="D47" i="1"/>
  <c r="D31" i="1"/>
  <c r="D15" i="1"/>
  <c r="M55" i="1"/>
  <c r="D238" i="1"/>
  <c r="D222" i="1"/>
  <c r="D206" i="1"/>
  <c r="D190" i="1"/>
  <c r="D174" i="1"/>
  <c r="D158" i="1"/>
  <c r="D142" i="1"/>
  <c r="D126" i="1"/>
  <c r="D110" i="1"/>
  <c r="D94" i="1"/>
  <c r="D78" i="1"/>
  <c r="D62" i="1"/>
  <c r="D46" i="1"/>
  <c r="D30" i="1"/>
  <c r="D14" i="1"/>
  <c r="D25" i="1"/>
  <c r="D9" i="1"/>
  <c r="D199" i="1"/>
  <c r="D183" i="1"/>
  <c r="D167" i="1"/>
  <c r="D151" i="1"/>
  <c r="D135" i="1"/>
  <c r="D119" i="1"/>
  <c r="D103" i="1"/>
  <c r="D87" i="1"/>
  <c r="D71" i="1"/>
  <c r="D55" i="1"/>
  <c r="D39" i="1"/>
  <c r="D23" i="1"/>
  <c r="D7" i="1"/>
  <c r="D246" i="1"/>
  <c r="D230" i="1"/>
  <c r="D214" i="1"/>
  <c r="D198" i="1"/>
  <c r="D182" i="1"/>
  <c r="D166" i="1"/>
  <c r="D150" i="1"/>
  <c r="D134" i="1"/>
  <c r="D118" i="1"/>
  <c r="D102" i="1"/>
  <c r="D86" i="1"/>
  <c r="D70" i="1"/>
  <c r="D54" i="1"/>
  <c r="D38" i="1"/>
  <c r="D22" i="1"/>
  <c r="D6" i="1"/>
  <c r="D229" i="1"/>
  <c r="D213" i="1"/>
  <c r="D197" i="1"/>
  <c r="D181" i="1"/>
  <c r="D165" i="1"/>
  <c r="D149" i="1"/>
  <c r="D133" i="1"/>
  <c r="D117" i="1"/>
  <c r="D101" i="1"/>
  <c r="D85" i="1"/>
  <c r="D69" i="1"/>
  <c r="D53" i="1"/>
  <c r="D37" i="1"/>
  <c r="D21" i="1"/>
  <c r="D5" i="1"/>
  <c r="H14" i="1" l="1"/>
  <c r="H129" i="1"/>
  <c r="H68" i="1"/>
  <c r="H114" i="1"/>
  <c r="H123" i="1"/>
  <c r="H203" i="1"/>
  <c r="H58" i="1"/>
  <c r="H81" i="1"/>
  <c r="H120" i="1"/>
  <c r="H131" i="1"/>
  <c r="H141" i="1"/>
  <c r="H147" i="1"/>
  <c r="H217" i="1"/>
  <c r="H24" i="1"/>
  <c r="H53" i="1"/>
  <c r="H105" i="1"/>
  <c r="H125" i="1"/>
  <c r="H158" i="1"/>
  <c r="H229" i="1"/>
  <c r="H185" i="1"/>
  <c r="H73" i="1"/>
  <c r="H168" i="1"/>
  <c r="H180" i="1"/>
  <c r="H13" i="1"/>
  <c r="H135" i="1"/>
  <c r="H152" i="1"/>
  <c r="H222" i="1"/>
  <c r="H228" i="1"/>
  <c r="H170" i="1"/>
  <c r="H234" i="1"/>
  <c r="H241" i="1"/>
  <c r="H246" i="1"/>
  <c r="H251" i="1"/>
  <c r="H248" i="1"/>
  <c r="H221" i="1"/>
  <c r="H227" i="1"/>
  <c r="H45" i="1"/>
  <c r="H134" i="1"/>
  <c r="H209" i="1"/>
  <c r="H238" i="1"/>
  <c r="H244" i="1"/>
  <c r="H245" i="1"/>
  <c r="H84" i="1"/>
  <c r="H107" i="1"/>
  <c r="H85" i="1"/>
  <c r="H164" i="1"/>
  <c r="H77" i="1"/>
  <c r="H153" i="1"/>
  <c r="H205" i="1"/>
  <c r="H5" i="1"/>
  <c r="H30" i="1"/>
  <c r="H70" i="1"/>
  <c r="H38" i="1"/>
  <c r="H43" i="1"/>
  <c r="H94" i="1"/>
  <c r="H101" i="1"/>
  <c r="H166" i="1"/>
  <c r="H178" i="1"/>
  <c r="H19" i="1"/>
  <c r="H25" i="1"/>
  <c r="H54" i="1"/>
  <c r="H59" i="1"/>
  <c r="H142" i="1"/>
  <c r="H148" i="1"/>
  <c r="H171" i="1"/>
  <c r="H225" i="1"/>
  <c r="H230" i="1"/>
  <c r="H242" i="1"/>
  <c r="H247" i="1"/>
  <c r="H121" i="1"/>
  <c r="H132" i="1"/>
  <c r="H66" i="1"/>
  <c r="H83" i="1"/>
  <c r="H106" i="1"/>
  <c r="H33" i="1"/>
  <c r="H56" i="1"/>
  <c r="H113" i="1"/>
  <c r="H122" i="1"/>
  <c r="H8" i="1"/>
  <c r="H61" i="1"/>
  <c r="H167" i="1"/>
  <c r="H173" i="1"/>
  <c r="H179" i="1"/>
  <c r="H190" i="1"/>
  <c r="K3" i="1"/>
  <c r="H10" i="1"/>
  <c r="H29" i="1"/>
  <c r="H41" i="1"/>
  <c r="H109" i="1"/>
  <c r="H21" i="1"/>
  <c r="H40" i="1"/>
  <c r="H51" i="1"/>
  <c r="H78" i="1"/>
  <c r="H103" i="1"/>
  <c r="H118" i="1"/>
  <c r="H138" i="1"/>
  <c r="H145" i="1"/>
  <c r="H150" i="1"/>
  <c r="H162" i="1"/>
  <c r="H197" i="1"/>
  <c r="H215" i="1"/>
  <c r="H232" i="1"/>
  <c r="H249" i="1"/>
  <c r="H57" i="1"/>
  <c r="H22" i="1"/>
  <c r="H35" i="1"/>
  <c r="H52" i="1"/>
  <c r="H62" i="1"/>
  <c r="H91" i="1"/>
  <c r="H104" i="1"/>
  <c r="H119" i="1"/>
  <c r="H146" i="1"/>
  <c r="H157" i="1"/>
  <c r="H163" i="1"/>
  <c r="H174" i="1"/>
  <c r="H198" i="1"/>
  <c r="H216" i="1"/>
  <c r="H233" i="1"/>
  <c r="H250" i="1"/>
  <c r="H4" i="1"/>
  <c r="H17" i="1"/>
  <c r="H46" i="1"/>
  <c r="H69" i="1"/>
  <c r="H86" i="1"/>
  <c r="H99" i="1"/>
  <c r="H115" i="1"/>
  <c r="H181" i="1"/>
  <c r="H186" i="1"/>
  <c r="H193" i="1"/>
  <c r="H36" i="1"/>
  <c r="H74" i="1"/>
  <c r="H199" i="1"/>
  <c r="H211" i="1"/>
  <c r="H42" i="1"/>
  <c r="H93" i="1"/>
  <c r="H110" i="1"/>
  <c r="H136" i="1"/>
  <c r="H182" i="1"/>
  <c r="H37" i="1"/>
  <c r="H88" i="1"/>
  <c r="H100" i="1"/>
  <c r="H116" i="1"/>
  <c r="H165" i="1"/>
  <c r="H177" i="1"/>
  <c r="H195" i="1"/>
  <c r="H200" i="1"/>
  <c r="H212" i="1"/>
  <c r="H6" i="1"/>
  <c r="H71" i="1"/>
  <c r="H126" i="1"/>
  <c r="H137" i="1"/>
  <c r="H154" i="1"/>
  <c r="H183" i="1"/>
  <c r="H189" i="1"/>
  <c r="H206" i="1"/>
  <c r="H219" i="1"/>
  <c r="H196" i="1"/>
  <c r="H201" i="1"/>
  <c r="H213" i="1"/>
  <c r="H20" i="1"/>
  <c r="H26" i="1"/>
  <c r="H50" i="1"/>
  <c r="H89" i="1"/>
  <c r="H117" i="1"/>
  <c r="H149" i="1"/>
  <c r="H161" i="1"/>
  <c r="H226" i="1"/>
  <c r="H231" i="1"/>
  <c r="H237" i="1"/>
  <c r="H243" i="1"/>
  <c r="H67" i="1"/>
  <c r="H72" i="1"/>
  <c r="H133" i="1"/>
  <c r="H155" i="1"/>
  <c r="H184" i="1"/>
  <c r="K4" i="1"/>
  <c r="H3" i="1"/>
  <c r="L12" i="1"/>
  <c r="L69" i="1"/>
  <c r="L70" i="1"/>
  <c r="L71" i="1"/>
  <c r="L72" i="1"/>
  <c r="L68" i="1"/>
  <c r="L241" i="1"/>
  <c r="L240" i="1"/>
  <c r="L239" i="1"/>
  <c r="L238" i="1"/>
  <c r="L237" i="1"/>
  <c r="L236" i="1"/>
  <c r="L235" i="1"/>
  <c r="L234" i="1"/>
  <c r="L221" i="1"/>
  <c r="L195" i="1"/>
  <c r="L194" i="1"/>
  <c r="L193" i="1"/>
  <c r="L168" i="1"/>
  <c r="L167" i="1"/>
  <c r="L166" i="1"/>
  <c r="L165" i="1"/>
  <c r="L164" i="1"/>
  <c r="L163" i="1"/>
  <c r="L162" i="1"/>
  <c r="L161" i="1"/>
  <c r="L148" i="1"/>
  <c r="L99" i="1"/>
  <c r="L98" i="1"/>
  <c r="L96" i="1"/>
  <c r="L67" i="1"/>
  <c r="L62" i="1"/>
  <c r="L61" i="1"/>
  <c r="L60" i="1"/>
  <c r="L59" i="1"/>
  <c r="L58" i="1"/>
  <c r="L42" i="1"/>
  <c r="L26" i="1"/>
  <c r="L25" i="1"/>
  <c r="L24" i="1"/>
  <c r="L19" i="1"/>
  <c r="L18" i="1"/>
  <c r="L16" i="1"/>
  <c r="K5" i="1" l="1"/>
  <c r="K6" i="1"/>
  <c r="K7" i="1"/>
  <c r="K8" i="1"/>
  <c r="K9" i="1"/>
  <c r="K10" i="1"/>
  <c r="K11" i="1"/>
  <c r="K12" i="1"/>
  <c r="K13" i="1"/>
  <c r="K14" i="1"/>
  <c r="K15" i="1"/>
  <c r="K16" i="1"/>
  <c r="K17" i="1"/>
  <c r="K19" i="1"/>
  <c r="K20" i="1"/>
  <c r="K21" i="1"/>
  <c r="K22" i="1"/>
  <c r="K23" i="1"/>
  <c r="K25" i="1"/>
  <c r="K26" i="1"/>
  <c r="K27" i="1"/>
  <c r="K28" i="1"/>
  <c r="K29" i="1"/>
  <c r="K30" i="1"/>
  <c r="K31" i="1"/>
  <c r="K32" i="1"/>
  <c r="K33" i="1"/>
  <c r="K36" i="1"/>
  <c r="K38" i="1"/>
  <c r="K39" i="1"/>
  <c r="K40" i="1"/>
  <c r="K41" i="1"/>
  <c r="K42" i="1"/>
  <c r="K43" i="1"/>
  <c r="K44" i="1"/>
  <c r="K45" i="1"/>
  <c r="K46" i="1"/>
  <c r="K47" i="1"/>
  <c r="K48" i="1"/>
  <c r="K49" i="1"/>
  <c r="K53" i="1"/>
  <c r="K54" i="1"/>
  <c r="K55" i="1"/>
  <c r="K56" i="1"/>
  <c r="K57" i="1"/>
  <c r="K58" i="1"/>
  <c r="K59" i="1"/>
  <c r="K60" i="1"/>
  <c r="K61" i="1"/>
  <c r="K62" i="1"/>
  <c r="K63" i="1"/>
  <c r="K64" i="1"/>
  <c r="K65" i="1"/>
  <c r="K68" i="1"/>
  <c r="K69" i="1"/>
  <c r="K70" i="1"/>
  <c r="K71" i="1"/>
  <c r="K72" i="1"/>
  <c r="K73" i="1"/>
  <c r="K74" i="1"/>
  <c r="K75" i="1"/>
  <c r="K76" i="1"/>
  <c r="K77" i="1"/>
  <c r="K78" i="1"/>
  <c r="K79" i="1"/>
  <c r="K80" i="1"/>
  <c r="K81" i="1"/>
  <c r="K83" i="1"/>
  <c r="K84" i="1"/>
  <c r="K86" i="1"/>
  <c r="K87" i="1"/>
  <c r="K88" i="1"/>
  <c r="K89" i="1"/>
  <c r="K90" i="1"/>
  <c r="K91" i="1"/>
  <c r="K92" i="1"/>
  <c r="K93" i="1"/>
  <c r="K94" i="1"/>
  <c r="K95" i="1"/>
  <c r="K96" i="1"/>
  <c r="K97"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4" i="1"/>
  <c r="K165" i="1"/>
  <c r="K166" i="1"/>
  <c r="K167" i="1"/>
  <c r="K168" i="1"/>
  <c r="K169" i="1"/>
  <c r="K170" i="1"/>
  <c r="K171" i="1"/>
  <c r="K172" i="1"/>
  <c r="K173" i="1"/>
  <c r="K174" i="1"/>
  <c r="K175" i="1"/>
  <c r="K176" i="1"/>
  <c r="K177" i="1"/>
  <c r="K178"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18" i="1"/>
  <c r="K24" i="1"/>
  <c r="K34" i="1"/>
  <c r="K35" i="1"/>
  <c r="K37" i="1"/>
  <c r="K50" i="1"/>
  <c r="K51" i="1"/>
  <c r="K52" i="1"/>
  <c r="K66" i="1"/>
  <c r="K67" i="1"/>
  <c r="K82" i="1"/>
  <c r="K85" i="1"/>
  <c r="K98" i="1"/>
  <c r="K99" i="1"/>
  <c r="K130" i="1"/>
  <c r="K131" i="1"/>
  <c r="K163" i="1"/>
  <c r="K179" i="1"/>
  <c r="K180"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8B7660A-6E75-5647-A175-54DB74F6CDDB}" name="CSMS_testcases_2025-06-18" type="6" refreshedVersion="8" deleted="1" background="1" saveData="1">
    <textPr sourceFile="/Users/ckrul/projects/oca/OCPPdevelopment/OCPP-2.x/part5_certification_profiles/CSMS_testcases_2025-06-18.csv" decimal="," thousands="." comma="1">
      <textFields count="6">
        <textField/>
        <textField/>
        <textField/>
        <textField/>
        <textField/>
        <textField/>
      </textFields>
    </textPr>
  </connection>
  <connection id="2"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<sst xmlns="http://schemas.openxmlformats.org/spreadsheetml/2006/main" count="1886" uniqueCount="857">
  <si>
    <t>Protocol Implementation Conformance Statement</t>
  </si>
  <si>
    <t>OCPP 2.0.1 Certification</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</si>
  <si>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</si>
  <si>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</si>
  <si>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</si>
  <si>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</si>
  <si>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</si>
  <si>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</si>
  <si>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</si>
  <si>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</si>
  <si>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</si>
  <si>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</si>
  <si>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</si>
  <si>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</si>
  <si>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</si>
  <si>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Advanced Security</t>
  </si>
  <si>
    <t>Support for TLS with client authentication.</t>
  </si>
  <si>
    <t>Local Authorization List Management</t>
  </si>
  <si>
    <t>No</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</si>
  <si>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</si>
  <si>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</si>
  <si>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</si>
  <si>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</si>
  <si>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</si>
  <si>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</si>
  <si>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</si>
  <si>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Optional features</t>
  </si>
  <si>
    <t>C-11</t>
  </si>
  <si>
    <t>C-13</t>
  </si>
  <si>
    <t>C-14</t>
  </si>
  <si>
    <t>C-15</t>
  </si>
  <si>
    <t>C-16</t>
  </si>
  <si>
    <t>C-17</t>
  </si>
  <si>
    <t>C-29</t>
  </si>
  <si>
    <t>C-29.1</t>
  </si>
  <si>
    <t>C-29.2</t>
  </si>
  <si>
    <t>C-29.3</t>
  </si>
  <si>
    <t>C-29.4</t>
  </si>
  <si>
    <t>C-29.5</t>
  </si>
  <si>
    <t>C-30</t>
  </si>
  <si>
    <t>Yes*</t>
  </si>
  <si>
    <t>C-31</t>
  </si>
  <si>
    <t>C-32</t>
  </si>
  <si>
    <t>C-33</t>
  </si>
  <si>
    <t>C-34</t>
  </si>
  <si>
    <t>C-35</t>
  </si>
  <si>
    <t> Id </t>
  </si>
  <si>
    <t>C-36</t>
  </si>
  <si>
    <t>C-37</t>
  </si>
  <si>
    <t>C-38</t>
  </si>
  <si>
    <t>C-39</t>
  </si>
  <si>
    <t>C-44</t>
  </si>
  <si>
    <t>C-45</t>
  </si>
  <si>
    <t>C-46</t>
  </si>
  <si>
    <t>C-50</t>
  </si>
  <si>
    <t>C-50.1</t>
  </si>
  <si>
    <t>C-50.2</t>
  </si>
  <si>
    <t>SC-4</t>
  </si>
  <si>
    <t>No optional features. </t>
  </si>
  <si>
    <t>R-1</t>
  </si>
  <si>
    <t>R-2</t>
  </si>
  <si>
    <t>ISO-4</t>
  </si>
  <si>
    <t>LA-2</t>
  </si>
  <si>
    <t>Additional question</t>
  </si>
  <si>
    <t>Can your CSMS be configured to first respond to a BootNotificationRequest with status Pending or Rejected?</t>
  </si>
  <si>
    <t>Is a FullInventory requested during onboarding / booting test cases?</t>
  </si>
  <si>
    <t>Does the CSMS reject unknown Charging Stations during websocket connection setup?</t>
  </si>
  <si>
    <t>Testcase</t>
  </si>
  <si>
    <t>Name</t>
  </si>
  <si>
    <t>CSMS Status</t>
  </si>
  <si>
    <t>Feature ID</t>
  </si>
  <si>
    <t>Feature Name</t>
  </si>
  <si>
    <t>Status</t>
  </si>
  <si>
    <t>Perform test for certification  (based on PICS)</t>
  </si>
  <si>
    <t>Profile selected</t>
  </si>
  <si>
    <t>Optional feature</t>
  </si>
  <si>
    <t>Condition met</t>
  </si>
  <si>
    <t>Internal</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</si>
  <si>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</si>
  <si>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</si>
  <si>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</si>
  <si>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</si>
  <si>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</si>
  <si>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</si>
  <si>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</si>
  <si>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</si>
  <si>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</si>
  <si>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</si>
  <si>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</si>
  <si>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</si>
  <si>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TC_A_01_CSMS</t>
  </si>
  <si>
    <t>M</t>
  </si>
  <si>
    <t>TC_A_02_CSMS</t>
  </si>
  <si>
    <t>TC_A_03_CSMS</t>
  </si>
  <si>
    <t>TC_A_04_CSMS</t>
  </si>
  <si>
    <t>TC_A_06_CSMS</t>
  </si>
  <si>
    <t>TC_A_07_CSMS</t>
  </si>
  <si>
    <t>TC_A_08_CSMS</t>
  </si>
  <si>
    <t>TC_A_09_CSMS</t>
  </si>
  <si>
    <t>TC_A_10_CSMS</t>
  </si>
  <si>
    <t>TC_A_11_CSMS</t>
  </si>
  <si>
    <t>TC_A_12_CSMS</t>
  </si>
  <si>
    <t>C</t>
  </si>
  <si>
    <t>TC_A_14_CSMS</t>
  </si>
  <si>
    <t>TC_A_19_CSMS</t>
  </si>
  <si>
    <t>TC_B_01_CSMS</t>
  </si>
  <si>
    <t>TC_B_02_CSMS</t>
  </si>
  <si>
    <t>BootNotification Pending</t>
  </si>
  <si>
    <t>TC_B_06_CSMS</t>
  </si>
  <si>
    <t>TC_B_07_CSMS</t>
  </si>
  <si>
    <t>TC_B_09_CSMS</t>
  </si>
  <si>
    <t>TC_B_10_CSMS</t>
  </si>
  <si>
    <t>TC_B_12_CSMS</t>
  </si>
  <si>
    <t>ConfigurationInventory</t>
  </si>
  <si>
    <t>TC_B_13_CSMS</t>
  </si>
  <si>
    <t>GetBaseReport - FullInventory - Manual trigger</t>
  </si>
  <si>
    <t>TC_B_18_CSMS</t>
  </si>
  <si>
    <t>TC_B_20_CSMS</t>
  </si>
  <si>
    <t>TC_B_21_CSMS</t>
  </si>
  <si>
    <t>TC_B_22_CSMS</t>
  </si>
  <si>
    <t>TC_B_25_CSMS</t>
  </si>
  <si>
    <t>Reset per EVSE</t>
  </si>
  <si>
    <t>TC_B_26_CSMS</t>
  </si>
  <si>
    <t>TC_B_27_CSMS</t>
  </si>
  <si>
    <t>TC_B_30_CSMS</t>
  </si>
  <si>
    <t>TC_B_31_CSMS</t>
  </si>
  <si>
    <t>TC_B_42_CSMS</t>
  </si>
  <si>
    <t>TC_B_44_CSMS</t>
  </si>
  <si>
    <t>TC_C_02_CSMS</t>
  </si>
  <si>
    <t>TC_C_06_CSMS</t>
  </si>
  <si>
    <t>NOT AQ-2 and (C-30 or C-31 or C-32)</t>
  </si>
  <si>
    <t>Local Authorization - using RFID ISO14443 / RFID ISO15693 / KeyCode</t>
  </si>
  <si>
    <t>TC_C_07_CSMS</t>
  </si>
  <si>
    <t>TC_C_08_CSMS</t>
  </si>
  <si>
    <t>Authorization Cache</t>
  </si>
  <si>
    <t>TC_C_20_CSMS</t>
  </si>
  <si>
    <t>TC_C_37_CSMS</t>
  </si>
  <si>
    <t>TC_C_38_CSMS</t>
  </si>
  <si>
    <t>TC_C_39_CSMS</t>
  </si>
  <si>
    <t>TC_C_40_CSMS</t>
  </si>
  <si>
    <t>TC_C_43_CSMS</t>
  </si>
  <si>
    <t>TC_C_47_CSMS</t>
  </si>
  <si>
    <t>Master Pass - With UI</t>
  </si>
  <si>
    <t>TC_C_48_CSMS</t>
  </si>
  <si>
    <t>TC_C_49_CSMS</t>
  </si>
  <si>
    <t>Master Pass - Without UI</t>
  </si>
  <si>
    <t>TC_C_50_CSMS</t>
  </si>
  <si>
    <t>TC_C_52_CSMS</t>
  </si>
  <si>
    <t>TC_D_01_CSMS</t>
  </si>
  <si>
    <t>TC_D_02_CSMS</t>
  </si>
  <si>
    <t>TC_D_03_CSMS</t>
  </si>
  <si>
    <t>TC_D_04_CSMS</t>
  </si>
  <si>
    <t>TC_D_08_CSMS</t>
  </si>
  <si>
    <t>GetLocalListVersion</t>
  </si>
  <si>
    <t>TC_E_01_CSMS</t>
  </si>
  <si>
    <t>C-09.4 and (C-51 or NOT (C-09.1 or C-09.2 or C-09.3 or C-09.6))</t>
  </si>
  <si>
    <t>Supported Transaction Start points</t>
  </si>
  <si>
    <t>TC_E_02_CSMS</t>
  </si>
  <si>
    <t>Start transaction options - EnergyTransfer</t>
  </si>
  <si>
    <t>C-09.5 and (C-51 or NOT (C-09.1 or C-09.2 or C-09.3 or C-09.4 or C-09.6))</t>
  </si>
  <si>
    <t>TC_E_03_CSMS</t>
  </si>
  <si>
    <t>Authorization options for local start</t>
  </si>
  <si>
    <t>TC_E_04_CSMS</t>
  </si>
  <si>
    <t>TC_E_07_CSMS</t>
  </si>
  <si>
    <t>Supported Transaction Stop Points &amp; Local Authorization - using RFID ISO14443 / RFID ISO15693 / KeyCode / NoAuthorization</t>
  </si>
  <si>
    <t>TC_E_08_CSMS</t>
  </si>
  <si>
    <t>C-10.4 and (C-52 or NOT (C-10.2 or C-10.3))</t>
  </si>
  <si>
    <t>Supported Transaction Stop points</t>
  </si>
  <si>
    <t>TC_E_09_CSMS</t>
  </si>
  <si>
    <t>TC_E_10_CSMS</t>
  </si>
  <si>
    <t>Supported Transaction Start Points &amp; Authorization options for local start &amp; Authorization - eMAID</t>
  </si>
  <si>
    <t>TC_E_11_CSMS</t>
  </si>
  <si>
    <t>C-09.3 and (C-51 or NOT (C-09.1 or C-09.2 or C-09.6))</t>
  </si>
  <si>
    <t>TC_E_12_CSMS</t>
  </si>
  <si>
    <t>C-09.6</t>
  </si>
  <si>
    <t>TC_E_14_CSMS</t>
  </si>
  <si>
    <t>HFS-1 and C-10.1 and (C-52 or NOT (C-10.2 or C-10.3 or C-10.4))</t>
  </si>
  <si>
    <t>TC_E_15_CSMS</t>
  </si>
  <si>
    <t>TC_E_16_CSMS</t>
  </si>
  <si>
    <t>TC_E_17_CSMS</t>
  </si>
  <si>
    <t>TC_E_19_CSMS</t>
  </si>
  <si>
    <t>C-10.5 and (C-52 or NOT (C-10.1 or C-10.2 or C-10.3 or C-10.4))</t>
  </si>
  <si>
    <t>TC_E_20_CSMS</t>
  </si>
  <si>
    <t>TC_E_21_CSMS</t>
  </si>
  <si>
    <t>C-10.2</t>
  </si>
  <si>
    <t>TC_E_22_CSMS</t>
  </si>
  <si>
    <t>C-10.4</t>
  </si>
  <si>
    <t>TC_E_26_CSMS</t>
  </si>
  <si>
    <t>TC_E_29_CSMS</t>
  </si>
  <si>
    <t>Check TransactionStatus</t>
  </si>
  <si>
    <t>TC_E_30_CSMS</t>
  </si>
  <si>
    <t>TC_E_31_CSMS</t>
  </si>
  <si>
    <t>TC_E_33_CSMS</t>
  </si>
  <si>
    <t>TC_E_34_CSMS</t>
  </si>
  <si>
    <t>TC_E_38_CSMS</t>
  </si>
  <si>
    <t>TC_E_39_CSMS</t>
  </si>
  <si>
    <t>TC_E_53_CSMS</t>
  </si>
  <si>
    <t>TC_F_01_CSMS</t>
  </si>
  <si>
    <t>Authorization options for remote start</t>
  </si>
  <si>
    <t>TC_F_02_CSMS</t>
  </si>
  <si>
    <t>TC_F_03_CSMS</t>
  </si>
  <si>
    <t>TC_F_04_CSMS</t>
  </si>
  <si>
    <t>TC_F_06_CSMS</t>
  </si>
  <si>
    <t>See column 3/4</t>
  </si>
  <si>
    <t>TC_F_11_CSMS</t>
  </si>
  <si>
    <t>TriggerMessage</t>
  </si>
  <si>
    <t>TC_F_12_CSMS</t>
  </si>
  <si>
    <t>TC_F_13_CSMS</t>
  </si>
  <si>
    <t>TC_F_14_CSMS</t>
  </si>
  <si>
    <t>TC_F_15_CSMS</t>
  </si>
  <si>
    <t>TC_F_18_CSMS</t>
  </si>
  <si>
    <t>TC_F_20_CSMS</t>
  </si>
  <si>
    <t>TC_F_23_CSMS</t>
  </si>
  <si>
    <t>TC_F_24_CSMS</t>
  </si>
  <si>
    <t>TC_F_27_CSMS</t>
  </si>
  <si>
    <t>TC_G_03_CSMS</t>
  </si>
  <si>
    <t>TC_G_04_CSMS</t>
  </si>
  <si>
    <t>TC_G_05_CSMS</t>
  </si>
  <si>
    <t>TC_G_06_CSMS</t>
  </si>
  <si>
    <t>TC_G_07_CSMS</t>
  </si>
  <si>
    <t>TC_G_08_CSMS</t>
  </si>
  <si>
    <t>TC_G_11_CSMS</t>
  </si>
  <si>
    <t>TC_G_14_CSMS</t>
  </si>
  <si>
    <t>TC_G_17_CSMS</t>
  </si>
  <si>
    <t>TC_G_20_CSMS</t>
  </si>
  <si>
    <t>TC_H_01_CSMS</t>
  </si>
  <si>
    <t>TC_H_07_CSMS</t>
  </si>
  <si>
    <t>TC_H_08_CSMS</t>
  </si>
  <si>
    <t>Support reservations of unspecified EVSE</t>
  </si>
  <si>
    <t>TC_H_14_CSMS</t>
  </si>
  <si>
    <t>TC_H_15_CSMS</t>
  </si>
  <si>
    <t>TC_H_17_CSMS</t>
  </si>
  <si>
    <t>TC_H_19_CSMS</t>
  </si>
  <si>
    <t>TC_H_20_CSMS</t>
  </si>
  <si>
    <t>TC_H_22_CSMS</t>
  </si>
  <si>
    <t>TC_I_01_CSMS</t>
  </si>
  <si>
    <t>TC_I_02_CSMS</t>
  </si>
  <si>
    <t>TC_J_01_CSMS</t>
  </si>
  <si>
    <t>C-40</t>
  </si>
  <si>
    <t>Supported MeterValue Measurands</t>
  </si>
  <si>
    <t>TC_J_02_CSMS</t>
  </si>
  <si>
    <t>TC_J_03_CSMS</t>
  </si>
  <si>
    <t>TC_J_04_CSMS</t>
  </si>
  <si>
    <t>Supported MeterValue Measurands &amp; Signed Metervalues</t>
  </si>
  <si>
    <t>TC_J_07_CSMS</t>
  </si>
  <si>
    <t>TC_J_08_CSMS</t>
  </si>
  <si>
    <t>Supported MeterValue Measurands &amp; possibility to enforce EVSE being known.</t>
  </si>
  <si>
    <t>TC_J_09_CSMS</t>
  </si>
  <si>
    <t>TC_J_10_CSMS</t>
  </si>
  <si>
    <t>TC_J_11_CSMS</t>
  </si>
  <si>
    <t>C-42</t>
  </si>
  <si>
    <t>TC_K_01_CSMS</t>
  </si>
  <si>
    <t>TC_K_03_CSMS</t>
  </si>
  <si>
    <t>TC_K_04_CSMS</t>
  </si>
  <si>
    <t>TC_K_05_CSMS</t>
  </si>
  <si>
    <t>TC_K_06_CSMS</t>
  </si>
  <si>
    <t>TC_K_08_CSMS</t>
  </si>
  <si>
    <t>TC_K_10_CSMS</t>
  </si>
  <si>
    <t>Support for TxDefaultProfile on EVSEID #0</t>
  </si>
  <si>
    <t>TC_K_15_CSMS</t>
  </si>
  <si>
    <t>TC_K_19_CSMS</t>
  </si>
  <si>
    <t>TC_K_29_CSMS</t>
  </si>
  <si>
    <t>TC_K_30_CSMS</t>
  </si>
  <si>
    <t>TC_K_31_CSMS</t>
  </si>
  <si>
    <t>TC_K_32_CSMS</t>
  </si>
  <si>
    <t>TC_K_33_CSMS</t>
  </si>
  <si>
    <t>TC_K_34_CSMS</t>
  </si>
  <si>
    <t>TC_K_35_CSMS</t>
  </si>
  <si>
    <t>TC_K_36_CSMS</t>
  </si>
  <si>
    <t>TC_K_37_CSMS</t>
  </si>
  <si>
    <t>TC_K_43_CSMS</t>
  </si>
  <si>
    <t>TC_K_44_CSMS</t>
  </si>
  <si>
    <t>TC_K_53_CSMS</t>
  </si>
  <si>
    <t>TC_K_55_CSMS</t>
  </si>
  <si>
    <t>TC_K_57_CSMS</t>
  </si>
  <si>
    <t>TC_K_58_CSMS</t>
  </si>
  <si>
    <t>TC_K_59_CSMS</t>
  </si>
  <si>
    <t>TC_K_60_CSMS</t>
  </si>
  <si>
    <t>TC_K_70_CSMS</t>
  </si>
  <si>
    <t>TC_L_01_CSMS</t>
  </si>
  <si>
    <t>TC_L_02_CSMS</t>
  </si>
  <si>
    <t>Scheduled firmware updates</t>
  </si>
  <si>
    <t>TC_L_03_CSMS</t>
  </si>
  <si>
    <t>TC_L_04_CSMS</t>
  </si>
  <si>
    <t>TC_L_05_CSMS</t>
  </si>
  <si>
    <t>TC_L_06_CSMS</t>
  </si>
  <si>
    <t>TC_L_07_CSMS</t>
  </si>
  <si>
    <t>TC_L_08_CSMS</t>
  </si>
  <si>
    <t>TC_L_10_CSMS</t>
  </si>
  <si>
    <t>C-60</t>
  </si>
  <si>
    <t>TC_L_11_CSMS</t>
  </si>
  <si>
    <t>NOT C-60</t>
  </si>
  <si>
    <t>TC_L_13_CSMS</t>
  </si>
  <si>
    <t>TC_M_01_CSMS</t>
  </si>
  <si>
    <t>TC_M_02_CSMS</t>
  </si>
  <si>
    <t>TC_M_03_CSMS</t>
  </si>
  <si>
    <t>TC_M_04_CSMS</t>
  </si>
  <si>
    <t>TC_M_13_CSMS</t>
  </si>
  <si>
    <t>TC_M_14_CSMS</t>
  </si>
  <si>
    <t>TC_M_15_CSMS</t>
  </si>
  <si>
    <t>TC_M_16_CSMS</t>
  </si>
  <si>
    <t>TC_M_18_CSMS</t>
  </si>
  <si>
    <t>TC_M_19_CSMS</t>
  </si>
  <si>
    <t>TC_M_20_CSMS</t>
  </si>
  <si>
    <t>TC_M_21_CSMS</t>
  </si>
  <si>
    <t>TC_M_24_CSMS</t>
  </si>
  <si>
    <t>TC_M_26_CSMS</t>
  </si>
  <si>
    <t>TC_M_28_CSMS</t>
  </si>
  <si>
    <t>TC_N_01_CSMS</t>
  </si>
  <si>
    <t>TC_N_02_CSMS</t>
  </si>
  <si>
    <t>TC_N_03_CSMS</t>
  </si>
  <si>
    <t>TC_N_05_CSMS</t>
  </si>
  <si>
    <t>TC_N_08_CSMS</t>
  </si>
  <si>
    <t>TC_N_16_CSMS</t>
  </si>
  <si>
    <t>TC_N_17_CSMS</t>
  </si>
  <si>
    <t>TC_N_18_CSMS</t>
  </si>
  <si>
    <t>TC_N_24_CSMS</t>
  </si>
  <si>
    <t>TC_N_25_CSMS</t>
  </si>
  <si>
    <t>TC_N_27_CSMS</t>
  </si>
  <si>
    <t>TC_N_28_CSMS</t>
  </si>
  <si>
    <t>TC_N_29_CSMS</t>
  </si>
  <si>
    <t>TC_N_30_CSMS</t>
  </si>
  <si>
    <t>TC_N_31_CSMS</t>
  </si>
  <si>
    <t>TC_N_32_CSMS</t>
  </si>
  <si>
    <t>TC_N_34_CSMS</t>
  </si>
  <si>
    <t>TC_N_35_CSMS</t>
  </si>
  <si>
    <t>TC_N_36_CSMS</t>
  </si>
  <si>
    <t>C-57</t>
  </si>
  <si>
    <t>TC_N_44_CSMS</t>
  </si>
  <si>
    <t>TC_N_46_CSMS</t>
  </si>
  <si>
    <t>TC_N_47_CSMS</t>
  </si>
  <si>
    <t>TC_N_49_CSMS</t>
  </si>
  <si>
    <t>TC_N_50_CSMS</t>
  </si>
  <si>
    <t>TC_N_60_CSMS</t>
  </si>
  <si>
    <t>TC_N_62_CSMS</t>
  </si>
  <si>
    <t>TC_N_63_CSMS</t>
  </si>
  <si>
    <t>TC_O_01_CSMS</t>
  </si>
  <si>
    <t>TC_O_02_CSMS</t>
  </si>
  <si>
    <t>TC_O_03_CSMS</t>
  </si>
  <si>
    <t>TC_O_04_CSMS</t>
  </si>
  <si>
    <t>TC_O_05_CSMS</t>
  </si>
  <si>
    <t>TC_O_06_CSMS</t>
  </si>
  <si>
    <t>TC_O_07_CSMS</t>
  </si>
  <si>
    <t>TC_O_08_CSMS</t>
  </si>
  <si>
    <t>TC_O_09_CSMS</t>
  </si>
  <si>
    <t>TC_O_10_CSMS</t>
  </si>
  <si>
    <t>TC_O_12_CSMS</t>
  </si>
  <si>
    <t>TC_O_13_CSMS</t>
  </si>
  <si>
    <t>TC_O_14_CSMS</t>
  </si>
  <si>
    <t>TC_O_17_CSMS</t>
  </si>
  <si>
    <t>TC_O_18_CSMS</t>
  </si>
  <si>
    <t>TC_O_19_CSMS</t>
  </si>
  <si>
    <t>TC_O_26_CSMS</t>
  </si>
  <si>
    <t>TC_O_27_CSMS</t>
  </si>
  <si>
    <t>TC_O_28_CSMS</t>
  </si>
  <si>
    <t>TC_P_02_CSMS</t>
  </si>
  <si>
    <t>TC_P_03_CSMS</t>
  </si>
  <si>
    <t>Feature</t>
  </si>
  <si>
    <t>Check</t>
  </si>
  <si>
    <t>Support for unlocking connector for charging station with detachable cable (UnlockConnector message).</t>
  </si>
  <si>
    <t>Optional</t>
  </si>
  <si>
    <t>Support for Reset per EVSE</t>
  </si>
  <si>
    <t>Support for retrieving / deleting CustomerInformation - CustomerIdentifier</t>
  </si>
  <si>
    <t>Support for scheduled firmware updates</t>
  </si>
  <si>
    <t>Support for checking the TransactionStatus</t>
  </si>
  <si>
    <t>Support for retrieving the ConfigurationInventory</t>
  </si>
  <si>
    <t>Trigger message - MeterValues</t>
  </si>
  <si>
    <t>Trigger message - TransactionEvent</t>
  </si>
  <si>
    <t>Trigger message - LogStatusNotification</t>
  </si>
  <si>
    <t>Trigger message - FirmwareStatusNotification</t>
  </si>
  <si>
    <t>Trigger message - StatusNotification</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</si>
  <si>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</si>
  <si>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</si>
  <si>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</si>
  <si>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</si>
  <si>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</si>
  <si>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</si>
  <si>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</si>
  <si>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</si>
  <si>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 for sending a BootNotification Pending before Accepting</t>
  </si>
  <si>
    <t>Support for Multiple elements GetVariablesRequest</t>
  </si>
  <si>
    <t>Support for Multiple elements SetVariablesRequest</t>
  </si>
  <si>
    <t>GetBaseReport - FullInventory</t>
  </si>
  <si>
    <t>GetBaseReport - FullInventory - During onboarding</t>
  </si>
  <si>
    <t>Support for reservations of connectorType</t>
  </si>
  <si>
    <t>Support for reservations of unspecified EVSE</t>
  </si>
  <si>
    <t>ISO 15118 support</t>
  </si>
  <si>
    <t>Support for retrieving / deleting CustomerInformation - CustomerCertificate</t>
  </si>
  <si>
    <t>Support for GetLocalListVersion</t>
  </si>
  <si>
    <t>Key</t>
  </si>
  <si>
    <t>Value (based on formula)</t>
  </si>
  <si>
    <t>Optional feature related</t>
  </si>
  <si>
    <t>Used</t>
  </si>
  <si>
    <t>Required</t>
  </si>
  <si>
    <t>multiple values elements GetVariablesRequest</t>
  </si>
  <si>
    <t>multiple values elements SetVariablesRequest</t>
  </si>
  <si>
    <t>NOT C-09.5 and NOT Product Subtype "Mode 1/2-only Charging Station"</t>
  </si>
  <si>
    <t>C-40 and NOT AQ-8 AND (C-09.2 OR C-09.6)</t>
  </si>
  <si>
    <t>TC_L_09_CSMS</t>
  </si>
  <si>
    <t>NOT C-43 and NOT AQ-7</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</si>
  <si>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</si>
  <si>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</si>
  <si>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</si>
  <si>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</si>
  <si>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</si>
  <si>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</si>
  <si>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</si>
  <si>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</si>
  <si>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</si>
  <si>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</si>
  <si>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</si>
  <si>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Id </t>
  </si>
  <si>
    <t>Charging Station Management System</t>
  </si>
  <si>
    <t>…</t>
  </si>
  <si>
    <t>Test Report Reference</t>
  </si>
  <si>
    <t>(At least one of the suboptions below is required)</t>
  </si>
  <si>
    <t>Vendor provided performance values</t>
  </si>
  <si>
    <t>Max Value</t>
  </si>
  <si>
    <t>Min Value</t>
  </si>
  <si>
    <t>The response time for when waiting for an OCPP response message after sending an OCPP request message. This entails all OCPP messages, excluding Authorize. Messages to the DUT can be handled within this timeout. </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</si>
  <si>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</si>
  <si>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</si>
  <si>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</si>
  <si>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</si>
  <si>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</si>
  <si>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</si>
  <si>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</si>
  <si>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</si>
  <si>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</si>
  <si>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</si>
  <si>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</si>
  <si>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</si>
  <si>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</si>
  <si>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</si>
  <si>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</si>
  <si>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</si>
  <si>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</si>
  <si>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</si>
  <si>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</si>
  <si>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</si>
  <si>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</si>
  <si>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</si>
  <si>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</si>
  <si>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</si>
  <si>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</si>
  <si>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I hereby declare that the information provided in the document is correct and complete and that I approve this document to be submitted for OCPP 2.0.1 certification based on this information.</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</si>
  <si>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</si>
  <si>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</si>
  <si>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</si>
  <si>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</si>
  <si>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</si>
  <si>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</si>
  <si>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r>
      <t>Supported / Present</t>
    </r>
    <r>
      <rPr>
        <sz val="11"/>
        <color rgb="FF7030A0"/>
        <rFont val="Arial"/>
        <family val="2"/>
      </rPr>
      <t> </t>
    </r>
  </si>
  <si>
    <t>Supported / Present </t>
  </si>
  <si>
    <t>Supported according to Vendor 
(* required options) </t>
  </si>
  <si>
    <t>Supported according to Vendor 
(at least one is mandatory)</t>
  </si>
  <si>
    <t xml:space="preserve">List of Optional Features is currently: </t>
  </si>
  <si>
    <t>Certification Profile: Smart Charging</t>
  </si>
  <si>
    <t>Certification Profile: Advanced Security</t>
  </si>
  <si>
    <t>Certification Profile: ISO 15118 Support</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</si>
  <si>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</si>
  <si>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</si>
  <si>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</si>
  <si>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</si>
  <si>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</si>
  <si>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</si>
  <si>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</si>
  <si>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</si>
  <si>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</si>
  <si>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</si>
  <si>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</si>
  <si>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</si>
  <si>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</si>
  <si>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t xml:space="preserve">Statement of Approval is currently: </t>
  </si>
  <si>
    <t>1.1.0</t>
  </si>
  <si>
    <t>Changelog:</t>
  </si>
  <si>
    <t>Updated reference to latest version of Errata and included (optional) test lab reviewer field.</t>
  </si>
  <si>
    <t>1.2.0</t>
  </si>
  <si>
    <t>Updated to latest version of Errata.</t>
  </si>
  <si>
    <t>(C-30 or C-31 or C-32) and NOT AQ-2</t>
  </si>
  <si>
    <t>ISO-5</t>
  </si>
  <si>
    <t>TC_D_09_CSMS</t>
  </si>
  <si>
    <t>1.3.0</t>
  </si>
  <si>
    <t>Updated to latest version of Errata / edition 3</t>
  </si>
  <si>
    <t>Test lab result</t>
  </si>
  <si>
    <t>Test lab remark</t>
  </si>
  <si>
    <t>TC_C_51_CSMS</t>
  </si>
  <si>
    <t>Support reservations of connectorType</t>
  </si>
  <si>
    <t>TC_N_21_CSMS</t>
  </si>
  <si>
    <t>Name reviewer</t>
  </si>
  <si>
    <t>&lt;optional testlab reviewer name&gt;</t>
  </si>
  <si>
    <t>1.3.1</t>
  </si>
  <si>
    <t>Does your CSMS support Absolute values for the following Charging Profiles:</t>
  </si>
  <si>
    <t>ChargingStationMaxProfile</t>
  </si>
  <si>
    <t>TxDefaultProfile</t>
  </si>
  <si>
    <t>Does your CSMS support Recurring values for the following Charging Profiles:</t>
  </si>
  <si>
    <t>Updated to Errata 2024-06</t>
  </si>
  <si>
    <t>1.3.2</t>
  </si>
  <si>
    <t>Updated to Errata 2024-09</t>
  </si>
  <si>
    <t>1.3.3</t>
  </si>
  <si>
    <t>The complete PICS is currently</t>
  </si>
  <si>
    <t>Updated to Errata 2024-11</t>
  </si>
  <si>
    <t xml:space="preserve"> </t>
  </si>
  <si>
    <t>Answer</t>
  </si>
  <si>
    <t>Tested during Certification
(* required options)</t>
  </si>
  <si>
    <t>Tested during Certification
(at least one is mandatory)</t>
  </si>
  <si>
    <t>Additional Test information</t>
  </si>
  <si>
    <t>OCTT version(s) used</t>
  </si>
  <si>
    <t>Config ID</t>
  </si>
  <si>
    <t>ConfigID</t>
  </si>
  <si>
    <t>FamilyConfigID</t>
  </si>
  <si>
    <t>AQ-12</t>
  </si>
  <si>
    <t>AQ-13</t>
  </si>
  <si>
    <t>AQ-13.1</t>
  </si>
  <si>
    <t>AQ-13.2</t>
  </si>
  <si>
    <t>AQ-14</t>
  </si>
  <si>
    <t>AQ-14.1</t>
  </si>
  <si>
    <t>AQ-14.2</t>
  </si>
  <si>
    <t>AQ-16</t>
  </si>
  <si>
    <t>C-44 or NOT AQ-16</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</si>
  <si>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</si>
  <si>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</si>
  <si>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</si>
  <si>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</si>
  <si>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PICS Id:</t>
  </si>
  <si>
    <t>Updated to Errata 2025-02</t>
  </si>
  <si>
    <t>2.0.0</t>
  </si>
  <si>
    <t>Required test based on configuration</t>
  </si>
  <si>
    <t>Additional questions for lab testing</t>
  </si>
  <si>
    <t>Ethernet/Cloud</t>
  </si>
  <si>
    <t>2.0.1</t>
  </si>
  <si>
    <t>AQ-17</t>
  </si>
  <si>
    <t>(Select all supported suboptions)</t>
  </si>
  <si>
    <t>Added option to select Ethernet/Cloud as a communication technology for the performance measurement, fixed ConfigID Calculation</t>
  </si>
  <si>
    <t>(Please choose at least one of the options below)</t>
  </si>
  <si>
    <t>2.0.2</t>
  </si>
  <si>
    <t>Added field validations and updated logo.</t>
  </si>
  <si>
    <t>The complete PICS is currently:</t>
  </si>
  <si>
    <t>General information is now</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</si>
  <si>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</si>
  <si>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</si>
  <si>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C-61</t>
  </si>
  <si>
    <t>Security Profile 1 - Unsecured Transport with Basic Authentication</t>
  </si>
  <si>
    <t>NOT AQ-11</t>
  </si>
  <si>
    <t>Perform test for certification calculation</t>
  </si>
  <si>
    <t>2.1.0</t>
  </si>
  <si>
    <t>Release 2025-06, Security Profile 1 is now optional (C-61).</t>
  </si>
  <si>
    <t xml:space="preserve">Name </t>
  </si>
  <si>
    <t>Basic Authentication - Valid username/password combination</t>
  </si>
  <si>
    <t>Basic Authentication - Username does not equal ChargingStationId</t>
  </si>
  <si>
    <t>Basic Authentication - Invalid password</t>
  </si>
  <si>
    <t>Update Charging Station Password for HTTP Basic Authentication - Accepted</t>
  </si>
  <si>
    <t>Update Charging Station Password for HTTP Basic Authentication - Rejected</t>
  </si>
  <si>
    <t>TLS - server-side certificate - Valid certificate</t>
  </si>
  <si>
    <t>TLS - server-side certificate - TLS version too low</t>
  </si>
  <si>
    <t>Upgrade Charging Station Security Profile - Accepted</t>
  </si>
  <si>
    <t>Cold Boot Charging Station - Accepted</t>
  </si>
  <si>
    <t>Cold Boot Charging Station - Pending</t>
  </si>
  <si>
    <t>Cold Boot Charging Station - Pending/Rejected - SecurityError</t>
  </si>
  <si>
    <t>Cold Boot Charging Station - Pending/Rejected - TriggerMessage</t>
  </si>
  <si>
    <t>Get Variables - single value</t>
  </si>
  <si>
    <t>Get Variables - multiple values</t>
  </si>
  <si>
    <t>Set Variables - single value</t>
  </si>
  <si>
    <t>Set Variables - multiple values</t>
  </si>
  <si>
    <t>Get Base Report - ConfigurationInventory</t>
  </si>
  <si>
    <t>Get Base Report - FullInventory</t>
  </si>
  <si>
    <t>Reset Charging Station - Without ongoing transaction - OnIdle</t>
  </si>
  <si>
    <t>Reset Charging Station - With Ongoing Transaction - OnIdle</t>
  </si>
  <si>
    <t>Reset Charging Station - With Ongoing Transaction - Immediate</t>
  </si>
  <si>
    <t>Reset EVSE - Without ongoing transaction</t>
  </si>
  <si>
    <t>Reset EVSE - With Ongoing Transaction - OnIdle</t>
  </si>
  <si>
    <t>Reset EVSE - With Ongoing Transaction - Immediate</t>
  </si>
  <si>
    <t>Set new NetworkConnectionProfile - Accepted</t>
  </si>
  <si>
    <t>Set new NetworkConnectionProfile - Failed</t>
  </si>
  <si>
    <t>TC_B_58_CSMS</t>
  </si>
  <si>
    <t>Network Reconnection - WebSocket Subprotocol negotiation</t>
  </si>
  <si>
    <t>Local start transaction - Authorization Invalid/Unknown</t>
  </si>
  <si>
    <t>Local start transaction - Authorization Blocked</t>
  </si>
  <si>
    <t>Local start transaction - Authorization Expired</t>
  </si>
  <si>
    <t>Local start transaction - EV not ready</t>
  </si>
  <si>
    <t>Authorization by GroupId - Success</t>
  </si>
  <si>
    <t>(C-30 and C-70) or (C-31 and C-71) or (C-32 and C-72)</t>
  </si>
  <si>
    <t>Stop Transaction with a Master Pass - With UI - All transactions</t>
  </si>
  <si>
    <t>C-07 and (C-70 or C-71 or C-72)</t>
  </si>
  <si>
    <t>Stop Transaction with a Master Pass - With UI - With UI - Specific transactions</t>
  </si>
  <si>
    <t>Stop Transaction with a Master Pass - Without UI</t>
  </si>
  <si>
    <t>C-08 and (C-70 or C-71 or C-72)</t>
  </si>
  <si>
    <t>Clear Authorization Data in Authorization Cache - Accepted</t>
  </si>
  <si>
    <t>C-49 and (((C-30 and C-70) or (C-31 and C-71) or (C-32 and C-72)) or (C-36 or C-37))</t>
  </si>
  <si>
    <t>Clear Authorization Data in Authorization Cache - Rejected</t>
  </si>
  <si>
    <t>Authorization through authorization cache - Accepted</t>
  </si>
  <si>
    <t>Authorization through authorization cache - Invalid</t>
  </si>
  <si>
    <t>Local start transaction - Cable plugin first - Success</t>
  </si>
  <si>
    <t>NOT AQ-2 and (C-30 or C-31 or C-32 or C-33 or C-34 or C-35 or ISO 15118 support)</t>
  </si>
  <si>
    <t>Local start transaction - Authorization first - Success</t>
  </si>
  <si>
    <t>C-30 or C-31 or C-32 or C-33 or C-35</t>
  </si>
  <si>
    <t>Start transaction options - EVConnected</t>
  </si>
  <si>
    <t>Start transaction options - Authorized - Local</t>
  </si>
  <si>
    <t>C-09.2 and (C-30 or C-31 or C-32 or C-33 or C-34 or C-35 or ISO 15118 support)</t>
  </si>
  <si>
    <t>Start transaction options - DataSigned</t>
  </si>
  <si>
    <t>Start transaction options - PowerPathClosed</t>
  </si>
  <si>
    <t>Start transaction options - ParkingBayOccupied</t>
  </si>
  <si>
    <t>Stop transaction options - EVDisconnected - Charging Station side</t>
  </si>
  <si>
    <t>Stop transaction options - EVDisconnected - EV side (able to charge IEC 61851-1 EV)</t>
  </si>
  <si>
    <t>Stop transaction options - StopAuthorized - Local</t>
  </si>
  <si>
    <t>C-10.2 and (C-70 or C-71 or C-72 or C-75)</t>
  </si>
  <si>
    <t>Stop transaction options - StopAuthorized - Remote</t>
  </si>
  <si>
    <t>Stop transaction options - Deauthorized - Invalid idToken</t>
  </si>
  <si>
    <t>(C-10.2 or C-10.3) and C-01 and NOT C-35</t>
  </si>
  <si>
    <t>Supported Transaction Stop Points &amp; Local Authorization options for local start</t>
  </si>
  <si>
    <t>Stop transaction options - Deauthorized - EV side disconnect</t>
  </si>
  <si>
    <t>Stop transaction options - Deauthorized - timeout</t>
  </si>
  <si>
    <t>Stop transaction options - PowerPathClosed - Local stop</t>
  </si>
  <si>
    <t>C-10.3 and (C-52 or NOT C-10.2) and (C-70 or C-71 or C-72 or C-75)</t>
  </si>
  <si>
    <t>Stop transaction options - EnergyTransfer stopped - StopAuthorized</t>
  </si>
  <si>
    <t>Stop transaction options - EnergyTransfer stopped - SuspendedEV</t>
  </si>
  <si>
    <t>Stop transaction options - ParkingBayUnoccupied</t>
  </si>
  <si>
    <t>Disconnect cable on EV-side - Suspend transaction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</si>
  <si>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</si>
  <si>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</si>
  <si>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</si>
  <si>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Without transactionId - with message in queue</t>
  </si>
  <si>
    <t>Check Transaction status - Without transactionId - without message in queue</t>
  </si>
  <si>
    <t>Reset Sequence Number - CSMS accepting _seqNo_ = 0 at start of transaction</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</si>
  <si>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</si>
  <si>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</si>
  <si>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</si>
  <si>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</si>
  <si>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unlock Connector - Without ongoing transaction - Accepted</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</si>
  <si>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</si>
  <si>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</si>
  <si>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</si>
  <si>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</si>
  <si>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</si>
  <si>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FirmwareStatusNotification - Idle</t>
  </si>
  <si>
    <t>Trigger message - Heartbeat</t>
  </si>
  <si>
    <t>Trigger message - StatusNotification - Specific EVSE - Available</t>
  </si>
  <si>
    <t>Trigger message - StatusNotification - Specific EVSE - Occupied</t>
  </si>
  <si>
    <t>Trigger message - NotImplemented</t>
  </si>
  <si>
    <t>Connector status Notification - Lock Failure</t>
  </si>
  <si>
    <t>Change Availability EVSE - Operative to inoperative</t>
  </si>
  <si>
    <t>Change Availability EVSE - Inoperative to operative</t>
  </si>
  <si>
    <t>Change Availability EVSE - With ongoing transaction</t>
  </si>
  <si>
    <t>Change Availability Charging Station - Operative to inoperative</t>
  </si>
  <si>
    <t>Change Availability Charging Station - Inoperative to operative</t>
  </si>
  <si>
    <t>Change Availability Charging Station - With ongoing transaction</t>
  </si>
  <si>
    <t>Change Availability Connector - Operative to inoperative</t>
  </si>
  <si>
    <t>Change Availability Connector - Inoperative to operative</t>
  </si>
  <si>
    <t>Change Availability Connector - With ongoing transaction</t>
  </si>
  <si>
    <t>Clock-aligned Meter Values - No transaction ongoing</t>
  </si>
  <si>
    <t>Clock-aligned Meter Values - Transaction ongoing</t>
  </si>
  <si>
    <t>Clock-aligned Meter Values - EventType Ended</t>
  </si>
  <si>
    <t>Clock-aligned Meter Values - Signed</t>
  </si>
  <si>
    <t>Sampled Meter Values - EventType Started - EVSE known</t>
  </si>
  <si>
    <t>Sampled Meter Values - Context Transaction.Begin - EVSE not known</t>
  </si>
  <si>
    <t>Sampled Meter Values - EventType Updated</t>
  </si>
  <si>
    <t>Sampled Meter Values - EventType Ended</t>
  </si>
  <si>
    <t>Sampled Meter Values - Signed</t>
  </si>
  <si>
    <t>Secure Firmware Update - Installation successful</t>
  </si>
  <si>
    <t>Secure Firmware Update - InstallScheduled</t>
  </si>
  <si>
    <t>Secure Firmware Update - DownloadScheduled</t>
  </si>
  <si>
    <t>Secure Firmware Update - RevokedCertificate</t>
  </si>
  <si>
    <t>Secure Firmware Update - InvalidCertificate</t>
  </si>
  <si>
    <t>Secure Firmware Update - InvalidSignature</t>
  </si>
  <si>
    <t>Secure Firmware Update - DownloadFailed</t>
  </si>
  <si>
    <t>Secure Firmware Update - InstallVerificationFailed or InstallationFailed</t>
  </si>
  <si>
    <t>Secure Firmware Update - InstallationFailed</t>
  </si>
  <si>
    <t>Secure Firmware Update - AcceptedCanceled</t>
  </si>
  <si>
    <t>Secure Firmware Update - Unable to cancel</t>
  </si>
  <si>
    <t>Secure Firmware Update - Unable to download/install firmware with ongoing transaction - AllowNewSessionsPendingFirmwareUpdate is false</t>
  </si>
  <si>
    <t>Retrieve certificates from Charging Station -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</si>
  <si>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</si>
  <si>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</si>
  <si>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</si>
  <si>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Failed</t>
  </si>
  <si>
    <t>Install CA certificate - CSMSRootCertificate</t>
  </si>
  <si>
    <t>Install CA certificate - ManufacturerRootCertificate</t>
  </si>
  <si>
    <t>Install CA certificate - Failed</t>
  </si>
  <si>
    <t>Retrieve Log Information - Diagnostics Log - Success</t>
  </si>
  <si>
    <t>Retrieve Log Information - Rejected</t>
  </si>
  <si>
    <t>Retrieve Log Information - Security Log - Success</t>
  </si>
  <si>
    <t>Retrieve Log Information - Second Request</t>
  </si>
  <si>
    <t>Get Customer Information - Accepted + data</t>
  </si>
  <si>
    <t>((C-30 and C-70) or (C-31 and C-71)) and (Local Authorization List Management or C-49)</t>
  </si>
  <si>
    <t>Get Customer Information - Accepted + no data</t>
  </si>
  <si>
    <t>Get Customer Information - Not Accepted</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</si>
  <si>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</si>
  <si>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</si>
  <si>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</si>
  <si>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</si>
  <si>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CSMS - Rejected / Unknown VendorId / Unknown MessageId</t>
  </si>
  <si>
    <t>CustomData - Receive custom data</t>
  </si>
  <si>
    <t>TLS - Client-side certificate - valid certificate</t>
  </si>
  <si>
    <t>TLS - Client-side certificate - Invalid certificate</t>
  </si>
  <si>
    <t>Update Charging Station Certificate by request of CSMS - Success - Charging Station Certificate</t>
  </si>
  <si>
    <t>Update Charging Station Certificate by request of CSMS - Invalid certificate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</si>
  <si>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</si>
  <si>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</si>
  <si>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</si>
  <si>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</si>
  <si>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</si>
  <si>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</si>
  <si>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Get Local List Version - Success</t>
  </si>
  <si>
    <t>Get Local List Version - No list available</t>
  </si>
  <si>
    <t>Clear Customer Information - Update Local Authorization List</t>
  </si>
  <si>
    <t>Set Charging Profile - TxDefaultProfile - Specific EVSE</t>
  </si>
  <si>
    <t>Set Charging Profile - TxDefaultProfile - All EVSE</t>
  </si>
  <si>
    <t>Set Charging Profile - TxProfile with ongoing transaction on the specified EVSE</t>
  </si>
  <si>
    <t>Set Charging Profile - ChargingStationMaxProfile</t>
  </si>
  <si>
    <t>Set Charging Profile - ChargingProfileKind is Recurring</t>
  </si>
  <si>
    <t>Set Charging Profile - Not Supported</t>
  </si>
  <si>
    <t>Set Charging Profile - Multiple Profiles</t>
  </si>
  <si>
    <t>Replace charging profile - With chargingProfileId</t>
  </si>
  <si>
    <t>Remote start transaction with charging profile - Success</t>
  </si>
  <si>
    <t>Get Composite Schedule - Specific EVSE</t>
  </si>
  <si>
    <t>Get Composite Schedule - Charging Station</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</si>
  <si>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</si>
  <si>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</si>
  <si>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</si>
  <si>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</si>
  <si>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</si>
  <si>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</si>
  <si>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</si>
  <si>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</si>
  <si>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</si>
  <si>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</si>
  <si>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Without previous charging profile</t>
  </si>
  <si>
    <t>Get Custom Report - with componentCriteria and component/variables</t>
  </si>
  <si>
    <t>Get Monitoring Report - with monitoringCriteria</t>
  </si>
  <si>
    <t>Get Monitoring Report - with component/variable</t>
  </si>
  <si>
    <t>Get Monitoring Report - with component criteria and component/variable</t>
  </si>
  <si>
    <t>Get Monitoring Report - Report all</t>
  </si>
  <si>
    <t>Get Monitoring Report - with component criteria and list of components/variables</t>
  </si>
  <si>
    <t>Set Monitoring Base - success</t>
  </si>
  <si>
    <t>Set Variable Monitoring - One SetMonitoringData element</t>
  </si>
  <si>
    <t>Set Variable Monitoring - Periodic event</t>
  </si>
  <si>
    <t>Set Monitoring Level - Success</t>
  </si>
  <si>
    <t>Set Monitoring Level - Out of range</t>
  </si>
  <si>
    <t>Clear Monitoring - Success</t>
  </si>
  <si>
    <t>Clear Monitoring - Rejected</t>
  </si>
  <si>
    <t>Alert Event - HardWiredMonitor</t>
  </si>
  <si>
    <t>Alert Event - LowerThreshold/UpperThreshold cleared after reboot</t>
  </si>
  <si>
    <t>Alert Event - Periodic Triggered</t>
  </si>
  <si>
    <t>Reserve a specific EVSE - Accepted - Valid idToken</t>
  </si>
  <si>
    <t>Reserve a specific EVSE - Reservation Ended / not used</t>
  </si>
  <si>
    <t>Reserve a specific EVSE - Configured to Reject</t>
  </si>
  <si>
    <t>Reserve a specific EVSE - Use a reserved EVSE with GroupId</t>
  </si>
  <si>
    <t>Reserve an unspecified EVSE - Accepted</t>
  </si>
  <si>
    <t>Reserve an unspecified EVSE - Amount of EVSEs available equals the amount of reservations</t>
  </si>
  <si>
    <t>Reserve a connector with a specific type - Success</t>
  </si>
  <si>
    <t>Cancel reservation of an EVSE - Success</t>
  </si>
  <si>
    <t>Cancel reservation of an EVSE - Charging Station cancels reservation when Faulted</t>
  </si>
  <si>
    <t>Show costs to EV Driver - Show EV Driver running total cost during charging</t>
  </si>
  <si>
    <t>Show costs to EV Driver - Show EV Driver Final Total Cost After Charging</t>
  </si>
  <si>
    <t>Set Display Message - Success</t>
  </si>
  <si>
    <t>Set Display Message - Rejected</t>
  </si>
  <si>
    <t>Set Display Message - Display message at StartTime</t>
  </si>
  <si>
    <t>Set Display Message - Remove message after EndTime</t>
  </si>
  <si>
    <t>Set Display Message - NotSupportedPriority</t>
  </si>
  <si>
    <t>Set Display Message - NotSupportedState</t>
  </si>
  <si>
    <t>Set Display Message - NotSupportedMessageFormat</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</si>
  <si>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</si>
  <si>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</si>
  <si>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</si>
  <si>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</si>
  <si>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</si>
  <si>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Get all Display Messages - Success</t>
  </si>
  <si>
    <t>Get all Display Messages - No DisplayMessages configured</t>
  </si>
  <si>
    <t>Get a Specific Display Message - Id</t>
  </si>
  <si>
    <t>Get a Specific Display Message - Priority</t>
  </si>
  <si>
    <t>Get a Specific Display Message - State</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</si>
  <si>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</si>
  <si>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</si>
  <si>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</si>
  <si>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</si>
  <si>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</si>
  <si>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</si>
  <si>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Charging with load leveling based on High Level Communication - Success</t>
  </si>
  <si>
    <t>Charging with load leveling based on High Level Communication - EV charging profile exceeds limits</t>
  </si>
  <si>
    <t>Renegotiating a Charging Schedule - Initiated by EV</t>
  </si>
  <si>
    <t>Renegotiating a Charging Schedule - Initiated by CSMS</t>
  </si>
  <si>
    <t>Renegotiating a Charging Schedule - Initiated by CSMS - Send NotifyEVChargingNeeds</t>
  </si>
  <si>
    <t>Certificate Installation EV - Success</t>
  </si>
  <si>
    <t>Certificate Update EV - Success</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</si>
  <si>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</si>
  <si>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</si>
  <si>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</si>
  <si>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</si>
  <si>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</si>
  <si>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</si>
  <si>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Clear Customer Information - Clear and report - customerCertificate</t>
  </si>
  <si>
    <t>2.2.0</t>
  </si>
  <si>
    <t>Updated to errata 2025-09</t>
  </si>
  <si>
    <t>R-0</t>
  </si>
  <si>
    <t>DM-0</t>
  </si>
  <si>
    <t>Support for Advanced Device Management</t>
  </si>
  <si>
    <t>LA-0</t>
  </si>
  <si>
    <t>Support for Local Authorization List Management</t>
  </si>
  <si>
    <t>UI-0</t>
  </si>
  <si>
    <t>Support for Advanced User Interface</t>
  </si>
  <si>
    <t>Support for Reservation</t>
  </si>
  <si>
    <t>BootNotification Pending or Does the CSMS reject unknown Charging Stations during websocket connection setup?</t>
  </si>
  <si>
    <t>C-17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</si>
  <si>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</si>
  <si>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</si>
  <si>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</si>
  <si>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(C-10.2 or C-10.5) and (C-52 or NOT (C-10.1 or C-10.3 or C-10.4)) and C-06.1 and C-12.2 and NOT (HFS-4 or (ISO 15118 support and NOT AQ-9 )) and NOT Product Subtype "Mode 1/2-only Charging Station"</t>
  </si>
  <si>
    <t>NOT AQ-2 and (C-36 or C-37 or C-38 or C-39)</t>
  </si>
  <si>
    <t>C-48.1 and (C-36 or C-37 or C-38 or C-39)</t>
  </si>
  <si>
    <t>C-48.2 and (C-36 or C-37 or C-38 or C-39)</t>
  </si>
  <si>
    <t>R-0 and R-2</t>
  </si>
  <si>
    <t>R-0 and R-1</t>
  </si>
  <si>
    <t>UI-1 and UI-2: Supported MessagePriorities &amp; Supported MessageFormats</t>
  </si>
  <si>
    <t>UI-1: Supported MessagePriorities</t>
  </si>
  <si>
    <t>LA-0 and LA-2</t>
  </si>
  <si>
    <t>C-17 or DM-0</t>
  </si>
  <si>
    <t>C-61 or Advanced Security</t>
  </si>
  <si>
    <t>PH-1</t>
  </si>
  <si>
    <t>PH-2</t>
  </si>
  <si>
    <t>PH-3</t>
  </si>
  <si>
    <t>PH-4</t>
  </si>
  <si>
    <t>PH-5</t>
  </si>
  <si>
    <t>PH-6</t>
  </si>
  <si>
    <t>PH-7</t>
  </si>
  <si>
    <t>PH-8</t>
  </si>
  <si>
    <t>PH-9</t>
  </si>
  <si>
    <t>PH-10</t>
  </si>
  <si>
    <t>PH-11</t>
  </si>
  <si>
    <t>PH-12</t>
  </si>
  <si>
    <t>PH-13</t>
  </si>
  <si>
    <t>PH-14</t>
  </si>
  <si>
    <t>PH-15</t>
  </si>
  <si>
    <t>PH-16</t>
  </si>
  <si>
    <t>PH-17</t>
  </si>
  <si>
    <t>PH-18</t>
  </si>
  <si>
    <t>PH-19</t>
  </si>
  <si>
    <t>PH-20</t>
  </si>
  <si>
    <t>Reservations</t>
  </si>
  <si>
    <t>3.0.0</t>
  </si>
  <si>
    <t>Updated for the new certification program structure</t>
  </si>
  <si>
    <t>C-61 OR Advanced Security</t>
  </si>
  <si>
    <t>(C-09.1 and (C-51 or NOT C-09.6)) and NOT AQ-2</t>
  </si>
  <si>
    <t>TC_M_05_CSMS</t>
  </si>
  <si>
    <t xml:space="preserve"> Check TransactionStatus</t>
  </si>
  <si>
    <t>Edition 4 FINAL, 2025-12-03</t>
  </si>
  <si>
    <t>3.0.1</t>
  </si>
  <si>
    <t>Updated description of Core Profile.</t>
  </si>
  <si>
    <t>Basic Charging Station functionality for booting, authorization, configuration, transactions, remote control, secure firmware updates and Security Profile 2.</t>
  </si>
  <si>
    <t>Image(s) of tested Charging Station Management System
((taken and added by test lab, will NOT be visible on certificate, do not use picture in cell)</t>
  </si>
  <si>
    <t>3.0.2</t>
  </si>
  <si>
    <t>Added space for CSMS image</t>
  </si>
  <si>
    <t>3.0.3</t>
  </si>
  <si>
    <t>Updated to Errata 2026-04</t>
  </si>
  <si>
    <t>3.0.4</t>
  </si>
  <si>
    <t>Errata 2026-06</t>
  </si>
  <si>
    <t>Updated to Errata 2026-06</t>
  </si>
  <si>
    <t>7db3a05d120dfcf2529b6e86477b88de8ba442b3af9ee1008f8b3406d59662cf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</si>
</sst>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4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1"/>
      <color rgb="FF2E74B5"/>
      <name val="Arial"/>
      <family val="2"/>
    </font>
    <font>
      <sz val="12"/>
      <name val="Calibri"/>
      <family val="2"/>
      <scheme val="minor"/>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20"/>
      <color theme="1"/>
      <name val="Calibri"/>
      <family val="2"/>
      <scheme val="minor"/>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b/>
      <sz val="14"/>
      <color rgb="FFFF0000"/>
      <name val="Calibri"/>
      <family val="2"/>
      <scheme val="minor"/>
    </font>
    <font>
      <i/>
      <sz val="10"/>
      <color theme="1"/>
      <name val="Calibri"/>
      <family val="2"/>
      <scheme val="minor"/>
    </font>
    <font>
      <i/>
      <sz val="9"/>
      <color theme="1"/>
      <name val="Calibri"/>
      <family val="2"/>
      <scheme val="minor"/>
    </font>
    <font>
      <sz val="10"/>
      <color rgb="FF000000"/>
      <name val="Arial"/>
      <family val="2"/>
    </font>
    <font>
      <sz val="12"/>
      <color rgb="FF000000"/>
      <name val="Calibri"/>
      <family val="2"/>
      <scheme val="minor"/>
    </font>
    <font>
      <sz val="11"/>
      <color theme="1"/>
      <name val="Arial"/>
      <family val="2"/>
    </font>
    <font>
      <sz val="12"/>
      <color rgb="FFFF0000"/>
      <name val="Calibri"/>
      <family val="2"/>
      <scheme val="minor"/>
    </font>
    <font>
      <b/>
      <sz val="11"/>
      <color rgb="FF7030A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93">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style="thin">
        <color rgb="FF000000"/>
      </top>
      <bottom style="thin">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9">
    <xf numFmtId="0" fontId="0"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cellStyleXfs>
  <cellXfs count="237">
    <xf numFmtId="0" fontId="0" fillId="0" borderId="0" xfId="0"/>
    <xf numFmtId="0" fontId="7" fillId="0" borderId="0" xfId="0" applyFont="1"/>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1" fillId="2" borderId="9" xfId="0" applyFont="1" applyFill="1" applyBorder="1" applyAlignment="1">
      <alignment vertical="center" wrapText="1"/>
    </xf>
    <xf numFmtId="0" fontId="11" fillId="0" borderId="10" xfId="0" applyFont="1" applyBorder="1" applyAlignment="1">
      <alignment vertical="center" wrapText="1"/>
    </xf>
    <xf numFmtId="0" fontId="13" fillId="2" borderId="0" xfId="0" applyFont="1" applyFill="1" applyAlignment="1">
      <alignment horizontal="left" vertical="center" wrapText="1"/>
    </xf>
    <xf numFmtId="0" fontId="13" fillId="2" borderId="14" xfId="0" applyFont="1" applyFill="1" applyBorder="1" applyAlignment="1">
      <alignment horizontal="left" vertical="center" wrapText="1"/>
    </xf>
    <xf numFmtId="0" fontId="13" fillId="0" borderId="16" xfId="0" applyFont="1" applyBorder="1" applyAlignment="1">
      <alignment horizontal="left" vertical="center" wrapText="1"/>
    </xf>
    <xf numFmtId="0" fontId="10" fillId="0" borderId="0" xfId="0" applyFont="1" applyAlignment="1">
      <alignment horizontal="left" vertical="center" wrapText="1"/>
    </xf>
    <xf numFmtId="0" fontId="13" fillId="2" borderId="17"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16" fillId="0" borderId="0" xfId="0" applyFont="1" applyAlignment="1">
      <alignment horizontal="left" vertical="center" wrapText="1"/>
    </xf>
    <xf numFmtId="0" fontId="13" fillId="2" borderId="24" xfId="0" applyFont="1" applyFill="1" applyBorder="1" applyAlignment="1">
      <alignment horizontal="left" vertical="center" wrapText="1"/>
    </xf>
    <xf numFmtId="0" fontId="13" fillId="0" borderId="24" xfId="0" applyFont="1" applyBorder="1" applyAlignment="1">
      <alignment horizontal="left" vertical="center" wrapText="1"/>
    </xf>
    <xf numFmtId="0" fontId="7" fillId="0" borderId="0" xfId="0" applyFont="1" applyAlignment="1">
      <alignment horizontal="center"/>
    </xf>
    <xf numFmtId="0" fontId="0" fillId="0" borderId="0" xfId="0" applyAlignment="1">
      <alignment wrapText="1"/>
    </xf>
    <xf numFmtId="0" fontId="17" fillId="0" borderId="0" xfId="0" applyFont="1"/>
    <xf numFmtId="49" fontId="13" fillId="0" borderId="24" xfId="0" applyNumberFormat="1" applyFont="1" applyBorder="1" applyAlignment="1">
      <alignment horizontal="left" vertical="center" wrapText="1"/>
    </xf>
    <xf numFmtId="49" fontId="15" fillId="2" borderId="24" xfId="0" applyNumberFormat="1" applyFont="1" applyFill="1" applyBorder="1" applyAlignment="1">
      <alignment horizontal="left" vertical="center" wrapText="1"/>
    </xf>
    <xf numFmtId="49" fontId="15" fillId="0" borderId="24" xfId="0" applyNumberFormat="1" applyFont="1" applyBorder="1" applyAlignment="1">
      <alignment horizontal="left" vertical="center" wrapText="1"/>
    </xf>
    <xf numFmtId="0" fontId="18" fillId="0" borderId="0" xfId="0" applyFont="1"/>
    <xf numFmtId="0" fontId="19" fillId="0" borderId="0" xfId="0" applyFont="1"/>
    <xf numFmtId="0" fontId="20" fillId="0" borderId="0" xfId="0" applyFont="1"/>
    <xf numFmtId="0" fontId="21" fillId="0" borderId="0" xfId="0" applyFont="1"/>
    <xf numFmtId="0" fontId="22"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23" fillId="0" borderId="0" xfId="0" applyFont="1" applyAlignment="1">
      <alignment wrapText="1"/>
    </xf>
    <xf numFmtId="0" fontId="11" fillId="0" borderId="10" xfId="0" applyFont="1" applyBorder="1" applyAlignment="1" applyProtection="1">
      <alignment horizontal="center" vertical="center" wrapText="1"/>
      <protection locked="0"/>
    </xf>
    <xf numFmtId="0" fontId="25" fillId="0" borderId="0" xfId="0" applyFont="1" applyAlignment="1">
      <alignment horizontal="center" vertical="center"/>
    </xf>
    <xf numFmtId="0" fontId="26" fillId="0" borderId="24" xfId="0" applyFont="1" applyBorder="1" applyAlignment="1">
      <alignment horizontal="left" vertical="center" wrapText="1"/>
    </xf>
    <xf numFmtId="0" fontId="8" fillId="0" borderId="28" xfId="0" applyFont="1" applyBorder="1" applyAlignment="1">
      <alignment horizontal="left" vertical="center" wrapText="1"/>
    </xf>
    <xf numFmtId="0" fontId="8" fillId="0" borderId="29" xfId="0" applyFont="1" applyBorder="1" applyAlignment="1">
      <alignment horizontal="left" vertical="center" wrapText="1"/>
    </xf>
    <xf numFmtId="0" fontId="7" fillId="3" borderId="0" xfId="0" applyFont="1" applyFill="1" applyAlignment="1">
      <alignment horizontal="center"/>
    </xf>
    <xf numFmtId="0" fontId="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7" fillId="3" borderId="0" xfId="0" applyFont="1" applyFill="1"/>
    <xf numFmtId="0" fontId="15" fillId="0" borderId="24" xfId="0" applyFont="1" applyBorder="1" applyAlignment="1">
      <alignment horizontal="left" vertical="center" wrapText="1"/>
    </xf>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49" fontId="15" fillId="2" borderId="0" xfId="0" applyNumberFormat="1" applyFont="1" applyFill="1" applyAlignment="1">
      <alignment horizontal="left" vertical="center" wrapText="1"/>
    </xf>
    <xf numFmtId="49" fontId="15" fillId="0" borderId="0" xfId="0" applyNumberFormat="1" applyFont="1" applyAlignment="1">
      <alignment horizontal="left" vertical="center" wrapText="1"/>
    </xf>
    <xf numFmtId="0" fontId="13" fillId="2" borderId="22" xfId="0" applyFont="1" applyFill="1" applyBorder="1" applyAlignment="1">
      <alignment horizontal="left" vertical="center" wrapText="1"/>
    </xf>
    <xf numFmtId="49" fontId="15" fillId="2" borderId="23" xfId="0" applyNumberFormat="1" applyFont="1" applyFill="1" applyBorder="1" applyAlignment="1">
      <alignment horizontal="left" vertical="center" wrapText="1"/>
    </xf>
    <xf numFmtId="0" fontId="13" fillId="2" borderId="25" xfId="0" applyFont="1" applyFill="1" applyBorder="1" applyAlignment="1">
      <alignment horizontal="left" vertical="center" wrapText="1"/>
    </xf>
    <xf numFmtId="49" fontId="13" fillId="2" borderId="0" xfId="0" applyNumberFormat="1" applyFont="1" applyFill="1" applyAlignment="1">
      <alignment horizontal="left" vertical="center" wrapText="1"/>
    </xf>
    <xf numFmtId="0" fontId="13" fillId="0" borderId="22" xfId="0" applyFont="1" applyBorder="1" applyAlignment="1">
      <alignment horizontal="left" vertical="center" wrapText="1"/>
    </xf>
    <xf numFmtId="49" fontId="13" fillId="0" borderId="23" xfId="0" applyNumberFormat="1" applyFont="1" applyBorder="1" applyAlignment="1">
      <alignment horizontal="left" vertical="center" wrapText="1"/>
    </xf>
    <xf numFmtId="49" fontId="13" fillId="2" borderId="26" xfId="0" applyNumberFormat="1" applyFont="1" applyFill="1" applyBorder="1" applyAlignment="1">
      <alignment horizontal="left" vertical="center" wrapText="1"/>
    </xf>
    <xf numFmtId="49" fontId="13" fillId="0" borderId="26" xfId="0" applyNumberFormat="1" applyFont="1" applyBorder="1" applyAlignment="1">
      <alignment horizontal="left" vertical="center" wrapText="1"/>
    </xf>
    <xf numFmtId="0" fontId="26" fillId="4" borderId="24" xfId="0" applyFont="1" applyFill="1" applyBorder="1" applyAlignment="1">
      <alignment horizontal="left" vertical="center" wrapText="1"/>
    </xf>
    <xf numFmtId="0" fontId="13" fillId="4" borderId="21"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wrapText="1"/>
    </xf>
    <xf numFmtId="0" fontId="13" fillId="0" borderId="21" xfId="0" applyFont="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0" fillId="0" borderId="0" xfId="0" applyProtection="1">
      <protection locked="0"/>
    </xf>
    <xf numFmtId="0" fontId="13" fillId="2" borderId="0" xfId="0" applyFont="1" applyFill="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2" borderId="23" xfId="0" applyFont="1" applyFill="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2" borderId="27" xfId="0" applyFont="1" applyFill="1" applyBorder="1" applyAlignment="1" applyProtection="1">
      <alignment horizontal="center" vertical="center" wrapText="1"/>
      <protection locked="0"/>
    </xf>
    <xf numFmtId="0" fontId="13" fillId="2" borderId="18" xfId="0" applyFont="1" applyFill="1" applyBorder="1" applyAlignment="1" applyProtection="1">
      <alignment horizontal="center" vertical="center" wrapText="1"/>
      <protection locked="0"/>
    </xf>
    <xf numFmtId="0" fontId="13" fillId="2" borderId="15" xfId="0" applyFont="1" applyFill="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2" borderId="16" xfId="0" applyFont="1" applyFill="1" applyBorder="1" applyAlignment="1">
      <alignment horizontal="left" vertical="center" wrapText="1"/>
    </xf>
    <xf numFmtId="0" fontId="13" fillId="0" borderId="25" xfId="0" applyFont="1" applyBorder="1" applyAlignment="1">
      <alignment horizontal="left" vertical="center" wrapText="1"/>
    </xf>
    <xf numFmtId="49" fontId="15" fillId="0" borderId="26" xfId="0" applyNumberFormat="1" applyFont="1" applyBorder="1" applyAlignment="1">
      <alignment horizontal="left" vertical="center" wrapText="1"/>
    </xf>
    <xf numFmtId="0" fontId="13" fillId="0" borderId="26" xfId="0" applyFont="1" applyBorder="1" applyAlignment="1" applyProtection="1">
      <alignment horizontal="center" vertical="center" wrapText="1"/>
      <protection locked="0"/>
    </xf>
    <xf numFmtId="0" fontId="6" fillId="0" borderId="0" xfId="1"/>
    <xf numFmtId="0" fontId="6" fillId="0" borderId="34" xfId="1" applyBorder="1"/>
    <xf numFmtId="0" fontId="6" fillId="0" borderId="35" xfId="1" applyBorder="1" applyAlignment="1">
      <alignment vertical="center"/>
    </xf>
    <xf numFmtId="0" fontId="29" fillId="0" borderId="37" xfId="1" applyFont="1" applyBorder="1" applyAlignment="1">
      <alignment vertical="center"/>
    </xf>
    <xf numFmtId="0" fontId="6" fillId="0" borderId="39" xfId="1" applyBorder="1"/>
    <xf numFmtId="0" fontId="29" fillId="0" borderId="40" xfId="1" applyFont="1" applyBorder="1" applyAlignment="1">
      <alignment vertical="center"/>
    </xf>
    <xf numFmtId="0" fontId="29" fillId="0" borderId="46" xfId="1" applyFont="1" applyBorder="1" applyAlignment="1">
      <alignment vertical="center"/>
    </xf>
    <xf numFmtId="0" fontId="6" fillId="0" borderId="48" xfId="1" applyBorder="1"/>
    <xf numFmtId="0" fontId="8" fillId="0" borderId="28" xfId="0" applyFont="1" applyBorder="1" applyAlignment="1">
      <alignment horizontal="center" vertical="center" wrapText="1"/>
    </xf>
    <xf numFmtId="0" fontId="8" fillId="0" borderId="51" xfId="0" applyFont="1" applyBorder="1" applyAlignment="1">
      <alignment horizontal="left" vertical="center" wrapText="1"/>
    </xf>
    <xf numFmtId="0" fontId="8" fillId="0" borderId="52" xfId="0" applyFont="1" applyBorder="1" applyAlignment="1">
      <alignment horizontal="left" vertical="center" wrapText="1"/>
    </xf>
    <xf numFmtId="0" fontId="8" fillId="0" borderId="53" xfId="0" applyFont="1" applyBorder="1" applyAlignment="1">
      <alignment horizontal="left" vertical="center" wrapText="1"/>
    </xf>
    <xf numFmtId="0" fontId="10" fillId="4" borderId="6" xfId="0" applyFont="1" applyFill="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8" fillId="0" borderId="30" xfId="0" applyFont="1" applyBorder="1" applyAlignment="1">
      <alignment horizontal="center" vertical="center" wrapText="1"/>
    </xf>
    <xf numFmtId="0" fontId="8" fillId="0" borderId="54" xfId="0" applyFont="1" applyBorder="1" applyAlignment="1">
      <alignment horizontal="left" vertical="center" wrapText="1"/>
    </xf>
    <xf numFmtId="0" fontId="6" fillId="0" borderId="42" xfId="1" applyBorder="1" applyAlignment="1">
      <alignment vertical="center"/>
    </xf>
    <xf numFmtId="0" fontId="6" fillId="0" borderId="43" xfId="1" applyBorder="1" applyAlignment="1">
      <alignment vertical="center"/>
    </xf>
    <xf numFmtId="0" fontId="29" fillId="0" borderId="71" xfId="1" applyFont="1" applyBorder="1" applyAlignment="1">
      <alignment horizontal="left" vertical="center"/>
    </xf>
    <xf numFmtId="165" fontId="22" fillId="0" borderId="0" xfId="0" applyNumberFormat="1" applyFont="1" applyAlignment="1">
      <alignment horizontal="left"/>
    </xf>
    <xf numFmtId="0" fontId="10" fillId="0" borderId="2" xfId="0" applyFont="1" applyBorder="1" applyAlignment="1" applyProtection="1">
      <alignment horizontal="left" vertical="center" wrapText="1"/>
      <protection locked="0"/>
    </xf>
    <xf numFmtId="0" fontId="13" fillId="0" borderId="21" xfId="0" applyFont="1" applyBorder="1" applyAlignment="1">
      <alignment horizontal="center" vertical="center" wrapText="1"/>
    </xf>
    <xf numFmtId="0" fontId="8" fillId="0" borderId="28" xfId="0" applyFont="1" applyBorder="1" applyAlignment="1">
      <alignment vertical="center" wrapText="1"/>
    </xf>
    <xf numFmtId="0" fontId="8" fillId="0" borderId="29" xfId="0" applyFont="1" applyBorder="1" applyAlignment="1">
      <alignment vertical="center" wrapText="1"/>
    </xf>
    <xf numFmtId="0" fontId="8" fillId="0" borderId="22" xfId="0" applyFont="1" applyBorder="1" applyAlignment="1">
      <alignment vertical="center" wrapText="1"/>
    </xf>
    <xf numFmtId="0" fontId="8" fillId="0" borderId="23" xfId="0" applyFont="1" applyBorder="1" applyAlignment="1">
      <alignment vertical="center" wrapText="1"/>
    </xf>
    <xf numFmtId="0" fontId="13" fillId="2" borderId="31" xfId="0" applyFont="1" applyFill="1" applyBorder="1" applyAlignment="1" applyProtection="1">
      <alignment horizontal="center" vertical="center" wrapText="1"/>
      <protection locked="0"/>
    </xf>
    <xf numFmtId="0" fontId="13" fillId="2" borderId="2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6" fillId="0" borderId="41" xfId="1" applyBorder="1" applyAlignment="1" applyProtection="1">
      <alignment vertical="center"/>
      <protection locked="0"/>
    </xf>
    <xf numFmtId="0" fontId="6" fillId="0" borderId="47" xfId="1" applyBorder="1" applyAlignment="1" applyProtection="1">
      <alignment vertical="center"/>
      <protection locked="0"/>
    </xf>
    <xf numFmtId="14" fontId="6" fillId="0" borderId="36" xfId="1" applyNumberFormat="1" applyBorder="1" applyAlignment="1" applyProtection="1">
      <alignment horizontal="left" vertical="center"/>
      <protection locked="0"/>
    </xf>
    <xf numFmtId="0" fontId="6" fillId="0" borderId="72" xfId="1" applyBorder="1" applyAlignment="1" applyProtection="1">
      <alignment horizontal="left" vertical="center"/>
      <protection locked="0"/>
    </xf>
    <xf numFmtId="0" fontId="6" fillId="0" borderId="73" xfId="1" applyBorder="1" applyAlignment="1" applyProtection="1">
      <alignment vertical="center"/>
      <protection locked="0"/>
    </xf>
    <xf numFmtId="0" fontId="6" fillId="0" borderId="74" xfId="1" applyBorder="1" applyAlignment="1" applyProtection="1">
      <alignment vertical="center"/>
      <protection locked="0"/>
    </xf>
    <xf numFmtId="0" fontId="6" fillId="0" borderId="75" xfId="1" applyBorder="1" applyAlignment="1" applyProtection="1">
      <alignment vertical="center"/>
      <protection locked="0"/>
    </xf>
    <xf numFmtId="14" fontId="6" fillId="0" borderId="36" xfId="1" applyNumberFormat="1" applyBorder="1" applyAlignment="1" applyProtection="1">
      <alignment vertical="center"/>
      <protection locked="0"/>
    </xf>
    <xf numFmtId="0" fontId="12" fillId="0" borderId="67" xfId="0" applyFont="1" applyBorder="1" applyAlignment="1" applyProtection="1">
      <alignment horizontal="left" vertical="center" wrapText="1"/>
      <protection locked="0"/>
    </xf>
    <xf numFmtId="0" fontId="10" fillId="0" borderId="55"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56" xfId="0" applyFont="1" applyBorder="1" applyAlignment="1" applyProtection="1">
      <alignment horizontal="left" vertical="center" wrapText="1"/>
      <protection locked="0"/>
    </xf>
    <xf numFmtId="14" fontId="6" fillId="0" borderId="43" xfId="1" applyNumberFormat="1" applyBorder="1" applyAlignment="1">
      <alignment vertical="center"/>
    </xf>
    <xf numFmtId="0" fontId="6" fillId="0" borderId="76" xfId="1" applyBorder="1"/>
    <xf numFmtId="0" fontId="33" fillId="0" borderId="0" xfId="0" applyFont="1" applyAlignment="1">
      <alignment vertical="center"/>
    </xf>
    <xf numFmtId="0" fontId="7" fillId="0" borderId="0" xfId="0" applyFont="1" applyAlignment="1">
      <alignment vertical="center"/>
    </xf>
    <xf numFmtId="0" fontId="32" fillId="0" borderId="0" xfId="0" applyFont="1" applyAlignment="1">
      <alignment vertical="center"/>
    </xf>
    <xf numFmtId="0" fontId="8" fillId="2" borderId="28"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8" fillId="2" borderId="30" xfId="0" applyFont="1" applyFill="1" applyBorder="1" applyAlignment="1">
      <alignment horizontal="center" vertical="center" wrapText="1"/>
    </xf>
    <xf numFmtId="0" fontId="14" fillId="0" borderId="29" xfId="0" applyFont="1" applyBorder="1" applyAlignment="1">
      <alignment horizontal="left" vertical="center" wrapText="1"/>
    </xf>
    <xf numFmtId="0" fontId="13" fillId="0" borderId="29" xfId="0" applyFont="1" applyBorder="1" applyAlignment="1">
      <alignment horizontal="left" vertical="center" wrapText="1"/>
    </xf>
    <xf numFmtId="0" fontId="13" fillId="0" borderId="29"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3" xfId="0" applyFont="1" applyBorder="1" applyAlignment="1">
      <alignment horizontal="center" vertical="center" wrapText="1"/>
    </xf>
    <xf numFmtId="0" fontId="13" fillId="2" borderId="0" xfId="0" applyFont="1" applyFill="1" applyAlignment="1">
      <alignment horizontal="center" vertical="center" wrapText="1"/>
    </xf>
    <xf numFmtId="0" fontId="13" fillId="0" borderId="0" xfId="0" applyFont="1" applyAlignment="1">
      <alignment horizontal="center" vertical="center" wrapText="1"/>
    </xf>
    <xf numFmtId="0" fontId="10" fillId="2" borderId="68" xfId="0" applyFont="1" applyFill="1" applyBorder="1" applyAlignment="1" applyProtection="1">
      <alignment vertical="center" wrapText="1"/>
      <protection locked="0"/>
    </xf>
    <xf numFmtId="0" fontId="10" fillId="4" borderId="69" xfId="0" applyFont="1" applyFill="1" applyBorder="1" applyAlignment="1" applyProtection="1">
      <alignment horizontal="left" vertical="center" wrapText="1"/>
      <protection locked="0"/>
    </xf>
    <xf numFmtId="0" fontId="10" fillId="2" borderId="70" xfId="0" applyFont="1" applyFill="1" applyBorder="1" applyAlignment="1" applyProtection="1">
      <alignment vertical="center" wrapText="1"/>
      <protection locked="0"/>
    </xf>
    <xf numFmtId="0" fontId="0" fillId="0" borderId="0" xfId="0" applyAlignment="1">
      <alignment vertical="center"/>
    </xf>
    <xf numFmtId="0" fontId="10" fillId="0" borderId="19" xfId="0" applyFont="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29" fillId="0" borderId="77" xfId="1" applyFont="1" applyBorder="1" applyAlignment="1">
      <alignment vertical="center"/>
    </xf>
    <xf numFmtId="0" fontId="0" fillId="0" borderId="0" xfId="0" applyAlignment="1">
      <alignment horizontal="right" vertical="center"/>
    </xf>
    <xf numFmtId="0" fontId="5" fillId="0" borderId="73" xfId="1" applyFont="1" applyBorder="1" applyAlignment="1" applyProtection="1">
      <alignment vertical="center"/>
      <protection locked="0"/>
    </xf>
    <xf numFmtId="0" fontId="32" fillId="0" borderId="0" xfId="0" applyFont="1"/>
    <xf numFmtId="0" fontId="9" fillId="2" borderId="10" xfId="0" applyFont="1" applyFill="1" applyBorder="1" applyAlignment="1">
      <alignment vertical="center" wrapText="1"/>
    </xf>
    <xf numFmtId="0" fontId="9" fillId="0" borderId="11" xfId="0" applyFont="1" applyBorder="1" applyAlignment="1">
      <alignment vertical="center" wrapText="1"/>
    </xf>
    <xf numFmtId="0" fontId="9" fillId="2" borderId="10" xfId="0" applyFont="1" applyFill="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29" fillId="0" borderId="80" xfId="3" applyFont="1" applyBorder="1" applyAlignment="1">
      <alignment horizontal="left"/>
    </xf>
    <xf numFmtId="0" fontId="28" fillId="0" borderId="0" xfId="0" applyFont="1" applyAlignment="1">
      <alignment horizontal="center" vertical="center"/>
    </xf>
    <xf numFmtId="0" fontId="22" fillId="0" borderId="0" xfId="0" applyFont="1" applyAlignment="1">
      <alignment wrapText="1"/>
    </xf>
    <xf numFmtId="14" fontId="4" fillId="0" borderId="81" xfId="3" applyNumberFormat="1" applyBorder="1" applyAlignment="1">
      <alignment horizontal="left" vertical="center"/>
    </xf>
    <xf numFmtId="0" fontId="29" fillId="0" borderId="82" xfId="3" applyFont="1" applyBorder="1" applyAlignment="1">
      <alignment horizontal="left"/>
    </xf>
    <xf numFmtId="14" fontId="4" fillId="0" borderId="83" xfId="3" applyNumberFormat="1" applyBorder="1" applyAlignment="1">
      <alignment horizontal="left" vertical="center"/>
    </xf>
    <xf numFmtId="0" fontId="29" fillId="0" borderId="84" xfId="3" applyFont="1" applyBorder="1" applyAlignment="1">
      <alignment vertical="center"/>
    </xf>
    <xf numFmtId="0" fontId="4" fillId="0" borderId="85" xfId="3" applyBorder="1" applyAlignment="1">
      <alignment vertical="center"/>
    </xf>
    <xf numFmtId="0" fontId="2" fillId="0" borderId="38" xfId="1" applyFont="1" applyBorder="1" applyAlignment="1" applyProtection="1">
      <alignment vertical="center"/>
      <protection locked="0"/>
    </xf>
    <xf numFmtId="0" fontId="22" fillId="0" borderId="0" xfId="0" applyFont="1" applyAlignment="1">
      <alignment horizontal="right" vertical="center"/>
    </xf>
    <xf numFmtId="164" fontId="22" fillId="0" borderId="0" xfId="0" quotePrefix="1" applyNumberFormat="1" applyFont="1" applyAlignment="1">
      <alignment horizontal="left"/>
    </xf>
    <xf numFmtId="0" fontId="0" fillId="0" borderId="0" xfId="0" applyAlignment="1">
      <alignment horizontal="right"/>
    </xf>
    <xf numFmtId="0" fontId="26" fillId="0" borderId="22" xfId="0" applyFont="1" applyBorder="1" applyAlignment="1">
      <alignment horizontal="left" vertical="center" wrapText="1"/>
    </xf>
    <xf numFmtId="0" fontId="9" fillId="0" borderId="23" xfId="0" applyFont="1" applyBorder="1" applyAlignment="1">
      <alignment horizontal="left" vertical="center" wrapText="1"/>
    </xf>
    <xf numFmtId="0" fontId="9" fillId="4" borderId="0" xfId="0" applyFont="1" applyFill="1" applyAlignment="1">
      <alignment vertical="center" wrapText="1"/>
    </xf>
    <xf numFmtId="0" fontId="26" fillId="0" borderId="0" xfId="0" applyFont="1" applyAlignment="1">
      <alignment horizontal="left" vertical="center" wrapText="1" indent="1"/>
    </xf>
    <xf numFmtId="0" fontId="26" fillId="4" borderId="0" xfId="0" applyFont="1" applyFill="1" applyAlignment="1">
      <alignment horizontal="left" vertical="center" wrapText="1" indent="1"/>
    </xf>
    <xf numFmtId="0" fontId="9" fillId="0" borderId="0" xfId="0" applyFont="1" applyAlignment="1">
      <alignment horizontal="left" vertical="center" wrapText="1"/>
    </xf>
    <xf numFmtId="0" fontId="36" fillId="4" borderId="21" xfId="0" applyFont="1" applyFill="1" applyBorder="1" applyAlignment="1">
      <alignment horizontal="center" vertical="center" wrapText="1"/>
    </xf>
    <xf numFmtId="0" fontId="36" fillId="0" borderId="21" xfId="0" applyFont="1" applyBorder="1" applyAlignment="1">
      <alignment horizontal="center" vertical="center" wrapText="1"/>
    </xf>
    <xf numFmtId="0" fontId="6" fillId="0" borderId="41" xfId="1" applyBorder="1" applyAlignment="1">
      <alignment vertical="center"/>
    </xf>
    <xf numFmtId="0" fontId="37" fillId="0" borderId="0" xfId="0" applyFont="1" applyAlignment="1">
      <alignment horizontal="right" vertical="center"/>
    </xf>
    <xf numFmtId="0" fontId="37" fillId="0" borderId="0" xfId="0" applyFont="1"/>
    <xf numFmtId="0" fontId="38" fillId="0" borderId="14" xfId="0" applyFont="1" applyBorder="1" applyAlignment="1">
      <alignment horizontal="left" vertical="center" wrapText="1"/>
    </xf>
    <xf numFmtId="0" fontId="38" fillId="0" borderId="0" xfId="0" applyFont="1" applyAlignment="1">
      <alignment horizontal="left" vertical="center" wrapText="1"/>
    </xf>
    <xf numFmtId="0" fontId="39" fillId="0" borderId="0" xfId="0" applyFont="1"/>
    <xf numFmtId="0" fontId="38" fillId="0" borderId="22" xfId="0" applyFont="1" applyBorder="1" applyAlignment="1">
      <alignment horizontal="left" vertical="center" wrapText="1"/>
    </xf>
    <xf numFmtId="0" fontId="26" fillId="0" borderId="25" xfId="0" applyFont="1" applyBorder="1" applyAlignment="1">
      <alignment horizontal="left" vertical="center" wrapText="1"/>
    </xf>
    <xf numFmtId="0" fontId="9" fillId="0" borderId="26" xfId="0" applyFont="1" applyBorder="1" applyAlignment="1">
      <alignment horizontal="left" vertical="center" wrapText="1"/>
    </xf>
    <xf numFmtId="49" fontId="15" fillId="2" borderId="25" xfId="0" applyNumberFormat="1" applyFont="1" applyFill="1" applyBorder="1" applyAlignment="1">
      <alignment horizontal="left" vertical="center" wrapText="1"/>
    </xf>
    <xf numFmtId="49" fontId="15" fillId="2" borderId="26" xfId="0" applyNumberFormat="1" applyFont="1" applyFill="1" applyBorder="1" applyAlignment="1">
      <alignment horizontal="left" vertical="center" wrapText="1"/>
    </xf>
    <xf numFmtId="0" fontId="37" fillId="0" borderId="0" xfId="0" applyFont="1" applyAlignment="1">
      <alignment horizontal="right"/>
    </xf>
    <xf numFmtId="0" fontId="9" fillId="0" borderId="3" xfId="0" applyFont="1" applyBorder="1" applyAlignment="1">
      <alignment horizontal="left" vertical="center" wrapText="1"/>
    </xf>
    <xf numFmtId="0" fontId="9" fillId="4" borderId="5" xfId="0" applyFont="1" applyFill="1" applyBorder="1" applyAlignment="1">
      <alignment horizontal="left" vertical="center" wrapText="1"/>
    </xf>
    <xf numFmtId="0" fontId="9"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8" fillId="0" borderId="1" xfId="0" applyFont="1" applyBorder="1" applyAlignment="1">
      <alignment horizontal="left" vertical="center" wrapText="1"/>
    </xf>
    <xf numFmtId="0" fontId="38" fillId="0" borderId="31" xfId="0" applyFont="1" applyBorder="1" applyAlignment="1" applyProtection="1">
      <alignment horizontal="center" vertical="center" wrapText="1"/>
      <protection locked="0"/>
    </xf>
    <xf numFmtId="0" fontId="38" fillId="0" borderId="21" xfId="0" applyFont="1" applyBorder="1" applyAlignment="1" applyProtection="1">
      <alignment horizontal="center" vertical="center" wrapText="1"/>
      <protection locked="0"/>
    </xf>
    <xf numFmtId="0" fontId="9" fillId="0" borderId="66" xfId="0" applyFont="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9" fillId="0" borderId="59" xfId="0" applyFont="1" applyBorder="1" applyAlignment="1">
      <alignment vertical="center" wrapText="1"/>
    </xf>
    <xf numFmtId="2" fontId="12" fillId="0" borderId="10" xfId="0" applyNumberFormat="1" applyFont="1" applyBorder="1" applyAlignment="1">
      <alignment horizontal="center" vertical="center" wrapText="1"/>
    </xf>
    <xf numFmtId="0" fontId="12" fillId="0" borderId="10" xfId="0" applyFont="1" applyBorder="1" applyAlignment="1">
      <alignment vertical="center" wrapText="1"/>
    </xf>
    <xf numFmtId="0" fontId="9" fillId="2" borderId="20" xfId="0" applyFont="1" applyFill="1" applyBorder="1" applyAlignment="1">
      <alignment horizontal="left" vertical="center" wrapText="1"/>
    </xf>
    <xf numFmtId="2" fontId="12" fillId="2" borderId="19" xfId="0" applyNumberFormat="1" applyFont="1" applyFill="1" applyBorder="1" applyAlignment="1">
      <alignment horizontal="center" vertical="center" wrapText="1"/>
    </xf>
    <xf numFmtId="0" fontId="12" fillId="2" borderId="19" xfId="0" applyFont="1" applyFill="1" applyBorder="1" applyAlignment="1">
      <alignment horizontal="left" vertical="center" wrapText="1"/>
    </xf>
    <xf numFmtId="0" fontId="10" fillId="0" borderId="10" xfId="0" applyFont="1" applyBorder="1" applyAlignment="1">
      <alignment vertical="center" wrapText="1"/>
    </xf>
    <xf numFmtId="0" fontId="10" fillId="2" borderId="19" xfId="0" applyFont="1" applyFill="1" applyBorder="1" applyAlignment="1">
      <alignment horizontal="left" vertical="center" wrapText="1"/>
    </xf>
    <xf numFmtId="0" fontId="27" fillId="0" borderId="0" xfId="0" applyFont="1" applyAlignment="1">
      <alignment horizontal="center" vertical="center" wrapText="1"/>
    </xf>
    <xf numFmtId="0" fontId="31" fillId="0" borderId="26" xfId="0" applyFont="1" applyBorder="1" applyAlignment="1">
      <alignment horizontal="left" vertical="center" wrapText="1"/>
    </xf>
    <xf numFmtId="0" fontId="0" fillId="0" borderId="26" xfId="0" applyBorder="1"/>
    <xf numFmtId="0" fontId="8" fillId="3" borderId="57" xfId="0" applyFont="1" applyFill="1" applyBorder="1" applyAlignment="1">
      <alignment horizontal="left" vertical="center" wrapText="1"/>
    </xf>
    <xf numFmtId="0" fontId="8" fillId="3" borderId="58" xfId="0" applyFont="1" applyFill="1" applyBorder="1" applyAlignment="1">
      <alignment horizontal="center" vertical="center" wrapText="1"/>
    </xf>
    <xf numFmtId="0" fontId="25" fillId="0" borderId="17" xfId="0" applyFont="1" applyBorder="1" applyAlignment="1">
      <alignment horizontal="center" vertical="center"/>
    </xf>
    <xf numFmtId="0" fontId="25" fillId="0" borderId="0" xfId="0" applyFont="1" applyAlignment="1">
      <alignment horizontal="center"/>
    </xf>
    <xf numFmtId="0" fontId="28" fillId="0" borderId="0" xfId="0" applyFont="1" applyAlignment="1">
      <alignment horizontal="center" vertical="center"/>
    </xf>
    <xf numFmtId="0" fontId="35" fillId="0" borderId="0" xfId="0" applyFont="1" applyAlignment="1">
      <alignment wrapText="1"/>
    </xf>
    <xf numFmtId="0" fontId="27" fillId="0" borderId="0" xfId="0" applyFont="1" applyAlignment="1">
      <alignment horizontal="center" vertical="center"/>
    </xf>
    <xf numFmtId="0" fontId="10" fillId="0" borderId="0" xfId="0" applyFont="1" applyAlignment="1">
      <alignment vertical="center" wrapText="1"/>
    </xf>
    <xf numFmtId="0" fontId="27" fillId="0" borderId="0" xfId="0" applyFont="1" applyAlignment="1">
      <alignment horizontal="center" vertical="center" wrapText="1"/>
    </xf>
    <xf numFmtId="0" fontId="8" fillId="3" borderId="13" xfId="0" applyFont="1" applyFill="1" applyBorder="1" applyAlignment="1">
      <alignment vertical="center" wrapText="1"/>
    </xf>
    <xf numFmtId="0" fontId="10" fillId="0" borderId="60" xfId="0" applyFont="1" applyBorder="1" applyAlignment="1">
      <alignment vertical="center" wrapText="1"/>
    </xf>
    <xf numFmtId="0" fontId="10" fillId="0" borderId="61" xfId="0" applyFont="1" applyBorder="1" applyAlignment="1">
      <alignment vertical="center" wrapText="1"/>
    </xf>
    <xf numFmtId="0" fontId="10" fillId="0" borderId="62" xfId="0" applyFont="1" applyBorder="1" applyAlignment="1">
      <alignment vertical="center" wrapText="1"/>
    </xf>
    <xf numFmtId="0" fontId="10" fillId="2" borderId="63" xfId="0" applyFont="1" applyFill="1" applyBorder="1" applyAlignment="1">
      <alignment vertical="center" wrapText="1"/>
    </xf>
    <xf numFmtId="0" fontId="10" fillId="2" borderId="64" xfId="0" applyFont="1" applyFill="1" applyBorder="1" applyAlignment="1">
      <alignment vertical="center" wrapText="1"/>
    </xf>
    <xf numFmtId="0" fontId="10" fillId="2" borderId="65" xfId="0" applyFont="1" applyFill="1" applyBorder="1" applyAlignment="1">
      <alignment vertical="center" wrapText="1"/>
    </xf>
    <xf numFmtId="0" fontId="10" fillId="0" borderId="0" xfId="0" applyFont="1" applyAlignment="1">
      <alignment horizontal="left" vertical="center" wrapText="1"/>
    </xf>
    <xf numFmtId="0" fontId="31" fillId="0" borderId="17" xfId="0" applyFont="1" applyBorder="1" applyAlignment="1">
      <alignment vertical="center" wrapText="1"/>
    </xf>
    <xf numFmtId="0" fontId="34" fillId="0" borderId="0" xfId="0" applyFont="1" applyAlignment="1">
      <alignment vertical="top" wrapText="1"/>
    </xf>
    <xf numFmtId="0" fontId="3" fillId="0" borderId="0" xfId="0" applyFont="1" applyAlignment="1">
      <alignment horizontal="left" wrapText="1"/>
    </xf>
    <xf numFmtId="0" fontId="30" fillId="5" borderId="32" xfId="1" applyFont="1" applyFill="1" applyBorder="1" applyAlignment="1">
      <alignment horizontal="left" vertical="center"/>
    </xf>
    <xf numFmtId="0" fontId="30" fillId="5" borderId="33" xfId="1" applyFont="1" applyFill="1" applyBorder="1" applyAlignment="1">
      <alignment horizontal="left" vertical="center"/>
    </xf>
    <xf numFmtId="0" fontId="6" fillId="0" borderId="44" xfId="1" applyBorder="1" applyAlignment="1" applyProtection="1">
      <alignment horizontal="center"/>
      <protection locked="0"/>
    </xf>
    <xf numFmtId="0" fontId="6" fillId="0" borderId="45" xfId="1" applyBorder="1" applyAlignment="1" applyProtection="1">
      <alignment horizontal="center"/>
      <protection locked="0"/>
    </xf>
    <xf numFmtId="0" fontId="6" fillId="0" borderId="49" xfId="1" applyBorder="1" applyAlignment="1" applyProtection="1">
      <alignment horizontal="center"/>
      <protection locked="0"/>
    </xf>
    <xf numFmtId="0" fontId="6" fillId="0" borderId="50" xfId="1" applyBorder="1" applyAlignment="1" applyProtection="1">
      <alignment horizontal="center"/>
      <protection locked="0"/>
    </xf>
    <xf numFmtId="0" fontId="1" fillId="0" borderId="90" xfId="8" applyBorder="1" applyAlignment="1" applyProtection="1">
      <alignment horizontal="center"/>
      <protection locked="0"/>
    </xf>
    <xf numFmtId="0" fontId="1" fillId="0" borderId="91" xfId="8" applyBorder="1" applyAlignment="1" applyProtection="1">
      <alignment horizontal="center"/>
      <protection locked="0"/>
    </xf>
    <xf numFmtId="0" fontId="1" fillId="0" borderId="92" xfId="8" applyBorder="1" applyAlignment="1" applyProtection="1">
      <alignment horizontal="center"/>
      <protection locked="0"/>
    </xf>
    <xf numFmtId="0" fontId="1" fillId="0" borderId="44" xfId="8" applyBorder="1" applyAlignment="1" applyProtection="1">
      <alignment horizontal="center"/>
      <protection locked="0"/>
    </xf>
    <xf numFmtId="0" fontId="1" fillId="0" borderId="0" xfId="8" applyAlignment="1" applyProtection="1">
      <alignment horizontal="center"/>
      <protection locked="0"/>
    </xf>
    <xf numFmtId="0" fontId="1" fillId="0" borderId="45" xfId="8" applyBorder="1" applyAlignment="1" applyProtection="1">
      <alignment horizontal="center"/>
      <protection locked="0"/>
    </xf>
    <xf numFmtId="0" fontId="1" fillId="0" borderId="49" xfId="8" applyBorder="1" applyAlignment="1" applyProtection="1">
      <alignment horizontal="center"/>
      <protection locked="0"/>
    </xf>
    <xf numFmtId="0" fontId="1" fillId="0" borderId="89" xfId="8" applyBorder="1" applyAlignment="1" applyProtection="1">
      <alignment horizontal="center"/>
      <protection locked="0"/>
    </xf>
    <xf numFmtId="0" fontId="1" fillId="0" borderId="50" xfId="8" applyBorder="1" applyAlignment="1" applyProtection="1">
      <alignment horizontal="center"/>
      <protection locked="0"/>
    </xf>
    <xf numFmtId="0" fontId="40" fillId="5" borderId="86" xfId="8" applyFont="1" applyFill="1" applyBorder="1" applyAlignment="1">
      <alignment horizontal="center" vertical="center" wrapText="1"/>
    </xf>
    <xf numFmtId="0" fontId="40" fillId="5" borderId="87" xfId="8" applyFont="1" applyFill="1" applyBorder="1" applyAlignment="1">
      <alignment horizontal="center" vertical="center"/>
    </xf>
    <xf numFmtId="0" fontId="40" fillId="5" borderId="88" xfId="8" applyFont="1" applyFill="1" applyBorder="1" applyAlignment="1">
      <alignment horizontal="center" vertical="center"/>
    </xf>
    <xf numFmtId="0" fontId="30" fillId="5" borderId="78" xfId="3" applyFont="1" applyFill="1" applyBorder="1" applyAlignment="1">
      <alignment horizontal="left" vertical="center"/>
    </xf>
    <xf numFmtId="0" fontId="30" fillId="5" borderId="79" xfId="3" applyFont="1" applyFill="1" applyBorder="1" applyAlignment="1">
      <alignment horizontal="left" vertical="center"/>
    </xf>
  </cellXfs>
  <cellStyles count="9">
    <cellStyle name="Normal" xfId="0" builtinId="0"/>
    <cellStyle name="Normal 2" xfId="1" xr:uid="{6D2080AF-0422-4F9E-8394-4F8C4E0F7B6C}"/>
    <cellStyle name="Normal 2 2" xfId="3" xr:uid="{734800A0-7940-4533-B029-A5D51B1263AC}"/>
    <cellStyle name="Normal 2 2 2" xfId="8" xr:uid="{31F1E4E3-275D-48CF-934F-CF7D1D52E1C3}"/>
    <cellStyle name="Normal 2 2 3" xfId="6" xr:uid="{AB0E9079-5352-4DB5-B070-0285FF5B204C}"/>
    <cellStyle name="Normal 2 3" xfId="2" xr:uid="{CC90482C-0B23-42D6-8859-F635DA2536A5}"/>
    <cellStyle name="Normal 2 3 2" xfId="7" xr:uid="{96AEBF45-E1AF-45CF-B7DA-24AED3011A2D}"/>
    <cellStyle name="Normal 2 4" xfId="5" xr:uid="{F1E19FAA-7B6D-47B0-8109-1DE97ECBCE8E}"/>
    <cellStyle name="Normal 2 5" xfId="4" xr:uid="{A952CCC9-9769-4F1F-B4B5-3FAC78A052B4}"/>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338079</xdr:colOff>
      <xdr:row>2</xdr:row>
      <xdr:rowOff>371364</xdr:rowOff>
    </xdr:to>
    <xdr:pic>
      <xdr:nvPicPr>
        <xdr:cNvPr id="3" name="Picture 2">
          <a:extLst>
            <a:ext uri="{FF2B5EF4-FFF2-40B4-BE49-F238E27FC236}">
              <a16:creationId xmlns:a16="http://schemas.microsoft.com/office/drawing/2014/main" id="{FCF2AB0E-4972-451D-A269-F1AEA3D5E9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48949" cy="682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1042929</xdr:colOff>
      <xdr:row>0</xdr:row>
      <xdr:rowOff>767604</xdr:rowOff>
    </xdr:to>
    <xdr:pic>
      <xdr:nvPicPr>
        <xdr:cNvPr id="3" name="Picture 2">
          <a:extLst>
            <a:ext uri="{FF2B5EF4-FFF2-40B4-BE49-F238E27FC236}">
              <a16:creationId xmlns:a16="http://schemas.microsoft.com/office/drawing/2014/main" id="{4340B01F-8654-4F80-9210-E6E3E2528B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47624</xdr:rowOff>
    </xdr:from>
    <xdr:to>
      <xdr:col>1</xdr:col>
      <xdr:colOff>358957</xdr:colOff>
      <xdr:row>1</xdr:row>
      <xdr:rowOff>327659</xdr:rowOff>
    </xdr:to>
    <xdr:pic>
      <xdr:nvPicPr>
        <xdr:cNvPr id="3" name="Picture 2">
          <a:extLst>
            <a:ext uri="{FF2B5EF4-FFF2-40B4-BE49-F238E27FC236}">
              <a16:creationId xmlns:a16="http://schemas.microsoft.com/office/drawing/2014/main" id="{254D0D61-D368-4AA7-87B8-38736ED6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47624"/>
          <a:ext cx="972367"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66675</xdr:rowOff>
    </xdr:from>
    <xdr:to>
      <xdr:col>0</xdr:col>
      <xdr:colOff>1046739</xdr:colOff>
      <xdr:row>1</xdr:row>
      <xdr:rowOff>98949</xdr:rowOff>
    </xdr:to>
    <xdr:pic>
      <xdr:nvPicPr>
        <xdr:cNvPr id="3" name="Picture 2">
          <a:extLst>
            <a:ext uri="{FF2B5EF4-FFF2-40B4-BE49-F238E27FC236}">
              <a16:creationId xmlns:a16="http://schemas.microsoft.com/office/drawing/2014/main" id="{F7100FBB-D424-450E-A7EE-40C4A732CD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0</xdr:col>
      <xdr:colOff>1012449</xdr:colOff>
      <xdr:row>1</xdr:row>
      <xdr:rowOff>22749</xdr:rowOff>
    </xdr:to>
    <xdr:pic>
      <xdr:nvPicPr>
        <xdr:cNvPr id="3" name="Picture 2">
          <a:extLst>
            <a:ext uri="{FF2B5EF4-FFF2-40B4-BE49-F238E27FC236}">
              <a16:creationId xmlns:a16="http://schemas.microsoft.com/office/drawing/2014/main" id="{8D12CD34-DF8B-4743-A089-F26A318D3D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0</xdr:col>
      <xdr:colOff>1033404</xdr:colOff>
      <xdr:row>1</xdr:row>
      <xdr:rowOff>529479</xdr:rowOff>
    </xdr:to>
    <xdr:pic>
      <xdr:nvPicPr>
        <xdr:cNvPr id="3" name="Picture 2">
          <a:extLst>
            <a:ext uri="{FF2B5EF4-FFF2-40B4-BE49-F238E27FC236}">
              <a16:creationId xmlns:a16="http://schemas.microsoft.com/office/drawing/2014/main" id="{87584324-097F-4BD6-9104-BC4721F378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0</xdr:col>
      <xdr:colOff>1052454</xdr:colOff>
      <xdr:row>0</xdr:row>
      <xdr:rowOff>739029</xdr:rowOff>
    </xdr:to>
    <xdr:pic>
      <xdr:nvPicPr>
        <xdr:cNvPr id="2" name="Picture 1">
          <a:extLst>
            <a:ext uri="{FF2B5EF4-FFF2-40B4-BE49-F238E27FC236}">
              <a16:creationId xmlns:a16="http://schemas.microsoft.com/office/drawing/2014/main" id="{45FB7496-3A0B-4635-82C1-238A0F4116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171450</xdr:colOff>
      <xdr:row>0</xdr:row>
      <xdr:rowOff>85725</xdr:rowOff>
    </xdr:from>
    <xdr:to>
      <xdr:col>1</xdr:col>
      <xdr:colOff>972444</xdr:colOff>
      <xdr:row>0</xdr:row>
      <xdr:rowOff>742839</xdr:rowOff>
    </xdr:to>
    <xdr:pic>
      <xdr:nvPicPr>
        <xdr:cNvPr id="2" name="Picture 1">
          <a:extLst>
            <a:ext uri="{FF2B5EF4-FFF2-40B4-BE49-F238E27FC236}">
              <a16:creationId xmlns:a16="http://schemas.microsoft.com/office/drawing/2014/main" id="{D2EF1F2B-85B4-4177-80CF-6E1B1732F4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857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2" xr16:uid="{AB3ADE9D-E4E6-FD49-AC0D-781453E45937}"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MS_testcases_2025-06-18" connectionId="1" xr16:uid="{4D15D397-777D-BD4B-B5FF-C6521E61872C}"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A1:D48"/>
  <sheetViews>
    <sheetView showGridLines="0" tabSelected="1" workbookViewId="0"/>
  </sheetViews>
  <sheetFormatPr defaultColWidth="8.625" defaultRowHeight="15.75" x14ac:dyDescent="0.25"/>
  <cols>
    <col min="3" max="3" width="18.5" customWidth="1"/>
    <col min="4" max="4" width="94.625" customWidth="1"/>
  </cols>
  <sheetData>
    <row r="1" spans="1:4" x14ac:dyDescent="0.25">
      <c r="A1" t="s">
        <v>502</v>
      </c>
    </row>
    <row r="3" spans="1:4" ht="36" x14ac:dyDescent="0.55000000000000004">
      <c r="C3" s="22" t="s">
        <v>0</v>
      </c>
      <c r="D3" s="23"/>
    </row>
    <row r="5" spans="1:4" ht="21" x14ac:dyDescent="0.35">
      <c r="C5" s="24" t="s">
        <v>1</v>
      </c>
      <c r="D5" s="25"/>
    </row>
    <row r="6" spans="1:4" x14ac:dyDescent="0.25">
      <c r="C6" s="26" t="s">
        <v>422</v>
      </c>
      <c r="D6" s="153" t="s">
        <v>853</v>
      </c>
    </row>
    <row r="7" spans="1:4" x14ac:dyDescent="0.25">
      <c r="C7" s="26" t="s">
        <v>2</v>
      </c>
      <c r="D7" s="92">
        <v>46216</v>
      </c>
    </row>
    <row r="8" spans="1:4" x14ac:dyDescent="0.25">
      <c r="C8" s="26"/>
      <c r="D8" s="27"/>
    </row>
    <row r="9" spans="1:4" x14ac:dyDescent="0.25">
      <c r="C9" s="26" t="s">
        <v>423</v>
      </c>
      <c r="D9" s="27" t="s">
        <v>844</v>
      </c>
    </row>
    <row r="10" spans="1:4" x14ac:dyDescent="0.25">
      <c r="C10" s="26" t="s">
        <v>424</v>
      </c>
      <c r="D10" s="27" t="s">
        <v>854</v>
      </c>
    </row>
    <row r="12" spans="1:4" x14ac:dyDescent="0.25">
      <c r="D12" s="26" t="s">
        <v>3</v>
      </c>
    </row>
    <row r="13" spans="1:4" ht="236.25" x14ac:dyDescent="0.25">
      <c r="D13" s="28" t="s">
        <v>450</v>
      </c>
    </row>
    <row r="15" spans="1:4" x14ac:dyDescent="0.25">
      <c r="D15" s="1" t="s">
        <v>4</v>
      </c>
    </row>
    <row r="16" spans="1:4" x14ac:dyDescent="0.25">
      <c r="C16" s="29">
        <v>1</v>
      </c>
      <c r="D16" s="30" t="s">
        <v>5</v>
      </c>
    </row>
    <row r="17" spans="3:4" ht="31.5" x14ac:dyDescent="0.25">
      <c r="C17" s="29">
        <v>2</v>
      </c>
      <c r="D17" s="30" t="s">
        <v>6</v>
      </c>
    </row>
    <row r="18" spans="3:4" ht="31.5" x14ac:dyDescent="0.25">
      <c r="C18" s="29">
        <v>3</v>
      </c>
      <c r="D18" s="30" t="s">
        <v>462</v>
      </c>
    </row>
    <row r="19" spans="3:4" x14ac:dyDescent="0.25">
      <c r="C19" s="29">
        <v>4</v>
      </c>
      <c r="D19" s="17" t="s">
        <v>7</v>
      </c>
    </row>
    <row r="20" spans="3:4" ht="31.5" x14ac:dyDescent="0.25">
      <c r="C20" s="29">
        <v>5</v>
      </c>
      <c r="D20" s="30" t="s">
        <v>463</v>
      </c>
    </row>
    <row r="21" spans="3:4" ht="31.5" x14ac:dyDescent="0.25">
      <c r="C21" s="29">
        <v>6</v>
      </c>
      <c r="D21" s="30" t="s">
        <v>467</v>
      </c>
    </row>
    <row r="22" spans="3:4" x14ac:dyDescent="0.25">
      <c r="C22" s="29"/>
    </row>
    <row r="23" spans="3:4" x14ac:dyDescent="0.25">
      <c r="D23" s="1" t="s">
        <v>464</v>
      </c>
    </row>
    <row r="24" spans="3:4" ht="35.1" customHeight="1" x14ac:dyDescent="0.25">
      <c r="C24" s="29">
        <v>7</v>
      </c>
      <c r="D24" s="28" t="s">
        <v>471</v>
      </c>
    </row>
    <row r="25" spans="3:4" ht="31.5" x14ac:dyDescent="0.25">
      <c r="C25" s="29">
        <v>8</v>
      </c>
      <c r="D25" s="17" t="s">
        <v>465</v>
      </c>
    </row>
    <row r="26" spans="3:4" x14ac:dyDescent="0.25">
      <c r="C26" s="29">
        <v>9</v>
      </c>
      <c r="D26" t="s">
        <v>466</v>
      </c>
    </row>
    <row r="30" spans="3:4" x14ac:dyDescent="0.25">
      <c r="C30" s="26" t="s">
        <v>475</v>
      </c>
      <c r="D30" s="1"/>
    </row>
    <row r="31" spans="3:4" x14ac:dyDescent="0.25">
      <c r="C31" s="154" t="s">
        <v>853</v>
      </c>
      <c r="D31" t="s">
        <v>855</v>
      </c>
    </row>
    <row r="32" spans="3:4" x14ac:dyDescent="0.25">
      <c r="C32" s="154" t="s">
        <v>851</v>
      </c>
      <c r="D32" t="s">
        <v>852</v>
      </c>
    </row>
    <row r="33" spans="3:4" x14ac:dyDescent="0.25">
      <c r="C33" s="154" t="s">
        <v>849</v>
      </c>
      <c r="D33" t="s">
        <v>850</v>
      </c>
    </row>
    <row r="34" spans="3:4" x14ac:dyDescent="0.25">
      <c r="C34" s="154" t="s">
        <v>845</v>
      </c>
      <c r="D34" t="s">
        <v>846</v>
      </c>
    </row>
    <row r="35" spans="3:4" x14ac:dyDescent="0.25">
      <c r="C35" s="174" t="s">
        <v>838</v>
      </c>
      <c r="D35" s="165" t="s">
        <v>839</v>
      </c>
    </row>
    <row r="36" spans="3:4" x14ac:dyDescent="0.25">
      <c r="C36" s="154" t="s">
        <v>791</v>
      </c>
      <c r="D36" t="s">
        <v>792</v>
      </c>
    </row>
    <row r="37" spans="3:4" x14ac:dyDescent="0.25">
      <c r="C37" s="164" t="s">
        <v>545</v>
      </c>
      <c r="D37" s="165" t="s">
        <v>546</v>
      </c>
    </row>
    <row r="38" spans="3:4" x14ac:dyDescent="0.25">
      <c r="C38" s="154" t="s">
        <v>535</v>
      </c>
      <c r="D38" t="s">
        <v>536</v>
      </c>
    </row>
    <row r="39" spans="3:4" x14ac:dyDescent="0.25">
      <c r="C39" s="154" t="s">
        <v>530</v>
      </c>
      <c r="D39" t="s">
        <v>533</v>
      </c>
    </row>
    <row r="40" spans="3:4" x14ac:dyDescent="0.25">
      <c r="C40" s="136" t="s">
        <v>526</v>
      </c>
      <c r="D40" t="s">
        <v>525</v>
      </c>
    </row>
    <row r="41" spans="3:4" x14ac:dyDescent="0.25">
      <c r="C41" s="136" t="s">
        <v>499</v>
      </c>
      <c r="D41" t="s">
        <v>501</v>
      </c>
    </row>
    <row r="42" spans="3:4" x14ac:dyDescent="0.25">
      <c r="C42" s="136" t="s">
        <v>497</v>
      </c>
      <c r="D42" t="s">
        <v>498</v>
      </c>
    </row>
    <row r="43" spans="3:4" x14ac:dyDescent="0.25">
      <c r="C43" s="136" t="s">
        <v>491</v>
      </c>
      <c r="D43" t="s">
        <v>496</v>
      </c>
    </row>
    <row r="44" spans="3:4" x14ac:dyDescent="0.25">
      <c r="C44" s="136" t="s">
        <v>482</v>
      </c>
      <c r="D44" s="17" t="s">
        <v>483</v>
      </c>
    </row>
    <row r="45" spans="3:4" x14ac:dyDescent="0.25">
      <c r="C45" s="136" t="s">
        <v>477</v>
      </c>
      <c r="D45" s="17" t="s">
        <v>478</v>
      </c>
    </row>
    <row r="46" spans="3:4" x14ac:dyDescent="0.25">
      <c r="C46" s="136" t="s">
        <v>474</v>
      </c>
      <c r="D46" s="17" t="s">
        <v>476</v>
      </c>
    </row>
    <row r="48" spans="3:4" x14ac:dyDescent="0.25">
      <c r="C48" s="152" t="s">
        <v>524</v>
      </c>
      <c r="D48" s="17" t="s">
        <v>856</v>
      </c>
    </row>
  </sheetData>
  <sheetProtection algorithmName="SHA-512" hashValue="JFAlXaaoVIzXKdXKuKaCUwHEuGiBFngyS+st6FVRhieIS/xzijnBT9htfLbFXw5xgUexAuFof0rJtumJyPtcUQ==" saltValue="nRIme0NKcZxEACtClg5OQA=="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71"/>
  <sheetViews>
    <sheetView showGridLines="0" workbookViewId="0">
      <selection activeCell="C5" sqref="C5"/>
    </sheetView>
  </sheetViews>
  <sheetFormatPr defaultColWidth="9" defaultRowHeight="15" x14ac:dyDescent="0.25"/>
  <cols>
    <col min="1" max="1" width="2.125" style="73" customWidth="1"/>
    <col min="2" max="2" width="21.125" style="73" customWidth="1"/>
    <col min="3" max="3" width="30.125" style="73" customWidth="1"/>
    <col min="4" max="4" width="2" style="73" customWidth="1"/>
    <col min="5" max="5" width="8.5" style="73" customWidth="1"/>
    <col min="6" max="6" width="15.125" style="73" customWidth="1"/>
    <col min="7" max="7" width="9" style="73"/>
    <col min="8" max="8" width="30" style="73" bestFit="1" customWidth="1"/>
    <col min="9" max="9" width="22.125" style="73" customWidth="1"/>
    <col min="10" max="16384" width="9" style="73"/>
  </cols>
  <sheetData>
    <row r="1" spans="2:9" customFormat="1" ht="61.5" customHeight="1" x14ac:dyDescent="0.25">
      <c r="B1" s="73"/>
      <c r="C1" s="203" t="s">
        <v>444</v>
      </c>
      <c r="D1" s="203"/>
      <c r="E1" s="203"/>
      <c r="F1" s="203"/>
      <c r="H1" s="132" t="s">
        <v>473</v>
      </c>
      <c r="I1" s="117" t="str">
        <f>IF(AND(ISERROR(FIND("&lt;",_xlfn.CONCAT(C5:C21))),_xlfn.CONCAT(G4:G21)=""),"VALID for Certification",IF(AND(ISERROR(FIND("&lt;",_xlfn.CONCAT(C5:C10))),_xlfn.CONCAT(G4:G10)=""),"VALID for a VDoC","INVALID"))</f>
        <v>INVALID</v>
      </c>
    </row>
    <row r="2" spans="2:9" customFormat="1" ht="37.5" customHeight="1" x14ac:dyDescent="0.25">
      <c r="B2" s="73"/>
      <c r="C2" s="213" t="s">
        <v>445</v>
      </c>
      <c r="D2" s="213"/>
      <c r="E2" s="213"/>
      <c r="F2" s="213"/>
      <c r="H2" s="132" t="s">
        <v>500</v>
      </c>
      <c r="I2" s="117"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217" t="s">
        <v>400</v>
      </c>
      <c r="C4" s="218"/>
      <c r="D4" s="74"/>
      <c r="E4" s="75" t="s">
        <v>401</v>
      </c>
      <c r="F4" s="109" t="s">
        <v>434</v>
      </c>
      <c r="G4" s="118"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76" t="s">
        <v>68</v>
      </c>
      <c r="C5" s="151" t="s">
        <v>435</v>
      </c>
      <c r="D5" s="77"/>
      <c r="E5" s="89" t="s">
        <v>402</v>
      </c>
      <c r="F5" s="114"/>
      <c r="G5" s="118" t="str">
        <f t="shared" ref="G5:G9" si="0">IF(ISBLANK(C5),"&lt;---- This field cannot be left empty!",IF(NOT(ISERROR(FIND("&lt;",C5))),"&lt;---- Please enter a valid value",""))</f>
        <v>&lt;---- Please enter a valid value</v>
      </c>
    </row>
    <row r="6" spans="2:9" ht="21.75" customHeight="1" x14ac:dyDescent="0.25">
      <c r="B6" s="78" t="s">
        <v>403</v>
      </c>
      <c r="C6" s="163" t="str">
        <f>'General information'!C2</f>
        <v>&lt;vendor company name&gt; </v>
      </c>
      <c r="D6" s="77"/>
      <c r="E6" s="219"/>
      <c r="F6" s="220"/>
      <c r="G6" s="118" t="str">
        <f t="shared" si="0"/>
        <v>&lt;---- Please enter a valid value</v>
      </c>
    </row>
    <row r="7" spans="2:9" ht="21.75" customHeight="1" x14ac:dyDescent="0.25">
      <c r="B7" s="78" t="s">
        <v>404</v>
      </c>
      <c r="C7" s="102" t="s">
        <v>432</v>
      </c>
      <c r="D7" s="77"/>
      <c r="E7" s="219"/>
      <c r="F7" s="220"/>
      <c r="G7" s="118" t="str">
        <f t="shared" si="0"/>
        <v>&lt;---- Please enter a valid value</v>
      </c>
    </row>
    <row r="8" spans="2:9" ht="21.75" customHeight="1" x14ac:dyDescent="0.25">
      <c r="B8" s="78" t="s">
        <v>405</v>
      </c>
      <c r="C8" s="102" t="s">
        <v>436</v>
      </c>
      <c r="D8" s="77"/>
      <c r="E8" s="219"/>
      <c r="F8" s="220"/>
      <c r="G8" s="118" t="str">
        <f t="shared" si="0"/>
        <v>&lt;---- Please enter a valid value</v>
      </c>
    </row>
    <row r="9" spans="2:9" ht="21.75" customHeight="1" thickBot="1" x14ac:dyDescent="0.3">
      <c r="B9" s="79" t="s">
        <v>406</v>
      </c>
      <c r="C9" s="103" t="s">
        <v>433</v>
      </c>
      <c r="D9" s="80"/>
      <c r="E9" s="221"/>
      <c r="F9" s="222"/>
      <c r="G9" s="118" t="str">
        <f t="shared" si="0"/>
        <v>&lt;---- Please enter a valid value</v>
      </c>
    </row>
    <row r="11" spans="2:9" ht="15.75" thickBot="1" x14ac:dyDescent="0.3"/>
    <row r="12" spans="2:9" ht="23.25" customHeight="1" thickBot="1" x14ac:dyDescent="0.3">
      <c r="B12" s="217" t="s">
        <v>407</v>
      </c>
      <c r="C12" s="218"/>
      <c r="D12" s="74"/>
      <c r="E12" s="75" t="s">
        <v>401</v>
      </c>
      <c r="F12" s="109" t="s">
        <v>434</v>
      </c>
      <c r="G12" s="118"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f>
        <v>&lt;---- Please enter a valid date</v>
      </c>
    </row>
    <row r="13" spans="2:9" ht="23.25" customHeight="1" x14ac:dyDescent="0.25">
      <c r="B13" s="91" t="s">
        <v>427</v>
      </c>
      <c r="C13" s="104" t="s">
        <v>431</v>
      </c>
      <c r="D13" s="77"/>
      <c r="E13" s="89" t="s">
        <v>402</v>
      </c>
      <c r="F13" s="90"/>
      <c r="G13" s="118" t="str">
        <f>IF(ISBLANK(C13),"&lt;---- This field cannot be left empty!",IF(NOT(ISERROR(FIND("&lt;",C13))),"&lt;---- Please enter a valid date",""))</f>
        <v>&lt;---- Please enter a valid date</v>
      </c>
    </row>
    <row r="14" spans="2:9" ht="23.25" customHeight="1" x14ac:dyDescent="0.25">
      <c r="B14" s="91" t="s">
        <v>414</v>
      </c>
      <c r="C14" s="105" t="s">
        <v>442</v>
      </c>
      <c r="D14" s="115"/>
      <c r="E14" s="219"/>
      <c r="F14" s="220"/>
      <c r="G14" s="118" t="str">
        <f>IF(ISBLANK(C14),"&lt;---- This field cannot be left empty!",IF(NOT(ISERROR(FIND("&lt;",C14))),"&lt;---- Please enter a valid value",""))</f>
        <v>&lt;---- Please enter a valid value</v>
      </c>
    </row>
    <row r="15" spans="2:9" ht="23.25" customHeight="1" x14ac:dyDescent="0.25">
      <c r="B15" s="76" t="s">
        <v>68</v>
      </c>
      <c r="C15" s="106" t="s">
        <v>437</v>
      </c>
      <c r="E15" s="219"/>
      <c r="F15" s="220"/>
      <c r="G15" s="118" t="str">
        <f t="shared" ref="G15:G20" si="1">IF(ISBLANK(C15),"&lt;---- This field cannot be left empty!",IF(NOT(ISERROR(FIND("&lt;",C15))),"&lt;---- Please enter a valid value",""))</f>
        <v>&lt;---- Please enter a valid value</v>
      </c>
    </row>
    <row r="16" spans="2:9" ht="23.25" customHeight="1" x14ac:dyDescent="0.25">
      <c r="B16" s="135" t="s">
        <v>489</v>
      </c>
      <c r="C16" s="137" t="s">
        <v>490</v>
      </c>
      <c r="E16" s="219"/>
      <c r="F16" s="220"/>
      <c r="G16" s="118"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78" t="s">
        <v>403</v>
      </c>
      <c r="C17" s="107" t="s">
        <v>438</v>
      </c>
      <c r="D17" s="77"/>
      <c r="E17" s="219"/>
      <c r="F17" s="220"/>
      <c r="G17" s="118" t="str">
        <f t="shared" si="1"/>
        <v>&lt;---- Please enter a valid value</v>
      </c>
    </row>
    <row r="18" spans="2:7" ht="23.25" customHeight="1" x14ac:dyDescent="0.25">
      <c r="B18" s="78" t="s">
        <v>404</v>
      </c>
      <c r="C18" s="107" t="s">
        <v>439</v>
      </c>
      <c r="D18" s="77"/>
      <c r="E18" s="219"/>
      <c r="F18" s="220"/>
      <c r="G18" s="118" t="str">
        <f t="shared" si="1"/>
        <v>&lt;---- Please enter a valid value</v>
      </c>
    </row>
    <row r="19" spans="2:7" ht="23.25" customHeight="1" x14ac:dyDescent="0.25">
      <c r="B19" s="78" t="s">
        <v>405</v>
      </c>
      <c r="C19" s="107" t="s">
        <v>440</v>
      </c>
      <c r="D19" s="77"/>
      <c r="E19" s="219"/>
      <c r="F19" s="220"/>
      <c r="G19" s="118" t="str">
        <f t="shared" si="1"/>
        <v>&lt;---- Please enter a valid value</v>
      </c>
    </row>
    <row r="20" spans="2:7" ht="23.25" customHeight="1" thickBot="1" x14ac:dyDescent="0.3">
      <c r="B20" s="79" t="s">
        <v>406</v>
      </c>
      <c r="C20" s="108" t="s">
        <v>441</v>
      </c>
      <c r="D20" s="80"/>
      <c r="E20" s="221"/>
      <c r="F20" s="222"/>
      <c r="G20" s="118" t="str">
        <f t="shared" si="1"/>
        <v>&lt;---- Please enter a valid value</v>
      </c>
    </row>
    <row r="21" spans="2:7" ht="16.5" thickBot="1" x14ac:dyDescent="0.3">
      <c r="G21" s="118"/>
    </row>
    <row r="22" spans="2:7" ht="19.5" thickBot="1" x14ac:dyDescent="0.3">
      <c r="B22" s="235" t="s">
        <v>506</v>
      </c>
      <c r="C22" s="236"/>
    </row>
    <row r="23" spans="2:7" x14ac:dyDescent="0.25">
      <c r="B23" s="143" t="s">
        <v>507</v>
      </c>
      <c r="C23" s="14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147" t="s">
        <v>523</v>
      </c>
      <c r="C24" s="148" t="str">
        <f>IFERROR(VLOOKUP(SUBSTITUTE(B24," ",""),'HIDDEN Testrun Results'!$A:$B,2,FALSE),"&lt;will be filled in by testlab&gt;")</f>
        <v>&lt;will be filled in by testlab&gt;</v>
      </c>
    </row>
    <row r="25" spans="2:7" ht="15.75" thickBot="1" x14ac:dyDescent="0.3">
      <c r="B25" s="149" t="s">
        <v>508</v>
      </c>
      <c r="C25" s="150" t="str">
        <f>VLOOKUP("ConfigID",'HIDDEN calc sheet'!A:B,2,FALSE)</f>
        <v>DC7EA0E0</v>
      </c>
    </row>
    <row r="27" spans="2:7" ht="15.75" thickBot="1" x14ac:dyDescent="0.3"/>
    <row r="28" spans="2:7" ht="32.1" customHeight="1" thickBot="1" x14ac:dyDescent="0.3">
      <c r="B28" s="232" t="s">
        <v>848</v>
      </c>
      <c r="C28" s="233"/>
      <c r="D28" s="233"/>
      <c r="E28" s="233"/>
      <c r="F28" s="234"/>
    </row>
    <row r="29" spans="2:7" ht="15.95" customHeight="1" x14ac:dyDescent="0.25">
      <c r="B29" s="223"/>
      <c r="C29" s="224"/>
      <c r="D29" s="224"/>
      <c r="E29" s="224"/>
      <c r="F29" s="225"/>
    </row>
    <row r="30" spans="2:7" ht="15.95" customHeight="1" x14ac:dyDescent="0.25">
      <c r="B30" s="226"/>
      <c r="C30" s="227"/>
      <c r="D30" s="227"/>
      <c r="E30" s="227"/>
      <c r="F30" s="228"/>
    </row>
    <row r="31" spans="2:7" ht="15.95" customHeight="1" x14ac:dyDescent="0.25">
      <c r="B31" s="226"/>
      <c r="C31" s="227"/>
      <c r="D31" s="227"/>
      <c r="E31" s="227"/>
      <c r="F31" s="228"/>
    </row>
    <row r="32" spans="2:7" ht="15.95" customHeight="1" x14ac:dyDescent="0.25">
      <c r="B32" s="226"/>
      <c r="C32" s="227"/>
      <c r="D32" s="227"/>
      <c r="E32" s="227"/>
      <c r="F32" s="228"/>
    </row>
    <row r="33" spans="2:6" ht="15.95" customHeight="1" x14ac:dyDescent="0.25">
      <c r="B33" s="226"/>
      <c r="C33" s="227"/>
      <c r="D33" s="227"/>
      <c r="E33" s="227"/>
      <c r="F33" s="228"/>
    </row>
    <row r="34" spans="2:6" ht="15.95" customHeight="1" x14ac:dyDescent="0.25">
      <c r="B34" s="226"/>
      <c r="C34" s="227"/>
      <c r="D34" s="227"/>
      <c r="E34" s="227"/>
      <c r="F34" s="228"/>
    </row>
    <row r="35" spans="2:6" ht="15.95" customHeight="1" x14ac:dyDescent="0.25">
      <c r="B35" s="226"/>
      <c r="C35" s="227"/>
      <c r="D35" s="227"/>
      <c r="E35" s="227"/>
      <c r="F35" s="228"/>
    </row>
    <row r="36" spans="2:6" ht="15.95" customHeight="1" x14ac:dyDescent="0.25">
      <c r="B36" s="226"/>
      <c r="C36" s="227"/>
      <c r="D36" s="227"/>
      <c r="E36" s="227"/>
      <c r="F36" s="228"/>
    </row>
    <row r="37" spans="2:6" ht="15.95" customHeight="1" x14ac:dyDescent="0.25">
      <c r="B37" s="226"/>
      <c r="C37" s="227"/>
      <c r="D37" s="227"/>
      <c r="E37" s="227"/>
      <c r="F37" s="228"/>
    </row>
    <row r="38" spans="2:6" ht="15.95" customHeight="1" x14ac:dyDescent="0.25">
      <c r="B38" s="226"/>
      <c r="C38" s="227"/>
      <c r="D38" s="227"/>
      <c r="E38" s="227"/>
      <c r="F38" s="228"/>
    </row>
    <row r="39" spans="2:6" ht="15.95" customHeight="1" x14ac:dyDescent="0.25">
      <c r="B39" s="226"/>
      <c r="C39" s="227"/>
      <c r="D39" s="227"/>
      <c r="E39" s="227"/>
      <c r="F39" s="228"/>
    </row>
    <row r="40" spans="2:6" ht="15.95" customHeight="1" x14ac:dyDescent="0.25">
      <c r="B40" s="226"/>
      <c r="C40" s="227"/>
      <c r="D40" s="227"/>
      <c r="E40" s="227"/>
      <c r="F40" s="228"/>
    </row>
    <row r="41" spans="2:6" ht="15.95" customHeight="1" x14ac:dyDescent="0.25">
      <c r="B41" s="226"/>
      <c r="C41" s="227"/>
      <c r="D41" s="227"/>
      <c r="E41" s="227"/>
      <c r="F41" s="228"/>
    </row>
    <row r="42" spans="2:6" ht="15.95" customHeight="1" x14ac:dyDescent="0.25">
      <c r="B42" s="226"/>
      <c r="C42" s="227"/>
      <c r="D42" s="227"/>
      <c r="E42" s="227"/>
      <c r="F42" s="228"/>
    </row>
    <row r="43" spans="2:6" ht="15.95" customHeight="1" x14ac:dyDescent="0.25">
      <c r="B43" s="226"/>
      <c r="C43" s="227"/>
      <c r="D43" s="227"/>
      <c r="E43" s="227"/>
      <c r="F43" s="228"/>
    </row>
    <row r="44" spans="2:6" ht="15.95" customHeight="1" x14ac:dyDescent="0.25">
      <c r="B44" s="226"/>
      <c r="C44" s="227"/>
      <c r="D44" s="227"/>
      <c r="E44" s="227"/>
      <c r="F44" s="228"/>
    </row>
    <row r="45" spans="2:6" ht="15.95" customHeight="1" x14ac:dyDescent="0.25">
      <c r="B45" s="226"/>
      <c r="C45" s="227"/>
      <c r="D45" s="227"/>
      <c r="E45" s="227"/>
      <c r="F45" s="228"/>
    </row>
    <row r="46" spans="2:6" ht="15.95" customHeight="1" x14ac:dyDescent="0.25">
      <c r="B46" s="226"/>
      <c r="C46" s="227"/>
      <c r="D46" s="227"/>
      <c r="E46" s="227"/>
      <c r="F46" s="228"/>
    </row>
    <row r="47" spans="2:6" ht="15.95" customHeight="1" x14ac:dyDescent="0.25">
      <c r="B47" s="226"/>
      <c r="C47" s="227"/>
      <c r="D47" s="227"/>
      <c r="E47" s="227"/>
      <c r="F47" s="228"/>
    </row>
    <row r="48" spans="2:6" ht="15.95" customHeight="1" x14ac:dyDescent="0.25">
      <c r="B48" s="226"/>
      <c r="C48" s="227"/>
      <c r="D48" s="227"/>
      <c r="E48" s="227"/>
      <c r="F48" s="228"/>
    </row>
    <row r="49" spans="2:6" ht="15.95" customHeight="1" x14ac:dyDescent="0.25">
      <c r="B49" s="226"/>
      <c r="C49" s="227"/>
      <c r="D49" s="227"/>
      <c r="E49" s="227"/>
      <c r="F49" s="228"/>
    </row>
    <row r="50" spans="2:6" ht="15.95" customHeight="1" x14ac:dyDescent="0.25">
      <c r="B50" s="226"/>
      <c r="C50" s="227"/>
      <c r="D50" s="227"/>
      <c r="E50" s="227"/>
      <c r="F50" s="228"/>
    </row>
    <row r="51" spans="2:6" ht="15.95" customHeight="1" x14ac:dyDescent="0.25">
      <c r="B51" s="226"/>
      <c r="C51" s="227"/>
      <c r="D51" s="227"/>
      <c r="E51" s="227"/>
      <c r="F51" s="228"/>
    </row>
    <row r="52" spans="2:6" ht="15.95" customHeight="1" x14ac:dyDescent="0.25">
      <c r="B52" s="226"/>
      <c r="C52" s="227"/>
      <c r="D52" s="227"/>
      <c r="E52" s="227"/>
      <c r="F52" s="228"/>
    </row>
    <row r="53" spans="2:6" ht="15.95" customHeight="1" x14ac:dyDescent="0.25">
      <c r="B53" s="226"/>
      <c r="C53" s="227"/>
      <c r="D53" s="227"/>
      <c r="E53" s="227"/>
      <c r="F53" s="228"/>
    </row>
    <row r="54" spans="2:6" ht="15.95" customHeight="1" x14ac:dyDescent="0.25">
      <c r="B54" s="226"/>
      <c r="C54" s="227"/>
      <c r="D54" s="227"/>
      <c r="E54" s="227"/>
      <c r="F54" s="228"/>
    </row>
    <row r="55" spans="2:6" ht="15.95" customHeight="1" x14ac:dyDescent="0.25">
      <c r="B55" s="226"/>
      <c r="C55" s="227"/>
      <c r="D55" s="227"/>
      <c r="E55" s="227"/>
      <c r="F55" s="228"/>
    </row>
    <row r="56" spans="2:6" ht="15.95" customHeight="1" x14ac:dyDescent="0.25">
      <c r="B56" s="226"/>
      <c r="C56" s="227"/>
      <c r="D56" s="227"/>
      <c r="E56" s="227"/>
      <c r="F56" s="228"/>
    </row>
    <row r="57" spans="2:6" ht="15.95" customHeight="1" x14ac:dyDescent="0.25">
      <c r="B57" s="226"/>
      <c r="C57" s="227"/>
      <c r="D57" s="227"/>
      <c r="E57" s="227"/>
      <c r="F57" s="228"/>
    </row>
    <row r="58" spans="2:6" ht="15.95" customHeight="1" x14ac:dyDescent="0.25">
      <c r="B58" s="226"/>
      <c r="C58" s="227"/>
      <c r="D58" s="227"/>
      <c r="E58" s="227"/>
      <c r="F58" s="228"/>
    </row>
    <row r="59" spans="2:6" ht="15.95" customHeight="1" x14ac:dyDescent="0.25">
      <c r="B59" s="226"/>
      <c r="C59" s="227"/>
      <c r="D59" s="227"/>
      <c r="E59" s="227"/>
      <c r="F59" s="228"/>
    </row>
    <row r="60" spans="2:6" ht="15.95" customHeight="1" x14ac:dyDescent="0.25">
      <c r="B60" s="226"/>
      <c r="C60" s="227"/>
      <c r="D60" s="227"/>
      <c r="E60" s="227"/>
      <c r="F60" s="228"/>
    </row>
    <row r="61" spans="2:6" ht="15.95" customHeight="1" x14ac:dyDescent="0.25">
      <c r="B61" s="226"/>
      <c r="C61" s="227"/>
      <c r="D61" s="227"/>
      <c r="E61" s="227"/>
      <c r="F61" s="228"/>
    </row>
    <row r="62" spans="2:6" ht="15.95" customHeight="1" x14ac:dyDescent="0.25">
      <c r="B62" s="226"/>
      <c r="C62" s="227"/>
      <c r="D62" s="227"/>
      <c r="E62" s="227"/>
      <c r="F62" s="228"/>
    </row>
    <row r="63" spans="2:6" ht="15.95" customHeight="1" x14ac:dyDescent="0.25">
      <c r="B63" s="226"/>
      <c r="C63" s="227"/>
      <c r="D63" s="227"/>
      <c r="E63" s="227"/>
      <c r="F63" s="228"/>
    </row>
    <row r="64" spans="2:6" ht="15.95" customHeight="1" x14ac:dyDescent="0.25">
      <c r="B64" s="226"/>
      <c r="C64" s="227"/>
      <c r="D64" s="227"/>
      <c r="E64" s="227"/>
      <c r="F64" s="228"/>
    </row>
    <row r="65" spans="2:6" ht="15.95" customHeight="1" x14ac:dyDescent="0.25">
      <c r="B65" s="226"/>
      <c r="C65" s="227"/>
      <c r="D65" s="227"/>
      <c r="E65" s="227"/>
      <c r="F65" s="228"/>
    </row>
    <row r="66" spans="2:6" ht="15.95" customHeight="1" x14ac:dyDescent="0.25">
      <c r="B66" s="226"/>
      <c r="C66" s="227"/>
      <c r="D66" s="227"/>
      <c r="E66" s="227"/>
      <c r="F66" s="228"/>
    </row>
    <row r="67" spans="2:6" ht="15.95" customHeight="1" x14ac:dyDescent="0.25">
      <c r="B67" s="226"/>
      <c r="C67" s="227"/>
      <c r="D67" s="227"/>
      <c r="E67" s="227"/>
      <c r="F67" s="228"/>
    </row>
    <row r="68" spans="2:6" ht="15.95" customHeight="1" x14ac:dyDescent="0.25">
      <c r="B68" s="226"/>
      <c r="C68" s="227"/>
      <c r="D68" s="227"/>
      <c r="E68" s="227"/>
      <c r="F68" s="228"/>
    </row>
    <row r="69" spans="2:6" ht="15.95" customHeight="1" x14ac:dyDescent="0.25">
      <c r="B69" s="226"/>
      <c r="C69" s="227"/>
      <c r="D69" s="227"/>
      <c r="E69" s="227"/>
      <c r="F69" s="228"/>
    </row>
    <row r="70" spans="2:6" ht="15.95" customHeight="1" x14ac:dyDescent="0.25">
      <c r="B70" s="226"/>
      <c r="C70" s="227"/>
      <c r="D70" s="227"/>
      <c r="E70" s="227"/>
      <c r="F70" s="228"/>
    </row>
    <row r="71" spans="2:6" ht="15.95" customHeight="1" thickBot="1" x14ac:dyDescent="0.3">
      <c r="B71" s="229"/>
      <c r="C71" s="230"/>
      <c r="D71" s="230"/>
      <c r="E71" s="230"/>
      <c r="F71" s="231"/>
    </row>
  </sheetData>
  <sheetProtection algorithmName="SHA-512" hashValue="uj6o/Z4RRaaOcRVZ+RJTkwzQEK7ARYOLLYnGiWxYuwXMERx+SJIfk6QLDXpIfcya5uPo9ZucucYVREqyh2XZKw==" saltValue="5IPnahU8DAuiz5FhUl4tRQ==" spinCount="100000" sheet="1" formatCells="0" formatColumns="0" formatRows="0"/>
  <mergeCells count="9">
    <mergeCell ref="C1:F1"/>
    <mergeCell ref="B4:C4"/>
    <mergeCell ref="E6:F9"/>
    <mergeCell ref="B12:C12"/>
    <mergeCell ref="B29:F71"/>
    <mergeCell ref="B28:F28"/>
    <mergeCell ref="B22:C22"/>
    <mergeCell ref="E14:F20"/>
    <mergeCell ref="C2:F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9F3CB-3253-448D-AAC3-8326F8CB0FD0}">
  <dimension ref="A1:E39"/>
  <sheetViews>
    <sheetView workbookViewId="0">
      <selection activeCell="C27" sqref="C27"/>
    </sheetView>
  </sheetViews>
  <sheetFormatPr defaultColWidth="8.625" defaultRowHeight="15.75" x14ac:dyDescent="0.25"/>
  <cols>
    <col min="1" max="1" width="7" bestFit="1" customWidth="1"/>
    <col min="2" max="2" width="73.625" bestFit="1" customWidth="1"/>
    <col min="3" max="3" width="87.125" bestFit="1" customWidth="1"/>
    <col min="4" max="4" width="47.125" bestFit="1" customWidth="1"/>
  </cols>
  <sheetData>
    <row r="1" spans="1:5" x14ac:dyDescent="0.25">
      <c r="A1" t="s">
        <v>357</v>
      </c>
      <c r="B1" t="s">
        <v>10</v>
      </c>
      <c r="C1" t="s">
        <v>547</v>
      </c>
      <c r="D1" t="s">
        <v>69</v>
      </c>
      <c r="E1" t="s">
        <v>358</v>
      </c>
    </row>
    <row r="2" spans="1:5" x14ac:dyDescent="0.25">
      <c r="A2" t="s">
        <v>27</v>
      </c>
      <c r="B2" t="s">
        <v>13</v>
      </c>
      <c r="C2" t="s">
        <v>359</v>
      </c>
      <c r="D2" t="s">
        <v>360</v>
      </c>
      <c r="E2" t="str">
        <f>VLOOKUP(A2,'Optional features'!B:B,1,FALSE)</f>
        <v>C-11</v>
      </c>
    </row>
    <row r="3" spans="1:5" x14ac:dyDescent="0.25">
      <c r="A3" t="s">
        <v>28</v>
      </c>
      <c r="B3" t="s">
        <v>13</v>
      </c>
      <c r="C3" t="s">
        <v>361</v>
      </c>
      <c r="D3" t="s">
        <v>360</v>
      </c>
      <c r="E3" t="str">
        <f>VLOOKUP(A3,'Optional features'!B:B,1,FALSE)</f>
        <v>C-13</v>
      </c>
    </row>
    <row r="4" spans="1:5" x14ac:dyDescent="0.25">
      <c r="A4" t="s">
        <v>29</v>
      </c>
      <c r="B4" t="s">
        <v>13</v>
      </c>
      <c r="C4" t="s">
        <v>362</v>
      </c>
      <c r="D4" t="s">
        <v>360</v>
      </c>
      <c r="E4" t="str">
        <f>VLOOKUP(A4,'Optional features'!B:B,1,FALSE)</f>
        <v>C-14</v>
      </c>
    </row>
    <row r="5" spans="1:5" x14ac:dyDescent="0.25">
      <c r="A5" t="s">
        <v>30</v>
      </c>
      <c r="B5" t="s">
        <v>13</v>
      </c>
      <c r="C5" t="s">
        <v>363</v>
      </c>
      <c r="D5" t="s">
        <v>360</v>
      </c>
      <c r="E5" t="str">
        <f>VLOOKUP(A5,'Optional features'!B:B,1,FALSE)</f>
        <v>C-15</v>
      </c>
    </row>
    <row r="6" spans="1:5" x14ac:dyDescent="0.25">
      <c r="A6" t="s">
        <v>31</v>
      </c>
      <c r="B6" t="s">
        <v>13</v>
      </c>
      <c r="C6" t="s">
        <v>364</v>
      </c>
      <c r="D6" t="s">
        <v>360</v>
      </c>
      <c r="E6" t="str">
        <f>VLOOKUP(A6,'Optional features'!B:B,1,FALSE)</f>
        <v>C-16</v>
      </c>
    </row>
    <row r="7" spans="1:5" x14ac:dyDescent="0.25">
      <c r="A7" t="s">
        <v>32</v>
      </c>
      <c r="B7" t="s">
        <v>13</v>
      </c>
      <c r="C7" t="s">
        <v>365</v>
      </c>
      <c r="D7" t="s">
        <v>360</v>
      </c>
      <c r="E7" t="str">
        <f>VLOOKUP(A7,'Optional features'!B:B,1,FALSE)</f>
        <v>C-17</v>
      </c>
    </row>
    <row r="8" spans="1:5" x14ac:dyDescent="0.25">
      <c r="A8" t="s">
        <v>33</v>
      </c>
      <c r="B8" t="s">
        <v>13</v>
      </c>
      <c r="C8" t="s">
        <v>205</v>
      </c>
      <c r="D8" t="s">
        <v>532</v>
      </c>
      <c r="E8" t="str">
        <f>VLOOKUP(A8,'Optional features'!B:B,1,FALSE)</f>
        <v>C-29</v>
      </c>
    </row>
    <row r="9" spans="1:5" x14ac:dyDescent="0.25">
      <c r="A9" t="s">
        <v>34</v>
      </c>
      <c r="B9" t="s">
        <v>13</v>
      </c>
      <c r="C9" t="s">
        <v>366</v>
      </c>
      <c r="D9" t="s">
        <v>360</v>
      </c>
      <c r="E9" t="str">
        <f>VLOOKUP(A9,'Optional features'!B:B,1,FALSE)</f>
        <v>C-29.1</v>
      </c>
    </row>
    <row r="10" spans="1:5" x14ac:dyDescent="0.25">
      <c r="A10" t="s">
        <v>35</v>
      </c>
      <c r="B10" t="s">
        <v>13</v>
      </c>
      <c r="C10" t="s">
        <v>367</v>
      </c>
      <c r="D10" t="s">
        <v>360</v>
      </c>
      <c r="E10" t="str">
        <f>VLOOKUP(A10,'Optional features'!B:B,1,FALSE)</f>
        <v>C-29.2</v>
      </c>
    </row>
    <row r="11" spans="1:5" x14ac:dyDescent="0.25">
      <c r="A11" t="s">
        <v>36</v>
      </c>
      <c r="B11" t="s">
        <v>13</v>
      </c>
      <c r="C11" t="s">
        <v>368</v>
      </c>
      <c r="D11" t="s">
        <v>360</v>
      </c>
      <c r="E11" t="str">
        <f>VLOOKUP(A11,'Optional features'!B:B,1,FALSE)</f>
        <v>C-29.3</v>
      </c>
    </row>
    <row r="12" spans="1:5" x14ac:dyDescent="0.25">
      <c r="A12" t="s">
        <v>37</v>
      </c>
      <c r="B12" t="s">
        <v>13</v>
      </c>
      <c r="C12" t="s">
        <v>369</v>
      </c>
      <c r="D12" t="s">
        <v>360</v>
      </c>
      <c r="E12" t="str">
        <f>VLOOKUP(A12,'Optional features'!B:B,1,FALSE)</f>
        <v>C-29.4</v>
      </c>
    </row>
    <row r="13" spans="1:5" x14ac:dyDescent="0.25">
      <c r="A13" t="s">
        <v>38</v>
      </c>
      <c r="B13" t="s">
        <v>13</v>
      </c>
      <c r="C13" t="s">
        <v>370</v>
      </c>
      <c r="D13" t="s">
        <v>360</v>
      </c>
      <c r="E13" t="str">
        <f>VLOOKUP(A13,'Optional features'!B:B,1,FALSE)</f>
        <v>C-29.5</v>
      </c>
    </row>
    <row r="14" spans="1:5" x14ac:dyDescent="0.25">
      <c r="A14" t="s">
        <v>39</v>
      </c>
      <c r="B14" t="s">
        <v>161</v>
      </c>
      <c r="C14" t="s">
        <v>371</v>
      </c>
      <c r="D14" t="s">
        <v>393</v>
      </c>
      <c r="E14" t="str">
        <f>VLOOKUP(A14,'Optional features'!B:B,1,FALSE)</f>
        <v>C-30</v>
      </c>
    </row>
    <row r="15" spans="1:5" x14ac:dyDescent="0.25">
      <c r="A15" t="s">
        <v>41</v>
      </c>
      <c r="B15" t="s">
        <v>161</v>
      </c>
      <c r="C15" t="s">
        <v>372</v>
      </c>
      <c r="D15" t="s">
        <v>393</v>
      </c>
      <c r="E15" t="str">
        <f>VLOOKUP(A15,'Optional features'!B:B,1,FALSE)</f>
        <v>C-31</v>
      </c>
    </row>
    <row r="16" spans="1:5" x14ac:dyDescent="0.25">
      <c r="A16" t="s">
        <v>42</v>
      </c>
      <c r="B16" t="s">
        <v>161</v>
      </c>
      <c r="C16" t="s">
        <v>373</v>
      </c>
      <c r="D16" t="s">
        <v>360</v>
      </c>
      <c r="E16" t="str">
        <f>VLOOKUP(A16,'Optional features'!B:B,1,FALSE)</f>
        <v>C-32</v>
      </c>
    </row>
    <row r="17" spans="1:5" x14ac:dyDescent="0.25">
      <c r="A17" t="s">
        <v>43</v>
      </c>
      <c r="B17" t="s">
        <v>161</v>
      </c>
      <c r="C17" t="s">
        <v>374</v>
      </c>
      <c r="D17" t="s">
        <v>360</v>
      </c>
      <c r="E17" t="str">
        <f>VLOOKUP(A17,'Optional features'!B:B,1,FALSE)</f>
        <v>C-33</v>
      </c>
    </row>
    <row r="18" spans="1:5" x14ac:dyDescent="0.25">
      <c r="A18" t="s">
        <v>44</v>
      </c>
      <c r="B18" t="s">
        <v>161</v>
      </c>
      <c r="C18" t="s">
        <v>375</v>
      </c>
      <c r="D18" t="s">
        <v>360</v>
      </c>
      <c r="E18" t="str">
        <f>VLOOKUP(A18,'Optional features'!B:B,1,FALSE)</f>
        <v>C-34</v>
      </c>
    </row>
    <row r="19" spans="1:5" x14ac:dyDescent="0.25">
      <c r="A19" t="s">
        <v>45</v>
      </c>
      <c r="B19" t="s">
        <v>161</v>
      </c>
      <c r="C19" t="s">
        <v>376</v>
      </c>
      <c r="D19" t="s">
        <v>393</v>
      </c>
      <c r="E19" t="str">
        <f>VLOOKUP(A19,'Optional features'!B:B,1,FALSE)</f>
        <v>C-35</v>
      </c>
    </row>
    <row r="20" spans="1:5" x14ac:dyDescent="0.25">
      <c r="A20" t="s">
        <v>47</v>
      </c>
      <c r="B20" t="s">
        <v>377</v>
      </c>
      <c r="C20" t="s">
        <v>371</v>
      </c>
      <c r="D20" t="s">
        <v>393</v>
      </c>
      <c r="E20" t="str">
        <f>VLOOKUP(A20,'Optional features'!B:B,1,FALSE)</f>
        <v>C-36</v>
      </c>
    </row>
    <row r="21" spans="1:5" x14ac:dyDescent="0.25">
      <c r="A21" t="s">
        <v>48</v>
      </c>
      <c r="B21" t="s">
        <v>377</v>
      </c>
      <c r="C21" t="s">
        <v>372</v>
      </c>
      <c r="D21" t="s">
        <v>393</v>
      </c>
      <c r="E21" t="str">
        <f>VLOOKUP(A21,'Optional features'!B:B,1,FALSE)</f>
        <v>C-37</v>
      </c>
    </row>
    <row r="22" spans="1:5" x14ac:dyDescent="0.25">
      <c r="A22" t="s">
        <v>49</v>
      </c>
      <c r="B22" t="s">
        <v>377</v>
      </c>
      <c r="C22" t="s">
        <v>378</v>
      </c>
      <c r="D22" t="s">
        <v>360</v>
      </c>
      <c r="E22" t="str">
        <f>VLOOKUP(A22,'Optional features'!B:B,1,FALSE)</f>
        <v>C-38</v>
      </c>
    </row>
    <row r="23" spans="1:5" x14ac:dyDescent="0.25">
      <c r="A23" t="s">
        <v>50</v>
      </c>
      <c r="B23" t="s">
        <v>377</v>
      </c>
      <c r="C23" t="s">
        <v>376</v>
      </c>
      <c r="D23" t="s">
        <v>360</v>
      </c>
      <c r="E23" t="str">
        <f>VLOOKUP(A23,'Optional features'!B:B,1,FALSE)</f>
        <v>C-39</v>
      </c>
    </row>
    <row r="24" spans="1:5" x14ac:dyDescent="0.25">
      <c r="A24" t="s">
        <v>51</v>
      </c>
      <c r="B24" t="s">
        <v>377</v>
      </c>
      <c r="C24" t="s">
        <v>379</v>
      </c>
      <c r="D24" t="s">
        <v>360</v>
      </c>
      <c r="E24" t="str">
        <f>VLOOKUP(A24,'Optional features'!B:B,1,FALSE)</f>
        <v>C-44</v>
      </c>
    </row>
    <row r="25" spans="1:5" x14ac:dyDescent="0.25">
      <c r="A25" t="s">
        <v>52</v>
      </c>
      <c r="B25" t="s">
        <v>377</v>
      </c>
      <c r="C25" t="s">
        <v>380</v>
      </c>
      <c r="D25" t="s">
        <v>360</v>
      </c>
      <c r="E25" t="str">
        <f>VLOOKUP(A25,'Optional features'!B:B,1,FALSE)</f>
        <v>C-45</v>
      </c>
    </row>
    <row r="26" spans="1:5" x14ac:dyDescent="0.25">
      <c r="A26" t="s">
        <v>53</v>
      </c>
      <c r="B26" t="s">
        <v>377</v>
      </c>
      <c r="C26" t="s">
        <v>381</v>
      </c>
      <c r="D26" t="s">
        <v>360</v>
      </c>
      <c r="E26" t="str">
        <f>VLOOKUP(A26,'Optional features'!B:B,1,FALSE)</f>
        <v>C-46</v>
      </c>
    </row>
    <row r="27" spans="1:5" x14ac:dyDescent="0.25">
      <c r="A27" t="s">
        <v>54</v>
      </c>
      <c r="B27" t="s">
        <v>377</v>
      </c>
      <c r="C27" t="s">
        <v>382</v>
      </c>
      <c r="D27" t="s">
        <v>415</v>
      </c>
      <c r="E27" t="str">
        <f>VLOOKUP(A27,'Optional features'!B:B,1,FALSE)</f>
        <v>C-50</v>
      </c>
    </row>
    <row r="28" spans="1:5" x14ac:dyDescent="0.25">
      <c r="A28" t="s">
        <v>55</v>
      </c>
      <c r="B28" t="s">
        <v>377</v>
      </c>
      <c r="C28" t="s">
        <v>383</v>
      </c>
      <c r="D28" t="s">
        <v>360</v>
      </c>
      <c r="E28" t="str">
        <f>VLOOKUP(A28,'Optional features'!B:B,1,FALSE)</f>
        <v>C-50.1</v>
      </c>
    </row>
    <row r="29" spans="1:5" x14ac:dyDescent="0.25">
      <c r="A29" t="s">
        <v>56</v>
      </c>
      <c r="B29" t="s">
        <v>377</v>
      </c>
      <c r="C29" t="s">
        <v>115</v>
      </c>
      <c r="D29" t="s">
        <v>360</v>
      </c>
      <c r="E29" t="str">
        <f>VLOOKUP(A29,'Optional features'!B:B,1,FALSE)</f>
        <v>C-50.2</v>
      </c>
    </row>
    <row r="30" spans="1:5" x14ac:dyDescent="0.25">
      <c r="A30" t="s">
        <v>541</v>
      </c>
      <c r="B30" t="s">
        <v>377</v>
      </c>
      <c r="C30" t="s">
        <v>542</v>
      </c>
      <c r="D30" t="s">
        <v>360</v>
      </c>
      <c r="E30" t="str">
        <f>VLOOKUP(A30,'Optional features'!B:B,1,FALSE)</f>
        <v>C-61</v>
      </c>
    </row>
    <row r="31" spans="1:5" x14ac:dyDescent="0.25">
      <c r="A31" t="s">
        <v>793</v>
      </c>
      <c r="B31" t="s">
        <v>22</v>
      </c>
      <c r="C31" t="s">
        <v>800</v>
      </c>
      <c r="D31" t="s">
        <v>360</v>
      </c>
      <c r="E31" t="str">
        <f>VLOOKUP(A31,'Optional features'!B:B,1,FALSE)</f>
        <v>R-0</v>
      </c>
    </row>
    <row r="32" spans="1:5" x14ac:dyDescent="0.25">
      <c r="A32" t="s">
        <v>59</v>
      </c>
      <c r="B32" t="s">
        <v>22</v>
      </c>
      <c r="C32" t="s">
        <v>384</v>
      </c>
      <c r="D32" t="s">
        <v>360</v>
      </c>
      <c r="E32" t="str">
        <f>VLOOKUP(A32,'Optional features'!B:B,1,FALSE)</f>
        <v>R-1</v>
      </c>
    </row>
    <row r="33" spans="1:5" x14ac:dyDescent="0.25">
      <c r="A33" t="s">
        <v>60</v>
      </c>
      <c r="B33" t="s">
        <v>22</v>
      </c>
      <c r="C33" t="s">
        <v>385</v>
      </c>
      <c r="D33" t="s">
        <v>360</v>
      </c>
      <c r="E33" t="str">
        <f>VLOOKUP(A33,'Optional features'!B:B,1,FALSE)</f>
        <v>R-2</v>
      </c>
    </row>
    <row r="34" spans="1:5" x14ac:dyDescent="0.25">
      <c r="A34" t="s">
        <v>796</v>
      </c>
      <c r="B34" t="s">
        <v>17</v>
      </c>
      <c r="C34" t="s">
        <v>797</v>
      </c>
      <c r="D34" t="s">
        <v>360</v>
      </c>
      <c r="E34" t="str">
        <f>VLOOKUP(A34,'Optional features'!B:B,1,FALSE)</f>
        <v>LA-0</v>
      </c>
    </row>
    <row r="35" spans="1:5" x14ac:dyDescent="0.25">
      <c r="A35" t="s">
        <v>62</v>
      </c>
      <c r="B35" t="s">
        <v>17</v>
      </c>
      <c r="C35" t="s">
        <v>388</v>
      </c>
      <c r="D35" t="s">
        <v>360</v>
      </c>
      <c r="E35" t="str">
        <f>VLOOKUP(A35,'Optional features'!B:B,1,FALSE)</f>
        <v>LA-2</v>
      </c>
    </row>
    <row r="36" spans="1:5" x14ac:dyDescent="0.25">
      <c r="A36" t="s">
        <v>794</v>
      </c>
      <c r="B36" t="s">
        <v>21</v>
      </c>
      <c r="C36" t="s">
        <v>795</v>
      </c>
      <c r="D36" t="s">
        <v>360</v>
      </c>
      <c r="E36" t="str">
        <f>VLOOKUP(A36,'Optional features'!B:B,1,FALSE)</f>
        <v>DM-0</v>
      </c>
    </row>
    <row r="37" spans="1:5" x14ac:dyDescent="0.25">
      <c r="A37" t="s">
        <v>798</v>
      </c>
      <c r="B37" t="s">
        <v>23</v>
      </c>
      <c r="C37" t="s">
        <v>799</v>
      </c>
      <c r="D37" t="s">
        <v>360</v>
      </c>
      <c r="E37" t="str">
        <f>VLOOKUP(A37,'Optional features'!B:B,1,FALSE)</f>
        <v>UI-0</v>
      </c>
    </row>
    <row r="38" spans="1:5" x14ac:dyDescent="0.25">
      <c r="A38" t="s">
        <v>57</v>
      </c>
      <c r="B38" t="s">
        <v>19</v>
      </c>
      <c r="C38" t="s">
        <v>258</v>
      </c>
      <c r="D38" t="s">
        <v>360</v>
      </c>
      <c r="E38" t="str">
        <f>VLOOKUP(A38,'Optional features'!B:B,1,FALSE)</f>
        <v>SC-4</v>
      </c>
    </row>
    <row r="39" spans="1:5" x14ac:dyDescent="0.25">
      <c r="A39" t="s">
        <v>61</v>
      </c>
      <c r="B39" t="s">
        <v>386</v>
      </c>
      <c r="C39" t="s">
        <v>387</v>
      </c>
      <c r="D39" t="s">
        <v>360</v>
      </c>
      <c r="E39" t="str">
        <f>VLOOKUP(A39,'Optional features'!B:B,1,FALSE)</f>
        <v>ISO-4</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251"/>
  <sheetViews>
    <sheetView zoomScale="85" zoomScaleNormal="85" workbookViewId="0"/>
  </sheetViews>
  <sheetFormatPr defaultColWidth="8.625" defaultRowHeight="15.75" x14ac:dyDescent="0.25"/>
  <cols>
    <col min="1" max="1" width="28.5" customWidth="1"/>
    <col min="2" max="2" width="14.5" bestFit="1" customWidth="1"/>
    <col min="3" max="3" width="26.625" bestFit="1" customWidth="1"/>
    <col min="4" max="4" width="84.625" customWidth="1"/>
    <col min="5" max="5" width="44.5" customWidth="1"/>
    <col min="6" max="6" width="147.5" bestFit="1" customWidth="1"/>
    <col min="7" max="7" width="41.625" customWidth="1"/>
  </cols>
  <sheetData>
    <row r="1" spans="1:7" x14ac:dyDescent="0.25">
      <c r="A1" s="1" t="s">
        <v>89</v>
      </c>
      <c r="B1" t="s">
        <v>67</v>
      </c>
      <c r="C1" t="s">
        <v>10</v>
      </c>
      <c r="D1" t="s">
        <v>68</v>
      </c>
      <c r="E1" t="s">
        <v>69</v>
      </c>
      <c r="F1" t="s">
        <v>70</v>
      </c>
      <c r="G1" t="s">
        <v>71</v>
      </c>
    </row>
    <row r="2" spans="1:7" x14ac:dyDescent="0.25">
      <c r="A2" t="str">
        <f>B2&amp;" "&amp;C2</f>
        <v>TC_A_01_CSMS Core</v>
      </c>
      <c r="B2" t="s">
        <v>90</v>
      </c>
      <c r="C2" t="s">
        <v>13</v>
      </c>
      <c r="D2" t="s">
        <v>548</v>
      </c>
      <c r="E2" t="s">
        <v>91</v>
      </c>
    </row>
    <row r="3" spans="1:7" x14ac:dyDescent="0.25">
      <c r="A3" t="str">
        <f t="shared" ref="A3:A66" si="0">B3&amp;" "&amp;C3</f>
        <v>TC_A_02_CSMS Core</v>
      </c>
      <c r="B3" t="s">
        <v>92</v>
      </c>
      <c r="C3" t="s">
        <v>13</v>
      </c>
      <c r="D3" t="s">
        <v>549</v>
      </c>
      <c r="E3" t="s">
        <v>91</v>
      </c>
    </row>
    <row r="4" spans="1:7" x14ac:dyDescent="0.25">
      <c r="A4" t="str">
        <f t="shared" si="0"/>
        <v>TC_A_03_CSMS Core</v>
      </c>
      <c r="B4" t="s">
        <v>93</v>
      </c>
      <c r="C4" t="s">
        <v>13</v>
      </c>
      <c r="D4" t="s">
        <v>550</v>
      </c>
      <c r="E4" t="s">
        <v>91</v>
      </c>
    </row>
    <row r="5" spans="1:7" x14ac:dyDescent="0.25">
      <c r="A5" t="str">
        <f t="shared" si="0"/>
        <v>TC_A_09_CSMS Core</v>
      </c>
      <c r="B5" t="s">
        <v>98</v>
      </c>
      <c r="C5" t="s">
        <v>13</v>
      </c>
      <c r="D5" t="s">
        <v>551</v>
      </c>
      <c r="E5" t="s">
        <v>91</v>
      </c>
    </row>
    <row r="6" spans="1:7" x14ac:dyDescent="0.25">
      <c r="A6" t="str">
        <f t="shared" si="0"/>
        <v>TC_A_10_CSMS Core</v>
      </c>
      <c r="B6" t="s">
        <v>99</v>
      </c>
      <c r="C6" t="s">
        <v>13</v>
      </c>
      <c r="D6" t="s">
        <v>552</v>
      </c>
      <c r="E6" t="s">
        <v>91</v>
      </c>
    </row>
    <row r="7" spans="1:7" x14ac:dyDescent="0.25">
      <c r="A7" t="str">
        <f t="shared" si="0"/>
        <v>TC_A_04_CSMS Core</v>
      </c>
      <c r="B7" t="s">
        <v>94</v>
      </c>
      <c r="C7" t="s">
        <v>13</v>
      </c>
      <c r="D7" t="s">
        <v>553</v>
      </c>
      <c r="E7" t="s">
        <v>91</v>
      </c>
    </row>
    <row r="8" spans="1:7" x14ac:dyDescent="0.25">
      <c r="A8" t="str">
        <f t="shared" si="0"/>
        <v>TC_A_06_CSMS Core</v>
      </c>
      <c r="B8" t="s">
        <v>95</v>
      </c>
      <c r="C8" t="s">
        <v>13</v>
      </c>
      <c r="D8" t="s">
        <v>554</v>
      </c>
      <c r="E8" t="s">
        <v>91</v>
      </c>
    </row>
    <row r="9" spans="1:7" x14ac:dyDescent="0.25">
      <c r="A9" t="str">
        <f t="shared" si="0"/>
        <v>TC_A_19_CSMS Core</v>
      </c>
      <c r="B9" t="s">
        <v>104</v>
      </c>
      <c r="C9" t="s">
        <v>13</v>
      </c>
      <c r="D9" t="s">
        <v>555</v>
      </c>
      <c r="E9" t="s">
        <v>102</v>
      </c>
      <c r="F9" t="s">
        <v>840</v>
      </c>
    </row>
    <row r="10" spans="1:7" x14ac:dyDescent="0.25">
      <c r="A10" t="str">
        <f t="shared" si="0"/>
        <v>TC_B_01_CSMS Core</v>
      </c>
      <c r="B10" t="s">
        <v>105</v>
      </c>
      <c r="C10" t="s">
        <v>13</v>
      </c>
      <c r="D10" t="s">
        <v>556</v>
      </c>
      <c r="E10" t="s">
        <v>91</v>
      </c>
    </row>
    <row r="11" spans="1:7" x14ac:dyDescent="0.25">
      <c r="A11" t="str">
        <f t="shared" si="0"/>
        <v>TC_B_02_CSMS Core</v>
      </c>
      <c r="B11" t="s">
        <v>106</v>
      </c>
      <c r="C11" t="s">
        <v>13</v>
      </c>
      <c r="D11" t="s">
        <v>557</v>
      </c>
      <c r="E11" t="s">
        <v>102</v>
      </c>
      <c r="F11" t="s">
        <v>51</v>
      </c>
      <c r="G11" t="s">
        <v>107</v>
      </c>
    </row>
    <row r="12" spans="1:7" x14ac:dyDescent="0.25">
      <c r="A12" t="str">
        <f t="shared" si="0"/>
        <v>TC_B_30_CSMS Core</v>
      </c>
      <c r="B12" t="s">
        <v>124</v>
      </c>
      <c r="C12" t="s">
        <v>13</v>
      </c>
      <c r="D12" t="s">
        <v>558</v>
      </c>
      <c r="E12" t="s">
        <v>102</v>
      </c>
      <c r="F12" t="s">
        <v>519</v>
      </c>
      <c r="G12" t="s">
        <v>801</v>
      </c>
    </row>
    <row r="13" spans="1:7" x14ac:dyDescent="0.25">
      <c r="A13" t="str">
        <f t="shared" si="0"/>
        <v>TC_B_31_CSMS Core</v>
      </c>
      <c r="B13" t="s">
        <v>125</v>
      </c>
      <c r="C13" t="s">
        <v>13</v>
      </c>
      <c r="D13" t="s">
        <v>559</v>
      </c>
      <c r="E13" t="s">
        <v>102</v>
      </c>
      <c r="F13" t="s">
        <v>519</v>
      </c>
      <c r="G13" t="s">
        <v>801</v>
      </c>
    </row>
    <row r="14" spans="1:7" x14ac:dyDescent="0.25">
      <c r="A14" t="str">
        <f t="shared" si="0"/>
        <v>TC_B_06_CSMS Core</v>
      </c>
      <c r="B14" t="s">
        <v>108</v>
      </c>
      <c r="C14" t="s">
        <v>13</v>
      </c>
      <c r="D14" t="s">
        <v>560</v>
      </c>
      <c r="E14" t="s">
        <v>91</v>
      </c>
    </row>
    <row r="15" spans="1:7" x14ac:dyDescent="0.25">
      <c r="A15" t="str">
        <f t="shared" si="0"/>
        <v>TC_B_07_CSMS Core</v>
      </c>
      <c r="B15" t="s">
        <v>109</v>
      </c>
      <c r="C15" t="s">
        <v>13</v>
      </c>
      <c r="D15" t="s">
        <v>561</v>
      </c>
      <c r="E15" t="s">
        <v>102</v>
      </c>
      <c r="F15" t="s">
        <v>52</v>
      </c>
      <c r="G15" t="s">
        <v>394</v>
      </c>
    </row>
    <row r="16" spans="1:7" x14ac:dyDescent="0.25">
      <c r="A16" t="str">
        <f t="shared" si="0"/>
        <v>TC_B_09_CSMS Core</v>
      </c>
      <c r="B16" t="s">
        <v>110</v>
      </c>
      <c r="C16" t="s">
        <v>13</v>
      </c>
      <c r="D16" t="s">
        <v>562</v>
      </c>
      <c r="E16" t="s">
        <v>91</v>
      </c>
    </row>
    <row r="17" spans="1:7" x14ac:dyDescent="0.25">
      <c r="A17" t="str">
        <f t="shared" si="0"/>
        <v>TC_B_10_CSMS Core</v>
      </c>
      <c r="B17" t="s">
        <v>111</v>
      </c>
      <c r="C17" t="s">
        <v>13</v>
      </c>
      <c r="D17" t="s">
        <v>563</v>
      </c>
      <c r="E17" t="s">
        <v>102</v>
      </c>
      <c r="F17" t="s">
        <v>53</v>
      </c>
      <c r="G17" t="s">
        <v>395</v>
      </c>
    </row>
    <row r="18" spans="1:7" x14ac:dyDescent="0.25">
      <c r="A18" t="str">
        <f t="shared" si="0"/>
        <v>TC_B_12_CSMS Core</v>
      </c>
      <c r="B18" t="s">
        <v>112</v>
      </c>
      <c r="C18" t="s">
        <v>13</v>
      </c>
      <c r="D18" t="s">
        <v>564</v>
      </c>
      <c r="E18" t="s">
        <v>102</v>
      </c>
      <c r="F18" t="s">
        <v>802</v>
      </c>
      <c r="G18" t="s">
        <v>113</v>
      </c>
    </row>
    <row r="19" spans="1:7" x14ac:dyDescent="0.25">
      <c r="A19" t="str">
        <f t="shared" si="0"/>
        <v>TC_B_13_CSMS Core</v>
      </c>
      <c r="B19" t="s">
        <v>114</v>
      </c>
      <c r="C19" t="s">
        <v>13</v>
      </c>
      <c r="D19" t="s">
        <v>565</v>
      </c>
      <c r="E19" t="s">
        <v>102</v>
      </c>
      <c r="F19" t="s">
        <v>56</v>
      </c>
      <c r="G19" t="s">
        <v>115</v>
      </c>
    </row>
    <row r="20" spans="1:7" x14ac:dyDescent="0.25">
      <c r="A20" t="str">
        <f t="shared" si="0"/>
        <v>TC_B_20_CSMS Core</v>
      </c>
      <c r="B20" t="s">
        <v>117</v>
      </c>
      <c r="C20" t="s">
        <v>13</v>
      </c>
      <c r="D20" t="s">
        <v>566</v>
      </c>
      <c r="E20" t="s">
        <v>91</v>
      </c>
    </row>
    <row r="21" spans="1:7" x14ac:dyDescent="0.25">
      <c r="A21" t="str">
        <f t="shared" si="0"/>
        <v>TC_B_21_CSMS Core</v>
      </c>
      <c r="B21" t="s">
        <v>118</v>
      </c>
      <c r="C21" t="s">
        <v>13</v>
      </c>
      <c r="D21" t="s">
        <v>567</v>
      </c>
      <c r="E21" t="s">
        <v>91</v>
      </c>
    </row>
    <row r="22" spans="1:7" x14ac:dyDescent="0.25">
      <c r="A22" t="str">
        <f t="shared" si="0"/>
        <v>TC_B_22_CSMS Core</v>
      </c>
      <c r="B22" t="s">
        <v>119</v>
      </c>
      <c r="C22" t="s">
        <v>13</v>
      </c>
      <c r="D22" t="s">
        <v>568</v>
      </c>
      <c r="E22" t="s">
        <v>91</v>
      </c>
    </row>
    <row r="23" spans="1:7" x14ac:dyDescent="0.25">
      <c r="A23" t="str">
        <f t="shared" si="0"/>
        <v>TC_B_25_CSMS Core</v>
      </c>
      <c r="B23" t="s">
        <v>120</v>
      </c>
      <c r="C23" t="s">
        <v>13</v>
      </c>
      <c r="D23" t="s">
        <v>569</v>
      </c>
      <c r="E23" t="s">
        <v>102</v>
      </c>
      <c r="F23" t="s">
        <v>28</v>
      </c>
      <c r="G23" t="s">
        <v>121</v>
      </c>
    </row>
    <row r="24" spans="1:7" x14ac:dyDescent="0.25">
      <c r="A24" t="str">
        <f t="shared" si="0"/>
        <v>TC_B_26_CSMS Core</v>
      </c>
      <c r="B24" t="s">
        <v>122</v>
      </c>
      <c r="C24" t="s">
        <v>13</v>
      </c>
      <c r="D24" t="s">
        <v>570</v>
      </c>
      <c r="E24" t="s">
        <v>102</v>
      </c>
      <c r="F24" t="s">
        <v>28</v>
      </c>
      <c r="G24" t="s">
        <v>121</v>
      </c>
    </row>
    <row r="25" spans="1:7" x14ac:dyDescent="0.25">
      <c r="A25" t="str">
        <f t="shared" si="0"/>
        <v>TC_B_27_CSMS Core</v>
      </c>
      <c r="B25" t="s">
        <v>123</v>
      </c>
      <c r="C25" t="s">
        <v>13</v>
      </c>
      <c r="D25" t="s">
        <v>571</v>
      </c>
      <c r="E25" t="s">
        <v>102</v>
      </c>
      <c r="F25" t="s">
        <v>28</v>
      </c>
      <c r="G25" t="s">
        <v>121</v>
      </c>
    </row>
    <row r="26" spans="1:7" x14ac:dyDescent="0.25">
      <c r="A26" t="str">
        <f t="shared" si="0"/>
        <v>TC_B_42_CSMS Core</v>
      </c>
      <c r="B26" t="s">
        <v>126</v>
      </c>
      <c r="C26" t="s">
        <v>13</v>
      </c>
      <c r="D26" t="s">
        <v>572</v>
      </c>
      <c r="E26" t="s">
        <v>91</v>
      </c>
    </row>
    <row r="27" spans="1:7" x14ac:dyDescent="0.25">
      <c r="A27" t="str">
        <f t="shared" si="0"/>
        <v>TC_B_44_CSMS Core</v>
      </c>
      <c r="B27" t="s">
        <v>127</v>
      </c>
      <c r="C27" t="s">
        <v>13</v>
      </c>
      <c r="D27" t="s">
        <v>573</v>
      </c>
      <c r="E27" t="s">
        <v>91</v>
      </c>
    </row>
    <row r="28" spans="1:7" x14ac:dyDescent="0.25">
      <c r="A28" t="str">
        <f t="shared" si="0"/>
        <v>TC_B_58_CSMS Core</v>
      </c>
      <c r="B28" t="s">
        <v>574</v>
      </c>
      <c r="C28" t="s">
        <v>13</v>
      </c>
      <c r="D28" t="s">
        <v>575</v>
      </c>
      <c r="E28" t="s">
        <v>91</v>
      </c>
    </row>
    <row r="29" spans="1:7" x14ac:dyDescent="0.25">
      <c r="A29" t="str">
        <f t="shared" si="0"/>
        <v>TC_C_02_CSMS Core</v>
      </c>
      <c r="B29" t="s">
        <v>128</v>
      </c>
      <c r="C29" t="s">
        <v>13</v>
      </c>
      <c r="D29" t="s">
        <v>576</v>
      </c>
      <c r="E29" t="s">
        <v>91</v>
      </c>
      <c r="F29" t="s">
        <v>479</v>
      </c>
      <c r="G29" t="s">
        <v>803</v>
      </c>
    </row>
    <row r="30" spans="1:7" x14ac:dyDescent="0.25">
      <c r="A30" t="str">
        <f t="shared" si="0"/>
        <v>TC_C_06_CSMS Core</v>
      </c>
      <c r="B30" t="s">
        <v>129</v>
      </c>
      <c r="C30" t="s">
        <v>13</v>
      </c>
      <c r="D30" t="s">
        <v>577</v>
      </c>
      <c r="E30" t="s">
        <v>91</v>
      </c>
      <c r="F30" t="s">
        <v>130</v>
      </c>
      <c r="G30" t="s">
        <v>131</v>
      </c>
    </row>
    <row r="31" spans="1:7" x14ac:dyDescent="0.25">
      <c r="A31" t="str">
        <f t="shared" si="0"/>
        <v>TC_C_07_CSMS Core</v>
      </c>
      <c r="B31" t="s">
        <v>132</v>
      </c>
      <c r="C31" t="s">
        <v>13</v>
      </c>
      <c r="D31" t="s">
        <v>578</v>
      </c>
      <c r="E31" t="s">
        <v>91</v>
      </c>
      <c r="F31" t="s">
        <v>130</v>
      </c>
      <c r="G31" t="s">
        <v>131</v>
      </c>
    </row>
    <row r="32" spans="1:7" x14ac:dyDescent="0.25">
      <c r="A32" t="str">
        <f t="shared" si="0"/>
        <v>TC_E_38_CSMS Core</v>
      </c>
      <c r="B32" t="s">
        <v>194</v>
      </c>
      <c r="C32" t="s">
        <v>13</v>
      </c>
      <c r="D32" t="s">
        <v>579</v>
      </c>
      <c r="E32" t="s">
        <v>91</v>
      </c>
      <c r="F32" t="s">
        <v>396</v>
      </c>
      <c r="G32" t="s">
        <v>158</v>
      </c>
    </row>
    <row r="33" spans="1:7" x14ac:dyDescent="0.25">
      <c r="A33" t="str">
        <f t="shared" si="0"/>
        <v>TC_C_39_CSMS Core</v>
      </c>
      <c r="B33" t="s">
        <v>138</v>
      </c>
      <c r="C33" t="s">
        <v>13</v>
      </c>
      <c r="D33" t="s">
        <v>580</v>
      </c>
      <c r="E33" t="s">
        <v>91</v>
      </c>
      <c r="F33" t="s">
        <v>581</v>
      </c>
      <c r="G33" t="s">
        <v>131</v>
      </c>
    </row>
    <row r="34" spans="1:7" x14ac:dyDescent="0.25">
      <c r="A34" t="str">
        <f t="shared" si="0"/>
        <v>TC_C_47_CSMS Core</v>
      </c>
      <c r="B34" t="s">
        <v>141</v>
      </c>
      <c r="C34" t="s">
        <v>13</v>
      </c>
      <c r="D34" t="s">
        <v>582</v>
      </c>
      <c r="E34" t="s">
        <v>91</v>
      </c>
      <c r="F34" t="s">
        <v>583</v>
      </c>
      <c r="G34" t="s">
        <v>142</v>
      </c>
    </row>
    <row r="35" spans="1:7" x14ac:dyDescent="0.25">
      <c r="A35" t="str">
        <f t="shared" si="0"/>
        <v>TC_C_48_CSMS Core</v>
      </c>
      <c r="B35" t="s">
        <v>143</v>
      </c>
      <c r="C35" t="s">
        <v>13</v>
      </c>
      <c r="D35" t="s">
        <v>584</v>
      </c>
      <c r="E35" t="s">
        <v>91</v>
      </c>
      <c r="F35" t="s">
        <v>583</v>
      </c>
      <c r="G35" t="s">
        <v>142</v>
      </c>
    </row>
    <row r="36" spans="1:7" x14ac:dyDescent="0.25">
      <c r="A36" t="str">
        <f t="shared" si="0"/>
        <v>TC_C_49_CSMS Core</v>
      </c>
      <c r="B36" t="s">
        <v>144</v>
      </c>
      <c r="C36" t="s">
        <v>13</v>
      </c>
      <c r="D36" t="s">
        <v>585</v>
      </c>
      <c r="E36" t="s">
        <v>91</v>
      </c>
      <c r="F36" t="s">
        <v>586</v>
      </c>
      <c r="G36" t="s">
        <v>145</v>
      </c>
    </row>
    <row r="37" spans="1:7" x14ac:dyDescent="0.25">
      <c r="A37" t="str">
        <f t="shared" si="0"/>
        <v>TC_C_37_CSMS Core</v>
      </c>
      <c r="B37" t="s">
        <v>136</v>
      </c>
      <c r="C37" t="s">
        <v>13</v>
      </c>
      <c r="D37" t="s">
        <v>587</v>
      </c>
      <c r="E37" t="s">
        <v>91</v>
      </c>
      <c r="F37" t="s">
        <v>588</v>
      </c>
      <c r="G37" t="s">
        <v>134</v>
      </c>
    </row>
    <row r="38" spans="1:7" x14ac:dyDescent="0.25">
      <c r="A38" t="str">
        <f t="shared" si="0"/>
        <v>TC_C_38_CSMS Core</v>
      </c>
      <c r="B38" t="s">
        <v>137</v>
      </c>
      <c r="C38" t="s">
        <v>13</v>
      </c>
      <c r="D38" t="s">
        <v>589</v>
      </c>
      <c r="E38" t="s">
        <v>91</v>
      </c>
      <c r="F38" t="s">
        <v>588</v>
      </c>
      <c r="G38" t="s">
        <v>134</v>
      </c>
    </row>
    <row r="39" spans="1:7" x14ac:dyDescent="0.25">
      <c r="A39" t="str">
        <f t="shared" si="0"/>
        <v>TC_C_08_CSMS Core</v>
      </c>
      <c r="B39" t="s">
        <v>133</v>
      </c>
      <c r="C39" t="s">
        <v>13</v>
      </c>
      <c r="D39" t="s">
        <v>590</v>
      </c>
      <c r="E39" t="s">
        <v>91</v>
      </c>
      <c r="F39" t="s">
        <v>588</v>
      </c>
      <c r="G39" t="s">
        <v>134</v>
      </c>
    </row>
    <row r="40" spans="1:7" x14ac:dyDescent="0.25">
      <c r="A40" t="str">
        <f t="shared" si="0"/>
        <v>TC_C_20_CSMS Core</v>
      </c>
      <c r="B40" t="s">
        <v>135</v>
      </c>
      <c r="C40" t="s">
        <v>13</v>
      </c>
      <c r="D40" t="s">
        <v>591</v>
      </c>
      <c r="E40" t="s">
        <v>91</v>
      </c>
    </row>
    <row r="41" spans="1:7" x14ac:dyDescent="0.25">
      <c r="A41" t="str">
        <f t="shared" si="0"/>
        <v>TC_E_03_CSMS Core</v>
      </c>
      <c r="B41" t="s">
        <v>160</v>
      </c>
      <c r="C41" t="s">
        <v>13</v>
      </c>
      <c r="D41" t="s">
        <v>592</v>
      </c>
      <c r="E41" t="s">
        <v>91</v>
      </c>
      <c r="F41" t="s">
        <v>593</v>
      </c>
      <c r="G41" t="s">
        <v>161</v>
      </c>
    </row>
    <row r="42" spans="1:7" x14ac:dyDescent="0.25">
      <c r="A42" t="str">
        <f t="shared" si="0"/>
        <v>TC_E_04_CSMS Core</v>
      </c>
      <c r="B42" t="s">
        <v>162</v>
      </c>
      <c r="C42" t="s">
        <v>13</v>
      </c>
      <c r="D42" t="s">
        <v>594</v>
      </c>
      <c r="E42" t="s">
        <v>91</v>
      </c>
      <c r="F42" t="s">
        <v>595</v>
      </c>
      <c r="G42" t="s">
        <v>161</v>
      </c>
    </row>
    <row r="43" spans="1:7" x14ac:dyDescent="0.25">
      <c r="A43" t="str">
        <f t="shared" si="0"/>
        <v>TC_E_09_CSMS Core</v>
      </c>
      <c r="B43" t="s">
        <v>168</v>
      </c>
      <c r="C43" t="s">
        <v>13</v>
      </c>
      <c r="D43" t="s">
        <v>596</v>
      </c>
      <c r="E43" t="s">
        <v>91</v>
      </c>
      <c r="F43" t="s">
        <v>841</v>
      </c>
    </row>
    <row r="44" spans="1:7" x14ac:dyDescent="0.25">
      <c r="A44" t="str">
        <f t="shared" si="0"/>
        <v>TC_E_10_CSMS Core</v>
      </c>
      <c r="B44" t="s">
        <v>169</v>
      </c>
      <c r="C44" t="s">
        <v>13</v>
      </c>
      <c r="D44" t="s">
        <v>597</v>
      </c>
      <c r="E44" t="s">
        <v>91</v>
      </c>
      <c r="F44" t="s">
        <v>598</v>
      </c>
      <c r="G44" t="s">
        <v>170</v>
      </c>
    </row>
    <row r="45" spans="1:7" x14ac:dyDescent="0.25">
      <c r="A45" t="str">
        <f t="shared" si="0"/>
        <v>TC_E_11_CSMS Core</v>
      </c>
      <c r="B45" t="s">
        <v>171</v>
      </c>
      <c r="C45" t="s">
        <v>13</v>
      </c>
      <c r="D45" t="s">
        <v>599</v>
      </c>
      <c r="E45" t="s">
        <v>91</v>
      </c>
      <c r="F45" t="s">
        <v>172</v>
      </c>
      <c r="G45" t="s">
        <v>156</v>
      </c>
    </row>
    <row r="46" spans="1:7" x14ac:dyDescent="0.25">
      <c r="A46" t="str">
        <f t="shared" si="0"/>
        <v>TC_E_01_CSMS Core</v>
      </c>
      <c r="B46" t="s">
        <v>154</v>
      </c>
      <c r="C46" t="s">
        <v>13</v>
      </c>
      <c r="D46" t="s">
        <v>600</v>
      </c>
      <c r="E46" t="s">
        <v>91</v>
      </c>
      <c r="F46" t="s">
        <v>155</v>
      </c>
      <c r="G46" t="s">
        <v>156</v>
      </c>
    </row>
    <row r="47" spans="1:7" x14ac:dyDescent="0.25">
      <c r="A47" t="str">
        <f t="shared" si="0"/>
        <v>TC_E_02_CSMS Core</v>
      </c>
      <c r="B47" t="s">
        <v>157</v>
      </c>
      <c r="C47" t="s">
        <v>13</v>
      </c>
      <c r="D47" t="s">
        <v>158</v>
      </c>
      <c r="E47" t="s">
        <v>91</v>
      </c>
      <c r="F47" t="s">
        <v>159</v>
      </c>
      <c r="G47" t="s">
        <v>156</v>
      </c>
    </row>
    <row r="48" spans="1:7" x14ac:dyDescent="0.25">
      <c r="A48" t="str">
        <f t="shared" si="0"/>
        <v>TC_E_12_CSMS Core</v>
      </c>
      <c r="B48" t="s">
        <v>173</v>
      </c>
      <c r="C48" t="s">
        <v>13</v>
      </c>
      <c r="D48" t="s">
        <v>601</v>
      </c>
      <c r="E48" t="s">
        <v>91</v>
      </c>
      <c r="F48" t="s">
        <v>174</v>
      </c>
      <c r="G48" t="s">
        <v>156</v>
      </c>
    </row>
    <row r="49" spans="1:7" x14ac:dyDescent="0.25">
      <c r="A49" t="str">
        <f t="shared" si="0"/>
        <v>TC_E_14_CSMS Core</v>
      </c>
      <c r="B49" t="s">
        <v>175</v>
      </c>
      <c r="C49" t="s">
        <v>13</v>
      </c>
      <c r="D49" t="s">
        <v>602</v>
      </c>
      <c r="E49" t="s">
        <v>91</v>
      </c>
      <c r="F49" t="s">
        <v>176</v>
      </c>
      <c r="G49" t="s">
        <v>167</v>
      </c>
    </row>
    <row r="50" spans="1:7" x14ac:dyDescent="0.25">
      <c r="A50" t="str">
        <f t="shared" si="0"/>
        <v>TC_E_20_CSMS Core</v>
      </c>
      <c r="B50" t="s">
        <v>182</v>
      </c>
      <c r="C50" t="s">
        <v>13</v>
      </c>
      <c r="D50" t="s">
        <v>603</v>
      </c>
      <c r="E50" t="s">
        <v>91</v>
      </c>
      <c r="F50" t="s">
        <v>804</v>
      </c>
      <c r="G50" t="s">
        <v>167</v>
      </c>
    </row>
    <row r="51" spans="1:7" x14ac:dyDescent="0.25">
      <c r="A51" t="str">
        <f t="shared" si="0"/>
        <v>TC_E_15_CSMS Core</v>
      </c>
      <c r="B51" t="s">
        <v>177</v>
      </c>
      <c r="C51" t="s">
        <v>13</v>
      </c>
      <c r="D51" t="s">
        <v>604</v>
      </c>
      <c r="E51" t="s">
        <v>91</v>
      </c>
      <c r="F51" t="s">
        <v>605</v>
      </c>
      <c r="G51" t="s">
        <v>164</v>
      </c>
    </row>
    <row r="52" spans="1:7" x14ac:dyDescent="0.25">
      <c r="A52" t="str">
        <f t="shared" si="0"/>
        <v>TC_E_21_CSMS Core</v>
      </c>
      <c r="B52" t="s">
        <v>183</v>
      </c>
      <c r="C52" t="s">
        <v>13</v>
      </c>
      <c r="D52" t="s">
        <v>606</v>
      </c>
      <c r="E52" t="s">
        <v>91</v>
      </c>
      <c r="F52" t="s">
        <v>184</v>
      </c>
      <c r="G52" t="s">
        <v>167</v>
      </c>
    </row>
    <row r="53" spans="1:7" x14ac:dyDescent="0.25">
      <c r="A53" t="str">
        <f t="shared" si="0"/>
        <v>TC_E_16_CSMS Core</v>
      </c>
      <c r="B53" t="s">
        <v>178</v>
      </c>
      <c r="C53" t="s">
        <v>13</v>
      </c>
      <c r="D53" t="s">
        <v>607</v>
      </c>
      <c r="E53" t="s">
        <v>91</v>
      </c>
      <c r="F53" t="s">
        <v>608</v>
      </c>
      <c r="G53" t="s">
        <v>609</v>
      </c>
    </row>
    <row r="54" spans="1:7" x14ac:dyDescent="0.25">
      <c r="A54" t="str">
        <f t="shared" si="0"/>
        <v>TC_E_17_CSMS Core</v>
      </c>
      <c r="B54" t="s">
        <v>179</v>
      </c>
      <c r="C54" t="s">
        <v>13</v>
      </c>
      <c r="D54" t="s">
        <v>610</v>
      </c>
      <c r="E54" t="s">
        <v>91</v>
      </c>
      <c r="F54" t="s">
        <v>805</v>
      </c>
      <c r="G54" t="s">
        <v>167</v>
      </c>
    </row>
    <row r="55" spans="1:7" x14ac:dyDescent="0.25">
      <c r="A55" t="str">
        <f t="shared" si="0"/>
        <v>TC_E_39_CSMS Core</v>
      </c>
      <c r="B55" t="s">
        <v>195</v>
      </c>
      <c r="C55" t="s">
        <v>13</v>
      </c>
      <c r="D55" t="s">
        <v>611</v>
      </c>
      <c r="E55" t="s">
        <v>91</v>
      </c>
    </row>
    <row r="56" spans="1:7" x14ac:dyDescent="0.25">
      <c r="A56" t="str">
        <f t="shared" si="0"/>
        <v>TC_E_07_CSMS Core</v>
      </c>
      <c r="B56" t="s">
        <v>163</v>
      </c>
      <c r="C56" t="s">
        <v>13</v>
      </c>
      <c r="D56" t="s">
        <v>612</v>
      </c>
      <c r="E56" t="s">
        <v>91</v>
      </c>
      <c r="F56" t="s">
        <v>613</v>
      </c>
      <c r="G56" t="s">
        <v>164</v>
      </c>
    </row>
    <row r="57" spans="1:7" x14ac:dyDescent="0.25">
      <c r="A57" t="str">
        <f t="shared" si="0"/>
        <v>TC_E_08_CSMS Core</v>
      </c>
      <c r="B57" t="s">
        <v>165</v>
      </c>
      <c r="C57" t="s">
        <v>13</v>
      </c>
      <c r="D57" t="s">
        <v>614</v>
      </c>
      <c r="E57" t="s">
        <v>91</v>
      </c>
      <c r="F57" t="s">
        <v>166</v>
      </c>
      <c r="G57" t="s">
        <v>167</v>
      </c>
    </row>
    <row r="58" spans="1:7" x14ac:dyDescent="0.25">
      <c r="A58" t="str">
        <f t="shared" si="0"/>
        <v>TC_E_22_CSMS Core</v>
      </c>
      <c r="B58" t="s">
        <v>185</v>
      </c>
      <c r="C58" t="s">
        <v>13</v>
      </c>
      <c r="D58" t="s">
        <v>615</v>
      </c>
      <c r="E58" t="s">
        <v>91</v>
      </c>
      <c r="F58" t="s">
        <v>186</v>
      </c>
      <c r="G58" t="s">
        <v>167</v>
      </c>
    </row>
    <row r="59" spans="1:7" x14ac:dyDescent="0.25">
      <c r="A59" t="str">
        <f t="shared" si="0"/>
        <v>TC_E_19_CSMS Core</v>
      </c>
      <c r="B59" t="s">
        <v>180</v>
      </c>
      <c r="C59" t="s">
        <v>13</v>
      </c>
      <c r="D59" t="s">
        <v>616</v>
      </c>
      <c r="E59" t="s">
        <v>91</v>
      </c>
      <c r="F59" t="s">
        <v>181</v>
      </c>
      <c r="G59" t="s">
        <v>167</v>
      </c>
    </row>
    <row r="60" spans="1:7" x14ac:dyDescent="0.25">
      <c r="A60" t="str">
        <f t="shared" si="0"/>
        <v>TC_E_26_CSMS Core</v>
      </c>
      <c r="B60" t="s">
        <v>187</v>
      </c>
      <c r="C60" t="s">
        <v>13</v>
      </c>
      <c r="D60" t="s">
        <v>617</v>
      </c>
      <c r="E60" t="s">
        <v>91</v>
      </c>
      <c r="F60" t="s">
        <v>806</v>
      </c>
    </row>
    <row r="61" spans="1:7" x14ac:dyDescent="0.25">
      <c r="A61" t="str">
        <f t="shared" si="0"/>
        <v>TC_E_29_CSMS Core</v>
      </c>
      <c r="B61" t="s">
        <v>188</v>
      </c>
      <c r="C61" t="s">
        <v>13</v>
      </c>
      <c r="D61" t="s">
        <v>618</v>
      </c>
      <c r="E61" t="s">
        <v>102</v>
      </c>
      <c r="F61" t="s">
        <v>31</v>
      </c>
      <c r="G61" t="s">
        <v>189</v>
      </c>
    </row>
    <row r="62" spans="1:7" x14ac:dyDescent="0.25">
      <c r="A62" t="str">
        <f t="shared" si="0"/>
        <v>TC_E_30_CSMS Core</v>
      </c>
      <c r="B62" t="s">
        <v>190</v>
      </c>
      <c r="C62" t="s">
        <v>13</v>
      </c>
      <c r="D62" t="s">
        <v>619</v>
      </c>
      <c r="E62" t="s">
        <v>102</v>
      </c>
      <c r="F62" t="s">
        <v>31</v>
      </c>
      <c r="G62" t="s">
        <v>189</v>
      </c>
    </row>
    <row r="63" spans="1:7" x14ac:dyDescent="0.25">
      <c r="A63" t="str">
        <f t="shared" si="0"/>
        <v>TC_E_31_CSMS Core</v>
      </c>
      <c r="B63" t="s">
        <v>191</v>
      </c>
      <c r="C63" t="s">
        <v>13</v>
      </c>
      <c r="D63" t="s">
        <v>620</v>
      </c>
      <c r="E63" t="s">
        <v>102</v>
      </c>
      <c r="F63" t="s">
        <v>31</v>
      </c>
      <c r="G63" t="s">
        <v>843</v>
      </c>
    </row>
    <row r="64" spans="1:7" x14ac:dyDescent="0.25">
      <c r="A64" t="str">
        <f t="shared" si="0"/>
        <v>TC_E_33_CSMS Core</v>
      </c>
      <c r="B64" t="s">
        <v>192</v>
      </c>
      <c r="C64" t="s">
        <v>13</v>
      </c>
      <c r="D64" t="s">
        <v>621</v>
      </c>
      <c r="E64" t="s">
        <v>102</v>
      </c>
      <c r="F64" t="s">
        <v>31</v>
      </c>
      <c r="G64" t="s">
        <v>189</v>
      </c>
    </row>
    <row r="65" spans="1:7" x14ac:dyDescent="0.25">
      <c r="A65" t="str">
        <f t="shared" si="0"/>
        <v>TC_E_34_CSMS Core</v>
      </c>
      <c r="B65" t="s">
        <v>193</v>
      </c>
      <c r="C65" t="s">
        <v>13</v>
      </c>
      <c r="D65" t="s">
        <v>622</v>
      </c>
      <c r="E65" t="s">
        <v>102</v>
      </c>
      <c r="F65" t="s">
        <v>31</v>
      </c>
      <c r="G65" t="s">
        <v>189</v>
      </c>
    </row>
    <row r="66" spans="1:7" x14ac:dyDescent="0.25">
      <c r="A66" t="str">
        <f t="shared" si="0"/>
        <v>TC_E_53_CSMS Core</v>
      </c>
      <c r="B66" t="s">
        <v>196</v>
      </c>
      <c r="C66" t="s">
        <v>13</v>
      </c>
      <c r="D66" t="s">
        <v>623</v>
      </c>
      <c r="E66" t="s">
        <v>91</v>
      </c>
    </row>
    <row r="67" spans="1:7" x14ac:dyDescent="0.25">
      <c r="A67" t="str">
        <f t="shared" ref="A67:A130" si="1">B67&amp;" "&amp;C67</f>
        <v>TC_F_01_CSMS Core</v>
      </c>
      <c r="B67" t="s">
        <v>197</v>
      </c>
      <c r="C67" t="s">
        <v>13</v>
      </c>
      <c r="D67" t="s">
        <v>624</v>
      </c>
      <c r="E67" t="s">
        <v>91</v>
      </c>
      <c r="F67" t="s">
        <v>807</v>
      </c>
      <c r="G67" t="s">
        <v>198</v>
      </c>
    </row>
    <row r="68" spans="1:7" x14ac:dyDescent="0.25">
      <c r="A68" t="str">
        <f t="shared" si="1"/>
        <v>TC_F_02_CSMS Core</v>
      </c>
      <c r="B68" t="s">
        <v>199</v>
      </c>
      <c r="C68" t="s">
        <v>13</v>
      </c>
      <c r="D68" t="s">
        <v>625</v>
      </c>
      <c r="E68" t="s">
        <v>91</v>
      </c>
      <c r="F68" t="s">
        <v>808</v>
      </c>
      <c r="G68" t="s">
        <v>198</v>
      </c>
    </row>
    <row r="69" spans="1:7" x14ac:dyDescent="0.25">
      <c r="A69" t="str">
        <f t="shared" si="1"/>
        <v>TC_F_03_CSMS Core</v>
      </c>
      <c r="B69" t="s">
        <v>200</v>
      </c>
      <c r="C69" t="s">
        <v>13</v>
      </c>
      <c r="D69" t="s">
        <v>626</v>
      </c>
      <c r="E69" t="s">
        <v>91</v>
      </c>
      <c r="F69" t="s">
        <v>809</v>
      </c>
      <c r="G69" t="s">
        <v>198</v>
      </c>
    </row>
    <row r="70" spans="1:7" x14ac:dyDescent="0.25">
      <c r="A70" t="str">
        <f t="shared" si="1"/>
        <v>TC_F_04_CSMS Core</v>
      </c>
      <c r="B70" t="s">
        <v>201</v>
      </c>
      <c r="C70" t="s">
        <v>13</v>
      </c>
      <c r="D70" t="s">
        <v>627</v>
      </c>
      <c r="E70" t="s">
        <v>91</v>
      </c>
    </row>
    <row r="71" spans="1:7" x14ac:dyDescent="0.25">
      <c r="A71" t="str">
        <f t="shared" si="1"/>
        <v>TC_F_06_CSMS Core</v>
      </c>
      <c r="B71" t="s">
        <v>202</v>
      </c>
      <c r="C71" t="s">
        <v>13</v>
      </c>
      <c r="D71" t="s">
        <v>628</v>
      </c>
      <c r="E71" t="s">
        <v>102</v>
      </c>
      <c r="F71" t="s">
        <v>27</v>
      </c>
    </row>
    <row r="72" spans="1:7" x14ac:dyDescent="0.25">
      <c r="A72" t="str">
        <f t="shared" si="1"/>
        <v>TC_F_11_CSMS Core</v>
      </c>
      <c r="B72" t="s">
        <v>204</v>
      </c>
      <c r="C72" t="s">
        <v>13</v>
      </c>
      <c r="D72" t="s">
        <v>629</v>
      </c>
      <c r="E72" t="s">
        <v>102</v>
      </c>
      <c r="F72" t="s">
        <v>34</v>
      </c>
      <c r="G72" t="s">
        <v>205</v>
      </c>
    </row>
    <row r="73" spans="1:7" x14ac:dyDescent="0.25">
      <c r="A73" t="str">
        <f t="shared" si="1"/>
        <v>TC_F_12_CSMS Core</v>
      </c>
      <c r="B73" t="s">
        <v>206</v>
      </c>
      <c r="C73" t="s">
        <v>13</v>
      </c>
      <c r="D73" t="s">
        <v>630</v>
      </c>
      <c r="E73" t="s">
        <v>102</v>
      </c>
      <c r="F73" t="s">
        <v>34</v>
      </c>
      <c r="G73" t="s">
        <v>205</v>
      </c>
    </row>
    <row r="74" spans="1:7" x14ac:dyDescent="0.25">
      <c r="A74" t="str">
        <f t="shared" si="1"/>
        <v>TC_F_13_CSMS Core</v>
      </c>
      <c r="B74" t="s">
        <v>207</v>
      </c>
      <c r="C74" t="s">
        <v>13</v>
      </c>
      <c r="D74" t="s">
        <v>631</v>
      </c>
      <c r="E74" t="s">
        <v>102</v>
      </c>
      <c r="F74" t="s">
        <v>35</v>
      </c>
      <c r="G74" t="s">
        <v>205</v>
      </c>
    </row>
    <row r="75" spans="1:7" x14ac:dyDescent="0.25">
      <c r="A75" t="str">
        <f t="shared" si="1"/>
        <v>TC_F_14_CSMS Core</v>
      </c>
      <c r="B75" t="s">
        <v>208</v>
      </c>
      <c r="C75" t="s">
        <v>13</v>
      </c>
      <c r="D75" t="s">
        <v>632</v>
      </c>
      <c r="E75" t="s">
        <v>102</v>
      </c>
      <c r="F75" t="s">
        <v>35</v>
      </c>
      <c r="G75" t="s">
        <v>205</v>
      </c>
    </row>
    <row r="76" spans="1:7" x14ac:dyDescent="0.25">
      <c r="A76" t="str">
        <f t="shared" si="1"/>
        <v>TC_F_15_CSMS Core</v>
      </c>
      <c r="B76" t="s">
        <v>209</v>
      </c>
      <c r="C76" t="s">
        <v>13</v>
      </c>
      <c r="D76" t="s">
        <v>633</v>
      </c>
      <c r="E76" t="s">
        <v>102</v>
      </c>
      <c r="F76" t="s">
        <v>36</v>
      </c>
      <c r="G76" t="s">
        <v>205</v>
      </c>
    </row>
    <row r="77" spans="1:7" x14ac:dyDescent="0.25">
      <c r="A77" t="str">
        <f t="shared" si="1"/>
        <v>TC_F_18_CSMS Core</v>
      </c>
      <c r="B77" t="s">
        <v>210</v>
      </c>
      <c r="C77" t="s">
        <v>13</v>
      </c>
      <c r="D77" t="s">
        <v>634</v>
      </c>
      <c r="E77" t="s">
        <v>102</v>
      </c>
      <c r="F77" t="s">
        <v>37</v>
      </c>
      <c r="G77" t="s">
        <v>205</v>
      </c>
    </row>
    <row r="78" spans="1:7" x14ac:dyDescent="0.25">
      <c r="A78" t="str">
        <f t="shared" si="1"/>
        <v>TC_F_20_CSMS Core</v>
      </c>
      <c r="B78" t="s">
        <v>211</v>
      </c>
      <c r="C78" t="s">
        <v>13</v>
      </c>
      <c r="D78" t="s">
        <v>635</v>
      </c>
      <c r="E78" t="s">
        <v>91</v>
      </c>
    </row>
    <row r="79" spans="1:7" x14ac:dyDescent="0.25">
      <c r="A79" t="str">
        <f t="shared" si="1"/>
        <v>TC_F_23_CSMS Core</v>
      </c>
      <c r="B79" t="s">
        <v>212</v>
      </c>
      <c r="C79" t="s">
        <v>13</v>
      </c>
      <c r="D79" t="s">
        <v>636</v>
      </c>
      <c r="E79" t="s">
        <v>102</v>
      </c>
      <c r="F79" t="s">
        <v>38</v>
      </c>
      <c r="G79" t="s">
        <v>205</v>
      </c>
    </row>
    <row r="80" spans="1:7" x14ac:dyDescent="0.25">
      <c r="A80" t="str">
        <f t="shared" si="1"/>
        <v>TC_F_24_CSMS Core</v>
      </c>
      <c r="B80" t="s">
        <v>213</v>
      </c>
      <c r="C80" t="s">
        <v>13</v>
      </c>
      <c r="D80" t="s">
        <v>637</v>
      </c>
      <c r="E80" t="s">
        <v>102</v>
      </c>
      <c r="F80" t="s">
        <v>38</v>
      </c>
      <c r="G80" t="s">
        <v>205</v>
      </c>
    </row>
    <row r="81" spans="1:7" x14ac:dyDescent="0.25">
      <c r="A81" t="str">
        <f t="shared" si="1"/>
        <v>TC_F_27_CSMS Core</v>
      </c>
      <c r="B81" t="s">
        <v>214</v>
      </c>
      <c r="C81" t="s">
        <v>13</v>
      </c>
      <c r="D81" t="s">
        <v>638</v>
      </c>
      <c r="E81" t="s">
        <v>91</v>
      </c>
      <c r="F81" t="s">
        <v>543</v>
      </c>
    </row>
    <row r="82" spans="1:7" x14ac:dyDescent="0.25">
      <c r="A82" t="str">
        <f t="shared" si="1"/>
        <v>TC_G_20_CSMS Core</v>
      </c>
      <c r="B82" t="s">
        <v>224</v>
      </c>
      <c r="C82" t="s">
        <v>13</v>
      </c>
      <c r="D82" t="s">
        <v>639</v>
      </c>
      <c r="E82" t="s">
        <v>91</v>
      </c>
    </row>
    <row r="83" spans="1:7" x14ac:dyDescent="0.25">
      <c r="A83" t="str">
        <f t="shared" si="1"/>
        <v>TC_G_03_CSMS Core</v>
      </c>
      <c r="B83" t="s">
        <v>215</v>
      </c>
      <c r="C83" t="s">
        <v>13</v>
      </c>
      <c r="D83" t="s">
        <v>640</v>
      </c>
      <c r="E83" t="s">
        <v>91</v>
      </c>
    </row>
    <row r="84" spans="1:7" x14ac:dyDescent="0.25">
      <c r="A84" t="str">
        <f t="shared" si="1"/>
        <v>TC_G_04_CSMS Core</v>
      </c>
      <c r="B84" t="s">
        <v>216</v>
      </c>
      <c r="C84" t="s">
        <v>13</v>
      </c>
      <c r="D84" t="s">
        <v>641</v>
      </c>
      <c r="E84" t="s">
        <v>91</v>
      </c>
    </row>
    <row r="85" spans="1:7" x14ac:dyDescent="0.25">
      <c r="A85" t="str">
        <f t="shared" si="1"/>
        <v>TC_G_11_CSMS Core</v>
      </c>
      <c r="B85" t="s">
        <v>221</v>
      </c>
      <c r="C85" t="s">
        <v>13</v>
      </c>
      <c r="D85" t="s">
        <v>642</v>
      </c>
      <c r="E85" t="s">
        <v>91</v>
      </c>
    </row>
    <row r="86" spans="1:7" x14ac:dyDescent="0.25">
      <c r="A86" t="str">
        <f t="shared" si="1"/>
        <v>TC_G_05_CSMS Core</v>
      </c>
      <c r="B86" t="s">
        <v>217</v>
      </c>
      <c r="C86" t="s">
        <v>13</v>
      </c>
      <c r="D86" t="s">
        <v>643</v>
      </c>
      <c r="E86" t="s">
        <v>91</v>
      </c>
    </row>
    <row r="87" spans="1:7" x14ac:dyDescent="0.25">
      <c r="A87" t="str">
        <f t="shared" si="1"/>
        <v>TC_G_06_CSMS Core</v>
      </c>
      <c r="B87" t="s">
        <v>218</v>
      </c>
      <c r="C87" t="s">
        <v>13</v>
      </c>
      <c r="D87" t="s">
        <v>644</v>
      </c>
      <c r="E87" t="s">
        <v>91</v>
      </c>
    </row>
    <row r="88" spans="1:7" x14ac:dyDescent="0.25">
      <c r="A88" t="str">
        <f t="shared" si="1"/>
        <v>TC_G_14_CSMS Core</v>
      </c>
      <c r="B88" t="s">
        <v>222</v>
      </c>
      <c r="C88" t="s">
        <v>13</v>
      </c>
      <c r="D88" t="s">
        <v>645</v>
      </c>
      <c r="E88" t="s">
        <v>91</v>
      </c>
    </row>
    <row r="89" spans="1:7" x14ac:dyDescent="0.25">
      <c r="A89" t="str">
        <f t="shared" si="1"/>
        <v>TC_G_07_CSMS Core</v>
      </c>
      <c r="B89" t="s">
        <v>219</v>
      </c>
      <c r="C89" t="s">
        <v>13</v>
      </c>
      <c r="D89" t="s">
        <v>646</v>
      </c>
      <c r="E89" t="s">
        <v>91</v>
      </c>
    </row>
    <row r="90" spans="1:7" x14ac:dyDescent="0.25">
      <c r="A90" t="str">
        <f t="shared" si="1"/>
        <v>TC_G_08_CSMS Core</v>
      </c>
      <c r="B90" t="s">
        <v>220</v>
      </c>
      <c r="C90" t="s">
        <v>13</v>
      </c>
      <c r="D90" t="s">
        <v>647</v>
      </c>
      <c r="E90" t="s">
        <v>91</v>
      </c>
    </row>
    <row r="91" spans="1:7" x14ac:dyDescent="0.25">
      <c r="A91" t="str">
        <f t="shared" si="1"/>
        <v>TC_G_17_CSMS Core</v>
      </c>
      <c r="B91" t="s">
        <v>223</v>
      </c>
      <c r="C91" t="s">
        <v>13</v>
      </c>
      <c r="D91" t="s">
        <v>648</v>
      </c>
      <c r="E91" t="s">
        <v>91</v>
      </c>
    </row>
    <row r="92" spans="1:7" x14ac:dyDescent="0.25">
      <c r="A92" t="str">
        <f t="shared" si="1"/>
        <v>TC_J_01_CSMS Core</v>
      </c>
      <c r="B92" t="s">
        <v>237</v>
      </c>
      <c r="C92" t="s">
        <v>13</v>
      </c>
      <c r="D92" t="s">
        <v>649</v>
      </c>
      <c r="E92" t="s">
        <v>91</v>
      </c>
      <c r="F92" t="s">
        <v>238</v>
      </c>
      <c r="G92" t="s">
        <v>239</v>
      </c>
    </row>
    <row r="93" spans="1:7" x14ac:dyDescent="0.25">
      <c r="A93" t="str">
        <f t="shared" si="1"/>
        <v>TC_J_02_CSMS Core</v>
      </c>
      <c r="B93" t="s">
        <v>240</v>
      </c>
      <c r="C93" t="s">
        <v>13</v>
      </c>
      <c r="D93" t="s">
        <v>650</v>
      </c>
      <c r="E93" t="s">
        <v>91</v>
      </c>
      <c r="F93" t="s">
        <v>238</v>
      </c>
      <c r="G93" t="s">
        <v>239</v>
      </c>
    </row>
    <row r="94" spans="1:7" x14ac:dyDescent="0.25">
      <c r="A94" t="str">
        <f t="shared" si="1"/>
        <v>TC_J_03_CSMS Core</v>
      </c>
      <c r="B94" t="s">
        <v>241</v>
      </c>
      <c r="C94" t="s">
        <v>13</v>
      </c>
      <c r="D94" t="s">
        <v>651</v>
      </c>
      <c r="E94" t="s">
        <v>91</v>
      </c>
      <c r="F94" t="s">
        <v>238</v>
      </c>
      <c r="G94" t="s">
        <v>239</v>
      </c>
    </row>
    <row r="95" spans="1:7" x14ac:dyDescent="0.25">
      <c r="A95" t="str">
        <f t="shared" si="1"/>
        <v>TC_J_04_CSMS Core</v>
      </c>
      <c r="B95" t="s">
        <v>242</v>
      </c>
      <c r="C95" t="s">
        <v>13</v>
      </c>
      <c r="D95" t="s">
        <v>652</v>
      </c>
      <c r="E95" t="s">
        <v>91</v>
      </c>
      <c r="F95" t="s">
        <v>250</v>
      </c>
      <c r="G95" t="s">
        <v>243</v>
      </c>
    </row>
    <row r="96" spans="1:7" x14ac:dyDescent="0.25">
      <c r="A96" t="str">
        <f t="shared" si="1"/>
        <v>TC_J_07_CSMS Core</v>
      </c>
      <c r="B96" t="s">
        <v>244</v>
      </c>
      <c r="C96" t="s">
        <v>13</v>
      </c>
      <c r="D96" t="s">
        <v>653</v>
      </c>
      <c r="E96" t="s">
        <v>91</v>
      </c>
      <c r="F96" t="s">
        <v>238</v>
      </c>
      <c r="G96" t="s">
        <v>239</v>
      </c>
    </row>
    <row r="97" spans="1:7" x14ac:dyDescent="0.25">
      <c r="A97" t="str">
        <f t="shared" si="1"/>
        <v>TC_J_08_CSMS Core</v>
      </c>
      <c r="B97" t="s">
        <v>245</v>
      </c>
      <c r="C97" t="s">
        <v>13</v>
      </c>
      <c r="D97" t="s">
        <v>654</v>
      </c>
      <c r="E97" t="s">
        <v>91</v>
      </c>
      <c r="F97" t="s">
        <v>397</v>
      </c>
      <c r="G97" t="s">
        <v>246</v>
      </c>
    </row>
    <row r="98" spans="1:7" x14ac:dyDescent="0.25">
      <c r="A98" t="str">
        <f t="shared" si="1"/>
        <v>TC_J_09_CSMS Core</v>
      </c>
      <c r="B98" t="s">
        <v>247</v>
      </c>
      <c r="C98" t="s">
        <v>13</v>
      </c>
      <c r="D98" t="s">
        <v>655</v>
      </c>
      <c r="E98" t="s">
        <v>91</v>
      </c>
      <c r="F98" t="s">
        <v>238</v>
      </c>
      <c r="G98" t="s">
        <v>239</v>
      </c>
    </row>
    <row r="99" spans="1:7" x14ac:dyDescent="0.25">
      <c r="A99" t="str">
        <f t="shared" si="1"/>
        <v>TC_J_10_CSMS Core</v>
      </c>
      <c r="B99" t="s">
        <v>248</v>
      </c>
      <c r="C99" t="s">
        <v>13</v>
      </c>
      <c r="D99" t="s">
        <v>656</v>
      </c>
      <c r="E99" t="s">
        <v>91</v>
      </c>
      <c r="F99" t="s">
        <v>238</v>
      </c>
      <c r="G99" t="s">
        <v>239</v>
      </c>
    </row>
    <row r="100" spans="1:7" x14ac:dyDescent="0.25">
      <c r="A100" t="str">
        <f t="shared" si="1"/>
        <v>TC_J_11_CSMS Core</v>
      </c>
      <c r="B100" t="s">
        <v>249</v>
      </c>
      <c r="C100" t="s">
        <v>13</v>
      </c>
      <c r="D100" t="s">
        <v>657</v>
      </c>
      <c r="E100" t="s">
        <v>91</v>
      </c>
      <c r="F100" t="s">
        <v>250</v>
      </c>
      <c r="G100" t="s">
        <v>243</v>
      </c>
    </row>
    <row r="101" spans="1:7" x14ac:dyDescent="0.25">
      <c r="A101" t="str">
        <f t="shared" si="1"/>
        <v>TC_L_01_CSMS Core</v>
      </c>
      <c r="B101" t="s">
        <v>279</v>
      </c>
      <c r="C101" t="s">
        <v>13</v>
      </c>
      <c r="D101" t="s">
        <v>658</v>
      </c>
      <c r="E101" t="s">
        <v>91</v>
      </c>
    </row>
    <row r="102" spans="1:7" x14ac:dyDescent="0.25">
      <c r="A102" t="str">
        <f t="shared" si="1"/>
        <v>TC_L_02_CSMS Core</v>
      </c>
      <c r="B102" t="s">
        <v>280</v>
      </c>
      <c r="C102" t="s">
        <v>13</v>
      </c>
      <c r="D102" t="s">
        <v>659</v>
      </c>
      <c r="E102" t="s">
        <v>102</v>
      </c>
      <c r="F102" t="s">
        <v>30</v>
      </c>
      <c r="G102" t="s">
        <v>281</v>
      </c>
    </row>
    <row r="103" spans="1:7" x14ac:dyDescent="0.25">
      <c r="A103" t="str">
        <f t="shared" si="1"/>
        <v>TC_L_03_CSMS Core</v>
      </c>
      <c r="B103" t="s">
        <v>282</v>
      </c>
      <c r="C103" t="s">
        <v>13</v>
      </c>
      <c r="D103" t="s">
        <v>660</v>
      </c>
      <c r="E103" t="s">
        <v>102</v>
      </c>
      <c r="F103" t="s">
        <v>30</v>
      </c>
      <c r="G103" t="s">
        <v>281</v>
      </c>
    </row>
    <row r="104" spans="1:7" x14ac:dyDescent="0.25">
      <c r="A104" t="str">
        <f t="shared" si="1"/>
        <v>TC_L_04_CSMS Core</v>
      </c>
      <c r="B104" t="s">
        <v>283</v>
      </c>
      <c r="C104" t="s">
        <v>13</v>
      </c>
      <c r="D104" t="s">
        <v>661</v>
      </c>
      <c r="E104" t="s">
        <v>91</v>
      </c>
    </row>
    <row r="105" spans="1:7" x14ac:dyDescent="0.25">
      <c r="A105" t="str">
        <f t="shared" si="1"/>
        <v>TC_L_05_CSMS Core</v>
      </c>
      <c r="B105" t="s">
        <v>284</v>
      </c>
      <c r="C105" t="s">
        <v>13</v>
      </c>
      <c r="D105" t="s">
        <v>662</v>
      </c>
      <c r="E105" t="s">
        <v>91</v>
      </c>
    </row>
    <row r="106" spans="1:7" x14ac:dyDescent="0.25">
      <c r="A106" t="str">
        <f t="shared" si="1"/>
        <v>TC_L_06_CSMS Core</v>
      </c>
      <c r="B106" t="s">
        <v>285</v>
      </c>
      <c r="C106" t="s">
        <v>13</v>
      </c>
      <c r="D106" t="s">
        <v>663</v>
      </c>
      <c r="E106" t="s">
        <v>91</v>
      </c>
    </row>
    <row r="107" spans="1:7" x14ac:dyDescent="0.25">
      <c r="A107" t="str">
        <f t="shared" si="1"/>
        <v>TC_L_07_CSMS Core</v>
      </c>
      <c r="B107" t="s">
        <v>286</v>
      </c>
      <c r="C107" t="s">
        <v>13</v>
      </c>
      <c r="D107" t="s">
        <v>664</v>
      </c>
      <c r="E107" t="s">
        <v>91</v>
      </c>
    </row>
    <row r="108" spans="1:7" x14ac:dyDescent="0.25">
      <c r="A108" t="str">
        <f t="shared" si="1"/>
        <v>TC_L_08_CSMS Core</v>
      </c>
      <c r="B108" t="s">
        <v>287</v>
      </c>
      <c r="C108" t="s">
        <v>13</v>
      </c>
      <c r="D108" t="s">
        <v>665</v>
      </c>
      <c r="E108" t="s">
        <v>91</v>
      </c>
    </row>
    <row r="109" spans="1:7" x14ac:dyDescent="0.25">
      <c r="A109" t="str">
        <f t="shared" si="1"/>
        <v>TC_L_09_CSMS Core</v>
      </c>
      <c r="B109" t="s">
        <v>398</v>
      </c>
      <c r="C109" t="s">
        <v>13</v>
      </c>
      <c r="D109" t="s">
        <v>666</v>
      </c>
      <c r="E109" t="s">
        <v>91</v>
      </c>
    </row>
    <row r="110" spans="1:7" x14ac:dyDescent="0.25">
      <c r="A110" t="str">
        <f t="shared" si="1"/>
        <v>TC_L_10_CSMS Core</v>
      </c>
      <c r="B110" t="s">
        <v>288</v>
      </c>
      <c r="C110" t="s">
        <v>13</v>
      </c>
      <c r="D110" t="s">
        <v>667</v>
      </c>
      <c r="E110" t="s">
        <v>91</v>
      </c>
      <c r="F110" t="s">
        <v>289</v>
      </c>
    </row>
    <row r="111" spans="1:7" x14ac:dyDescent="0.25">
      <c r="A111" t="str">
        <f t="shared" si="1"/>
        <v>TC_L_11_CSMS Core</v>
      </c>
      <c r="B111" t="s">
        <v>290</v>
      </c>
      <c r="C111" t="s">
        <v>13</v>
      </c>
      <c r="D111" t="s">
        <v>668</v>
      </c>
      <c r="E111" t="s">
        <v>91</v>
      </c>
      <c r="F111" t="s">
        <v>291</v>
      </c>
    </row>
    <row r="112" spans="1:7" x14ac:dyDescent="0.25">
      <c r="A112" t="str">
        <f t="shared" si="1"/>
        <v>TC_L_13_CSMS Core</v>
      </c>
      <c r="B112" t="s">
        <v>292</v>
      </c>
      <c r="C112" t="s">
        <v>13</v>
      </c>
      <c r="D112" t="s">
        <v>669</v>
      </c>
      <c r="E112" t="s">
        <v>91</v>
      </c>
      <c r="F112" t="s">
        <v>399</v>
      </c>
    </row>
    <row r="113" spans="1:6" x14ac:dyDescent="0.25">
      <c r="A113" t="str">
        <f t="shared" si="1"/>
        <v>TC_M_13_CSMS Core</v>
      </c>
      <c r="B113" t="s">
        <v>297</v>
      </c>
      <c r="C113" t="s">
        <v>13</v>
      </c>
      <c r="D113" t="s">
        <v>670</v>
      </c>
      <c r="E113" t="s">
        <v>91</v>
      </c>
    </row>
    <row r="114" spans="1:6" x14ac:dyDescent="0.25">
      <c r="A114" t="str">
        <f t="shared" si="1"/>
        <v>TC_M_18_CSMS Core</v>
      </c>
      <c r="B114" t="s">
        <v>301</v>
      </c>
      <c r="C114" t="s">
        <v>13</v>
      </c>
      <c r="D114" t="s">
        <v>671</v>
      </c>
      <c r="E114" t="s">
        <v>91</v>
      </c>
    </row>
    <row r="115" spans="1:6" x14ac:dyDescent="0.25">
      <c r="A115" t="str">
        <f t="shared" si="1"/>
        <v>TC_M_19_CSMS Core</v>
      </c>
      <c r="B115" t="s">
        <v>302</v>
      </c>
      <c r="C115" t="s">
        <v>13</v>
      </c>
      <c r="D115" t="s">
        <v>672</v>
      </c>
      <c r="E115" t="s">
        <v>91</v>
      </c>
    </row>
    <row r="116" spans="1:6" x14ac:dyDescent="0.25">
      <c r="A116" t="str">
        <f t="shared" si="1"/>
        <v>TC_M_20_CSMS Core</v>
      </c>
      <c r="B116" t="s">
        <v>303</v>
      </c>
      <c r="C116" t="s">
        <v>13</v>
      </c>
      <c r="D116" t="s">
        <v>673</v>
      </c>
      <c r="E116" t="s">
        <v>91</v>
      </c>
    </row>
    <row r="117" spans="1:6" x14ac:dyDescent="0.25">
      <c r="A117" t="str">
        <f t="shared" si="1"/>
        <v>TC_M_21_CSMS Core</v>
      </c>
      <c r="B117" t="s">
        <v>304</v>
      </c>
      <c r="C117" t="s">
        <v>13</v>
      </c>
      <c r="D117" t="s">
        <v>674</v>
      </c>
      <c r="E117" t="s">
        <v>91</v>
      </c>
    </row>
    <row r="118" spans="1:6" x14ac:dyDescent="0.25">
      <c r="A118" t="str">
        <f t="shared" si="1"/>
        <v>TC_M_01_CSMS Core</v>
      </c>
      <c r="B118" t="s">
        <v>293</v>
      </c>
      <c r="C118" t="s">
        <v>13</v>
      </c>
      <c r="D118" t="s">
        <v>675</v>
      </c>
      <c r="E118" t="s">
        <v>91</v>
      </c>
    </row>
    <row r="119" spans="1:6" x14ac:dyDescent="0.25">
      <c r="A119" t="str">
        <f t="shared" si="1"/>
        <v>TC_M_02_CSMS Core</v>
      </c>
      <c r="B119" t="s">
        <v>294</v>
      </c>
      <c r="C119" t="s">
        <v>13</v>
      </c>
      <c r="D119" t="s">
        <v>676</v>
      </c>
      <c r="E119" t="s">
        <v>91</v>
      </c>
    </row>
    <row r="120" spans="1:6" x14ac:dyDescent="0.25">
      <c r="A120" t="str">
        <f t="shared" si="1"/>
        <v>TC_M_05_CSMS Core</v>
      </c>
      <c r="B120" t="s">
        <v>842</v>
      </c>
      <c r="C120" t="s">
        <v>13</v>
      </c>
      <c r="D120" t="s">
        <v>677</v>
      </c>
      <c r="E120" t="s">
        <v>91</v>
      </c>
    </row>
    <row r="121" spans="1:6" x14ac:dyDescent="0.25">
      <c r="A121" t="str">
        <f t="shared" si="1"/>
        <v>TC_N_25_CSMS Core</v>
      </c>
      <c r="B121" t="s">
        <v>317</v>
      </c>
      <c r="C121" t="s">
        <v>13</v>
      </c>
      <c r="D121" t="s">
        <v>678</v>
      </c>
      <c r="E121" t="s">
        <v>91</v>
      </c>
    </row>
    <row r="122" spans="1:6" x14ac:dyDescent="0.25">
      <c r="A122" t="str">
        <f t="shared" si="1"/>
        <v>TC_N_34_CSMS Core</v>
      </c>
      <c r="B122" t="s">
        <v>324</v>
      </c>
      <c r="C122" t="s">
        <v>13</v>
      </c>
      <c r="D122" t="s">
        <v>679</v>
      </c>
      <c r="E122" t="s">
        <v>91</v>
      </c>
    </row>
    <row r="123" spans="1:6" x14ac:dyDescent="0.25">
      <c r="A123" t="str">
        <f t="shared" si="1"/>
        <v>TC_N_35_CSMS Core</v>
      </c>
      <c r="B123" t="s">
        <v>325</v>
      </c>
      <c r="C123" t="s">
        <v>13</v>
      </c>
      <c r="D123" t="s">
        <v>680</v>
      </c>
      <c r="E123" t="s">
        <v>91</v>
      </c>
    </row>
    <row r="124" spans="1:6" x14ac:dyDescent="0.25">
      <c r="A124" t="str">
        <f t="shared" si="1"/>
        <v>TC_N_36_CSMS Core</v>
      </c>
      <c r="B124" t="s">
        <v>326</v>
      </c>
      <c r="C124" t="s">
        <v>13</v>
      </c>
      <c r="D124" t="s">
        <v>681</v>
      </c>
      <c r="E124" t="s">
        <v>91</v>
      </c>
      <c r="F124" t="s">
        <v>327</v>
      </c>
    </row>
    <row r="125" spans="1:6" x14ac:dyDescent="0.25">
      <c r="A125" t="str">
        <f t="shared" si="1"/>
        <v>TC_N_27_CSMS Core</v>
      </c>
      <c r="B125" t="s">
        <v>318</v>
      </c>
      <c r="C125" t="s">
        <v>13</v>
      </c>
      <c r="D125" t="s">
        <v>682</v>
      </c>
      <c r="E125" t="s">
        <v>91</v>
      </c>
      <c r="F125" t="s">
        <v>683</v>
      </c>
    </row>
    <row r="126" spans="1:6" x14ac:dyDescent="0.25">
      <c r="A126" t="str">
        <f t="shared" si="1"/>
        <v>TC_N_28_CSMS Core</v>
      </c>
      <c r="B126" t="s">
        <v>319</v>
      </c>
      <c r="C126" t="s">
        <v>13</v>
      </c>
      <c r="D126" t="s">
        <v>684</v>
      </c>
      <c r="E126" t="s">
        <v>91</v>
      </c>
      <c r="F126" t="s">
        <v>683</v>
      </c>
    </row>
    <row r="127" spans="1:6" x14ac:dyDescent="0.25">
      <c r="A127" t="str">
        <f t="shared" si="1"/>
        <v>TC_N_29_CSMS Core</v>
      </c>
      <c r="B127" t="s">
        <v>320</v>
      </c>
      <c r="C127" t="s">
        <v>13</v>
      </c>
      <c r="D127" t="s">
        <v>685</v>
      </c>
      <c r="E127" t="s">
        <v>91</v>
      </c>
    </row>
    <row r="128" spans="1:6" x14ac:dyDescent="0.25">
      <c r="A128" t="str">
        <f t="shared" si="1"/>
        <v>TC_N_30_CSMS Core</v>
      </c>
      <c r="B128" t="s">
        <v>321</v>
      </c>
      <c r="C128" t="s">
        <v>13</v>
      </c>
      <c r="D128" t="s">
        <v>686</v>
      </c>
      <c r="E128" t="s">
        <v>91</v>
      </c>
      <c r="F128" t="s">
        <v>683</v>
      </c>
    </row>
    <row r="129" spans="1:7" x14ac:dyDescent="0.25">
      <c r="A129" t="str">
        <f t="shared" si="1"/>
        <v>TC_N_31_CSMS Core</v>
      </c>
      <c r="B129" t="s">
        <v>322</v>
      </c>
      <c r="C129" t="s">
        <v>13</v>
      </c>
      <c r="D129" t="s">
        <v>687</v>
      </c>
      <c r="E129" t="s">
        <v>91</v>
      </c>
      <c r="F129" t="s">
        <v>683</v>
      </c>
    </row>
    <row r="130" spans="1:7" x14ac:dyDescent="0.25">
      <c r="A130" t="str">
        <f t="shared" si="1"/>
        <v>TC_N_32_CSMS Core</v>
      </c>
      <c r="B130" t="s">
        <v>323</v>
      </c>
      <c r="C130" t="s">
        <v>13</v>
      </c>
      <c r="D130" t="s">
        <v>688</v>
      </c>
      <c r="E130" t="s">
        <v>91</v>
      </c>
    </row>
    <row r="131" spans="1:7" x14ac:dyDescent="0.25">
      <c r="A131" t="str">
        <f t="shared" ref="A131:A194" si="2">B131&amp;" "&amp;C131</f>
        <v>TC_N_62_CSMS Core</v>
      </c>
      <c r="B131" t="s">
        <v>334</v>
      </c>
      <c r="C131" t="s">
        <v>13</v>
      </c>
      <c r="D131" t="s">
        <v>689</v>
      </c>
      <c r="E131" t="s">
        <v>102</v>
      </c>
      <c r="F131" t="s">
        <v>29</v>
      </c>
    </row>
    <row r="132" spans="1:7" x14ac:dyDescent="0.25">
      <c r="A132" t="str">
        <f t="shared" si="2"/>
        <v>TC_P_02_CSMS Core</v>
      </c>
      <c r="B132" t="s">
        <v>355</v>
      </c>
      <c r="C132" t="s">
        <v>13</v>
      </c>
      <c r="D132" t="s">
        <v>690</v>
      </c>
      <c r="E132" t="s">
        <v>91</v>
      </c>
    </row>
    <row r="133" spans="1:7" x14ac:dyDescent="0.25">
      <c r="A133" t="str">
        <f t="shared" si="2"/>
        <v>TC_P_03_CSMS Core</v>
      </c>
      <c r="B133" t="s">
        <v>356</v>
      </c>
      <c r="C133" t="s">
        <v>13</v>
      </c>
      <c r="D133" t="s">
        <v>691</v>
      </c>
      <c r="E133" t="s">
        <v>91</v>
      </c>
    </row>
    <row r="134" spans="1:7" x14ac:dyDescent="0.25">
      <c r="A134" t="str">
        <f t="shared" si="2"/>
        <v>TC_C_40_CSMS Core</v>
      </c>
      <c r="B134" t="s">
        <v>139</v>
      </c>
      <c r="C134" t="s">
        <v>13</v>
      </c>
      <c r="D134" t="s">
        <v>696</v>
      </c>
      <c r="E134" t="s">
        <v>102</v>
      </c>
      <c r="F134" t="s">
        <v>796</v>
      </c>
    </row>
    <row r="135" spans="1:7" x14ac:dyDescent="0.25">
      <c r="A135" t="str">
        <f t="shared" si="2"/>
        <v>TC_C_43_CSMS Core</v>
      </c>
      <c r="B135" t="s">
        <v>140</v>
      </c>
      <c r="C135" t="s">
        <v>13</v>
      </c>
      <c r="D135" t="s">
        <v>697</v>
      </c>
      <c r="E135" t="s">
        <v>102</v>
      </c>
      <c r="F135" t="s">
        <v>796</v>
      </c>
    </row>
    <row r="136" spans="1:7" x14ac:dyDescent="0.25">
      <c r="A136" t="str">
        <f t="shared" si="2"/>
        <v>TC_D_01_CSMS Core</v>
      </c>
      <c r="B136" t="s">
        <v>148</v>
      </c>
      <c r="C136" t="s">
        <v>13</v>
      </c>
      <c r="D136" t="s">
        <v>698</v>
      </c>
      <c r="E136" t="s">
        <v>102</v>
      </c>
      <c r="F136" t="s">
        <v>796</v>
      </c>
    </row>
    <row r="137" spans="1:7" x14ac:dyDescent="0.25">
      <c r="A137" t="str">
        <f t="shared" si="2"/>
        <v>TC_D_02_CSMS Core</v>
      </c>
      <c r="B137" t="s">
        <v>149</v>
      </c>
      <c r="C137" t="s">
        <v>13</v>
      </c>
      <c r="D137" t="s">
        <v>699</v>
      </c>
      <c r="E137" t="s">
        <v>102</v>
      </c>
      <c r="F137" t="s">
        <v>796</v>
      </c>
    </row>
    <row r="138" spans="1:7" x14ac:dyDescent="0.25">
      <c r="A138" t="str">
        <f t="shared" si="2"/>
        <v>TC_D_03_CSMS Core</v>
      </c>
      <c r="B138" t="s">
        <v>150</v>
      </c>
      <c r="C138" t="s">
        <v>13</v>
      </c>
      <c r="D138" t="s">
        <v>700</v>
      </c>
      <c r="E138" t="s">
        <v>102</v>
      </c>
      <c r="F138" t="s">
        <v>796</v>
      </c>
    </row>
    <row r="139" spans="1:7" x14ac:dyDescent="0.25">
      <c r="A139" t="str">
        <f t="shared" si="2"/>
        <v>TC_D_04_CSMS Core</v>
      </c>
      <c r="B139" t="s">
        <v>151</v>
      </c>
      <c r="C139" t="s">
        <v>13</v>
      </c>
      <c r="D139" t="s">
        <v>701</v>
      </c>
      <c r="E139" t="s">
        <v>102</v>
      </c>
      <c r="F139" t="s">
        <v>796</v>
      </c>
    </row>
    <row r="140" spans="1:7" x14ac:dyDescent="0.25">
      <c r="A140" t="str">
        <f t="shared" si="2"/>
        <v>TC_D_08_CSMS Core</v>
      </c>
      <c r="B140" t="s">
        <v>152</v>
      </c>
      <c r="C140" t="s">
        <v>13</v>
      </c>
      <c r="D140" t="s">
        <v>702</v>
      </c>
      <c r="E140" t="s">
        <v>102</v>
      </c>
      <c r="F140" t="s">
        <v>814</v>
      </c>
      <c r="G140" t="s">
        <v>153</v>
      </c>
    </row>
    <row r="141" spans="1:7" x14ac:dyDescent="0.25">
      <c r="A141" t="str">
        <f t="shared" si="2"/>
        <v>TC_D_09_CSMS Core</v>
      </c>
      <c r="B141" t="s">
        <v>481</v>
      </c>
      <c r="C141" t="s">
        <v>13</v>
      </c>
      <c r="D141" t="s">
        <v>703</v>
      </c>
      <c r="E141" t="s">
        <v>102</v>
      </c>
      <c r="F141" t="s">
        <v>796</v>
      </c>
    </row>
    <row r="142" spans="1:7" x14ac:dyDescent="0.25">
      <c r="A142" t="str">
        <f t="shared" si="2"/>
        <v>TC_N_46_CSMS Core</v>
      </c>
      <c r="B142" t="s">
        <v>329</v>
      </c>
      <c r="C142" t="s">
        <v>13</v>
      </c>
      <c r="D142" t="s">
        <v>704</v>
      </c>
      <c r="E142" t="s">
        <v>102</v>
      </c>
      <c r="F142" t="s">
        <v>796</v>
      </c>
    </row>
    <row r="143" spans="1:7" x14ac:dyDescent="0.25">
      <c r="A143" t="str">
        <f t="shared" si="2"/>
        <v>TC_H_01_CSMS Core</v>
      </c>
      <c r="B143" t="s">
        <v>225</v>
      </c>
      <c r="C143" t="s">
        <v>13</v>
      </c>
      <c r="D143" t="s">
        <v>743</v>
      </c>
      <c r="E143" t="s">
        <v>102</v>
      </c>
      <c r="F143" t="s">
        <v>793</v>
      </c>
    </row>
    <row r="144" spans="1:7" x14ac:dyDescent="0.25">
      <c r="A144" t="str">
        <f t="shared" si="2"/>
        <v>TC_H_07_CSMS Core</v>
      </c>
      <c r="B144" t="s">
        <v>226</v>
      </c>
      <c r="C144" t="s">
        <v>13</v>
      </c>
      <c r="D144" t="s">
        <v>744</v>
      </c>
      <c r="E144" t="s">
        <v>102</v>
      </c>
      <c r="F144" t="s">
        <v>793</v>
      </c>
    </row>
    <row r="145" spans="1:7" x14ac:dyDescent="0.25">
      <c r="A145" t="str">
        <f t="shared" si="2"/>
        <v>TC_H_22_CSMS Core</v>
      </c>
      <c r="B145" t="s">
        <v>234</v>
      </c>
      <c r="C145" t="s">
        <v>13</v>
      </c>
      <c r="D145" t="s">
        <v>745</v>
      </c>
      <c r="E145" t="s">
        <v>102</v>
      </c>
      <c r="F145" t="s">
        <v>793</v>
      </c>
    </row>
    <row r="146" spans="1:7" x14ac:dyDescent="0.25">
      <c r="A146" t="str">
        <f t="shared" si="2"/>
        <v>TC_H_19_CSMS Core</v>
      </c>
      <c r="B146" t="s">
        <v>232</v>
      </c>
      <c r="C146" t="s">
        <v>13</v>
      </c>
      <c r="D146" t="s">
        <v>746</v>
      </c>
      <c r="E146" t="s">
        <v>102</v>
      </c>
      <c r="F146" t="s">
        <v>793</v>
      </c>
    </row>
    <row r="147" spans="1:7" x14ac:dyDescent="0.25">
      <c r="A147" t="str">
        <f t="shared" si="2"/>
        <v>TC_H_08_CSMS Core</v>
      </c>
      <c r="B147" t="s">
        <v>227</v>
      </c>
      <c r="C147" t="s">
        <v>13</v>
      </c>
      <c r="D147" t="s">
        <v>747</v>
      </c>
      <c r="E147" t="s">
        <v>102</v>
      </c>
      <c r="F147" t="s">
        <v>810</v>
      </c>
      <c r="G147" t="s">
        <v>228</v>
      </c>
    </row>
    <row r="148" spans="1:7" x14ac:dyDescent="0.25">
      <c r="A148" t="str">
        <f t="shared" si="2"/>
        <v>TC_H_14_CSMS Core</v>
      </c>
      <c r="B148" t="s">
        <v>229</v>
      </c>
      <c r="C148" t="s">
        <v>13</v>
      </c>
      <c r="D148" t="s">
        <v>748</v>
      </c>
      <c r="E148" t="s">
        <v>102</v>
      </c>
      <c r="F148" t="s">
        <v>810</v>
      </c>
      <c r="G148" t="s">
        <v>228</v>
      </c>
    </row>
    <row r="149" spans="1:7" x14ac:dyDescent="0.25">
      <c r="A149" t="str">
        <f t="shared" si="2"/>
        <v>TC_H_15_CSMS Core</v>
      </c>
      <c r="B149" t="s">
        <v>230</v>
      </c>
      <c r="C149" t="s">
        <v>13</v>
      </c>
      <c r="D149" t="s">
        <v>749</v>
      </c>
      <c r="E149" t="s">
        <v>102</v>
      </c>
      <c r="F149" t="s">
        <v>811</v>
      </c>
      <c r="G149" t="s">
        <v>487</v>
      </c>
    </row>
    <row r="150" spans="1:7" x14ac:dyDescent="0.25">
      <c r="A150" t="str">
        <f t="shared" si="2"/>
        <v>TC_H_17_CSMS Core</v>
      </c>
      <c r="B150" t="s">
        <v>231</v>
      </c>
      <c r="C150" t="s">
        <v>13</v>
      </c>
      <c r="D150" t="s">
        <v>750</v>
      </c>
      <c r="E150" t="s">
        <v>102</v>
      </c>
      <c r="F150" t="s">
        <v>793</v>
      </c>
    </row>
    <row r="151" spans="1:7" x14ac:dyDescent="0.25">
      <c r="A151" t="str">
        <f t="shared" si="2"/>
        <v>TC_H_20_CSMS Core</v>
      </c>
      <c r="B151" t="s">
        <v>233</v>
      </c>
      <c r="C151" t="s">
        <v>13</v>
      </c>
      <c r="D151" t="s">
        <v>751</v>
      </c>
      <c r="E151" t="s">
        <v>102</v>
      </c>
      <c r="F151" t="s">
        <v>793</v>
      </c>
    </row>
    <row r="152" spans="1:7" x14ac:dyDescent="0.25">
      <c r="A152" t="str">
        <f t="shared" si="2"/>
        <v>TC_B_18_CSMS Core</v>
      </c>
      <c r="B152" t="s">
        <v>116</v>
      </c>
      <c r="C152" t="s">
        <v>13</v>
      </c>
      <c r="D152" t="s">
        <v>727</v>
      </c>
      <c r="E152" t="s">
        <v>102</v>
      </c>
      <c r="F152" t="s">
        <v>794</v>
      </c>
    </row>
    <row r="153" spans="1:7" x14ac:dyDescent="0.25">
      <c r="A153" t="str">
        <f t="shared" si="2"/>
        <v>TC_N_01_CSMS Core</v>
      </c>
      <c r="B153" t="s">
        <v>308</v>
      </c>
      <c r="C153" t="s">
        <v>13</v>
      </c>
      <c r="D153" t="s">
        <v>728</v>
      </c>
      <c r="E153" t="s">
        <v>102</v>
      </c>
      <c r="F153" t="s">
        <v>794</v>
      </c>
    </row>
    <row r="154" spans="1:7" x14ac:dyDescent="0.25">
      <c r="A154" t="str">
        <f t="shared" si="2"/>
        <v>TC_N_02_CSMS Core</v>
      </c>
      <c r="B154" t="s">
        <v>309</v>
      </c>
      <c r="C154" t="s">
        <v>13</v>
      </c>
      <c r="D154" t="s">
        <v>729</v>
      </c>
      <c r="E154" t="s">
        <v>102</v>
      </c>
      <c r="F154" t="s">
        <v>794</v>
      </c>
    </row>
    <row r="155" spans="1:7" x14ac:dyDescent="0.25">
      <c r="A155" t="str">
        <f t="shared" si="2"/>
        <v>TC_N_03_CSMS Core</v>
      </c>
      <c r="B155" t="s">
        <v>310</v>
      </c>
      <c r="C155" t="s">
        <v>13</v>
      </c>
      <c r="D155" t="s">
        <v>730</v>
      </c>
      <c r="E155" t="s">
        <v>102</v>
      </c>
      <c r="F155" t="s">
        <v>794</v>
      </c>
    </row>
    <row r="156" spans="1:7" x14ac:dyDescent="0.25">
      <c r="A156" t="str">
        <f t="shared" si="2"/>
        <v>TC_N_47_CSMS Core</v>
      </c>
      <c r="B156" t="s">
        <v>330</v>
      </c>
      <c r="C156" t="s">
        <v>13</v>
      </c>
      <c r="D156" t="s">
        <v>731</v>
      </c>
      <c r="E156" t="s">
        <v>102</v>
      </c>
      <c r="F156" t="s">
        <v>794</v>
      </c>
    </row>
    <row r="157" spans="1:7" x14ac:dyDescent="0.25">
      <c r="A157" t="str">
        <f t="shared" si="2"/>
        <v>TC_N_60_CSMS Core</v>
      </c>
      <c r="B157" t="s">
        <v>333</v>
      </c>
      <c r="C157" t="s">
        <v>13</v>
      </c>
      <c r="D157" t="s">
        <v>732</v>
      </c>
      <c r="E157" t="s">
        <v>102</v>
      </c>
      <c r="F157" t="s">
        <v>794</v>
      </c>
    </row>
    <row r="158" spans="1:7" x14ac:dyDescent="0.25">
      <c r="A158" t="str">
        <f t="shared" si="2"/>
        <v>TC_N_05_CSMS Core</v>
      </c>
      <c r="B158" t="s">
        <v>311</v>
      </c>
      <c r="C158" t="s">
        <v>13</v>
      </c>
      <c r="D158" t="s">
        <v>733</v>
      </c>
      <c r="E158" t="s">
        <v>102</v>
      </c>
      <c r="F158" t="s">
        <v>794</v>
      </c>
    </row>
    <row r="159" spans="1:7" x14ac:dyDescent="0.25">
      <c r="A159" t="str">
        <f t="shared" si="2"/>
        <v>TC_N_08_CSMS Core</v>
      </c>
      <c r="B159" t="s">
        <v>312</v>
      </c>
      <c r="C159" t="s">
        <v>13</v>
      </c>
      <c r="D159" t="s">
        <v>734</v>
      </c>
      <c r="E159" t="s">
        <v>102</v>
      </c>
      <c r="F159" t="s">
        <v>794</v>
      </c>
    </row>
    <row r="160" spans="1:7" x14ac:dyDescent="0.25">
      <c r="A160" t="str">
        <f t="shared" si="2"/>
        <v>TC_N_24_CSMS Core</v>
      </c>
      <c r="B160" t="s">
        <v>316</v>
      </c>
      <c r="C160" t="s">
        <v>13</v>
      </c>
      <c r="D160" t="s">
        <v>735</v>
      </c>
      <c r="E160" t="s">
        <v>102</v>
      </c>
      <c r="F160" t="s">
        <v>794</v>
      </c>
    </row>
    <row r="161" spans="1:7" x14ac:dyDescent="0.25">
      <c r="A161" t="str">
        <f t="shared" si="2"/>
        <v>TC_N_16_CSMS Core</v>
      </c>
      <c r="B161" t="s">
        <v>313</v>
      </c>
      <c r="C161" t="s">
        <v>13</v>
      </c>
      <c r="D161" t="s">
        <v>736</v>
      </c>
      <c r="E161" t="s">
        <v>102</v>
      </c>
      <c r="F161" t="s">
        <v>794</v>
      </c>
    </row>
    <row r="162" spans="1:7" x14ac:dyDescent="0.25">
      <c r="A162" t="str">
        <f t="shared" si="2"/>
        <v>TC_N_17_CSMS Core</v>
      </c>
      <c r="B162" t="s">
        <v>314</v>
      </c>
      <c r="C162" t="s">
        <v>13</v>
      </c>
      <c r="D162" t="s">
        <v>737</v>
      </c>
      <c r="E162" t="s">
        <v>102</v>
      </c>
      <c r="F162" t="s">
        <v>794</v>
      </c>
    </row>
    <row r="163" spans="1:7" x14ac:dyDescent="0.25">
      <c r="A163" t="str">
        <f t="shared" si="2"/>
        <v>TC_N_18_CSMS Core</v>
      </c>
      <c r="B163" t="s">
        <v>315</v>
      </c>
      <c r="C163" t="s">
        <v>13</v>
      </c>
      <c r="D163" t="s">
        <v>738</v>
      </c>
      <c r="E163" t="s">
        <v>102</v>
      </c>
      <c r="F163" t="s">
        <v>794</v>
      </c>
    </row>
    <row r="164" spans="1:7" x14ac:dyDescent="0.25">
      <c r="A164" t="str">
        <f t="shared" si="2"/>
        <v>TC_N_44_CSMS Core</v>
      </c>
      <c r="B164" t="s">
        <v>328</v>
      </c>
      <c r="C164" t="s">
        <v>13</v>
      </c>
      <c r="D164" t="s">
        <v>739</v>
      </c>
      <c r="E164" t="s">
        <v>102</v>
      </c>
      <c r="F164" t="s">
        <v>794</v>
      </c>
    </row>
    <row r="165" spans="1:7" x14ac:dyDescent="0.25">
      <c r="A165" t="str">
        <f t="shared" si="2"/>
        <v>TC_N_21_CSMS Core</v>
      </c>
      <c r="B165" t="s">
        <v>488</v>
      </c>
      <c r="C165" t="s">
        <v>13</v>
      </c>
      <c r="D165" t="s">
        <v>740</v>
      </c>
      <c r="E165" t="s">
        <v>102</v>
      </c>
      <c r="F165" t="s">
        <v>794</v>
      </c>
    </row>
    <row r="166" spans="1:7" x14ac:dyDescent="0.25">
      <c r="A166" t="str">
        <f t="shared" si="2"/>
        <v>TC_N_49_CSMS Core</v>
      </c>
      <c r="B166" t="s">
        <v>331</v>
      </c>
      <c r="C166" t="s">
        <v>13</v>
      </c>
      <c r="D166" t="s">
        <v>741</v>
      </c>
      <c r="E166" t="s">
        <v>102</v>
      </c>
      <c r="F166" t="s">
        <v>794</v>
      </c>
    </row>
    <row r="167" spans="1:7" x14ac:dyDescent="0.25">
      <c r="A167" t="str">
        <f t="shared" si="2"/>
        <v>TC_N_50_CSMS Core</v>
      </c>
      <c r="B167" t="s">
        <v>332</v>
      </c>
      <c r="C167" t="s">
        <v>13</v>
      </c>
      <c r="D167" t="s">
        <v>742</v>
      </c>
      <c r="E167" t="s">
        <v>102</v>
      </c>
      <c r="F167" t="s">
        <v>794</v>
      </c>
    </row>
    <row r="168" spans="1:7" x14ac:dyDescent="0.25">
      <c r="A168" t="str">
        <f t="shared" si="2"/>
        <v>TC_I_01_CSMS Core</v>
      </c>
      <c r="B168" t="s">
        <v>235</v>
      </c>
      <c r="C168" t="s">
        <v>13</v>
      </c>
      <c r="D168" t="s">
        <v>752</v>
      </c>
      <c r="E168" t="s">
        <v>102</v>
      </c>
      <c r="F168" t="s">
        <v>798</v>
      </c>
    </row>
    <row r="169" spans="1:7" x14ac:dyDescent="0.25">
      <c r="A169" t="str">
        <f t="shared" si="2"/>
        <v>TC_I_02_CSMS Core</v>
      </c>
      <c r="B169" t="s">
        <v>236</v>
      </c>
      <c r="C169" t="s">
        <v>13</v>
      </c>
      <c r="D169" t="s">
        <v>753</v>
      </c>
      <c r="E169" t="s">
        <v>102</v>
      </c>
      <c r="F169" t="s">
        <v>798</v>
      </c>
    </row>
    <row r="170" spans="1:7" x14ac:dyDescent="0.25">
      <c r="A170" t="str">
        <f t="shared" si="2"/>
        <v>TC_O_01_CSMS Core</v>
      </c>
      <c r="B170" t="s">
        <v>336</v>
      </c>
      <c r="C170" t="s">
        <v>13</v>
      </c>
      <c r="D170" t="s">
        <v>754</v>
      </c>
      <c r="E170" t="s">
        <v>102</v>
      </c>
      <c r="F170" t="s">
        <v>798</v>
      </c>
      <c r="G170" t="s">
        <v>812</v>
      </c>
    </row>
    <row r="171" spans="1:7" x14ac:dyDescent="0.25">
      <c r="A171" t="str">
        <f t="shared" si="2"/>
        <v>TC_O_26_CSMS Core</v>
      </c>
      <c r="B171" t="s">
        <v>352</v>
      </c>
      <c r="C171" t="s">
        <v>13</v>
      </c>
      <c r="D171" t="s">
        <v>755</v>
      </c>
      <c r="E171" t="s">
        <v>102</v>
      </c>
      <c r="F171" t="s">
        <v>798</v>
      </c>
    </row>
    <row r="172" spans="1:7" x14ac:dyDescent="0.25">
      <c r="A172" t="str">
        <f t="shared" si="2"/>
        <v>TC_O_13_CSMS Core</v>
      </c>
      <c r="B172" t="s">
        <v>347</v>
      </c>
      <c r="C172" t="s">
        <v>13</v>
      </c>
      <c r="D172" t="s">
        <v>756</v>
      </c>
      <c r="E172" t="s">
        <v>102</v>
      </c>
      <c r="F172" t="s">
        <v>798</v>
      </c>
    </row>
    <row r="173" spans="1:7" x14ac:dyDescent="0.25">
      <c r="A173" t="str">
        <f t="shared" si="2"/>
        <v>TC_O_14_CSMS Core</v>
      </c>
      <c r="B173" t="s">
        <v>348</v>
      </c>
      <c r="C173" t="s">
        <v>13</v>
      </c>
      <c r="D173" t="s">
        <v>757</v>
      </c>
      <c r="E173" t="s">
        <v>102</v>
      </c>
      <c r="F173" t="s">
        <v>798</v>
      </c>
    </row>
    <row r="174" spans="1:7" x14ac:dyDescent="0.25">
      <c r="A174" t="str">
        <f t="shared" si="2"/>
        <v>TC_O_17_CSMS Core</v>
      </c>
      <c r="B174" t="s">
        <v>349</v>
      </c>
      <c r="C174" t="s">
        <v>13</v>
      </c>
      <c r="D174" t="s">
        <v>758</v>
      </c>
      <c r="E174" t="s">
        <v>102</v>
      </c>
      <c r="F174" t="s">
        <v>798</v>
      </c>
    </row>
    <row r="175" spans="1:7" x14ac:dyDescent="0.25">
      <c r="A175" t="str">
        <f t="shared" si="2"/>
        <v>TC_O_18_CSMS Core</v>
      </c>
      <c r="B175" t="s">
        <v>350</v>
      </c>
      <c r="C175" t="s">
        <v>13</v>
      </c>
      <c r="D175" t="s">
        <v>759</v>
      </c>
      <c r="E175" t="s">
        <v>102</v>
      </c>
      <c r="F175" t="s">
        <v>798</v>
      </c>
    </row>
    <row r="176" spans="1:7" x14ac:dyDescent="0.25">
      <c r="A176" t="str">
        <f t="shared" si="2"/>
        <v>TC_O_19_CSMS Core</v>
      </c>
      <c r="B176" t="s">
        <v>351</v>
      </c>
      <c r="C176" t="s">
        <v>13</v>
      </c>
      <c r="D176" t="s">
        <v>760</v>
      </c>
      <c r="E176" t="s">
        <v>102</v>
      </c>
      <c r="F176" t="s">
        <v>798</v>
      </c>
    </row>
    <row r="177" spans="1:7" x14ac:dyDescent="0.25">
      <c r="A177" t="str">
        <f t="shared" si="2"/>
        <v>TC_O_12_CSMS Core</v>
      </c>
      <c r="B177" t="s">
        <v>346</v>
      </c>
      <c r="C177" t="s">
        <v>13</v>
      </c>
      <c r="D177" t="s">
        <v>761</v>
      </c>
      <c r="E177" t="s">
        <v>102</v>
      </c>
      <c r="F177" t="s">
        <v>798</v>
      </c>
    </row>
    <row r="178" spans="1:7" x14ac:dyDescent="0.25">
      <c r="A178" t="str">
        <f t="shared" si="2"/>
        <v>TC_O_06_CSMS Core</v>
      </c>
      <c r="B178" t="s">
        <v>341</v>
      </c>
      <c r="C178" t="s">
        <v>13</v>
      </c>
      <c r="D178" t="s">
        <v>762</v>
      </c>
      <c r="E178" t="s">
        <v>102</v>
      </c>
      <c r="F178" t="s">
        <v>798</v>
      </c>
    </row>
    <row r="179" spans="1:7" x14ac:dyDescent="0.25">
      <c r="A179" t="str">
        <f t="shared" si="2"/>
        <v>TC_O_10_CSMS Core</v>
      </c>
      <c r="B179" t="s">
        <v>345</v>
      </c>
      <c r="C179" t="s">
        <v>13</v>
      </c>
      <c r="D179" t="s">
        <v>763</v>
      </c>
      <c r="E179" t="s">
        <v>102</v>
      </c>
      <c r="F179" t="s">
        <v>798</v>
      </c>
    </row>
    <row r="180" spans="1:7" x14ac:dyDescent="0.25">
      <c r="A180" t="str">
        <f t="shared" si="2"/>
        <v>TC_O_27_CSMS Core</v>
      </c>
      <c r="B180" t="s">
        <v>353</v>
      </c>
      <c r="C180" t="s">
        <v>13</v>
      </c>
      <c r="D180" t="s">
        <v>764</v>
      </c>
      <c r="E180" t="s">
        <v>102</v>
      </c>
      <c r="F180" t="s">
        <v>798</v>
      </c>
    </row>
    <row r="181" spans="1:7" x14ac:dyDescent="0.25">
      <c r="A181" t="str">
        <f t="shared" si="2"/>
        <v>TC_O_28_CSMS Core</v>
      </c>
      <c r="B181" t="s">
        <v>354</v>
      </c>
      <c r="C181" t="s">
        <v>13</v>
      </c>
      <c r="D181" t="s">
        <v>765</v>
      </c>
      <c r="E181" t="s">
        <v>102</v>
      </c>
      <c r="F181" t="s">
        <v>798</v>
      </c>
    </row>
    <row r="182" spans="1:7" x14ac:dyDescent="0.25">
      <c r="A182" t="str">
        <f t="shared" si="2"/>
        <v>TC_O_02_CSMS Core</v>
      </c>
      <c r="B182" t="s">
        <v>337</v>
      </c>
      <c r="C182" t="s">
        <v>13</v>
      </c>
      <c r="D182" t="s">
        <v>766</v>
      </c>
      <c r="E182" t="s">
        <v>102</v>
      </c>
      <c r="F182" t="s">
        <v>798</v>
      </c>
    </row>
    <row r="183" spans="1:7" x14ac:dyDescent="0.25">
      <c r="A183" t="str">
        <f t="shared" si="2"/>
        <v>TC_O_03_CSMS Core</v>
      </c>
      <c r="B183" t="s">
        <v>338</v>
      </c>
      <c r="C183" t="s">
        <v>13</v>
      </c>
      <c r="D183" t="s">
        <v>767</v>
      </c>
      <c r="E183" t="s">
        <v>102</v>
      </c>
      <c r="F183" t="s">
        <v>798</v>
      </c>
    </row>
    <row r="184" spans="1:7" x14ac:dyDescent="0.25">
      <c r="A184" t="str">
        <f t="shared" si="2"/>
        <v>TC_O_07_CSMS Core</v>
      </c>
      <c r="B184" t="s">
        <v>342</v>
      </c>
      <c r="C184" t="s">
        <v>13</v>
      </c>
      <c r="D184" t="s">
        <v>768</v>
      </c>
      <c r="E184" t="s">
        <v>102</v>
      </c>
      <c r="F184" t="s">
        <v>798</v>
      </c>
    </row>
    <row r="185" spans="1:7" x14ac:dyDescent="0.25">
      <c r="A185" t="str">
        <f t="shared" si="2"/>
        <v>TC_O_08_CSMS Core</v>
      </c>
      <c r="B185" t="s">
        <v>343</v>
      </c>
      <c r="C185" t="s">
        <v>13</v>
      </c>
      <c r="D185" t="s">
        <v>769</v>
      </c>
      <c r="E185" t="s">
        <v>102</v>
      </c>
      <c r="F185" t="s">
        <v>798</v>
      </c>
      <c r="G185" t="s">
        <v>813</v>
      </c>
    </row>
    <row r="186" spans="1:7" x14ac:dyDescent="0.25">
      <c r="A186" t="str">
        <f t="shared" si="2"/>
        <v>TC_O_09_CSMS Core</v>
      </c>
      <c r="B186" t="s">
        <v>344</v>
      </c>
      <c r="C186" t="s">
        <v>13</v>
      </c>
      <c r="D186" t="s">
        <v>770</v>
      </c>
      <c r="E186" t="s">
        <v>102</v>
      </c>
      <c r="F186" t="s">
        <v>798</v>
      </c>
    </row>
    <row r="187" spans="1:7" x14ac:dyDescent="0.25">
      <c r="A187" t="str">
        <f t="shared" si="2"/>
        <v>TC_O_04_CSMS Core</v>
      </c>
      <c r="B187" t="s">
        <v>339</v>
      </c>
      <c r="C187" t="s">
        <v>13</v>
      </c>
      <c r="D187" t="s">
        <v>771</v>
      </c>
      <c r="E187" t="s">
        <v>102</v>
      </c>
      <c r="F187" t="s">
        <v>798</v>
      </c>
    </row>
    <row r="188" spans="1:7" x14ac:dyDescent="0.25">
      <c r="A188" t="str">
        <f t="shared" si="2"/>
        <v>TC_O_05_CSMS Core</v>
      </c>
      <c r="B188" t="s">
        <v>340</v>
      </c>
      <c r="C188" t="s">
        <v>13</v>
      </c>
      <c r="D188" t="s">
        <v>772</v>
      </c>
      <c r="E188" t="s">
        <v>102</v>
      </c>
      <c r="F188" t="s">
        <v>798</v>
      </c>
    </row>
    <row r="189" spans="1:7" x14ac:dyDescent="0.25">
      <c r="A189" t="str">
        <f t="shared" si="2"/>
        <v>TC_A_07_CSMS Advanced Security</v>
      </c>
      <c r="B189" t="s">
        <v>96</v>
      </c>
      <c r="C189" t="s">
        <v>15</v>
      </c>
      <c r="D189" t="s">
        <v>692</v>
      </c>
      <c r="E189" t="s">
        <v>91</v>
      </c>
    </row>
    <row r="190" spans="1:7" x14ac:dyDescent="0.25">
      <c r="A190" t="str">
        <f t="shared" si="2"/>
        <v>TC_A_08_CSMS Advanced Security</v>
      </c>
      <c r="B190" t="s">
        <v>97</v>
      </c>
      <c r="C190" t="s">
        <v>15</v>
      </c>
      <c r="D190" t="s">
        <v>693</v>
      </c>
      <c r="E190" t="s">
        <v>91</v>
      </c>
    </row>
    <row r="191" spans="1:7" x14ac:dyDescent="0.25">
      <c r="A191" t="str">
        <f t="shared" si="2"/>
        <v>TC_A_11_CSMS Advanced Security</v>
      </c>
      <c r="B191" t="s">
        <v>100</v>
      </c>
      <c r="C191" t="s">
        <v>15</v>
      </c>
      <c r="D191" t="s">
        <v>694</v>
      </c>
      <c r="E191" t="s">
        <v>91</v>
      </c>
    </row>
    <row r="192" spans="1:7" x14ac:dyDescent="0.25">
      <c r="A192" t="str">
        <f t="shared" si="2"/>
        <v>TC_A_14_CSMS Advanced Security</v>
      </c>
      <c r="B192" t="s">
        <v>103</v>
      </c>
      <c r="C192" t="s">
        <v>15</v>
      </c>
      <c r="D192" t="s">
        <v>695</v>
      </c>
      <c r="E192" t="s">
        <v>91</v>
      </c>
    </row>
    <row r="193" spans="1:7" x14ac:dyDescent="0.25">
      <c r="A193" t="str">
        <f t="shared" si="2"/>
        <v>TC_K_01_CSMS Smart Charging</v>
      </c>
      <c r="B193" t="s">
        <v>251</v>
      </c>
      <c r="C193" t="s">
        <v>19</v>
      </c>
      <c r="D193" t="s">
        <v>705</v>
      </c>
      <c r="E193" t="s">
        <v>91</v>
      </c>
    </row>
    <row r="194" spans="1:7" x14ac:dyDescent="0.25">
      <c r="A194" t="str">
        <f t="shared" si="2"/>
        <v>TC_K_10_CSMS Smart Charging</v>
      </c>
      <c r="B194" t="s">
        <v>257</v>
      </c>
      <c r="C194" t="s">
        <v>19</v>
      </c>
      <c r="D194" t="s">
        <v>706</v>
      </c>
      <c r="E194" t="s">
        <v>102</v>
      </c>
      <c r="F194" t="s">
        <v>57</v>
      </c>
      <c r="G194" t="s">
        <v>258</v>
      </c>
    </row>
    <row r="195" spans="1:7" x14ac:dyDescent="0.25">
      <c r="A195" t="str">
        <f t="shared" ref="A195:A251" si="3">B195&amp;" "&amp;C195</f>
        <v>TC_K_60_CSMS Smart Charging</v>
      </c>
      <c r="B195" t="s">
        <v>277</v>
      </c>
      <c r="C195" t="s">
        <v>19</v>
      </c>
      <c r="D195" t="s">
        <v>707</v>
      </c>
      <c r="E195" t="s">
        <v>91</v>
      </c>
    </row>
    <row r="196" spans="1:7" x14ac:dyDescent="0.25">
      <c r="A196" t="str">
        <f t="shared" si="3"/>
        <v>TC_K_03_CSMS Smart Charging</v>
      </c>
      <c r="B196" t="s">
        <v>252</v>
      </c>
      <c r="C196" t="s">
        <v>19</v>
      </c>
      <c r="D196" t="s">
        <v>708</v>
      </c>
      <c r="E196" t="s">
        <v>91</v>
      </c>
    </row>
    <row r="197" spans="1:7" x14ac:dyDescent="0.25">
      <c r="A197" t="str">
        <f t="shared" si="3"/>
        <v>TC_K_19_CSMS Smart Charging</v>
      </c>
      <c r="B197" t="s">
        <v>260</v>
      </c>
      <c r="C197" t="s">
        <v>19</v>
      </c>
      <c r="D197" t="s">
        <v>709</v>
      </c>
      <c r="E197" t="s">
        <v>91</v>
      </c>
    </row>
    <row r="198" spans="1:7" x14ac:dyDescent="0.25">
      <c r="A198" t="str">
        <f t="shared" si="3"/>
        <v>TC_K_15_CSMS Smart Charging</v>
      </c>
      <c r="B198" t="s">
        <v>259</v>
      </c>
      <c r="C198" t="s">
        <v>19</v>
      </c>
      <c r="D198" t="s">
        <v>710</v>
      </c>
      <c r="E198" t="s">
        <v>91</v>
      </c>
    </row>
    <row r="199" spans="1:7" x14ac:dyDescent="0.25">
      <c r="A199" t="str">
        <f t="shared" si="3"/>
        <v>TC_K_70_CSMS Smart Charging</v>
      </c>
      <c r="B199" t="s">
        <v>278</v>
      </c>
      <c r="C199" t="s">
        <v>19</v>
      </c>
      <c r="D199" t="s">
        <v>711</v>
      </c>
      <c r="E199" t="s">
        <v>91</v>
      </c>
    </row>
    <row r="200" spans="1:7" x14ac:dyDescent="0.25">
      <c r="A200" t="str">
        <f t="shared" si="3"/>
        <v>TC_K_04_CSMS Smart Charging</v>
      </c>
      <c r="B200" t="s">
        <v>253</v>
      </c>
      <c r="C200" t="s">
        <v>19</v>
      </c>
      <c r="D200" t="s">
        <v>712</v>
      </c>
      <c r="E200" t="s">
        <v>91</v>
      </c>
    </row>
    <row r="201" spans="1:7" x14ac:dyDescent="0.25">
      <c r="A201" t="str">
        <f t="shared" si="3"/>
        <v>TC_K_37_CSMS Smart Charging</v>
      </c>
      <c r="B201" t="s">
        <v>269</v>
      </c>
      <c r="C201" t="s">
        <v>19</v>
      </c>
      <c r="D201" t="s">
        <v>713</v>
      </c>
      <c r="E201" t="s">
        <v>91</v>
      </c>
    </row>
    <row r="202" spans="1:7" x14ac:dyDescent="0.25">
      <c r="A202" t="str">
        <f t="shared" si="3"/>
        <v>TC_K_43_CSMS Smart Charging</v>
      </c>
      <c r="B202" t="s">
        <v>270</v>
      </c>
      <c r="C202" t="s">
        <v>19</v>
      </c>
      <c r="D202" t="s">
        <v>714</v>
      </c>
      <c r="E202" t="s">
        <v>91</v>
      </c>
    </row>
    <row r="203" spans="1:7" x14ac:dyDescent="0.25">
      <c r="A203" t="str">
        <f t="shared" si="3"/>
        <v>TC_K_44_CSMS Smart Charging</v>
      </c>
      <c r="B203" t="s">
        <v>271</v>
      </c>
      <c r="C203" t="s">
        <v>19</v>
      </c>
      <c r="D203" t="s">
        <v>715</v>
      </c>
      <c r="E203" t="s">
        <v>91</v>
      </c>
    </row>
    <row r="204" spans="1:7" x14ac:dyDescent="0.25">
      <c r="A204" t="str">
        <f t="shared" si="3"/>
        <v>TC_K_29_CSMS Smart Charging</v>
      </c>
      <c r="B204" t="s">
        <v>261</v>
      </c>
      <c r="C204" t="s">
        <v>19</v>
      </c>
      <c r="D204" t="s">
        <v>716</v>
      </c>
      <c r="E204" t="s">
        <v>91</v>
      </c>
    </row>
    <row r="205" spans="1:7" x14ac:dyDescent="0.25">
      <c r="A205" t="str">
        <f t="shared" si="3"/>
        <v>TC_K_30_CSMS Smart Charging</v>
      </c>
      <c r="B205" t="s">
        <v>262</v>
      </c>
      <c r="C205" t="s">
        <v>19</v>
      </c>
      <c r="D205" t="s">
        <v>717</v>
      </c>
      <c r="E205" t="s">
        <v>91</v>
      </c>
    </row>
    <row r="206" spans="1:7" x14ac:dyDescent="0.25">
      <c r="A206" t="str">
        <f t="shared" si="3"/>
        <v>TC_K_31_CSMS Smart Charging</v>
      </c>
      <c r="B206" t="s">
        <v>263</v>
      </c>
      <c r="C206" t="s">
        <v>19</v>
      </c>
      <c r="D206" t="s">
        <v>718</v>
      </c>
      <c r="E206" t="s">
        <v>91</v>
      </c>
    </row>
    <row r="207" spans="1:7" x14ac:dyDescent="0.25">
      <c r="A207" t="str">
        <f t="shared" si="3"/>
        <v>TC_K_32_CSMS Smart Charging</v>
      </c>
      <c r="B207" t="s">
        <v>264</v>
      </c>
      <c r="C207" t="s">
        <v>19</v>
      </c>
      <c r="D207" t="s">
        <v>719</v>
      </c>
      <c r="E207" t="s">
        <v>91</v>
      </c>
    </row>
    <row r="208" spans="1:7" x14ac:dyDescent="0.25">
      <c r="A208" t="str">
        <f t="shared" si="3"/>
        <v>TC_K_33_CSMS Smart Charging</v>
      </c>
      <c r="B208" t="s">
        <v>265</v>
      </c>
      <c r="C208" t="s">
        <v>19</v>
      </c>
      <c r="D208" t="s">
        <v>720</v>
      </c>
      <c r="E208" t="s">
        <v>91</v>
      </c>
    </row>
    <row r="209" spans="1:6" x14ac:dyDescent="0.25">
      <c r="A209" t="str">
        <f t="shared" si="3"/>
        <v>TC_K_34_CSMS Smart Charging</v>
      </c>
      <c r="B209" t="s">
        <v>266</v>
      </c>
      <c r="C209" t="s">
        <v>19</v>
      </c>
      <c r="D209" t="s">
        <v>721</v>
      </c>
      <c r="E209" t="s">
        <v>91</v>
      </c>
    </row>
    <row r="210" spans="1:6" x14ac:dyDescent="0.25">
      <c r="A210" t="str">
        <f t="shared" si="3"/>
        <v>TC_K_35_CSMS Smart Charging</v>
      </c>
      <c r="B210" t="s">
        <v>267</v>
      </c>
      <c r="C210" t="s">
        <v>19</v>
      </c>
      <c r="D210" t="s">
        <v>722</v>
      </c>
      <c r="E210" t="s">
        <v>91</v>
      </c>
    </row>
    <row r="211" spans="1:6" x14ac:dyDescent="0.25">
      <c r="A211" t="str">
        <f t="shared" si="3"/>
        <v>TC_K_36_CSMS Smart Charging</v>
      </c>
      <c r="B211" t="s">
        <v>268</v>
      </c>
      <c r="C211" t="s">
        <v>19</v>
      </c>
      <c r="D211" t="s">
        <v>723</v>
      </c>
      <c r="E211" t="s">
        <v>91</v>
      </c>
    </row>
    <row r="212" spans="1:6" x14ac:dyDescent="0.25">
      <c r="A212" t="str">
        <f t="shared" si="3"/>
        <v>TC_K_05_CSMS Smart Charging</v>
      </c>
      <c r="B212" t="s">
        <v>254</v>
      </c>
      <c r="C212" t="s">
        <v>19</v>
      </c>
      <c r="D212" t="s">
        <v>724</v>
      </c>
      <c r="E212" t="s">
        <v>91</v>
      </c>
    </row>
    <row r="213" spans="1:6" x14ac:dyDescent="0.25">
      <c r="A213" t="str">
        <f t="shared" si="3"/>
        <v>TC_K_06_CSMS Smart Charging</v>
      </c>
      <c r="B213" t="s">
        <v>255</v>
      </c>
      <c r="C213" t="s">
        <v>19</v>
      </c>
      <c r="D213" t="s">
        <v>725</v>
      </c>
      <c r="E213" t="s">
        <v>91</v>
      </c>
    </row>
    <row r="214" spans="1:6" x14ac:dyDescent="0.25">
      <c r="A214" t="str">
        <f t="shared" si="3"/>
        <v>TC_K_08_CSMS Smart Charging</v>
      </c>
      <c r="B214" t="s">
        <v>256</v>
      </c>
      <c r="C214" t="s">
        <v>19</v>
      </c>
      <c r="D214" t="s">
        <v>726</v>
      </c>
      <c r="E214" t="s">
        <v>91</v>
      </c>
    </row>
    <row r="215" spans="1:6" x14ac:dyDescent="0.25">
      <c r="A215" t="str">
        <f t="shared" si="3"/>
        <v>TC_A_12_CSMS ISO 15118 Support</v>
      </c>
      <c r="B215" t="s">
        <v>101</v>
      </c>
      <c r="C215" t="s">
        <v>24</v>
      </c>
      <c r="D215" t="s">
        <v>773</v>
      </c>
      <c r="E215" t="s">
        <v>91</v>
      </c>
    </row>
    <row r="216" spans="1:6" x14ac:dyDescent="0.25">
      <c r="A216" t="str">
        <f t="shared" si="3"/>
        <v>TC_C_50_CSMS ISO 15118 Support</v>
      </c>
      <c r="B216" t="s">
        <v>146</v>
      </c>
      <c r="C216" t="s">
        <v>24</v>
      </c>
      <c r="D216" t="s">
        <v>774</v>
      </c>
      <c r="E216" t="s">
        <v>91</v>
      </c>
    </row>
    <row r="217" spans="1:6" x14ac:dyDescent="0.25">
      <c r="A217" t="str">
        <f t="shared" si="3"/>
        <v>TC_C_51_CSMS ISO 15118 Support</v>
      </c>
      <c r="B217" t="s">
        <v>486</v>
      </c>
      <c r="C217" t="s">
        <v>24</v>
      </c>
      <c r="D217" t="s">
        <v>775</v>
      </c>
      <c r="E217" t="s">
        <v>91</v>
      </c>
    </row>
    <row r="218" spans="1:6" x14ac:dyDescent="0.25">
      <c r="A218" t="str">
        <f t="shared" si="3"/>
        <v>TC_C_52_CSMS ISO 15118 Support</v>
      </c>
      <c r="B218" t="s">
        <v>147</v>
      </c>
      <c r="C218" t="s">
        <v>24</v>
      </c>
      <c r="D218" t="s">
        <v>776</v>
      </c>
      <c r="E218" t="s">
        <v>91</v>
      </c>
      <c r="F218" t="s">
        <v>480</v>
      </c>
    </row>
    <row r="219" spans="1:6" x14ac:dyDescent="0.25">
      <c r="A219" t="str">
        <f t="shared" si="3"/>
        <v>TC_K_01_CSMS ISO 15118 Support</v>
      </c>
      <c r="B219" t="s">
        <v>251</v>
      </c>
      <c r="C219" t="s">
        <v>24</v>
      </c>
      <c r="D219" t="s">
        <v>705</v>
      </c>
      <c r="E219" t="s">
        <v>91</v>
      </c>
    </row>
    <row r="220" spans="1:6" x14ac:dyDescent="0.25">
      <c r="A220" t="str">
        <f t="shared" si="3"/>
        <v>TC_K_10_CSMS ISO 15118 Support</v>
      </c>
      <c r="B220" t="s">
        <v>257</v>
      </c>
      <c r="C220" t="s">
        <v>24</v>
      </c>
      <c r="D220" t="s">
        <v>706</v>
      </c>
      <c r="E220" t="s">
        <v>91</v>
      </c>
    </row>
    <row r="221" spans="1:6" x14ac:dyDescent="0.25">
      <c r="A221" t="str">
        <f t="shared" si="3"/>
        <v>TC_K_60_CSMS ISO 15118 Support</v>
      </c>
      <c r="B221" t="s">
        <v>277</v>
      </c>
      <c r="C221" t="s">
        <v>24</v>
      </c>
      <c r="D221" t="s">
        <v>707</v>
      </c>
      <c r="E221" t="s">
        <v>91</v>
      </c>
    </row>
    <row r="222" spans="1:6" x14ac:dyDescent="0.25">
      <c r="A222" t="str">
        <f t="shared" si="3"/>
        <v>TC_K_03_CSMS ISO 15118 Support</v>
      </c>
      <c r="B222" t="s">
        <v>252</v>
      </c>
      <c r="C222" t="s">
        <v>24</v>
      </c>
      <c r="D222" t="s">
        <v>708</v>
      </c>
      <c r="E222" t="s">
        <v>91</v>
      </c>
    </row>
    <row r="223" spans="1:6" x14ac:dyDescent="0.25">
      <c r="A223" t="str">
        <f t="shared" si="3"/>
        <v>TC_K_19_CSMS ISO 15118 Support</v>
      </c>
      <c r="B223" t="s">
        <v>260</v>
      </c>
      <c r="C223" t="s">
        <v>24</v>
      </c>
      <c r="D223" t="s">
        <v>709</v>
      </c>
      <c r="E223" t="s">
        <v>91</v>
      </c>
    </row>
    <row r="224" spans="1:6" x14ac:dyDescent="0.25">
      <c r="A224" t="str">
        <f t="shared" si="3"/>
        <v>TC_K_04_CSMS ISO 15118 Support</v>
      </c>
      <c r="B224" t="s">
        <v>253</v>
      </c>
      <c r="C224" t="s">
        <v>24</v>
      </c>
      <c r="D224" t="s">
        <v>712</v>
      </c>
      <c r="E224" t="s">
        <v>91</v>
      </c>
    </row>
    <row r="225" spans="1:5" x14ac:dyDescent="0.25">
      <c r="A225" t="str">
        <f t="shared" si="3"/>
        <v>TC_K_43_CSMS ISO 15118 Support</v>
      </c>
      <c r="B225" t="s">
        <v>270</v>
      </c>
      <c r="C225" t="s">
        <v>24</v>
      </c>
      <c r="D225" t="s">
        <v>714</v>
      </c>
      <c r="E225" t="s">
        <v>91</v>
      </c>
    </row>
    <row r="226" spans="1:5" x14ac:dyDescent="0.25">
      <c r="A226" t="str">
        <f t="shared" si="3"/>
        <v>TC_K_44_CSMS ISO 15118 Support</v>
      </c>
      <c r="B226" t="s">
        <v>271</v>
      </c>
      <c r="C226" t="s">
        <v>24</v>
      </c>
      <c r="D226" t="s">
        <v>715</v>
      </c>
      <c r="E226" t="s">
        <v>91</v>
      </c>
    </row>
    <row r="227" spans="1:5" x14ac:dyDescent="0.25">
      <c r="A227" t="str">
        <f t="shared" si="3"/>
        <v>TC_K_29_CSMS ISO 15118 Support</v>
      </c>
      <c r="B227" t="s">
        <v>261</v>
      </c>
      <c r="C227" t="s">
        <v>24</v>
      </c>
      <c r="D227" t="s">
        <v>716</v>
      </c>
      <c r="E227" t="s">
        <v>91</v>
      </c>
    </row>
    <row r="228" spans="1:5" x14ac:dyDescent="0.25">
      <c r="A228" t="str">
        <f t="shared" si="3"/>
        <v>TC_K_30_CSMS ISO 15118 Support</v>
      </c>
      <c r="B228" t="s">
        <v>262</v>
      </c>
      <c r="C228" t="s">
        <v>24</v>
      </c>
      <c r="D228" t="s">
        <v>717</v>
      </c>
      <c r="E228" t="s">
        <v>91</v>
      </c>
    </row>
    <row r="229" spans="1:5" x14ac:dyDescent="0.25">
      <c r="A229" t="str">
        <f t="shared" si="3"/>
        <v>TC_K_31_CSMS ISO 15118 Support</v>
      </c>
      <c r="B229" t="s">
        <v>263</v>
      </c>
      <c r="C229" t="s">
        <v>24</v>
      </c>
      <c r="D229" t="s">
        <v>718</v>
      </c>
      <c r="E229" t="s">
        <v>91</v>
      </c>
    </row>
    <row r="230" spans="1:5" x14ac:dyDescent="0.25">
      <c r="A230" t="str">
        <f t="shared" si="3"/>
        <v>TC_K_32_CSMS ISO 15118 Support</v>
      </c>
      <c r="B230" t="s">
        <v>264</v>
      </c>
      <c r="C230" t="s">
        <v>24</v>
      </c>
      <c r="D230" t="s">
        <v>719</v>
      </c>
      <c r="E230" t="s">
        <v>91</v>
      </c>
    </row>
    <row r="231" spans="1:5" x14ac:dyDescent="0.25">
      <c r="A231" t="str">
        <f t="shared" si="3"/>
        <v>TC_K_33_CSMS ISO 15118 Support</v>
      </c>
      <c r="B231" t="s">
        <v>265</v>
      </c>
      <c r="C231" t="s">
        <v>24</v>
      </c>
      <c r="D231" t="s">
        <v>720</v>
      </c>
      <c r="E231" t="s">
        <v>91</v>
      </c>
    </row>
    <row r="232" spans="1:5" x14ac:dyDescent="0.25">
      <c r="A232" t="str">
        <f t="shared" si="3"/>
        <v>TC_K_34_CSMS ISO 15118 Support</v>
      </c>
      <c r="B232" t="s">
        <v>266</v>
      </c>
      <c r="C232" t="s">
        <v>24</v>
      </c>
      <c r="D232" t="s">
        <v>721</v>
      </c>
      <c r="E232" t="s">
        <v>91</v>
      </c>
    </row>
    <row r="233" spans="1:5" x14ac:dyDescent="0.25">
      <c r="A233" t="str">
        <f t="shared" si="3"/>
        <v>TC_K_35_CSMS ISO 15118 Support</v>
      </c>
      <c r="B233" t="s">
        <v>267</v>
      </c>
      <c r="C233" t="s">
        <v>24</v>
      </c>
      <c r="D233" t="s">
        <v>722</v>
      </c>
      <c r="E233" t="s">
        <v>91</v>
      </c>
    </row>
    <row r="234" spans="1:5" x14ac:dyDescent="0.25">
      <c r="A234" t="str">
        <f t="shared" si="3"/>
        <v>TC_K_36_CSMS ISO 15118 Support</v>
      </c>
      <c r="B234" t="s">
        <v>268</v>
      </c>
      <c r="C234" t="s">
        <v>24</v>
      </c>
      <c r="D234" t="s">
        <v>723</v>
      </c>
      <c r="E234" t="s">
        <v>91</v>
      </c>
    </row>
    <row r="235" spans="1:5" x14ac:dyDescent="0.25">
      <c r="A235" t="str">
        <f t="shared" si="3"/>
        <v>TC_K_05_CSMS ISO 15118 Support</v>
      </c>
      <c r="B235" t="s">
        <v>254</v>
      </c>
      <c r="C235" t="s">
        <v>24</v>
      </c>
      <c r="D235" t="s">
        <v>724</v>
      </c>
      <c r="E235" t="s">
        <v>91</v>
      </c>
    </row>
    <row r="236" spans="1:5" x14ac:dyDescent="0.25">
      <c r="A236" t="str">
        <f t="shared" si="3"/>
        <v>TC_K_06_CSMS ISO 15118 Support</v>
      </c>
      <c r="B236" t="s">
        <v>255</v>
      </c>
      <c r="C236" t="s">
        <v>24</v>
      </c>
      <c r="D236" t="s">
        <v>725</v>
      </c>
      <c r="E236" t="s">
        <v>91</v>
      </c>
    </row>
    <row r="237" spans="1:5" x14ac:dyDescent="0.25">
      <c r="A237" t="str">
        <f t="shared" si="3"/>
        <v>TC_K_08_CSMS ISO 15118 Support</v>
      </c>
      <c r="B237" t="s">
        <v>256</v>
      </c>
      <c r="C237" t="s">
        <v>24</v>
      </c>
      <c r="D237" t="s">
        <v>726</v>
      </c>
      <c r="E237" t="s">
        <v>91</v>
      </c>
    </row>
    <row r="238" spans="1:5" x14ac:dyDescent="0.25">
      <c r="A238" t="str">
        <f t="shared" si="3"/>
        <v>TC_K_53_CSMS ISO 15118 Support</v>
      </c>
      <c r="B238" t="s">
        <v>272</v>
      </c>
      <c r="C238" t="s">
        <v>24</v>
      </c>
      <c r="D238" t="s">
        <v>777</v>
      </c>
      <c r="E238" t="s">
        <v>91</v>
      </c>
    </row>
    <row r="239" spans="1:5" x14ac:dyDescent="0.25">
      <c r="A239" t="str">
        <f t="shared" si="3"/>
        <v>TC_K_55_CSMS ISO 15118 Support</v>
      </c>
      <c r="B239" t="s">
        <v>273</v>
      </c>
      <c r="C239" t="s">
        <v>24</v>
      </c>
      <c r="D239" t="s">
        <v>778</v>
      </c>
      <c r="E239" t="s">
        <v>91</v>
      </c>
    </row>
    <row r="240" spans="1:5" x14ac:dyDescent="0.25">
      <c r="A240" t="str">
        <f t="shared" si="3"/>
        <v>TC_K_57_CSMS ISO 15118 Support</v>
      </c>
      <c r="B240" t="s">
        <v>274</v>
      </c>
      <c r="C240" t="s">
        <v>24</v>
      </c>
      <c r="D240" t="s">
        <v>779</v>
      </c>
      <c r="E240" t="s">
        <v>91</v>
      </c>
    </row>
    <row r="241" spans="1:6" x14ac:dyDescent="0.25">
      <c r="A241" t="str">
        <f t="shared" si="3"/>
        <v>TC_K_58_CSMS ISO 15118 Support</v>
      </c>
      <c r="B241" t="s">
        <v>275</v>
      </c>
      <c r="C241" t="s">
        <v>24</v>
      </c>
      <c r="D241" t="s">
        <v>780</v>
      </c>
      <c r="E241" t="s">
        <v>91</v>
      </c>
    </row>
    <row r="242" spans="1:6" x14ac:dyDescent="0.25">
      <c r="A242" t="str">
        <f t="shared" si="3"/>
        <v>TC_K_59_CSMS ISO 15118 Support</v>
      </c>
      <c r="B242" t="s">
        <v>276</v>
      </c>
      <c r="C242" t="s">
        <v>24</v>
      </c>
      <c r="D242" t="s">
        <v>781</v>
      </c>
      <c r="E242" t="s">
        <v>91</v>
      </c>
    </row>
    <row r="243" spans="1:6" x14ac:dyDescent="0.25">
      <c r="A243" t="str">
        <f t="shared" si="3"/>
        <v>TC_M_26_CSMS ISO 15118 Support</v>
      </c>
      <c r="B243" t="s">
        <v>306</v>
      </c>
      <c r="C243" t="s">
        <v>24</v>
      </c>
      <c r="D243" t="s">
        <v>782</v>
      </c>
      <c r="E243" t="s">
        <v>91</v>
      </c>
    </row>
    <row r="244" spans="1:6" x14ac:dyDescent="0.25">
      <c r="A244" t="str">
        <f t="shared" si="3"/>
        <v>TC_M_28_CSMS ISO 15118 Support</v>
      </c>
      <c r="B244" t="s">
        <v>307</v>
      </c>
      <c r="C244" t="s">
        <v>24</v>
      </c>
      <c r="D244" t="s">
        <v>783</v>
      </c>
      <c r="E244" t="s">
        <v>91</v>
      </c>
    </row>
    <row r="245" spans="1:6" x14ac:dyDescent="0.25">
      <c r="A245" t="str">
        <f t="shared" si="3"/>
        <v>TC_M_14_CSMS ISO 15118 Support</v>
      </c>
      <c r="B245" t="s">
        <v>298</v>
      </c>
      <c r="C245" t="s">
        <v>24</v>
      </c>
      <c r="D245" t="s">
        <v>784</v>
      </c>
      <c r="E245" t="s">
        <v>91</v>
      </c>
    </row>
    <row r="246" spans="1:6" x14ac:dyDescent="0.25">
      <c r="A246" t="str">
        <f t="shared" si="3"/>
        <v>TC_M_15_CSMS ISO 15118 Support</v>
      </c>
      <c r="B246" t="s">
        <v>299</v>
      </c>
      <c r="C246" t="s">
        <v>24</v>
      </c>
      <c r="D246" t="s">
        <v>785</v>
      </c>
      <c r="E246" t="s">
        <v>91</v>
      </c>
    </row>
    <row r="247" spans="1:6" x14ac:dyDescent="0.25">
      <c r="A247" t="str">
        <f t="shared" si="3"/>
        <v>TC_M_16_CSMS ISO 15118 Support</v>
      </c>
      <c r="B247" t="s">
        <v>300</v>
      </c>
      <c r="C247" t="s">
        <v>24</v>
      </c>
      <c r="D247" t="s">
        <v>786</v>
      </c>
      <c r="E247" t="s">
        <v>91</v>
      </c>
    </row>
    <row r="248" spans="1:6" x14ac:dyDescent="0.25">
      <c r="A248" t="str">
        <f t="shared" si="3"/>
        <v>TC_M_03_CSMS ISO 15118 Support</v>
      </c>
      <c r="B248" t="s">
        <v>295</v>
      </c>
      <c r="C248" t="s">
        <v>24</v>
      </c>
      <c r="D248" t="s">
        <v>787</v>
      </c>
      <c r="E248" t="s">
        <v>91</v>
      </c>
    </row>
    <row r="249" spans="1:6" x14ac:dyDescent="0.25">
      <c r="A249" t="str">
        <f t="shared" si="3"/>
        <v>TC_M_04_CSMS ISO 15118 Support</v>
      </c>
      <c r="B249" t="s">
        <v>296</v>
      </c>
      <c r="C249" t="s">
        <v>24</v>
      </c>
      <c r="D249" t="s">
        <v>788</v>
      </c>
      <c r="E249" t="s">
        <v>91</v>
      </c>
    </row>
    <row r="250" spans="1:6" x14ac:dyDescent="0.25">
      <c r="A250" t="str">
        <f t="shared" si="3"/>
        <v>TC_M_24_CSMS ISO 15118 Support</v>
      </c>
      <c r="B250" t="s">
        <v>305</v>
      </c>
      <c r="C250" t="s">
        <v>24</v>
      </c>
      <c r="D250" t="s">
        <v>789</v>
      </c>
      <c r="E250" t="s">
        <v>91</v>
      </c>
    </row>
    <row r="251" spans="1:6" x14ac:dyDescent="0.25">
      <c r="A251" t="str">
        <f t="shared" si="3"/>
        <v>TC_N_63_CSMS ISO 15118 Support</v>
      </c>
      <c r="B251" t="s">
        <v>335</v>
      </c>
      <c r="C251" t="s">
        <v>24</v>
      </c>
      <c r="D251" t="s">
        <v>790</v>
      </c>
      <c r="E251" t="s">
        <v>102</v>
      </c>
      <c r="F251" t="s">
        <v>61</v>
      </c>
    </row>
  </sheetData>
  <autoFilter ref="A1:G252" xr:uid="{55EB0C1A-347A-4CF2-8EA4-BCDC897ADA20}"/>
  <sortState xmlns:xlrd2="http://schemas.microsoft.com/office/spreadsheetml/2017/richdata2" ref="A2:G253">
    <sortCondition ref="A1"/>
  </sortState>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79"/>
  <sheetViews>
    <sheetView workbookViewId="0">
      <selection activeCell="B10" sqref="B10"/>
    </sheetView>
  </sheetViews>
  <sheetFormatPr defaultColWidth="8.625" defaultRowHeight="15.75" x14ac:dyDescent="0.25"/>
  <cols>
    <col min="1" max="1" width="38.125" bestFit="1" customWidth="1"/>
    <col min="2" max="2" width="22.625" style="38" bestFit="1" customWidth="1"/>
    <col min="3" max="3" width="22.125" bestFit="1" customWidth="1"/>
  </cols>
  <sheetData>
    <row r="1" spans="1:4" x14ac:dyDescent="0.25">
      <c r="A1" s="1" t="s">
        <v>389</v>
      </c>
      <c r="B1" s="37" t="s">
        <v>390</v>
      </c>
      <c r="C1" s="1" t="s">
        <v>391</v>
      </c>
      <c r="D1" s="1" t="s">
        <v>392</v>
      </c>
    </row>
    <row r="2" spans="1:4" x14ac:dyDescent="0.25">
      <c r="A2" t="s">
        <v>519</v>
      </c>
      <c r="B2" s="38" t="b">
        <f>OR(VLOOKUP("C-44",'Optional features'!B:D,3,FALSE)="Yes",VLOOKUP("AQ-16",'Additional questions'!B:D,3,FALSE)="No")</f>
        <v>1</v>
      </c>
      <c r="C2" t="b">
        <v>0</v>
      </c>
      <c r="D2" t="b">
        <f>NOT(ISERROR(VLOOKUP(A2,'CSMS Testcases'!E:E,1,FALSE)=A2))</f>
        <v>1</v>
      </c>
    </row>
    <row r="3" spans="1:4" x14ac:dyDescent="0.25">
      <c r="A3" t="s">
        <v>203</v>
      </c>
      <c r="B3" s="38" t="b">
        <f>VLOOKUP("C-11",'Optional features'!B:D,3,FALSE)="Yes"</f>
        <v>0</v>
      </c>
      <c r="C3" t="b">
        <v>1</v>
      </c>
      <c r="D3" t="b">
        <f>NOT(ISERROR(VLOOKUP(A3,'CSMS Testcases'!E:E,1,FALSE)=A3))</f>
        <v>0</v>
      </c>
    </row>
    <row r="4" spans="1:4" x14ac:dyDescent="0.25">
      <c r="A4" t="s">
        <v>815</v>
      </c>
      <c r="B4" s="38" t="b">
        <f>OR(VLOOKUP("C-17",'Optional features'!B:D,3,FALSE)="Yes", VLOOKUP("DM-0",'Optional features'!B:D,3,FALSE)="Yes")</f>
        <v>0</v>
      </c>
      <c r="C4" t="b">
        <v>1</v>
      </c>
      <c r="D4" t="b">
        <f>NOT(ISERROR(VLOOKUP(A4,'CSMS Testcases'!E:E,1,FALSE)=A4))</f>
        <v>1</v>
      </c>
    </row>
    <row r="5" spans="1:4" x14ac:dyDescent="0.25">
      <c r="A5" t="s">
        <v>814</v>
      </c>
      <c r="B5" s="38" t="b">
        <f>AND(VLOOKUP("LA-0",'Optional features'!B:D,3,FALSE)="Yes", VLOOKUP("LA-2",'Optional features'!B:D,3,FALSE)="Yes")</f>
        <v>0</v>
      </c>
      <c r="C5" t="b">
        <v>1</v>
      </c>
      <c r="D5" t="b">
        <f>NOT(ISERROR(VLOOKUP(A5,'CSMS Testcases'!E:E,1,FALSE)=A5))</f>
        <v>1</v>
      </c>
    </row>
    <row r="6" spans="1:4" x14ac:dyDescent="0.25">
      <c r="A6" t="s">
        <v>811</v>
      </c>
      <c r="B6" s="38" t="b">
        <f>AND(VLOOKUP("R-0",'Optional features'!B:D,3,FALSE)="Yes", VLOOKUP("R-1",'Optional features'!B:D,3,FALSE)="Yes")</f>
        <v>0</v>
      </c>
      <c r="C6" t="b">
        <v>1</v>
      </c>
      <c r="D6" t="b">
        <f>NOT(ISERROR(VLOOKUP(A6,'CSMS Testcases'!E:E,1,FALSE)=A6))</f>
        <v>1</v>
      </c>
    </row>
    <row r="7" spans="1:4" x14ac:dyDescent="0.25">
      <c r="A7" t="s">
        <v>810</v>
      </c>
      <c r="B7" s="38" t="b">
        <f>AND(VLOOKUP("R-0",'Optional features'!B:D,3,FALSE)="Yes", VLOOKUP("R-2",'Optional features'!B:D,3,FALSE)="Yes")</f>
        <v>0</v>
      </c>
      <c r="C7" t="b">
        <v>1</v>
      </c>
      <c r="D7" t="b">
        <f>NOT(ISERROR(VLOOKUP(A7,'CSMS Testcases'!E:E,1,FALSE)=A7))</f>
        <v>1</v>
      </c>
    </row>
    <row r="8" spans="1:4" x14ac:dyDescent="0.25">
      <c r="A8" t="s">
        <v>816</v>
      </c>
      <c r="B8" s="38" t="b">
        <f>OR(VLOOKUP("C-61",'Optional features'!B:D,3,FALSE)="Yes", VLOOKUP("Advanced Security",'Profile selection'!B:D,2,FALSE)="Yes")</f>
        <v>1</v>
      </c>
      <c r="C8" t="b">
        <v>1</v>
      </c>
      <c r="D8" t="b">
        <f>NOT(ISERROR(VLOOKUP(A8,'CSMS Testcases'!E:E,1,FALSE)=A8))</f>
        <v>1</v>
      </c>
    </row>
    <row r="10" spans="1:4" x14ac:dyDescent="0.25">
      <c r="A10" t="s">
        <v>510</v>
      </c>
      <c r="B10" s="39" cm="1">
        <f t="array" ref="B10">CalculateConfigID(C10)</f>
        <v>3699286240</v>
      </c>
      <c r="C10" t="str">
        <f>_xlfn.CONCAT(B13:B79)</f>
        <v>YesYesNoNoNoNoNoNoNoNoNoNoNoNoNoNoNoNoNoYesYesNoYesNoYesYesYesYesYesNoNoNoYesNoNoNoNoNoNoNoNoNoNoNoNoNoNoNoNoNoNoNoNoNoNoNoNoYesYesYesYesYesYesYesYesYesYes</v>
      </c>
    </row>
    <row r="11" spans="1:4" x14ac:dyDescent="0.25">
      <c r="A11" t="s">
        <v>509</v>
      </c>
      <c r="B11" s="39" t="str">
        <f>DEC2HEX(B10)</f>
        <v>DC7EA0E0</v>
      </c>
    </row>
    <row r="13" spans="1:4" x14ac:dyDescent="0.25">
      <c r="A13" t="s">
        <v>13</v>
      </c>
      <c r="B13" s="38" t="s">
        <v>14</v>
      </c>
    </row>
    <row r="14" spans="1:4" x14ac:dyDescent="0.25">
      <c r="A14" t="s">
        <v>15</v>
      </c>
      <c r="B14" s="38" t="str">
        <f>SUBSTITUTE(VLOOKUP(A14,'Profile selection'!B:C,2,FALSE),"*","")</f>
        <v>Yes</v>
      </c>
    </row>
    <row r="15" spans="1:4" x14ac:dyDescent="0.25">
      <c r="A15" t="s">
        <v>796</v>
      </c>
      <c r="B15" s="38" t="str">
        <f>SUBSTITUTE(VLOOKUP(A15,'Optional features'!B:D,3,FALSE),"*","")</f>
        <v>No</v>
      </c>
    </row>
    <row r="16" spans="1:4" x14ac:dyDescent="0.25">
      <c r="A16" t="s">
        <v>19</v>
      </c>
      <c r="B16" s="38" t="str">
        <f>SUBSTITUTE(VLOOKUP(A16,'Profile selection'!B:C,2,FALSE),"*","")</f>
        <v>No</v>
      </c>
    </row>
    <row r="17" spans="1:2" x14ac:dyDescent="0.25">
      <c r="A17" t="s">
        <v>794</v>
      </c>
      <c r="B17" s="38" t="str">
        <f>SUBSTITUTE(VLOOKUP(A17,'Optional features'!B:D,3,FALSE),"*","")</f>
        <v>No</v>
      </c>
    </row>
    <row r="18" spans="1:2" x14ac:dyDescent="0.25">
      <c r="A18" t="s">
        <v>793</v>
      </c>
      <c r="B18" s="38" t="str">
        <f>SUBSTITUTE(VLOOKUP(A18,'Optional features'!B:D,3,FALSE),"*","")</f>
        <v>No</v>
      </c>
    </row>
    <row r="19" spans="1:2" x14ac:dyDescent="0.25">
      <c r="A19" t="s">
        <v>798</v>
      </c>
      <c r="B19" s="38" t="str">
        <f>SUBSTITUTE(VLOOKUP(A19,'Optional features'!B:D,3,FALSE),"*","")</f>
        <v>No</v>
      </c>
    </row>
    <row r="20" spans="1:2" x14ac:dyDescent="0.25">
      <c r="A20" t="s">
        <v>24</v>
      </c>
      <c r="B20" s="38" t="str">
        <f>SUBSTITUTE(VLOOKUP(A20,'Profile selection'!B:C,2,FALSE),"*","")</f>
        <v>No</v>
      </c>
    </row>
    <row r="21" spans="1:2" x14ac:dyDescent="0.25">
      <c r="A21" t="s">
        <v>27</v>
      </c>
      <c r="B21" s="38" t="str">
        <f>SUBSTITUTE(VLOOKUP(A21,'Optional features'!B:D,3,FALSE),"*","")</f>
        <v>No</v>
      </c>
    </row>
    <row r="22" spans="1:2" x14ac:dyDescent="0.25">
      <c r="A22" t="s">
        <v>28</v>
      </c>
      <c r="B22" s="38" t="str">
        <f>SUBSTITUTE(VLOOKUP(A22,'Optional features'!B:D,3,FALSE),"*","")</f>
        <v>No</v>
      </c>
    </row>
    <row r="23" spans="1:2" x14ac:dyDescent="0.25">
      <c r="A23" t="s">
        <v>29</v>
      </c>
      <c r="B23" s="38" t="str">
        <f>SUBSTITUTE(VLOOKUP(A23,'Optional features'!B:D,3,FALSE),"*","")</f>
        <v>No</v>
      </c>
    </row>
    <row r="24" spans="1:2" x14ac:dyDescent="0.25">
      <c r="A24" t="s">
        <v>30</v>
      </c>
      <c r="B24" s="38" t="str">
        <f>SUBSTITUTE(VLOOKUP(A24,'Optional features'!B:D,3,FALSE),"*","")</f>
        <v>No</v>
      </c>
    </row>
    <row r="25" spans="1:2" x14ac:dyDescent="0.25">
      <c r="A25" t="s">
        <v>31</v>
      </c>
      <c r="B25" s="38" t="str">
        <f>SUBSTITUTE(VLOOKUP(A25,'Optional features'!B:D,3,FALSE),"*","")</f>
        <v>No</v>
      </c>
    </row>
    <row r="26" spans="1:2" x14ac:dyDescent="0.25">
      <c r="A26" t="s">
        <v>32</v>
      </c>
      <c r="B26" s="38" t="str">
        <f>SUBSTITUTE(VLOOKUP(A26,'Optional features'!B:D,3,FALSE),"*","")</f>
        <v>No</v>
      </c>
    </row>
    <row r="27" spans="1:2" x14ac:dyDescent="0.25">
      <c r="A27" t="s">
        <v>34</v>
      </c>
      <c r="B27" s="38" t="str">
        <f>SUBSTITUTE(VLOOKUP(A27,'Optional features'!B:D,3,FALSE),"*","")</f>
        <v>No</v>
      </c>
    </row>
    <row r="28" spans="1:2" x14ac:dyDescent="0.25">
      <c r="A28" t="s">
        <v>35</v>
      </c>
      <c r="B28" s="38" t="str">
        <f>SUBSTITUTE(VLOOKUP(A28,'Optional features'!B:D,3,FALSE),"*","")</f>
        <v>No</v>
      </c>
    </row>
    <row r="29" spans="1:2" x14ac:dyDescent="0.25">
      <c r="A29" t="s">
        <v>36</v>
      </c>
      <c r="B29" s="38" t="str">
        <f>SUBSTITUTE(VLOOKUP(A29,'Optional features'!B:D,3,FALSE),"*","")</f>
        <v>No</v>
      </c>
    </row>
    <row r="30" spans="1:2" x14ac:dyDescent="0.25">
      <c r="A30" t="s">
        <v>37</v>
      </c>
      <c r="B30" s="38" t="str">
        <f>SUBSTITUTE(VLOOKUP(A30,'Optional features'!B:D,3,FALSE),"*","")</f>
        <v>No</v>
      </c>
    </row>
    <row r="31" spans="1:2" x14ac:dyDescent="0.25">
      <c r="A31" t="s">
        <v>38</v>
      </c>
      <c r="B31" s="38" t="str">
        <f>SUBSTITUTE(VLOOKUP(A31,'Optional features'!B:D,3,FALSE),"*","")</f>
        <v>No</v>
      </c>
    </row>
    <row r="32" spans="1:2" x14ac:dyDescent="0.25">
      <c r="A32" t="s">
        <v>39</v>
      </c>
      <c r="B32" s="38" t="str">
        <f>SUBSTITUTE(VLOOKUP(A32,'Optional features'!B:D,3,FALSE),"*","")</f>
        <v>Yes</v>
      </c>
    </row>
    <row r="33" spans="1:2" x14ac:dyDescent="0.25">
      <c r="A33" t="s">
        <v>41</v>
      </c>
      <c r="B33" s="38" t="str">
        <f>SUBSTITUTE(VLOOKUP(A33,'Optional features'!B:D,3,FALSE),"*","")</f>
        <v>Yes</v>
      </c>
    </row>
    <row r="34" spans="1:2" x14ac:dyDescent="0.25">
      <c r="A34" t="s">
        <v>42</v>
      </c>
      <c r="B34" s="38" t="str">
        <f>SUBSTITUTE(VLOOKUP(A34,'Optional features'!B:D,3,FALSE),"*","")</f>
        <v>No</v>
      </c>
    </row>
    <row r="35" spans="1:2" x14ac:dyDescent="0.25">
      <c r="A35" t="s">
        <v>43</v>
      </c>
      <c r="B35" s="38" t="str">
        <f>SUBSTITUTE(VLOOKUP(A35,'Optional features'!B:D,3,FALSE),"*","")</f>
        <v>Yes</v>
      </c>
    </row>
    <row r="36" spans="1:2" x14ac:dyDescent="0.25">
      <c r="A36" t="s">
        <v>44</v>
      </c>
      <c r="B36" s="38" t="str">
        <f>SUBSTITUTE(VLOOKUP(A36,'Optional features'!B:D,3,FALSE),"*","")</f>
        <v>No</v>
      </c>
    </row>
    <row r="37" spans="1:2" x14ac:dyDescent="0.25">
      <c r="A37" t="s">
        <v>45</v>
      </c>
      <c r="B37" s="38" t="str">
        <f>SUBSTITUTE(VLOOKUP(A37,'Optional features'!B:D,3,FALSE),"*","")</f>
        <v>Yes</v>
      </c>
    </row>
    <row r="38" spans="1:2" x14ac:dyDescent="0.25">
      <c r="A38" t="s">
        <v>47</v>
      </c>
      <c r="B38" s="38" t="str">
        <f>SUBSTITUTE(VLOOKUP(A38,'Optional features'!B:D,3,FALSE),"*","")</f>
        <v>Yes</v>
      </c>
    </row>
    <row r="39" spans="1:2" x14ac:dyDescent="0.25">
      <c r="A39" t="s">
        <v>48</v>
      </c>
      <c r="B39" s="38" t="str">
        <f>SUBSTITUTE(VLOOKUP(A39,'Optional features'!B:D,3,FALSE),"*","")</f>
        <v>Yes</v>
      </c>
    </row>
    <row r="40" spans="1:2" x14ac:dyDescent="0.25">
      <c r="A40" t="s">
        <v>49</v>
      </c>
      <c r="B40" s="38" t="str">
        <f>SUBSTITUTE(VLOOKUP(A40,'Optional features'!B:D,3,FALSE),"*","")</f>
        <v>Yes</v>
      </c>
    </row>
    <row r="41" spans="1:2" x14ac:dyDescent="0.25">
      <c r="A41" t="s">
        <v>50</v>
      </c>
      <c r="B41" s="38" t="str">
        <f>SUBSTITUTE(VLOOKUP(A41,'Optional features'!B:D,3,FALSE),"*","")</f>
        <v>Yes</v>
      </c>
    </row>
    <row r="42" spans="1:2" x14ac:dyDescent="0.25">
      <c r="A42" t="s">
        <v>51</v>
      </c>
      <c r="B42" s="38" t="str">
        <f>SUBSTITUTE(VLOOKUP(A42,'Optional features'!B:D,3,FALSE),"*","")</f>
        <v>No</v>
      </c>
    </row>
    <row r="43" spans="1:2" x14ac:dyDescent="0.25">
      <c r="A43" t="s">
        <v>52</v>
      </c>
      <c r="B43" s="38" t="str">
        <f>SUBSTITUTE(VLOOKUP(A43,'Optional features'!B:D,3,FALSE),"*","")</f>
        <v>No</v>
      </c>
    </row>
    <row r="44" spans="1:2" x14ac:dyDescent="0.25">
      <c r="A44" t="s">
        <v>53</v>
      </c>
      <c r="B44" s="38" t="str">
        <f>SUBSTITUTE(VLOOKUP(A44,'Optional features'!B:D,3,FALSE),"*","")</f>
        <v>No</v>
      </c>
    </row>
    <row r="45" spans="1:2" x14ac:dyDescent="0.25">
      <c r="A45" t="s">
        <v>55</v>
      </c>
      <c r="B45" s="38" t="str">
        <f>SUBSTITUTE(VLOOKUP(A45,'Optional features'!B:D,3,FALSE),"*","")</f>
        <v>Yes</v>
      </c>
    </row>
    <row r="46" spans="1:2" x14ac:dyDescent="0.25">
      <c r="A46" t="s">
        <v>56</v>
      </c>
      <c r="B46" s="38" t="str">
        <f>SUBSTITUTE(VLOOKUP(A46,'Optional features'!B:D,3,FALSE),"*","")</f>
        <v>No</v>
      </c>
    </row>
    <row r="47" spans="1:2" x14ac:dyDescent="0.25">
      <c r="A47" t="s">
        <v>57</v>
      </c>
      <c r="B47" s="38" t="str">
        <f>SUBSTITUTE(VLOOKUP(A47,'Optional features'!B:D,3,FALSE),"*","")</f>
        <v>No</v>
      </c>
    </row>
    <row r="48" spans="1:2" x14ac:dyDescent="0.25">
      <c r="A48" t="s">
        <v>59</v>
      </c>
      <c r="B48" s="38" t="str">
        <f>SUBSTITUTE(VLOOKUP(A48,'Optional features'!B:D,3,FALSE),"*","")</f>
        <v>No</v>
      </c>
    </row>
    <row r="49" spans="1:2" x14ac:dyDescent="0.25">
      <c r="A49" t="s">
        <v>60</v>
      </c>
      <c r="B49" s="38" t="str">
        <f>SUBSTITUTE(VLOOKUP(A49,'Optional features'!B:D,3,FALSE),"*","")</f>
        <v>No</v>
      </c>
    </row>
    <row r="50" spans="1:2" x14ac:dyDescent="0.25">
      <c r="A50" t="s">
        <v>61</v>
      </c>
      <c r="B50" s="38" t="str">
        <f>SUBSTITUTE(VLOOKUP(A50,'Optional features'!B:D,3,FALSE),"*","")</f>
        <v>No</v>
      </c>
    </row>
    <row r="51" spans="1:2" x14ac:dyDescent="0.25">
      <c r="A51" t="s">
        <v>62</v>
      </c>
      <c r="B51" s="38" t="str">
        <f>SUBSTITUTE(VLOOKUP(A51,'Optional features'!B:D,3,FALSE),"*","")</f>
        <v>No</v>
      </c>
    </row>
    <row r="52" spans="1:2" x14ac:dyDescent="0.25">
      <c r="A52" t="s">
        <v>511</v>
      </c>
      <c r="B52" s="38" t="str">
        <f>VLOOKUP(A52,'Additional questions'!B:D,3,FALSE)</f>
        <v>No</v>
      </c>
    </row>
    <row r="53" spans="1:2" x14ac:dyDescent="0.25">
      <c r="A53" t="s">
        <v>513</v>
      </c>
      <c r="B53" s="38" t="str">
        <f>VLOOKUP(A53,'Additional questions'!B:D,3,FALSE)</f>
        <v>No</v>
      </c>
    </row>
    <row r="54" spans="1:2" x14ac:dyDescent="0.25">
      <c r="A54" t="s">
        <v>514</v>
      </c>
      <c r="B54" s="38" t="str">
        <f>VLOOKUP(A54,'Additional questions'!B:D,3,FALSE)</f>
        <v>No</v>
      </c>
    </row>
    <row r="55" spans="1:2" x14ac:dyDescent="0.25">
      <c r="A55" t="s">
        <v>516</v>
      </c>
      <c r="B55" s="38" t="str">
        <f>VLOOKUP(A55,'Additional questions'!B:D,3,FALSE)</f>
        <v>No</v>
      </c>
    </row>
    <row r="56" spans="1:2" x14ac:dyDescent="0.25">
      <c r="A56" t="s">
        <v>517</v>
      </c>
      <c r="B56" s="38" t="str">
        <f>VLOOKUP(A56,'Additional questions'!B:D,3,FALSE)</f>
        <v>No</v>
      </c>
    </row>
    <row r="57" spans="1:2" x14ac:dyDescent="0.25">
      <c r="A57" t="s">
        <v>518</v>
      </c>
      <c r="B57" s="38" t="str">
        <f>VLOOKUP(A57,'Additional questions'!B:D,3,FALSE)</f>
        <v>No</v>
      </c>
    </row>
    <row r="58" spans="1:2" x14ac:dyDescent="0.25">
      <c r="A58" t="s">
        <v>531</v>
      </c>
      <c r="B58" s="38" t="str">
        <f>VLOOKUP(A58,'Additional questions'!B:D,3,FALSE)</f>
        <v>No</v>
      </c>
    </row>
    <row r="59" spans="1:2" x14ac:dyDescent="0.25">
      <c r="A59" t="s">
        <v>541</v>
      </c>
      <c r="B59" s="38" t="str">
        <f>SUBSTITUTE(VLOOKUP(A59,'Optional features'!B:D,3,FALSE),"*","")</f>
        <v>No</v>
      </c>
    </row>
    <row r="60" spans="1:2" x14ac:dyDescent="0.25">
      <c r="A60" t="s">
        <v>817</v>
      </c>
      <c r="B60" s="38" t="s">
        <v>18</v>
      </c>
    </row>
    <row r="61" spans="1:2" x14ac:dyDescent="0.25">
      <c r="A61" t="s">
        <v>818</v>
      </c>
      <c r="B61" s="38" t="s">
        <v>18</v>
      </c>
    </row>
    <row r="62" spans="1:2" x14ac:dyDescent="0.25">
      <c r="A62" t="s">
        <v>819</v>
      </c>
      <c r="B62" s="38" t="s">
        <v>18</v>
      </c>
    </row>
    <row r="63" spans="1:2" x14ac:dyDescent="0.25">
      <c r="A63" t="s">
        <v>820</v>
      </c>
      <c r="B63" s="38" t="s">
        <v>18</v>
      </c>
    </row>
    <row r="64" spans="1:2" x14ac:dyDescent="0.25">
      <c r="A64" t="s">
        <v>821</v>
      </c>
      <c r="B64" s="38" t="s">
        <v>18</v>
      </c>
    </row>
    <row r="65" spans="1:2" x14ac:dyDescent="0.25">
      <c r="A65" t="s">
        <v>822</v>
      </c>
      <c r="B65" s="38" t="s">
        <v>18</v>
      </c>
    </row>
    <row r="66" spans="1:2" x14ac:dyDescent="0.25">
      <c r="A66" t="s">
        <v>823</v>
      </c>
      <c r="B66" s="38" t="s">
        <v>18</v>
      </c>
    </row>
    <row r="67" spans="1:2" x14ac:dyDescent="0.25">
      <c r="A67" t="s">
        <v>824</v>
      </c>
      <c r="B67" s="38" t="s">
        <v>18</v>
      </c>
    </row>
    <row r="68" spans="1:2" x14ac:dyDescent="0.25">
      <c r="A68" t="s">
        <v>825</v>
      </c>
      <c r="B68" s="38" t="s">
        <v>18</v>
      </c>
    </row>
    <row r="69" spans="1:2" x14ac:dyDescent="0.25">
      <c r="A69" t="s">
        <v>826</v>
      </c>
      <c r="B69" s="38" t="s">
        <v>18</v>
      </c>
    </row>
    <row r="70" spans="1:2" x14ac:dyDescent="0.25">
      <c r="A70" t="s">
        <v>827</v>
      </c>
      <c r="B70" s="38" t="s">
        <v>14</v>
      </c>
    </row>
    <row r="71" spans="1:2" x14ac:dyDescent="0.25">
      <c r="A71" t="s">
        <v>828</v>
      </c>
      <c r="B71" s="38" t="s">
        <v>14</v>
      </c>
    </row>
    <row r="72" spans="1:2" x14ac:dyDescent="0.25">
      <c r="A72" t="s">
        <v>829</v>
      </c>
      <c r="B72" s="38" t="s">
        <v>14</v>
      </c>
    </row>
    <row r="73" spans="1:2" x14ac:dyDescent="0.25">
      <c r="A73" t="s">
        <v>830</v>
      </c>
      <c r="B73" s="38" t="s">
        <v>14</v>
      </c>
    </row>
    <row r="74" spans="1:2" x14ac:dyDescent="0.25">
      <c r="A74" t="s">
        <v>831</v>
      </c>
      <c r="B74" s="38" t="s">
        <v>14</v>
      </c>
    </row>
    <row r="75" spans="1:2" x14ac:dyDescent="0.25">
      <c r="A75" t="s">
        <v>832</v>
      </c>
      <c r="B75" s="38" t="s">
        <v>14</v>
      </c>
    </row>
    <row r="76" spans="1:2" x14ac:dyDescent="0.25">
      <c r="A76" t="s">
        <v>833</v>
      </c>
      <c r="B76" s="38" t="s">
        <v>14</v>
      </c>
    </row>
    <row r="77" spans="1:2" x14ac:dyDescent="0.25">
      <c r="A77" t="s">
        <v>834</v>
      </c>
      <c r="B77" s="38" t="s">
        <v>14</v>
      </c>
    </row>
    <row r="78" spans="1:2" x14ac:dyDescent="0.25">
      <c r="A78" t="s">
        <v>835</v>
      </c>
      <c r="B78" s="38" t="s">
        <v>14</v>
      </c>
    </row>
    <row r="79" spans="1:2" x14ac:dyDescent="0.25">
      <c r="A79" t="s">
        <v>836</v>
      </c>
      <c r="B79" s="38" t="s">
        <v>14</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3"/>
  <sheetViews>
    <sheetView workbookViewId="0"/>
  </sheetViews>
  <sheetFormatPr defaultColWidth="8.625" defaultRowHeight="15.75" x14ac:dyDescent="0.25"/>
  <cols>
    <col min="1" max="1" width="40.125" bestFit="1" customWidth="1"/>
    <col min="2" max="3" width="12.125" bestFit="1" customWidth="1"/>
  </cols>
  <sheetData>
    <row r="1" spans="1:1" x14ac:dyDescent="0.25">
      <c r="A1" t="s">
        <v>78</v>
      </c>
    </row>
    <row r="2" spans="1:1" x14ac:dyDescent="0.25">
      <c r="A2" t="s">
        <v>80</v>
      </c>
    </row>
    <row r="3" spans="1:1" x14ac:dyDescent="0.25">
      <c r="A3" t="s">
        <v>79</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4" max="4" width="33.125" customWidth="1"/>
    <col min="5" max="5" width="29.625" customWidth="1"/>
  </cols>
  <sheetData>
    <row r="1" spans="2:6" ht="64.5" customHeight="1" x14ac:dyDescent="0.25">
      <c r="B1" s="199" t="s">
        <v>8</v>
      </c>
      <c r="C1" s="199"/>
      <c r="E1" s="117" t="s">
        <v>538</v>
      </c>
      <c r="F1" s="117" t="str">
        <f>IF(AND(ISERROR(FIND("&lt;",_xlfn.CONCAT(C2:C5))),_xlfn.CONCAT(D2:D5)=""),"VALID","INVALID")</f>
        <v>INVALID</v>
      </c>
    </row>
    <row r="2" spans="2:6" ht="16.5" thickBot="1" x14ac:dyDescent="0.3">
      <c r="B2" s="179" t="s">
        <v>451</v>
      </c>
      <c r="C2" s="93" t="s">
        <v>539</v>
      </c>
      <c r="D2" s="118" t="str">
        <f>IF(ISBLANK(C2),"&lt;---- This field cannot be left empty!","")</f>
        <v/>
      </c>
      <c r="E2" s="117" t="s">
        <v>537</v>
      </c>
      <c r="F2" s="117" t="str">
        <f>'Statement of Approval'!$I$2</f>
        <v>INVALID</v>
      </c>
    </row>
    <row r="3" spans="2:6" ht="16.5" thickBot="1" x14ac:dyDescent="0.3">
      <c r="B3" s="177" t="s">
        <v>409</v>
      </c>
      <c r="C3" s="178" t="s">
        <v>412</v>
      </c>
      <c r="D3" s="118" t="str">
        <f>IF(ISBLANK(C3),"&lt;---- This field cannot be left empty!","")</f>
        <v/>
      </c>
    </row>
    <row r="4" spans="2:6" ht="16.5" thickBot="1" x14ac:dyDescent="0.3">
      <c r="B4" s="175" t="s">
        <v>428</v>
      </c>
      <c r="C4" s="86" t="s">
        <v>410</v>
      </c>
      <c r="D4" s="118" t="str">
        <f>IF(ISBLANK(C4),"&lt;---- This field cannot be left empty!","")</f>
        <v/>
      </c>
    </row>
    <row r="5" spans="2:6" x14ac:dyDescent="0.25">
      <c r="B5" s="176" t="s">
        <v>430</v>
      </c>
      <c r="C5" s="85" t="s">
        <v>429</v>
      </c>
      <c r="D5" s="118" t="str">
        <f>IF(ISBLANK(C5),"&lt;---- This field cannot be left empty!","")</f>
        <v/>
      </c>
    </row>
  </sheetData>
  <sheetProtection algorithmName="SHA-512" hashValue="s9QcB6KXt24i/VCncAgcO49+N1WjrbTDHZ3Y4kOkIvABjCkwajEGRQXQRyJYMwzGtwLzKaVXv9wconwnTJyNTQ==" saltValue="9jsQi+ybyKjLz5ICPd9alQ=="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7"/>
  <sheetViews>
    <sheetView showGridLines="0"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200" t="s">
        <v>9</v>
      </c>
      <c r="C1" s="200"/>
      <c r="D1" s="200"/>
    </row>
    <row r="2" spans="2:5" ht="38.25" customHeight="1" thickBot="1" x14ac:dyDescent="0.3"/>
    <row r="3" spans="2:5" ht="16.5" thickBot="1" x14ac:dyDescent="0.3">
      <c r="B3" s="2" t="s">
        <v>10</v>
      </c>
      <c r="C3" s="3" t="s">
        <v>11</v>
      </c>
      <c r="D3" s="4" t="s">
        <v>12</v>
      </c>
    </row>
    <row r="4" spans="2:5" ht="41.25" customHeight="1" thickBot="1" x14ac:dyDescent="0.3">
      <c r="B4" s="5" t="s">
        <v>13</v>
      </c>
      <c r="C4" s="56" t="s">
        <v>14</v>
      </c>
      <c r="D4" s="5" t="s">
        <v>847</v>
      </c>
      <c r="E4" s="118" t="str">
        <f>IF(ISBLANK(C4),"&lt;---- This field cannot be left empty!", IF(AND(C4 &lt;&gt; "Yes", C4 &lt;&gt; "No"),"&lt;---- This field must be filled from the drop-down menu", ""))</f>
        <v/>
      </c>
    </row>
    <row r="5" spans="2:5" ht="41.25" customHeight="1" thickBot="1" x14ac:dyDescent="0.3">
      <c r="B5" s="6" t="s">
        <v>15</v>
      </c>
      <c r="C5" s="31" t="s">
        <v>14</v>
      </c>
      <c r="D5" s="6" t="s">
        <v>16</v>
      </c>
      <c r="E5" s="118" t="str">
        <f t="shared" ref="E5:E7" si="0">IF(ISBLANK(C5),"&lt;---- This field cannot be left empty!", IF(AND(C5 &lt;&gt; "Yes", C5 &lt;&gt; "No"),"&lt;---- This field must be filled from the drop-down menu", ""))</f>
        <v/>
      </c>
    </row>
    <row r="6" spans="2:5" ht="41.25" customHeight="1" thickBot="1" x14ac:dyDescent="0.3">
      <c r="B6" s="139" t="s">
        <v>19</v>
      </c>
      <c r="C6" s="141" t="s">
        <v>18</v>
      </c>
      <c r="D6" s="139" t="s">
        <v>20</v>
      </c>
      <c r="E6" s="118" t="str">
        <f t="shared" si="0"/>
        <v/>
      </c>
    </row>
    <row r="7" spans="2:5" ht="41.25" customHeight="1" thickBot="1" x14ac:dyDescent="0.3">
      <c r="B7" s="140" t="s">
        <v>24</v>
      </c>
      <c r="C7" s="142" t="s">
        <v>18</v>
      </c>
      <c r="D7" s="140" t="s">
        <v>25</v>
      </c>
      <c r="E7" s="118" t="str">
        <f t="shared" si="0"/>
        <v/>
      </c>
    </row>
  </sheetData>
  <sheetProtection algorithmName="SHA-512" hashValue="Dg5duft3r/Yaa1Ki5wvZcmVO9LaiBht3QfZFJrd3E9To4e+/kzDojC3zUbWKxz/3d/qlb/5KudjdMy8xmqC8xw==" saltValue="IiOe7GZdgz/5HeCIuExG7Q==" spinCount="100000" sheet="1" objects="1" scenarios="1"/>
  <mergeCells count="1">
    <mergeCell ref="B1:D1"/>
  </mergeCells>
  <dataValidations count="1">
    <dataValidation type="list" allowBlank="1" showInputMessage="1" showErrorMessage="1" sqref="C5:C7" xr:uid="{B8EDAEF6-CBAD-4D32-9769-9B8D0A03ECCA}">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B10E9-0AA2-41E0-ADF9-898F6CF87B92}">
  <dimension ref="B1:F64"/>
  <sheetViews>
    <sheetView showGridLines="0" zoomScaleNormal="100" workbookViewId="0">
      <selection activeCell="D5" sqref="D5"/>
    </sheetView>
  </sheetViews>
  <sheetFormatPr defaultColWidth="18.125" defaultRowHeight="15.75" x14ac:dyDescent="0.25"/>
  <cols>
    <col min="1" max="1" width="16.125" customWidth="1"/>
    <col min="2" max="2" width="16.625" bestFit="1" customWidth="1"/>
    <col min="3" max="3" width="87.125" bestFit="1" customWidth="1"/>
    <col min="4" max="4" width="28.125" customWidth="1"/>
    <col min="5" max="5" width="32.625" bestFit="1" customWidth="1"/>
  </cols>
  <sheetData>
    <row r="1" spans="2:6" ht="49.5" customHeight="1" x14ac:dyDescent="0.25">
      <c r="B1" s="201" t="s">
        <v>26</v>
      </c>
      <c r="C1" s="201"/>
      <c r="D1" s="201"/>
      <c r="E1" s="117" t="s">
        <v>456</v>
      </c>
      <c r="F1" s="117" t="str">
        <f>IF(_xlfn.CONCAT(E5:E16,F19:F30,E32:E63)="","VALID","INVALID")</f>
        <v>VALID</v>
      </c>
    </row>
    <row r="2" spans="2:6" ht="62.25" customHeight="1" x14ac:dyDescent="0.25">
      <c r="B2" s="144"/>
      <c r="C2" s="202" t="s">
        <v>540</v>
      </c>
      <c r="D2" s="202"/>
      <c r="E2" s="117" t="s">
        <v>537</v>
      </c>
      <c r="F2" s="117" t="str">
        <f>'Statement of Approval'!$I$2</f>
        <v>INVALID</v>
      </c>
    </row>
    <row r="3" spans="2:6" ht="15" customHeight="1" x14ac:dyDescent="0.25">
      <c r="B3" s="144"/>
      <c r="C3" s="144"/>
      <c r="D3" s="144"/>
      <c r="E3" s="117"/>
      <c r="F3" s="117"/>
    </row>
    <row r="4" spans="2:6" x14ac:dyDescent="0.25">
      <c r="B4" s="119" t="s">
        <v>411</v>
      </c>
      <c r="C4" s="120" t="s">
        <v>472</v>
      </c>
      <c r="D4" s="121" t="s">
        <v>452</v>
      </c>
    </row>
    <row r="5" spans="2:6" ht="16.350000000000001" customHeight="1" x14ac:dyDescent="0.25">
      <c r="B5" s="15" t="s">
        <v>27</v>
      </c>
      <c r="C5" s="42" t="str">
        <f>VLOOKUP(B5,'HIDDEN features'!A:D,3,FALSE)</f>
        <v>Support for unlocking connector for charging station with detachable cable (UnlockConnector message).</v>
      </c>
      <c r="D5" s="57" t="s">
        <v>18</v>
      </c>
      <c r="E5" s="118" t="str">
        <f>IF(AND(NOT(ISBLANK(B5)),ISBLANK(D5)),"&lt;---- This field cannot be left empty!",IF(AND(D5 &lt;&gt; "Yes", D5 &lt;&gt; "No"),"&lt;---- This field must be filled from the drop-down menu", ""))</f>
        <v/>
      </c>
    </row>
    <row r="6" spans="2:6" x14ac:dyDescent="0.25">
      <c r="B6" s="14" t="s">
        <v>28</v>
      </c>
      <c r="C6" s="7" t="str">
        <f>VLOOKUP(B6,'HIDDEN features'!A:D,3,FALSE)</f>
        <v>Support for Reset per EVSE</v>
      </c>
      <c r="D6" s="58" t="s">
        <v>18</v>
      </c>
      <c r="E6" s="118" t="str">
        <f t="shared" ref="E6:E10" si="0">IF(AND(NOT(ISBLANK(B6)),ISBLANK(D6)),"&lt;---- This field cannot be left empty!",IF(AND(D6 &lt;&gt; "Yes", D6 &lt;&gt; "No"),"&lt;---- This field must be filled from the drop-down menu", ""))</f>
        <v/>
      </c>
    </row>
    <row r="7" spans="2:6" x14ac:dyDescent="0.25">
      <c r="B7" s="15" t="s">
        <v>29</v>
      </c>
      <c r="C7" s="42" t="str">
        <f>VLOOKUP(B7,'HIDDEN features'!A:D,3,FALSE)</f>
        <v>Support for retrieving / deleting CustomerInformation - CustomerIdentifier</v>
      </c>
      <c r="D7" s="57" t="s">
        <v>18</v>
      </c>
      <c r="E7" s="118" t="str">
        <f t="shared" si="0"/>
        <v/>
      </c>
    </row>
    <row r="8" spans="2:6" x14ac:dyDescent="0.25">
      <c r="B8" s="14" t="s">
        <v>30</v>
      </c>
      <c r="C8" s="7" t="str">
        <f>VLOOKUP(B8,'HIDDEN features'!A:D,3,FALSE)</f>
        <v>Support for scheduled firmware updates</v>
      </c>
      <c r="D8" s="58" t="s">
        <v>18</v>
      </c>
      <c r="E8" s="118" t="str">
        <f t="shared" si="0"/>
        <v/>
      </c>
    </row>
    <row r="9" spans="2:6" x14ac:dyDescent="0.25">
      <c r="B9" s="15" t="s">
        <v>31</v>
      </c>
      <c r="C9" s="42" t="str">
        <f>VLOOKUP(B9,'HIDDEN features'!A:D,3,FALSE)</f>
        <v>Support for checking the TransactionStatus</v>
      </c>
      <c r="D9" s="57" t="s">
        <v>18</v>
      </c>
      <c r="E9" s="118" t="str">
        <f t="shared" si="0"/>
        <v/>
      </c>
    </row>
    <row r="10" spans="2:6" x14ac:dyDescent="0.25">
      <c r="B10" s="14" t="s">
        <v>32</v>
      </c>
      <c r="C10" s="7" t="str">
        <f>VLOOKUP(B10,'HIDDEN features'!A:D,3,FALSE)</f>
        <v>Support for retrieving the ConfigurationInventory</v>
      </c>
      <c r="D10" s="58" t="s">
        <v>18</v>
      </c>
      <c r="E10" s="118" t="str">
        <f t="shared" si="0"/>
        <v/>
      </c>
    </row>
    <row r="11" spans="2:6" x14ac:dyDescent="0.25">
      <c r="B11" s="19" t="s">
        <v>33</v>
      </c>
      <c r="C11" s="43" t="str">
        <f>VLOOKUP(B11,'HIDDEN features'!A:D,3,FALSE)</f>
        <v>TriggerMessage</v>
      </c>
      <c r="D11" s="94" t="str">
        <f>VLOOKUP(B11,'HIDDEN features'!A:D,4,FALSE)</f>
        <v>(Select all supported suboptions)</v>
      </c>
      <c r="E11" s="118" t="str">
        <f t="shared" ref="E11" si="1">IF(AND(NOT(ISBLANK(B11)),ISBLANK(D11)),"&lt;---- This field cannot be left empty!","")</f>
        <v/>
      </c>
    </row>
    <row r="12" spans="2:6" x14ac:dyDescent="0.25">
      <c r="B12" s="20" t="s">
        <v>34</v>
      </c>
      <c r="C12" s="44" t="str">
        <f>VLOOKUP(B12,'HIDDEN features'!A:D,3,FALSE)</f>
        <v>Trigger message - MeterValues</v>
      </c>
      <c r="D12" s="58" t="s">
        <v>18</v>
      </c>
      <c r="E12" s="118" t="str">
        <f>IF(AND(NOT(ISBLANK(B12)),ISBLANK(D12)),"&lt;---- This field cannot be left empty!",IF(AND(D12 &lt;&gt; "Yes", D12 &lt;&gt; "No"),"&lt;---- This field must be filled from the drop-down menu", ""))</f>
        <v/>
      </c>
    </row>
    <row r="13" spans="2:6" x14ac:dyDescent="0.25">
      <c r="B13" s="21" t="s">
        <v>35</v>
      </c>
      <c r="C13" s="45" t="str">
        <f>VLOOKUP(B13,'HIDDEN features'!A:D,3,FALSE)</f>
        <v>Trigger message - TransactionEvent</v>
      </c>
      <c r="D13" s="57" t="s">
        <v>18</v>
      </c>
      <c r="E13" s="118" t="str">
        <f t="shared" ref="E13:E16" si="2">IF(AND(NOT(ISBLANK(B13)),ISBLANK(D13)),"&lt;---- This field cannot be left empty!",IF(AND(D13 &lt;&gt; "Yes", D13 &lt;&gt; "No"),"&lt;---- This field must be filled from the drop-down menu", ""))</f>
        <v/>
      </c>
    </row>
    <row r="14" spans="2:6" x14ac:dyDescent="0.25">
      <c r="B14" s="20" t="s">
        <v>36</v>
      </c>
      <c r="C14" s="44" t="str">
        <f>VLOOKUP(B14,'HIDDEN features'!A:D,3,FALSE)</f>
        <v>Trigger message - LogStatusNotification</v>
      </c>
      <c r="D14" s="58" t="s">
        <v>18</v>
      </c>
      <c r="E14" s="118" t="str">
        <f t="shared" si="2"/>
        <v/>
      </c>
    </row>
    <row r="15" spans="2:6" x14ac:dyDescent="0.25">
      <c r="B15" s="21" t="s">
        <v>37</v>
      </c>
      <c r="C15" s="45" t="str">
        <f>VLOOKUP(B15,'HIDDEN features'!A:D,3,FALSE)</f>
        <v>Trigger message - FirmwareStatusNotification</v>
      </c>
      <c r="D15" s="57" t="s">
        <v>18</v>
      </c>
      <c r="E15" s="118" t="str">
        <f t="shared" si="2"/>
        <v/>
      </c>
    </row>
    <row r="16" spans="2:6" x14ac:dyDescent="0.25">
      <c r="B16" s="172" t="s">
        <v>38</v>
      </c>
      <c r="C16" s="173" t="str">
        <f>VLOOKUP(B16,'HIDDEN features'!A:D,3,FALSE)</f>
        <v>Trigger message - StatusNotification</v>
      </c>
      <c r="D16" s="65" t="s">
        <v>18</v>
      </c>
      <c r="E16" s="118" t="str">
        <f t="shared" si="2"/>
        <v/>
      </c>
    </row>
    <row r="17" spans="2:6" x14ac:dyDescent="0.25">
      <c r="B17" s="10"/>
    </row>
    <row r="18" spans="2:6" ht="30" x14ac:dyDescent="0.25">
      <c r="B18" s="95" t="s">
        <v>46</v>
      </c>
      <c r="C18" s="96" t="s">
        <v>161</v>
      </c>
      <c r="D18" s="125" t="s">
        <v>504</v>
      </c>
      <c r="E18" s="87" t="s">
        <v>454</v>
      </c>
    </row>
    <row r="19" spans="2:6" x14ac:dyDescent="0.25">
      <c r="B19" s="14" t="s">
        <v>39</v>
      </c>
      <c r="C19" s="49" t="str">
        <f>VLOOKUP(B19,'HIDDEN features'!A:D,3,FALSE)</f>
        <v>Authorization - using RFID ISO14443</v>
      </c>
      <c r="D19" s="127" t="s">
        <v>40</v>
      </c>
      <c r="E19" s="100" t="s">
        <v>40</v>
      </c>
      <c r="F19" s="118" t="str">
        <f>IF(AND(NOT(ISBLANK(B19)),ISBLANK(D19)),"&lt;---- This field cannot be left empty!","")</f>
        <v/>
      </c>
    </row>
    <row r="20" spans="2:6" x14ac:dyDescent="0.25">
      <c r="B20" s="15" t="s">
        <v>41</v>
      </c>
      <c r="C20" s="43" t="str">
        <f>VLOOKUP(B20,'HIDDEN features'!A:D,3,FALSE)</f>
        <v>Authorization - using RFID ISO15693</v>
      </c>
      <c r="D20" s="128" t="s">
        <v>40</v>
      </c>
      <c r="E20" s="94" t="s">
        <v>40</v>
      </c>
      <c r="F20" s="118" t="str">
        <f t="shared" ref="F20:F24" si="3">IF(AND(NOT(ISBLANK(B20)),ISBLANK(D20)),"&lt;---- This field cannot be left empty!","")</f>
        <v/>
      </c>
    </row>
    <row r="21" spans="2:6" x14ac:dyDescent="0.25">
      <c r="B21" s="14" t="s">
        <v>42</v>
      </c>
      <c r="C21" s="49" t="str">
        <f>VLOOKUP(B21,'HIDDEN features'!A:D,3,FALSE)</f>
        <v>Authorization - using KeyCode</v>
      </c>
      <c r="D21" s="61" t="s">
        <v>18</v>
      </c>
      <c r="E21" s="58" t="s">
        <v>14</v>
      </c>
      <c r="F21" s="118" t="str">
        <f>IF(AND(NOT(ISBLANK(B21)),ISBLANK(D21)),"&lt;---- This field cannot be left empty!",IF(AND(D21 &lt;&gt; "Yes", D21 &lt;&gt; "No"),"&lt;---- This field must be filled from the drop-down menu", ""))</f>
        <v/>
      </c>
    </row>
    <row r="22" spans="2:6" x14ac:dyDescent="0.25">
      <c r="B22" s="15" t="s">
        <v>43</v>
      </c>
      <c r="C22" s="43" t="str">
        <f>VLOOKUP(B22,'HIDDEN features'!A:D,3,FALSE)</f>
        <v>Authorization - using locally generated id</v>
      </c>
      <c r="D22" s="62" t="s">
        <v>14</v>
      </c>
      <c r="E22" s="57" t="s">
        <v>14</v>
      </c>
      <c r="F22" s="118" t="str">
        <f t="shared" ref="F22:F23" si="4">IF(AND(NOT(ISBLANK(B22)),ISBLANK(D22)),"&lt;---- This field cannot be left empty!",IF(AND(D22 &lt;&gt; "Yes", D22 &lt;&gt; "No"),"&lt;---- This field must be filled from the drop-down menu", ""))</f>
        <v/>
      </c>
    </row>
    <row r="23" spans="2:6" x14ac:dyDescent="0.25">
      <c r="B23" s="14" t="s">
        <v>44</v>
      </c>
      <c r="C23" s="49" t="str">
        <f>VLOOKUP(B23,'HIDDEN features'!A:D,3,FALSE)</f>
        <v>Authorization - MacAddress</v>
      </c>
      <c r="D23" s="61" t="s">
        <v>18</v>
      </c>
      <c r="E23" s="58" t="s">
        <v>14</v>
      </c>
      <c r="F23" s="118" t="str">
        <f t="shared" si="4"/>
        <v/>
      </c>
    </row>
    <row r="24" spans="2:6" x14ac:dyDescent="0.25">
      <c r="B24" s="15" t="s">
        <v>45</v>
      </c>
      <c r="C24" s="43" t="str">
        <f>VLOOKUP(B24,'HIDDEN features'!A:D,3,FALSE)</f>
        <v>Authorization - NoAuthorization</v>
      </c>
      <c r="D24" s="128" t="s">
        <v>40</v>
      </c>
      <c r="E24" s="94" t="s">
        <v>40</v>
      </c>
      <c r="F24" s="118" t="str">
        <f t="shared" si="3"/>
        <v/>
      </c>
    </row>
    <row r="25" spans="2:6" x14ac:dyDescent="0.25">
      <c r="B25" s="122"/>
      <c r="C25" s="123"/>
      <c r="D25" s="124"/>
      <c r="E25" s="123"/>
    </row>
    <row r="26" spans="2:6" ht="30" x14ac:dyDescent="0.25">
      <c r="B26" s="97" t="s">
        <v>46</v>
      </c>
      <c r="C26" s="98" t="s">
        <v>198</v>
      </c>
      <c r="D26" s="126" t="s">
        <v>505</v>
      </c>
      <c r="E26" s="87" t="s">
        <v>455</v>
      </c>
      <c r="F26" s="116" t="str">
        <f>IF(ISERROR(VLOOKUP("Yes",D27:D30,1,FALSE)),"&lt;---- At least one of the options below must be supported","")</f>
        <v/>
      </c>
    </row>
    <row r="27" spans="2:6" x14ac:dyDescent="0.25">
      <c r="B27" s="46" t="s">
        <v>47</v>
      </c>
      <c r="C27" s="47" t="str">
        <f>VLOOKUP(B27,'HIDDEN features'!A:D,3,FALSE)</f>
        <v>Authorization - using RFID ISO14443</v>
      </c>
      <c r="D27" s="63" t="s">
        <v>14</v>
      </c>
      <c r="E27" s="99" t="s">
        <v>14</v>
      </c>
      <c r="F27" s="118" t="str">
        <f>IF(AND(NOT(ISBLANK(B27)),ISBLANK(D27)),"&lt;---- This field cannot be left empty!",IF(AND(D27 &lt;&gt; "Yes", D27 &lt;&gt; "No"),"&lt;---- This field must be filled from the drop-down menu", ""))</f>
        <v/>
      </c>
    </row>
    <row r="28" spans="2:6" x14ac:dyDescent="0.25">
      <c r="B28" s="15" t="s">
        <v>48</v>
      </c>
      <c r="C28" s="45" t="str">
        <f>VLOOKUP(B28,'HIDDEN features'!A:D,3,FALSE)</f>
        <v>Authorization - using RFID ISO15693</v>
      </c>
      <c r="D28" s="62" t="s">
        <v>14</v>
      </c>
      <c r="E28" s="57" t="s">
        <v>14</v>
      </c>
      <c r="F28" s="118" t="str">
        <f t="shared" ref="F28:F30" si="5">IF(AND(NOT(ISBLANK(B28)),ISBLANK(D28)),"&lt;---- This field cannot be left empty!",IF(AND(D28 &lt;&gt; "Yes", D28 &lt;&gt; "No"),"&lt;---- This field must be filled from the drop-down menu", ""))</f>
        <v/>
      </c>
    </row>
    <row r="29" spans="2:6" x14ac:dyDescent="0.25">
      <c r="B29" s="14" t="s">
        <v>49</v>
      </c>
      <c r="C29" s="44" t="str">
        <f>VLOOKUP(B29,'HIDDEN features'!A:D,3,FALSE)</f>
        <v>Authorization - using centrally, in the CSMS (or other server) generated id</v>
      </c>
      <c r="D29" s="61" t="s">
        <v>14</v>
      </c>
      <c r="E29" s="58" t="s">
        <v>14</v>
      </c>
      <c r="F29" s="118" t="str">
        <f t="shared" si="5"/>
        <v/>
      </c>
    </row>
    <row r="30" spans="2:6" x14ac:dyDescent="0.25">
      <c r="B30" s="70" t="s">
        <v>50</v>
      </c>
      <c r="C30" s="71" t="str">
        <f>VLOOKUP(B30,'HIDDEN features'!A:D,3,FALSE)</f>
        <v>Authorization - NoAuthorization</v>
      </c>
      <c r="D30" s="72" t="s">
        <v>14</v>
      </c>
      <c r="E30" s="59" t="s">
        <v>14</v>
      </c>
      <c r="F30" s="118" t="str">
        <f t="shared" si="5"/>
        <v/>
      </c>
    </row>
    <row r="31" spans="2:6" x14ac:dyDescent="0.25">
      <c r="B31" s="10"/>
    </row>
    <row r="32" spans="2:6" x14ac:dyDescent="0.25">
      <c r="B32" s="34" t="s">
        <v>411</v>
      </c>
      <c r="C32" s="35" t="s">
        <v>472</v>
      </c>
      <c r="D32" s="87" t="s">
        <v>453</v>
      </c>
    </row>
    <row r="33" spans="2:5" x14ac:dyDescent="0.25">
      <c r="B33" s="50" t="s">
        <v>51</v>
      </c>
      <c r="C33" s="51" t="str">
        <f>VLOOKUP(B33,'HIDDEN features'!A:D,3,FALSE)</f>
        <v>Support for sending a BootNotification Pending before Accepting</v>
      </c>
      <c r="D33" s="64" t="s">
        <v>18</v>
      </c>
      <c r="E33" s="118" t="str">
        <f>IF(AND(NOT(ISBLANK(B33)),ISBLANK(D33)),"&lt;---- This field cannot be left empty!",IF(AND(D33 &lt;&gt; "Yes", D33 &lt;&gt; "No"),"&lt;---- This field must be filled from the drop-down menu", ""))</f>
        <v/>
      </c>
    </row>
    <row r="34" spans="2:5" x14ac:dyDescent="0.25">
      <c r="B34" s="14" t="s">
        <v>52</v>
      </c>
      <c r="C34" s="49" t="str">
        <f>VLOOKUP(B34,'HIDDEN features'!A:D,3,FALSE)</f>
        <v>Support for Multiple elements GetVariablesRequest</v>
      </c>
      <c r="D34" s="58" t="s">
        <v>18</v>
      </c>
      <c r="E34" s="118" t="str">
        <f t="shared" ref="E34:E35" si="6">IF(AND(NOT(ISBLANK(B34)),ISBLANK(D34)),"&lt;---- This field cannot be left empty!",IF(AND(D34 &lt;&gt; "Yes", D34 &lt;&gt; "No"),"&lt;---- This field must be filled from the drop-down menu", ""))</f>
        <v/>
      </c>
    </row>
    <row r="35" spans="2:5" x14ac:dyDescent="0.25">
      <c r="B35" s="15" t="s">
        <v>53</v>
      </c>
      <c r="C35" s="43" t="str">
        <f>VLOOKUP(B35,'HIDDEN features'!A:D,3,FALSE)</f>
        <v>Support for Multiple elements SetVariablesRequest</v>
      </c>
      <c r="D35" s="57" t="s">
        <v>18</v>
      </c>
      <c r="E35" s="118" t="str">
        <f t="shared" si="6"/>
        <v/>
      </c>
    </row>
    <row r="36" spans="2:5" ht="28.5" x14ac:dyDescent="0.25">
      <c r="B36" s="14" t="s">
        <v>54</v>
      </c>
      <c r="C36" s="49" t="str">
        <f>VLOOKUP(B36,'HIDDEN features'!A:D,3,FALSE)</f>
        <v>GetBaseReport - FullInventory</v>
      </c>
      <c r="D36" s="100" t="str">
        <f>VLOOKUP(B36,'HIDDEN features'!A:D,4,FALSE)</f>
        <v>(At least one of the suboptions below is required)</v>
      </c>
      <c r="E36" s="116" t="str">
        <f>IF(ISERROR(VLOOKUP("Yes",D37:D38,1,FALSE)),"&lt;---- At least one of the options below must be supported","")</f>
        <v/>
      </c>
    </row>
    <row r="37" spans="2:5" x14ac:dyDescent="0.25">
      <c r="B37" s="41" t="s">
        <v>55</v>
      </c>
      <c r="C37" s="45" t="str">
        <f>VLOOKUP(B37,'HIDDEN features'!A:D,3,FALSE)</f>
        <v>GetBaseReport - FullInventory - During onboarding</v>
      </c>
      <c r="D37" s="57" t="s">
        <v>14</v>
      </c>
      <c r="E37" s="118" t="str">
        <f>IF(AND(NOT(ISBLANK(B37)),ISBLANK(D37)),"&lt;---- This field cannot be left empty!",IF(AND(D37 &lt;&gt; "Yes", D37 &lt;&gt; "No"),"&lt;---- This field must be filled from the drop-down menu", ""))</f>
        <v/>
      </c>
    </row>
    <row r="38" spans="2:5" x14ac:dyDescent="0.25">
      <c r="B38" s="20" t="s">
        <v>56</v>
      </c>
      <c r="C38" s="44" t="str">
        <f>VLOOKUP(B38,'HIDDEN features'!A:D,3,FALSE)</f>
        <v>GetBaseReport - FullInventory - Manual trigger</v>
      </c>
      <c r="D38" s="58" t="s">
        <v>18</v>
      </c>
      <c r="E38" s="118" t="str">
        <f t="shared" ref="E38:E39" si="7">IF(AND(NOT(ISBLANK(B38)),ISBLANK(D38)),"&lt;---- This field cannot be left empty!",IF(AND(D38 &lt;&gt; "Yes", D38 &lt;&gt; "No"),"&lt;---- This field must be filled from the drop-down menu", ""))</f>
        <v/>
      </c>
    </row>
    <row r="39" spans="2:5" x14ac:dyDescent="0.25">
      <c r="B39" s="9" t="s">
        <v>541</v>
      </c>
      <c r="C39" s="53" t="str">
        <f>VLOOKUP(B39,'HIDDEN features'!A:D,3,FALSE)</f>
        <v>Security Profile 1 - Unsecured Transport with Basic Authentication</v>
      </c>
      <c r="D39" s="68" t="s">
        <v>18</v>
      </c>
      <c r="E39" s="118" t="str">
        <f t="shared" si="7"/>
        <v/>
      </c>
    </row>
    <row r="40" spans="2:5" x14ac:dyDescent="0.25">
      <c r="B40" s="10"/>
    </row>
    <row r="41" spans="2:5" x14ac:dyDescent="0.25">
      <c r="B41" s="82" t="s">
        <v>408</v>
      </c>
      <c r="C41" s="35" t="s">
        <v>457</v>
      </c>
      <c r="D41" s="87" t="s">
        <v>453</v>
      </c>
    </row>
    <row r="42" spans="2:5" x14ac:dyDescent="0.25">
      <c r="B42" s="69" t="s">
        <v>57</v>
      </c>
      <c r="C42" s="11" t="str">
        <f>VLOOKUP(B42,'HIDDEN features'!A:D,3,FALSE)</f>
        <v>Support for TxDefaultProfile on EVSEID #0</v>
      </c>
      <c r="D42" s="66" t="s">
        <v>18</v>
      </c>
      <c r="E42" s="118" t="str">
        <f>IF(AND(D42="Yes",VLOOKUP(RIGHT(C41,LEN(C41)-FIND(":",C41)-1),Profile_Selection,2,FALSE)&lt;&gt;"Yes"),_xlfn.CONCAT("&lt;---- Value must be 'No' as ",C41," is not selected"),IF(AND(NOT(ISBLANK(B42)),ISBLANK(D42)),"&lt;---- This field cannot be left empty!",IF(AND(D42 &lt;&gt; "Yes", D42 &lt;&gt; "No"),"&lt;---- This field must be filled from the drop-down menu", "")))</f>
        <v/>
      </c>
    </row>
    <row r="43" spans="2:5" x14ac:dyDescent="0.25">
      <c r="B43" s="10"/>
    </row>
    <row r="44" spans="2:5" x14ac:dyDescent="0.25">
      <c r="B44" s="82" t="s">
        <v>408</v>
      </c>
      <c r="C44" s="35" t="s">
        <v>458</v>
      </c>
      <c r="D44" s="87" t="s">
        <v>453</v>
      </c>
    </row>
    <row r="45" spans="2:5" x14ac:dyDescent="0.25">
      <c r="B45" s="12"/>
      <c r="C45" s="11" t="s">
        <v>58</v>
      </c>
      <c r="D45" s="101"/>
      <c r="E45" s="118" t="str">
        <f>IF(AND(D45="Yes",VLOOKUP(RIGHT(C44,LEN(C44)-FIND(":",C44)-1),Profile_Selection,2,FALSE)&lt;&gt;"Yes"),_xlfn.CONCAT("&lt;---- Value must be 'No' as ",C44," is not selected"),IF(AND(NOT(ISBLANK(B45)),ISBLANK(D45)),"&lt;---- This field cannot be left empty!",""))</f>
        <v/>
      </c>
    </row>
    <row r="46" spans="2:5" x14ac:dyDescent="0.25">
      <c r="B46" s="10"/>
    </row>
    <row r="47" spans="2:5" x14ac:dyDescent="0.25">
      <c r="B47" s="82" t="s">
        <v>408</v>
      </c>
      <c r="C47" s="35" t="s">
        <v>837</v>
      </c>
      <c r="D47" s="87" t="s">
        <v>453</v>
      </c>
    </row>
    <row r="48" spans="2:5" x14ac:dyDescent="0.25">
      <c r="B48" s="166" t="s">
        <v>793</v>
      </c>
      <c r="C48" s="167" t="str">
        <f>VLOOKUP(B48,'HIDDEN features'!A:D,3,FALSE)</f>
        <v>Support for Reservation</v>
      </c>
      <c r="D48" s="180" t="s">
        <v>18</v>
      </c>
      <c r="E48" s="168" t="str">
        <f>IF(AND(NOT(ISBLANK(B48)),ISBLANK(D48)),"&lt;---- This field cannot be left empty!",IF(AND(D48 &lt;&gt; "Yes", D48 &lt;&gt; "No"),"&lt;---- This field must be filled from the drop-down menu", ""))</f>
        <v/>
      </c>
    </row>
    <row r="49" spans="2:5" x14ac:dyDescent="0.25">
      <c r="B49" s="8" t="s">
        <v>59</v>
      </c>
      <c r="C49" s="49" t="str">
        <f>VLOOKUP(B49,'HIDDEN features'!A:D,3,FALSE)</f>
        <v>Support for reservations of connectorType</v>
      </c>
      <c r="D49" s="67" t="s">
        <v>18</v>
      </c>
      <c r="E49" s="118" t="str">
        <f>IF(AND(D49="Yes",VLOOKUP("R-0",'Optional features'!B:D,3,FALSE)&lt;&gt;"Yes"),_xlfn.CONCAT("&lt;---- Value must be 'No' as ",C47," is not selected"),IF(AND(NOT(ISBLANK(B49)),ISBLANK(D49)),"&lt;---- This field cannot be left empty!",IF(AND(D49 &lt;&gt; "Yes", D49 &lt;&gt; "No"),"&lt;---- This field must be filled from the drop-down menu", "")))</f>
        <v/>
      </c>
    </row>
    <row r="50" spans="2:5" x14ac:dyDescent="0.25">
      <c r="B50" s="9" t="s">
        <v>60</v>
      </c>
      <c r="C50" s="53" t="str">
        <f>VLOOKUP(B50,'HIDDEN features'!A:D,3,FALSE)</f>
        <v>Support for reservations of unspecified EVSE</v>
      </c>
      <c r="D50" s="68" t="s">
        <v>18</v>
      </c>
      <c r="E50" s="118" t="str">
        <f>IF(AND(D50="Yes",VLOOKUP("R-0",'Optional features'!B:D,3,FALSE)&lt;&gt;"Yes"),_xlfn.CONCAT("&lt;---- Value must be 'No' as ",C47," is not selected"),IF(AND(NOT(ISBLANK(B50)),ISBLANK(D50)),"&lt;---- This field cannot be left empty!",IF(AND(D50 &lt;&gt; "Yes", D50 &lt;&gt; "No"),"&lt;---- This field must be filled from the drop-down menu", "")))</f>
        <v/>
      </c>
    </row>
    <row r="51" spans="2:5" x14ac:dyDescent="0.25">
      <c r="B51" s="10"/>
    </row>
    <row r="52" spans="2:5" x14ac:dyDescent="0.25">
      <c r="B52" s="82" t="s">
        <v>408</v>
      </c>
      <c r="C52" s="35" t="s">
        <v>21</v>
      </c>
      <c r="D52" s="87" t="s">
        <v>453</v>
      </c>
    </row>
    <row r="53" spans="2:5" x14ac:dyDescent="0.25">
      <c r="B53" s="69" t="s">
        <v>794</v>
      </c>
      <c r="C53" s="11" t="str">
        <f>VLOOKUP(B53,'HIDDEN features'!A:D,3,FALSE)</f>
        <v>Support for Advanced Device Management</v>
      </c>
      <c r="D53" s="66" t="s">
        <v>18</v>
      </c>
      <c r="E53" s="168" t="str">
        <f>IF(AND(NOT(ISBLANK(B53)),ISBLANK(D53)),"&lt;---- This field cannot be left empty!",IF(AND(D53 &lt;&gt; "Yes", D53 &lt;&gt; "No"),"&lt;---- This field must be filled from the drop-down menu", ""))</f>
        <v/>
      </c>
    </row>
    <row r="54" spans="2:5" x14ac:dyDescent="0.25">
      <c r="B54" s="10"/>
    </row>
    <row r="55" spans="2:5" x14ac:dyDescent="0.25">
      <c r="B55" s="82" t="s">
        <v>408</v>
      </c>
      <c r="C55" s="35" t="s">
        <v>459</v>
      </c>
      <c r="D55" s="87" t="s">
        <v>453</v>
      </c>
    </row>
    <row r="56" spans="2:5" x14ac:dyDescent="0.25">
      <c r="B56" s="69" t="s">
        <v>61</v>
      </c>
      <c r="C56" s="11" t="str">
        <f>VLOOKUP(B56,'HIDDEN features'!A:D,3,FALSE)</f>
        <v>Support for retrieving / deleting CustomerInformation - CustomerCertificate</v>
      </c>
      <c r="D56" s="66" t="s">
        <v>18</v>
      </c>
      <c r="E56" s="118" t="str">
        <f>IF(AND(D56="Yes",VLOOKUP(RIGHT(C55,LEN(C55)-FIND(":",C55)-1),Profile_Selection,2,FALSE)&lt;&gt;"Yes"),_xlfn.CONCAT("&lt;---- Value must be 'No' as ",C55," is not selected"),IF(AND(NOT(ISBLANK(B56)),ISBLANK(D56)),"&lt;---- This field cannot be left empty!",IF(AND(D56 &lt;&gt; "Yes", D56 &lt;&gt; "No"),"&lt;---- This field must be filled from the drop-down menu", "")))</f>
        <v/>
      </c>
    </row>
    <row r="57" spans="2:5" x14ac:dyDescent="0.25">
      <c r="B57" s="10"/>
    </row>
    <row r="58" spans="2:5" x14ac:dyDescent="0.25">
      <c r="B58" s="82" t="s">
        <v>408</v>
      </c>
      <c r="C58" s="35" t="s">
        <v>17</v>
      </c>
      <c r="D58" s="87" t="s">
        <v>453</v>
      </c>
    </row>
    <row r="59" spans="2:5" x14ac:dyDescent="0.25">
      <c r="B59" s="169" t="s">
        <v>796</v>
      </c>
      <c r="C59" s="167" t="str">
        <f>VLOOKUP(B59,'HIDDEN features'!A:D,3,FALSE)</f>
        <v>Support for Local Authorization List Management</v>
      </c>
      <c r="D59" s="181" t="s">
        <v>18</v>
      </c>
      <c r="E59" s="168" t="str">
        <f>IF(AND(NOT(ISBLANK(B59)),ISBLANK(D59)),"&lt;---- This field cannot be left empty!",IF(AND(D59 &lt;&gt; "Yes", D59 &lt;&gt; "No"),"&lt;---- This field must be filled from the drop-down menu", ""))</f>
        <v/>
      </c>
    </row>
    <row r="60" spans="2:5" x14ac:dyDescent="0.25">
      <c r="B60" s="48" t="s">
        <v>62</v>
      </c>
      <c r="C60" s="52" t="str">
        <f>VLOOKUP(B60,'HIDDEN features'!A:D,3,FALSE)</f>
        <v>Support for GetLocalListVersion</v>
      </c>
      <c r="D60" s="65" t="s">
        <v>18</v>
      </c>
      <c r="E60" s="118" t="str">
        <f>IF(AND(D60="Yes",VLOOKUP("LA-0",'Optional features'!B:D,3,FALSE)&lt;&gt;"Yes"),_xlfn.CONCAT("&lt;---- Value must be 'No' as ",C58," is not selected"),IF(AND(NOT(ISBLANK(B60)),ISBLANK(D60)),"&lt;---- This field cannot be left empty!",IF(AND(D60 &lt;&gt; "Yes", D60 &lt;&gt; "No"),"&lt;---- This field must be filled from the drop-down menu", "")))</f>
        <v/>
      </c>
    </row>
    <row r="61" spans="2:5" x14ac:dyDescent="0.25">
      <c r="B61" s="10"/>
    </row>
    <row r="62" spans="2:5" x14ac:dyDescent="0.25">
      <c r="B62" s="82" t="s">
        <v>408</v>
      </c>
      <c r="C62" s="35" t="s">
        <v>23</v>
      </c>
      <c r="D62" s="87" t="s">
        <v>453</v>
      </c>
    </row>
    <row r="63" spans="2:5" x14ac:dyDescent="0.25">
      <c r="B63" s="69" t="s">
        <v>798</v>
      </c>
      <c r="C63" s="11" t="str">
        <f>VLOOKUP(B63,'HIDDEN features'!A:D,3,FALSE)</f>
        <v>Support for Advanced User Interface</v>
      </c>
      <c r="D63" s="66" t="s">
        <v>18</v>
      </c>
      <c r="E63" s="118" t="str">
        <f>IF(AND(D63="Yes",VLOOKUP("UI-0",'Optional features'!B:D,3,FALSE)&lt;&gt;"Yes"),_xlfn.CONCAT("&lt;---- Value must be 'No' as ",C62," is not selected"),IF(AND(NOT(ISBLANK(B63)),ISBLANK(D63)),"&lt;---- This field cannot be left empty!",IF(AND(D63 &lt;&gt; "Yes", D63 &lt;&gt; "No"),"&lt;---- This field must be filled from the drop-down menu", "")))</f>
        <v/>
      </c>
    </row>
    <row r="64" spans="2:5" x14ac:dyDescent="0.25">
      <c r="B64" s="13"/>
    </row>
  </sheetData>
  <sheetProtection algorithmName="SHA-512" hashValue="iH4rK8rshVKOwTncNQ6pwh08p3Md/vqnLv5RubmML3/+h0z/9SEZpyr9XgG5DLbb00WPKhxJzGSHI1Qeg76YOg==" saltValue="/gCOLlW+eTR2lyife/9d8Q==" spinCount="100000" sheet="1" objects="1" scenarios="1"/>
  <mergeCells count="2">
    <mergeCell ref="B1:D1"/>
    <mergeCell ref="C2:D2"/>
  </mergeCells>
  <conditionalFormatting sqref="F1 F3">
    <cfRule type="cellIs" dxfId="14" priority="5" operator="equal">
      <formula>"VALID"</formula>
    </cfRule>
  </conditionalFormatting>
  <conditionalFormatting sqref="F1:F3">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2">
    <dataValidation type="list" allowBlank="1" showInputMessage="1" showErrorMessage="1" sqref="D48 D53 D59 D63" xr:uid="{3E9FD7DB-9DCD-495A-9E83-BD0DF3DE10E1}">
      <formula1>"Yes,No"</formula1>
    </dataValidation>
    <dataValidation type="list" showInputMessage="1" showErrorMessage="1" sqref="D5:D10 D12:D16 D21:E23 D27:E30 D33:D35 D56 D42 D49:D50 D60 D37:D39" xr:uid="{D3E5A515-1ED8-C74F-906E-3D03E9E4095D}">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14"/>
  <sheetViews>
    <sheetView showGridLines="0" zoomScaleNormal="100" workbookViewId="0">
      <selection activeCell="D5" sqref="D5"/>
    </sheetView>
  </sheetViews>
  <sheetFormatPr defaultColWidth="28.125" defaultRowHeight="15.75" x14ac:dyDescent="0.25"/>
  <cols>
    <col min="1" max="1" width="14.125" customWidth="1"/>
    <col min="2" max="2" width="10" customWidth="1"/>
    <col min="3" max="3" width="72.625" customWidth="1"/>
    <col min="4" max="4" width="25.125" customWidth="1"/>
    <col min="5" max="5" width="35" bestFit="1" customWidth="1"/>
  </cols>
  <sheetData>
    <row r="1" spans="2:6" ht="54.75" customHeight="1" x14ac:dyDescent="0.25">
      <c r="C1" s="32" t="s">
        <v>63</v>
      </c>
      <c r="E1" s="117" t="s">
        <v>461</v>
      </c>
      <c r="F1" s="117" t="str">
        <f>IF(_xlfn.CONCAT(E4:E13)="","VALID","INVALID")</f>
        <v>VALID</v>
      </c>
    </row>
    <row r="2" spans="2:6" ht="31.5" x14ac:dyDescent="0.25">
      <c r="C2" s="145" t="s">
        <v>520</v>
      </c>
      <c r="E2" s="117" t="s">
        <v>537</v>
      </c>
      <c r="F2" s="117" t="str">
        <f>'Statement of Approval'!$I$2</f>
        <v>INVALID</v>
      </c>
    </row>
    <row r="3" spans="2:6" ht="27.75" customHeight="1" x14ac:dyDescent="0.25">
      <c r="C3" s="32"/>
    </row>
    <row r="4" spans="2:6" x14ac:dyDescent="0.25">
      <c r="B4" s="81" t="s">
        <v>408</v>
      </c>
      <c r="C4" s="35" t="s">
        <v>528</v>
      </c>
      <c r="D4" s="87" t="s">
        <v>503</v>
      </c>
    </row>
    <row r="5" spans="2:6" x14ac:dyDescent="0.25">
      <c r="B5" s="155" t="s">
        <v>511</v>
      </c>
      <c r="C5" s="156" t="s">
        <v>65</v>
      </c>
      <c r="D5" s="64" t="s">
        <v>18</v>
      </c>
      <c r="E5" t="str">
        <f>IF(AND(NOT(ISBLANK(B5)),ISBLANK(D5)),"&lt;-- This field cannot be left empty!",IF(AND(D5 &lt;&gt; "Yes", D5 &lt;&gt; "No"),"&lt;---- This field must be filled from the drop-down menu", ""))</f>
        <v/>
      </c>
    </row>
    <row r="6" spans="2:6" ht="27.75" customHeight="1" x14ac:dyDescent="0.25">
      <c r="B6" s="54" t="s">
        <v>512</v>
      </c>
      <c r="C6" s="157" t="s">
        <v>492</v>
      </c>
      <c r="D6" s="161" t="s">
        <v>534</v>
      </c>
      <c r="E6" s="138" t="str">
        <f>IF(AND(ISERROR(VLOOKUP("Yes",D7:D8,1,FALSE)), VLOOKUP("Smart Charging",'Profile selection'!B4:D7,2,FALSE)="Yes"),"&lt;---- At least one of the options below must be supported","")</f>
        <v/>
      </c>
    </row>
    <row r="7" spans="2:6" x14ac:dyDescent="0.25">
      <c r="B7" s="33" t="s">
        <v>513</v>
      </c>
      <c r="C7" s="158" t="s">
        <v>494</v>
      </c>
      <c r="D7" s="57" t="s">
        <v>18</v>
      </c>
      <c r="E7" s="138" t="str">
        <f>IF(AND(D7&lt;&gt;"Yes",D10&lt;&gt;"Yes",VLOOKUP("Smart Charging",'Profile selection'!B4:D7,2,FALSE)="Yes"),"&lt;---- TxDefaultProfile must be supported for either Absolute or Recurring",IF(AND(D7 &lt;&gt; "Yes", D7 &lt;&gt; "No"),"&lt;---- This field must be filled from the drop-down menu", ""))</f>
        <v/>
      </c>
    </row>
    <row r="8" spans="2:6" x14ac:dyDescent="0.25">
      <c r="B8" s="54" t="s">
        <v>514</v>
      </c>
      <c r="C8" s="159" t="s">
        <v>493</v>
      </c>
      <c r="D8" s="55" t="s">
        <v>18</v>
      </c>
      <c r="E8" s="138" t="str">
        <f>IF(AND(D8&lt;&gt;"Yes",D11&lt;&gt;"Yes",VLOOKUP("Smart Charging",'Profile selection'!B4:D7,2,FALSE)="Yes"),"&lt;---- ChargingStationMaxProfile must be supported for either Absolute or Recurring",IF(AND(D8 &lt;&gt; "Yes", D8 &lt;&gt; "No"),"&lt;---- This field must be filled from the drop-down menu", ""))</f>
        <v/>
      </c>
    </row>
    <row r="9" spans="2:6" ht="30" customHeight="1" x14ac:dyDescent="0.25">
      <c r="B9" s="33" t="s">
        <v>515</v>
      </c>
      <c r="C9" s="160" t="s">
        <v>495</v>
      </c>
      <c r="D9" s="162" t="s">
        <v>534</v>
      </c>
      <c r="E9" s="138" t="str">
        <f>IF(AND(ISERROR(VLOOKUP("Yes",D10:D11,1,FALSE)),VLOOKUP("Smart Charging",'Profile selection'!B4:D7,2,FALSE)="Yes"),"&lt;---- At least one of the options below must be supported","")</f>
        <v/>
      </c>
    </row>
    <row r="10" spans="2:6" x14ac:dyDescent="0.25">
      <c r="B10" s="54" t="s">
        <v>516</v>
      </c>
      <c r="C10" s="159" t="s">
        <v>494</v>
      </c>
      <c r="D10" s="55" t="s">
        <v>18</v>
      </c>
      <c r="E10" t="str">
        <f>IF(AND(NOT(ISBLANK(B10)),ISBLANK(D10)),"&lt;-- This field cannot be left empty!",IF(AND(D10 &lt;&gt; "Yes", D10 &lt;&gt; "No"),"&lt;---- This field must be filled from the drop-down menu", ""))</f>
        <v/>
      </c>
    </row>
    <row r="11" spans="2:6" x14ac:dyDescent="0.25">
      <c r="B11" s="33" t="s">
        <v>517</v>
      </c>
      <c r="C11" s="158" t="s">
        <v>493</v>
      </c>
      <c r="D11" s="57" t="s">
        <v>18</v>
      </c>
      <c r="E11" t="str">
        <f>IF(AND(NOT(ISBLANK(B11)),ISBLANK(D11)),"&lt;-- This field cannot be left empty!",IF(AND(D11 &lt;&gt; "Yes", D11 &lt;&gt; "No"),"&lt;---- This field must be filled from the drop-down menu", ""))</f>
        <v/>
      </c>
    </row>
    <row r="12" spans="2:6" ht="30" x14ac:dyDescent="0.25">
      <c r="B12" s="54" t="s">
        <v>518</v>
      </c>
      <c r="C12" s="157" t="s">
        <v>66</v>
      </c>
      <c r="D12" s="55" t="s">
        <v>18</v>
      </c>
      <c r="E12" t="str">
        <f>IF(AND(NOT(ISBLANK(B12)),ISBLANK(D12)),"&lt;-- This field cannot be left empty!",IF(AND(D12 &lt;&gt; "Yes", D12 &lt;&gt; "No"),"&lt;---- This field must be filled from the drop-down menu", ""))</f>
        <v/>
      </c>
    </row>
    <row r="13" spans="2:6" ht="30" x14ac:dyDescent="0.25">
      <c r="B13" s="170" t="s">
        <v>531</v>
      </c>
      <c r="C13" s="171" t="s">
        <v>64</v>
      </c>
      <c r="D13" s="59" t="s">
        <v>18</v>
      </c>
      <c r="E13" t="str">
        <f>IF(AND(NOT(ISBLANK(B13)),ISBLANK(D13)),"&lt;-- This field cannot be left empty!",IF(AND(D13 &lt;&gt; "Yes", D13 &lt;&gt; "No"),"&lt;---- This field must be filled from the drop-down menu", ""))</f>
        <v/>
      </c>
    </row>
    <row r="14" spans="2:6" x14ac:dyDescent="0.25">
      <c r="C14" s="10"/>
    </row>
  </sheetData>
  <sheetProtection algorithmName="SHA-512" hashValue="iEHeGF4jpugHvGf8GXmyQ37NotxjoeJb5OClfLFEOgr/wXaXESL/eN13LO+LGDE5SlKcPC1gH7zRZHsQgXq9zQ==" saltValue="5hrhJTmTKnZMIHLNScF5VA=="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7:D8 D10:D13 D5" xr:uid="{4349DFB3-71A1-4666-9A39-82EE747DEB36}">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203" t="s">
        <v>448</v>
      </c>
      <c r="C2" s="203"/>
    </row>
    <row r="3" spans="2:4" ht="37.5" customHeight="1" x14ac:dyDescent="0.25">
      <c r="B3" s="204" t="s">
        <v>449</v>
      </c>
      <c r="C3" s="204"/>
      <c r="D3" s="204"/>
    </row>
    <row r="4" spans="2:4" x14ac:dyDescent="0.25">
      <c r="B4" s="10"/>
    </row>
    <row r="5" spans="2:4" ht="16.5" thickBot="1" x14ac:dyDescent="0.3">
      <c r="B5" s="83" t="s">
        <v>425</v>
      </c>
      <c r="C5" s="84" t="s">
        <v>426</v>
      </c>
      <c r="D5" s="88" t="s">
        <v>12</v>
      </c>
    </row>
    <row r="6" spans="2:4" ht="16.5" thickBot="1" x14ac:dyDescent="0.3">
      <c r="B6" s="129" t="s">
        <v>413</v>
      </c>
      <c r="C6" s="130" t="s">
        <v>413</v>
      </c>
      <c r="D6" s="131" t="s">
        <v>413</v>
      </c>
    </row>
    <row r="7" spans="2:4" ht="16.5" thickBot="1" x14ac:dyDescent="0.3">
      <c r="B7" s="111" t="s">
        <v>446</v>
      </c>
      <c r="C7" s="112" t="s">
        <v>447</v>
      </c>
      <c r="D7" s="113" t="s">
        <v>446</v>
      </c>
    </row>
    <row r="8" spans="2:4" ht="16.5" thickBot="1" x14ac:dyDescent="0.3">
      <c r="B8" s="129" t="s">
        <v>413</v>
      </c>
      <c r="C8" s="130" t="s">
        <v>413</v>
      </c>
      <c r="D8" s="131" t="s">
        <v>413</v>
      </c>
    </row>
    <row r="9" spans="2:4" ht="16.5" thickBot="1" x14ac:dyDescent="0.3">
      <c r="B9" s="111" t="s">
        <v>446</v>
      </c>
      <c r="C9" s="112" t="s">
        <v>447</v>
      </c>
      <c r="D9" s="113" t="s">
        <v>446</v>
      </c>
    </row>
    <row r="10" spans="2:4" ht="16.5" thickBot="1" x14ac:dyDescent="0.3">
      <c r="B10" s="129" t="s">
        <v>413</v>
      </c>
      <c r="C10" s="130" t="s">
        <v>413</v>
      </c>
      <c r="D10" s="131" t="s">
        <v>413</v>
      </c>
    </row>
    <row r="11" spans="2:4" ht="16.5" thickBot="1" x14ac:dyDescent="0.3">
      <c r="B11" s="111" t="s">
        <v>446</v>
      </c>
      <c r="C11" s="112" t="s">
        <v>447</v>
      </c>
      <c r="D11" s="113" t="s">
        <v>446</v>
      </c>
    </row>
    <row r="12" spans="2:4" ht="16.5" thickBot="1" x14ac:dyDescent="0.3">
      <c r="B12" s="129" t="s">
        <v>413</v>
      </c>
      <c r="C12" s="130" t="s">
        <v>413</v>
      </c>
      <c r="D12" s="131" t="s">
        <v>413</v>
      </c>
    </row>
    <row r="13" spans="2:4" ht="16.5" thickBot="1" x14ac:dyDescent="0.3">
      <c r="B13" s="111" t="s">
        <v>446</v>
      </c>
      <c r="C13" s="112" t="s">
        <v>447</v>
      </c>
      <c r="D13" s="113" t="s">
        <v>446</v>
      </c>
    </row>
    <row r="14" spans="2:4" ht="16.5" thickBot="1" x14ac:dyDescent="0.3">
      <c r="B14" s="129" t="s">
        <v>413</v>
      </c>
      <c r="C14" s="130" t="s">
        <v>413</v>
      </c>
      <c r="D14" s="131" t="s">
        <v>413</v>
      </c>
    </row>
    <row r="15" spans="2:4" ht="16.5" thickBot="1" x14ac:dyDescent="0.3">
      <c r="B15" s="111" t="s">
        <v>446</v>
      </c>
      <c r="C15" s="112" t="s">
        <v>447</v>
      </c>
      <c r="D15" s="113" t="s">
        <v>446</v>
      </c>
    </row>
    <row r="16" spans="2:4" ht="16.5" thickBot="1" x14ac:dyDescent="0.3">
      <c r="B16" s="129" t="s">
        <v>413</v>
      </c>
      <c r="C16" s="130" t="s">
        <v>413</v>
      </c>
      <c r="D16" s="131" t="s">
        <v>413</v>
      </c>
    </row>
    <row r="17" spans="2:4" ht="16.5" thickBot="1" x14ac:dyDescent="0.3">
      <c r="B17" s="111" t="s">
        <v>446</v>
      </c>
      <c r="C17" s="112" t="s">
        <v>447</v>
      </c>
      <c r="D17" s="113" t="s">
        <v>446</v>
      </c>
    </row>
    <row r="18" spans="2:4" ht="16.5" thickBot="1" x14ac:dyDescent="0.3">
      <c r="B18" s="129" t="s">
        <v>413</v>
      </c>
      <c r="C18" s="130" t="s">
        <v>413</v>
      </c>
      <c r="D18" s="131" t="s">
        <v>413</v>
      </c>
    </row>
    <row r="19" spans="2:4" ht="16.5" thickBot="1" x14ac:dyDescent="0.3">
      <c r="B19" s="111" t="s">
        <v>446</v>
      </c>
      <c r="C19" s="112" t="s">
        <v>447</v>
      </c>
      <c r="D19" s="113" t="s">
        <v>446</v>
      </c>
    </row>
    <row r="20" spans="2:4" ht="16.5" thickBot="1" x14ac:dyDescent="0.3">
      <c r="B20" s="129" t="s">
        <v>413</v>
      </c>
      <c r="C20" s="130" t="s">
        <v>413</v>
      </c>
      <c r="D20" s="131" t="s">
        <v>413</v>
      </c>
    </row>
    <row r="21" spans="2:4" ht="16.5" thickBot="1" x14ac:dyDescent="0.3">
      <c r="B21" s="111" t="s">
        <v>446</v>
      </c>
      <c r="C21" s="112" t="s">
        <v>447</v>
      </c>
      <c r="D21" s="113" t="s">
        <v>446</v>
      </c>
    </row>
    <row r="22" spans="2:4" ht="16.5" thickBot="1" x14ac:dyDescent="0.3">
      <c r="B22" s="129" t="s">
        <v>413</v>
      </c>
      <c r="C22" s="130" t="s">
        <v>413</v>
      </c>
      <c r="D22" s="131" t="s">
        <v>413</v>
      </c>
    </row>
    <row r="23" spans="2:4" ht="16.5" thickBot="1" x14ac:dyDescent="0.3">
      <c r="B23" s="111" t="s">
        <v>446</v>
      </c>
      <c r="C23" s="112" t="s">
        <v>447</v>
      </c>
      <c r="D23" s="113" t="s">
        <v>446</v>
      </c>
    </row>
    <row r="24" spans="2:4" ht="16.5" thickBot="1" x14ac:dyDescent="0.3">
      <c r="B24" s="129" t="s">
        <v>413</v>
      </c>
      <c r="C24" s="130" t="s">
        <v>413</v>
      </c>
      <c r="D24" s="131" t="s">
        <v>413</v>
      </c>
    </row>
    <row r="25" spans="2:4" ht="16.5" thickBot="1" x14ac:dyDescent="0.3">
      <c r="B25" s="111" t="s">
        <v>446</v>
      </c>
      <c r="C25" s="112" t="s">
        <v>447</v>
      </c>
      <c r="D25" s="113" t="s">
        <v>446</v>
      </c>
    </row>
    <row r="26" spans="2:4" ht="16.5" thickBot="1" x14ac:dyDescent="0.3">
      <c r="B26" s="129" t="s">
        <v>413</v>
      </c>
      <c r="C26" s="130" t="s">
        <v>413</v>
      </c>
      <c r="D26" s="131" t="s">
        <v>413</v>
      </c>
    </row>
    <row r="27" spans="2:4" ht="16.5" thickBot="1" x14ac:dyDescent="0.3">
      <c r="B27" s="111" t="s">
        <v>446</v>
      </c>
      <c r="C27" s="112" t="s">
        <v>447</v>
      </c>
      <c r="D27" s="113" t="s">
        <v>446</v>
      </c>
    </row>
    <row r="28" spans="2:4" ht="16.5" thickBot="1" x14ac:dyDescent="0.3">
      <c r="B28" s="129" t="s">
        <v>413</v>
      </c>
      <c r="C28" s="130" t="s">
        <v>413</v>
      </c>
      <c r="D28" s="131" t="s">
        <v>413</v>
      </c>
    </row>
  </sheetData>
  <sheetProtection algorithmName="SHA-512" hashValue="IYYV31uoz1iazJ87ZXWEN5zTspQ01AsV9O1yf/B73nbqMDPBQQImgHytYKdlL1xqE8IRaiTQobuO6OPiFb4dCw==" saltValue="PgSvmOy9dA+OaB4p5FYjpw=="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408</v>
      </c>
      <c r="B1" t="s">
        <v>470</v>
      </c>
    </row>
  </sheetData>
  <pageMargins left="0.7" right="0.7" top="0.75" bottom="0.75" header="0.3" footer="0.3"/>
  <headerFooter>
    <oddHeader>&amp;L&amp;"Aptos"&amp;10&amp;K000000 TLP: GREEN&amp;1#_x000D_</oddHead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205" t="s">
        <v>81</v>
      </c>
      <c r="C1" s="205"/>
      <c r="D1" s="205"/>
      <c r="H1" s="117" t="s">
        <v>468</v>
      </c>
      <c r="I1" s="117" t="str">
        <f>IF(AND(ISERROR(FIND("&lt;",_xlfn.CONCAT(C6:C7))),_xlfn.CONCAT(H5:H9)="",ISERROR(FIND("&lt;",C14))),"VALID","INVALID")</f>
        <v>INVALID</v>
      </c>
    </row>
    <row r="2" spans="2:9" ht="45.75" customHeight="1" x14ac:dyDescent="0.25">
      <c r="B2" s="215" t="s">
        <v>521</v>
      </c>
      <c r="C2" s="215"/>
      <c r="D2" s="215"/>
      <c r="H2" s="117" t="s">
        <v>537</v>
      </c>
      <c r="I2" s="117" t="str">
        <f>'Statement of Approval'!$I$2</f>
        <v>INVALID</v>
      </c>
    </row>
    <row r="3" spans="2:9" ht="18.75" customHeight="1" x14ac:dyDescent="0.25">
      <c r="B3" s="194"/>
      <c r="C3" s="194"/>
      <c r="D3" s="194"/>
      <c r="H3" s="117"/>
      <c r="I3" s="117"/>
    </row>
    <row r="4" spans="2:9" x14ac:dyDescent="0.25">
      <c r="B4" s="195" t="s">
        <v>416</v>
      </c>
      <c r="C4" s="196"/>
    </row>
    <row r="5" spans="2:9" ht="16.5" thickBot="1" x14ac:dyDescent="0.3">
      <c r="B5" s="197" t="s">
        <v>82</v>
      </c>
      <c r="C5" s="198" t="s">
        <v>417</v>
      </c>
      <c r="D5" s="185" t="s">
        <v>83</v>
      </c>
      <c r="E5" s="206" t="s">
        <v>84</v>
      </c>
      <c r="F5" s="206"/>
      <c r="G5" s="206"/>
    </row>
    <row r="6" spans="2:9" ht="61.35" customHeight="1" thickBot="1" x14ac:dyDescent="0.3">
      <c r="B6" s="186" t="s">
        <v>85</v>
      </c>
      <c r="C6" s="133" t="s">
        <v>443</v>
      </c>
      <c r="D6" s="192" t="s">
        <v>86</v>
      </c>
      <c r="E6" s="207" t="s">
        <v>419</v>
      </c>
      <c r="F6" s="208"/>
      <c r="G6" s="209"/>
      <c r="H6" s="118" t="str">
        <f>IF(ISBLANK(C6),"&lt;---- This field cannot be left empty!","")</f>
        <v/>
      </c>
    </row>
    <row r="7" spans="2:9" ht="30.75" customHeight="1" thickBot="1" x14ac:dyDescent="0.3">
      <c r="B7" s="189" t="s">
        <v>87</v>
      </c>
      <c r="C7" s="134" t="s">
        <v>443</v>
      </c>
      <c r="D7" s="193" t="s">
        <v>86</v>
      </c>
      <c r="E7" s="210" t="s">
        <v>88</v>
      </c>
      <c r="F7" s="211"/>
      <c r="G7" s="212"/>
      <c r="H7" s="118" t="str">
        <f>IF(ISBLANK(C7),"&lt;---- This field cannot be left empty!","")</f>
        <v/>
      </c>
    </row>
    <row r="8" spans="2:9" x14ac:dyDescent="0.25">
      <c r="B8" s="10"/>
    </row>
    <row r="9" spans="2:9" ht="21.75" customHeight="1" x14ac:dyDescent="0.25">
      <c r="B9" s="214" t="s">
        <v>460</v>
      </c>
      <c r="C9" s="214"/>
      <c r="D9" s="214"/>
      <c r="E9" s="214"/>
      <c r="F9" s="214"/>
    </row>
    <row r="10" spans="2:9" ht="16.5" thickBot="1" x14ac:dyDescent="0.3">
      <c r="B10" s="183" t="s">
        <v>82</v>
      </c>
      <c r="C10" s="184" t="s">
        <v>418</v>
      </c>
      <c r="D10" s="184" t="s">
        <v>417</v>
      </c>
      <c r="E10" s="184" t="s">
        <v>469</v>
      </c>
      <c r="F10" s="185" t="s">
        <v>83</v>
      </c>
    </row>
    <row r="11" spans="2:9" ht="34.5" customHeight="1" thickBot="1" x14ac:dyDescent="0.3">
      <c r="B11" s="186" t="s">
        <v>85</v>
      </c>
      <c r="C11" s="187" t="str">
        <f>IFERROR(VLOOKUP("perf_Overall_min",'HIDDEN Testrun Results'!$A:$B,2,FALSE),"&lt;min.  measurement&gt;")</f>
        <v>&lt;min.  measurement&gt;</v>
      </c>
      <c r="D11" s="187" t="str">
        <f>IFERROR(VLOOKUP("perf_Overall_max",'HIDDEN Testrun Results'!$A:$B,2,FALSE),"&lt;max.  measurement&gt;")</f>
        <v>&lt;max.  measurement&gt;</v>
      </c>
      <c r="E11" s="187" t="str">
        <f>IFERROR(VLOOKUP("perf_Overall_avg",'HIDDEN Testrun Results'!$A:$B,2,FALSE),"&lt;avg.  measurement&gt;")</f>
        <v>&lt;avg.  measurement&gt;</v>
      </c>
      <c r="F11" s="188" t="s">
        <v>86</v>
      </c>
    </row>
    <row r="12" spans="2:9" ht="33" customHeight="1" thickBot="1" x14ac:dyDescent="0.3">
      <c r="B12" s="189" t="s">
        <v>87</v>
      </c>
      <c r="C12" s="190" t="str">
        <f>IFERROR(VLOOKUP("perf_Authorize_min",'HIDDEN Testrun Results'!$A:$B,2,FALSE),"&lt;min.  measurement&gt;")</f>
        <v>&lt;min.  measurement&gt;</v>
      </c>
      <c r="D12" s="190" t="str">
        <f>IFERROR(VLOOKUP("perf_Authorize_max",'HIDDEN Testrun Results'!$A:$B,2,FALSE),"&lt;max.  measurement&gt;")</f>
        <v>&lt;max.  measurement&gt;</v>
      </c>
      <c r="E12" s="190" t="str">
        <f>IFERROR(VLOOKUP("perf_Authorize_avg",'HIDDEN Testrun Results'!$A:$B,2,FALSE),"&lt;avg.  measurement&gt;")</f>
        <v>&lt;avg.  measurement&gt;</v>
      </c>
      <c r="F12" s="191" t="s">
        <v>86</v>
      </c>
    </row>
    <row r="13" spans="2:9" x14ac:dyDescent="0.25">
      <c r="B13" s="10"/>
    </row>
    <row r="14" spans="2:9" ht="30" x14ac:dyDescent="0.25">
      <c r="B14" s="182" t="s">
        <v>420</v>
      </c>
      <c r="C14" s="110" t="s">
        <v>529</v>
      </c>
      <c r="D14" s="118" t="str">
        <f>IF(AND( C14 &lt;&gt; "Ethernet/Cloud",C14 &lt;&gt; "WiFi", C14 &lt;&gt; "Ethernet", C14 &lt;&gt; "Mobile Network"),"&lt;---- This field must be filled from the drop-down menu","")</f>
        <v/>
      </c>
    </row>
    <row r="15" spans="2:9" x14ac:dyDescent="0.25">
      <c r="B15" s="10"/>
    </row>
    <row r="16" spans="2:9" ht="90" customHeight="1" x14ac:dyDescent="0.25">
      <c r="B16" s="213" t="s">
        <v>421</v>
      </c>
      <c r="C16" s="213"/>
    </row>
  </sheetData>
  <sheetProtection algorithmName="SHA-512" hashValue="8HF33FVnhBYhDk5+eyjrJjMH1ffjcDGefEHW6Nw8Mtlg32XKJfXi7QUS3sB7Qqk5Mi9+X+uxaua8QSLcbNwvxg==" saltValue="0M8Ru+6bHwOV23+7GIRDuA=="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allowBlank="1" showInputMessage="1" showErrorMessage="1" sqref="C14" xr:uid="{7CE196C6-BC2A-2941-B416-0644DA08E005}">
      <formula1>"WiFi,Ethernet,Mobile Network,Ethernet/Cloud"</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Q252"/>
  <sheetViews>
    <sheetView zoomScaleNormal="100" workbookViewId="0">
      <selection sqref="A1:C1"/>
    </sheetView>
  </sheetViews>
  <sheetFormatPr defaultColWidth="11.125" defaultRowHeight="15.75" outlineLevelCol="1" x14ac:dyDescent="0.25"/>
  <cols>
    <col min="1" max="1" width="14.5" bestFit="1" customWidth="1"/>
    <col min="2" max="2" width="26.625" bestFit="1" customWidth="1"/>
    <col min="3" max="3" width="84.625" customWidth="1"/>
    <col min="4" max="4" width="44.5" customWidth="1"/>
    <col min="5" max="5" width="73.625" bestFit="1" customWidth="1"/>
    <col min="6" max="6" width="51.125" customWidth="1"/>
    <col min="7" max="7" width="10.125" style="39" customWidth="1"/>
    <col min="8" max="8" width="45.125" style="39" bestFit="1" customWidth="1" collapsed="1"/>
    <col min="9" max="10" width="45.125" style="39" hidden="1" customWidth="1" outlineLevel="1"/>
    <col min="11" max="11" width="46.125" hidden="1" customWidth="1" outlineLevel="1"/>
    <col min="12" max="12" width="25.125" hidden="1" customWidth="1" outlineLevel="1"/>
    <col min="13" max="13" width="22.625" hidden="1" customWidth="1" outlineLevel="1"/>
    <col min="14" max="14" width="21.625" hidden="1" customWidth="1" outlineLevel="1"/>
    <col min="15" max="15" width="6.625" hidden="1" customWidth="1" outlineLevel="1"/>
    <col min="16" max="16" width="16.625" style="60" customWidth="1"/>
    <col min="17" max="17" width="37.125" style="60" customWidth="1"/>
  </cols>
  <sheetData>
    <row r="1" spans="1:17" ht="67.5" customHeight="1" x14ac:dyDescent="0.25">
      <c r="A1" s="216" t="s">
        <v>522</v>
      </c>
      <c r="B1" s="216"/>
      <c r="C1" s="216"/>
      <c r="P1"/>
      <c r="Q1"/>
    </row>
    <row r="2" spans="1:17" x14ac:dyDescent="0.25">
      <c r="A2" s="40" t="s">
        <v>67</v>
      </c>
      <c r="B2" s="40" t="s">
        <v>10</v>
      </c>
      <c r="C2" s="40" t="s">
        <v>68</v>
      </c>
      <c r="D2" s="40" t="s">
        <v>69</v>
      </c>
      <c r="E2" s="40" t="s">
        <v>70</v>
      </c>
      <c r="F2" s="40" t="s">
        <v>71</v>
      </c>
      <c r="G2" s="36" t="s">
        <v>72</v>
      </c>
      <c r="H2" s="36" t="s">
        <v>73</v>
      </c>
      <c r="I2" s="36" t="s">
        <v>527</v>
      </c>
      <c r="J2" s="36" t="s">
        <v>74</v>
      </c>
      <c r="K2" s="1" t="s">
        <v>544</v>
      </c>
      <c r="L2" s="1" t="s">
        <v>75</v>
      </c>
      <c r="M2" s="1" t="s">
        <v>74</v>
      </c>
      <c r="N2" s="16" t="s">
        <v>76</v>
      </c>
      <c r="O2" s="1" t="s">
        <v>77</v>
      </c>
      <c r="P2" s="36" t="s">
        <v>484</v>
      </c>
      <c r="Q2" s="36" t="s">
        <v>485</v>
      </c>
    </row>
    <row r="3" spans="1:17" x14ac:dyDescent="0.25">
      <c r="A3" t="str">
        <f>'HIDDEN import'!B2</f>
        <v>TC_A_01_CSMS</v>
      </c>
      <c r="B3" t="str">
        <f>'HIDDEN import'!C2</f>
        <v>Core</v>
      </c>
      <c r="C3" t="str">
        <f>'HIDDEN import'!D2</f>
        <v>Basic Authentication - Valid username/password combination</v>
      </c>
      <c r="D3" t="str">
        <f>IF(VLOOKUP(A3&amp;" "&amp;B3,'HIDDEN import'!A:G,5,FALSE)="M",MD!$A$1,(IF(AND(VLOOKUP(A3,'HIDDEN import'!B:E,4,FALSE)="C",OR(NOT(ISERROR(VLOOKUP(E3,'Optional features'!B:E,1,FALSE)=E3)),NOT(ISERROR(VLOOKUP(E3,'HIDDEN calc sheet'!A:C,1,FALSE)=E3)))),MD!$A$3,MD!$A$2)))</f>
        <v>Mandatory test for a mandatory feature</v>
      </c>
      <c r="E3" t="str">
        <f>IF('HIDDEN import'!F2=0,"",'HIDDEN import'!F2)</f>
        <v/>
      </c>
      <c r="F3" t="str">
        <f>IF('HIDDEN import'!G2=0,"",'HIDDEN import'!G2)</f>
        <v/>
      </c>
      <c r="G3" s="39" t="str">
        <f>IFERROR(VLOOKUP($A3,'HIDDEN Testrun Results'!$A:$B,2,FALSE),"")</f>
        <v/>
      </c>
      <c r="H3" s="39" t="b">
        <f>IF(NOT(ISLOGICAL(I3)),I3,AND(I3,J3))</f>
        <v>1</v>
      </c>
      <c r="I3" s="39" t="b">
        <f>IF(VLOOKUP(A3&amp;" "&amp;B3,'HIDDEN import'!A:G,5,FALSE)="M",TRUE,IFERROR(VLOOKUP(E3,'Optional features'!B:E,3,FALSE)="Yes",IFERROR(VLOOKUP(E3,'HIDDEN calc sheet'!A:B,2,FALSE),VLOOKUP(E3,'Additional questions'!B:D,3,FALSE)="Yes")))</f>
        <v>1</v>
      </c>
      <c r="J3" t="b">
        <f>IF(VLOOKUP(B3,'Profile selection'!B:C,2,FALSE)="Yes",TRUE,FALSE)</f>
        <v>1</v>
      </c>
      <c r="K3" s="17" t="b">
        <f>IF(AND(D3=MD!$A$1,M3),TRUE,(IF(AND(D3=MD!$A$3,M3),(IF(L3=TRUE,TRUE,FALSE)),(IF(AND(D3=MD!$A$2,M3),(IF(N3=TRUE,TRUE,FALSE)),FALSE)))))</f>
        <v>1</v>
      </c>
      <c r="L3" s="18"/>
      <c r="M3" t="b">
        <f>IF(VLOOKUP(B3,'Profile selection'!B:C,2,FALSE)="Yes",TRUE,FALSE)</f>
        <v>1</v>
      </c>
    </row>
    <row r="4" spans="1:17" x14ac:dyDescent="0.25">
      <c r="A4" t="str">
        <f>'HIDDEN import'!B3</f>
        <v>TC_A_02_CSMS</v>
      </c>
      <c r="B4" t="str">
        <f>'HIDDEN import'!C3</f>
        <v>Core</v>
      </c>
      <c r="C4" t="str">
        <f>'HIDDEN import'!D3</f>
        <v>Basic Authentication - Username does not equal ChargingStationId</v>
      </c>
      <c r="D4" t="str">
        <f>IF(VLOOKUP(A4&amp;" "&amp;B4,'HIDDEN import'!A:G,5,FALSE)="M",MD!$A$1,(IF(AND(VLOOKUP(A4,'HIDDEN import'!B:E,4,FALSE)="C",OR(NOT(ISERROR(VLOOKUP(E4,'Optional features'!B:E,1,FALSE)=E4)),NOT(ISERROR(VLOOKUP(E4,'HIDDEN calc sheet'!A:C,1,FALSE)=E4)))),MD!$A$3,MD!$A$2)))</f>
        <v>Mandatory test for a mandatory feature</v>
      </c>
      <c r="E4" t="str">
        <f>IF('HIDDEN import'!F3=0,"",'HIDDEN import'!F3)</f>
        <v/>
      </c>
      <c r="F4" t="str">
        <f>IF('HIDDEN import'!G3=0,"",'HIDDEN import'!G3)</f>
        <v/>
      </c>
      <c r="G4" s="39" t="str">
        <f>IFERROR(VLOOKUP($A4,'HIDDEN Testrun Results'!$A:$B,2,FALSE),"")</f>
        <v/>
      </c>
      <c r="H4" s="39" t="b">
        <f t="shared" ref="H4:H67" si="0">IF(NOT(ISLOGICAL(I4)),I4,AND(I4,J4))</f>
        <v>1</v>
      </c>
      <c r="I4" s="39" t="b">
        <f>IF(VLOOKUP(A4&amp;" "&amp;B4,'HIDDEN import'!A:G,5,FALSE)="M",TRUE,IFERROR(VLOOKUP(E4,'Optional features'!B:E,3,FALSE)="Yes",IFERROR(VLOOKUP(E4,'HIDDEN calc sheet'!A:B,2,FALSE),VLOOKUP(E4,'Additional questions'!B:D,3,FALSE)="Yes")))</f>
        <v>1</v>
      </c>
      <c r="J4" t="b">
        <f>IF(VLOOKUP(B4,'Profile selection'!B:C,2,FALSE)="Yes",TRUE,FALSE)</f>
        <v>1</v>
      </c>
      <c r="K4" s="17" t="b">
        <f>IF(AND(D4=MD!$A$1,M4),TRUE,(IF(AND(D4=MD!$A$3,M4),(IF(L4=TRUE,TRUE,FALSE)),(IF(AND(D4=MD!$A$2,M4),(IF(N4=TRUE,TRUE,FALSE)),FALSE)))))</f>
        <v>1</v>
      </c>
      <c r="M4" t="b">
        <f>IF(VLOOKUP(B4,'Profile selection'!B:C,2,FALSE)="Yes",TRUE,FALSE)</f>
        <v>1</v>
      </c>
    </row>
    <row r="5" spans="1:17" x14ac:dyDescent="0.25">
      <c r="A5" t="str">
        <f>'HIDDEN import'!B4</f>
        <v>TC_A_03_CSMS</v>
      </c>
      <c r="B5" t="str">
        <f>'HIDDEN import'!C4</f>
        <v>Core</v>
      </c>
      <c r="C5" t="str">
        <f>'HIDDEN import'!D4</f>
        <v>Basic Authentication - Invalid password</v>
      </c>
      <c r="D5" t="str">
        <f>IF(VLOOKUP(A5&amp;" "&amp;B5,'HIDDEN import'!A:G,5,FALSE)="M",MD!$A$1,(IF(AND(VLOOKUP(A5,'HIDDEN import'!B:E,4,FALSE)="C",OR(NOT(ISERROR(VLOOKUP(E5,'Optional features'!B:E,1,FALSE)=E5)),NOT(ISERROR(VLOOKUP(E5,'HIDDEN calc sheet'!A:C,1,FALSE)=E5)))),MD!$A$3,MD!$A$2)))</f>
        <v>Mandatory test for a mandatory feature</v>
      </c>
      <c r="E5" t="str">
        <f>IF('HIDDEN import'!F4=0,"",'HIDDEN import'!F4)</f>
        <v/>
      </c>
      <c r="F5" t="str">
        <f>IF('HIDDEN import'!G4=0,"",'HIDDEN import'!G4)</f>
        <v/>
      </c>
      <c r="G5" s="39" t="str">
        <f>IFERROR(VLOOKUP($A5,'HIDDEN Testrun Results'!$A:$B,2,FALSE),"")</f>
        <v/>
      </c>
      <c r="H5" s="39" t="b">
        <f t="shared" si="0"/>
        <v>1</v>
      </c>
      <c r="I5" s="39" t="b">
        <f>IF(VLOOKUP(A5&amp;" "&amp;B5,'HIDDEN import'!A:G,5,FALSE)="M",TRUE,IFERROR(VLOOKUP(E5,'Optional features'!B:E,3,FALSE)="Yes",IFERROR(VLOOKUP(E5,'HIDDEN calc sheet'!A:B,2,FALSE),VLOOKUP(E5,'Additional questions'!B:D,3,FALSE)="Yes")))</f>
        <v>1</v>
      </c>
      <c r="J5" t="b">
        <f>IF(VLOOKUP(B5,'Profile selection'!B:C,2,FALSE)="Yes",TRUE,FALSE)</f>
        <v>1</v>
      </c>
      <c r="K5" s="17" t="b">
        <f>IF(AND(D5=MD!$A$1,M5),TRUE,(IF(AND(D5=MD!$A$3,M5),(IF(L5=TRUE,TRUE,FALSE)),(IF(AND(D5=MD!$A$2,M5),(IF(N5=TRUE,TRUE,FALSE)),FALSE)))))</f>
        <v>1</v>
      </c>
      <c r="M5" t="b">
        <f>IF(VLOOKUP(B5,'Profile selection'!B:C,2,FALSE)="Yes",TRUE,FALSE)</f>
        <v>1</v>
      </c>
    </row>
    <row r="6" spans="1:17" x14ac:dyDescent="0.25">
      <c r="A6" t="str">
        <f>'HIDDEN import'!B5</f>
        <v>TC_A_09_CSMS</v>
      </c>
      <c r="B6" t="str">
        <f>'HIDDEN import'!C5</f>
        <v>Core</v>
      </c>
      <c r="C6" t="str">
        <f>'HIDDEN import'!D5</f>
        <v>Update Charging Station Password for HTTP Basic Authentication - Accepted</v>
      </c>
      <c r="D6" t="str">
        <f>IF(VLOOKUP(A6&amp;" "&amp;B6,'HIDDEN import'!A:G,5,FALSE)="M",MD!$A$1,(IF(AND(VLOOKUP(A6,'HIDDEN import'!B:E,4,FALSE)="C",OR(NOT(ISERROR(VLOOKUP(E6,'Optional features'!B:E,1,FALSE)=E6)),NOT(ISERROR(VLOOKUP(E6,'HIDDEN calc sheet'!A:C,1,FALSE)=E6)))),MD!$A$3,MD!$A$2)))</f>
        <v>Mandatory test for a mandatory feature</v>
      </c>
      <c r="E6" t="str">
        <f>IF('HIDDEN import'!F5=0,"",'HIDDEN import'!F5)</f>
        <v/>
      </c>
      <c r="F6" t="str">
        <f>IF('HIDDEN import'!G5=0,"",'HIDDEN import'!G5)</f>
        <v/>
      </c>
      <c r="G6" s="39" t="str">
        <f>IFERROR(VLOOKUP($A6,'HIDDEN Testrun Results'!$A:$B,2,FALSE),"")</f>
        <v/>
      </c>
      <c r="H6" s="39" t="b">
        <f t="shared" si="0"/>
        <v>1</v>
      </c>
      <c r="I6" s="39" t="b">
        <f>IF(VLOOKUP(A6&amp;" "&amp;B6,'HIDDEN import'!A:G,5,FALSE)="M",TRUE,IFERROR(VLOOKUP(E6,'Optional features'!B:E,3,FALSE)="Yes",IFERROR(VLOOKUP(E6,'HIDDEN calc sheet'!A:B,2,FALSE),VLOOKUP(E6,'Additional questions'!B:D,3,FALSE)="Yes")))</f>
        <v>1</v>
      </c>
      <c r="J6" t="b">
        <f>IF(VLOOKUP(B6,'Profile selection'!B:C,2,FALSE)="Yes",TRUE,FALSE)</f>
        <v>1</v>
      </c>
      <c r="K6" s="17" t="b">
        <f>IF(AND(D6=MD!$A$1,M6),TRUE,(IF(AND(D6=MD!$A$3,M6),(IF(L6=TRUE,TRUE,FALSE)),(IF(AND(D6=MD!$A$2,M6),(IF(N6=TRUE,TRUE,FALSE)),FALSE)))))</f>
        <v>1</v>
      </c>
      <c r="M6" t="b">
        <f>IF(VLOOKUP(B6,'Profile selection'!B:C,2,FALSE)="Yes",TRUE,FALSE)</f>
        <v>1</v>
      </c>
    </row>
    <row r="7" spans="1:17" x14ac:dyDescent="0.25">
      <c r="A7" t="str">
        <f>'HIDDEN import'!B6</f>
        <v>TC_A_10_CSMS</v>
      </c>
      <c r="B7" t="str">
        <f>'HIDDEN import'!C6</f>
        <v>Core</v>
      </c>
      <c r="C7" t="str">
        <f>'HIDDEN import'!D6</f>
        <v>Update Charging Station Password for HTTP Basic Authentication - Rejected</v>
      </c>
      <c r="D7" t="str">
        <f>IF(VLOOKUP(A7&amp;" "&amp;B7,'HIDDEN import'!A:G,5,FALSE)="M",MD!$A$1,(IF(AND(VLOOKUP(A7,'HIDDEN import'!B:E,4,FALSE)="C",OR(NOT(ISERROR(VLOOKUP(E7,'Optional features'!B:E,1,FALSE)=E7)),NOT(ISERROR(VLOOKUP(E7,'HIDDEN calc sheet'!A:C,1,FALSE)=E7)))),MD!$A$3,MD!$A$2)))</f>
        <v>Mandatory test for a mandatory feature</v>
      </c>
      <c r="E7" t="str">
        <f>IF('HIDDEN import'!F6=0,"",'HIDDEN import'!F6)</f>
        <v/>
      </c>
      <c r="F7" t="str">
        <f>IF('HIDDEN import'!G6=0,"",'HIDDEN import'!G6)</f>
        <v/>
      </c>
      <c r="G7" s="39" t="str">
        <f>IFERROR(VLOOKUP($A7,'HIDDEN Testrun Results'!$A:$B,2,FALSE),"")</f>
        <v/>
      </c>
      <c r="H7" s="39" t="b">
        <f t="shared" si="0"/>
        <v>1</v>
      </c>
      <c r="I7" s="39" t="b">
        <f>IF(VLOOKUP(A7&amp;" "&amp;B7,'HIDDEN import'!A:G,5,FALSE)="M",TRUE,IFERROR(VLOOKUP(E7,'Optional features'!B:E,3,FALSE)="Yes",IFERROR(VLOOKUP(E7,'HIDDEN calc sheet'!A:B,2,FALSE),VLOOKUP(E7,'Additional questions'!B:D,3,FALSE)="Yes")))</f>
        <v>1</v>
      </c>
      <c r="J7" t="b">
        <f>IF(VLOOKUP(B7,'Profile selection'!B:C,2,FALSE)="Yes",TRUE,FALSE)</f>
        <v>1</v>
      </c>
      <c r="K7" s="17" t="b">
        <f>IF(AND(D7=MD!$A$1,M7),TRUE,(IF(AND(D7=MD!$A$3,M7),(IF(L7=TRUE,TRUE,FALSE)),(IF(AND(D7=MD!$A$2,M7),(IF(N7=TRUE,TRUE,FALSE)),FALSE)))))</f>
        <v>1</v>
      </c>
      <c r="M7" t="b">
        <f>IF(VLOOKUP(B7,'Profile selection'!B:C,2,FALSE)="Yes",TRUE,FALSE)</f>
        <v>1</v>
      </c>
    </row>
    <row r="8" spans="1:17" x14ac:dyDescent="0.25">
      <c r="A8" t="str">
        <f>'HIDDEN import'!B7</f>
        <v>TC_A_04_CSMS</v>
      </c>
      <c r="B8" t="str">
        <f>'HIDDEN import'!C7</f>
        <v>Core</v>
      </c>
      <c r="C8" t="str">
        <f>'HIDDEN import'!D7</f>
        <v>TLS - server-side certificate - Valid certificate</v>
      </c>
      <c r="D8" t="str">
        <f>IF(VLOOKUP(A8&amp;" "&amp;B8,'HIDDEN import'!A:G,5,FALSE)="M",MD!$A$1,(IF(AND(VLOOKUP(A8,'HIDDEN import'!B:E,4,FALSE)="C",OR(NOT(ISERROR(VLOOKUP(E8,'Optional features'!B:E,1,FALSE)=E8)),NOT(ISERROR(VLOOKUP(E8,'HIDDEN calc sheet'!A:C,1,FALSE)=E8)))),MD!$A$3,MD!$A$2)))</f>
        <v>Mandatory test for a mandatory feature</v>
      </c>
      <c r="E8" t="str">
        <f>IF('HIDDEN import'!F7=0,"",'HIDDEN import'!F7)</f>
        <v/>
      </c>
      <c r="F8" t="str">
        <f>IF('HIDDEN import'!G7=0,"",'HIDDEN import'!G7)</f>
        <v/>
      </c>
      <c r="G8" s="39" t="str">
        <f>IFERROR(VLOOKUP($A8,'HIDDEN Testrun Results'!$A:$B,2,FALSE),"")</f>
        <v/>
      </c>
      <c r="H8" s="39" t="b">
        <f t="shared" si="0"/>
        <v>1</v>
      </c>
      <c r="I8" s="39" t="b">
        <f>IF(VLOOKUP(A8&amp;" "&amp;B8,'HIDDEN import'!A:G,5,FALSE)="M",TRUE,IFERROR(VLOOKUP(E8,'Optional features'!B:E,3,FALSE)="Yes",IFERROR(VLOOKUP(E8,'HIDDEN calc sheet'!A:B,2,FALSE),VLOOKUP(E8,'Additional questions'!B:D,3,FALSE)="Yes")))</f>
        <v>1</v>
      </c>
      <c r="J8" t="b">
        <f>IF(VLOOKUP(B8,'Profile selection'!B:C,2,FALSE)="Yes",TRUE,FALSE)</f>
        <v>1</v>
      </c>
      <c r="K8" s="17" t="b">
        <f>IF(AND(D8=MD!$A$1,M8),TRUE,(IF(AND(D8=MD!$A$3,M8),(IF(L8=TRUE,TRUE,FALSE)),(IF(AND(D8=MD!$A$2,M8),(IF(N8=TRUE,TRUE,FALSE)),FALSE)))))</f>
        <v>1</v>
      </c>
      <c r="M8" t="b">
        <f>IF(VLOOKUP(B8,'Profile selection'!B:C,2,FALSE)="Yes",TRUE,FALSE)</f>
        <v>1</v>
      </c>
    </row>
    <row r="9" spans="1:17" x14ac:dyDescent="0.25">
      <c r="A9" t="str">
        <f>'HIDDEN import'!B8</f>
        <v>TC_A_06_CSMS</v>
      </c>
      <c r="B9" t="str">
        <f>'HIDDEN import'!C8</f>
        <v>Core</v>
      </c>
      <c r="C9" t="str">
        <f>'HIDDEN import'!D8</f>
        <v>TLS - server-side certificate - TLS version too low</v>
      </c>
      <c r="D9" t="str">
        <f>IF(VLOOKUP(A9&amp;" "&amp;B9,'HIDDEN import'!A:G,5,FALSE)="M",MD!$A$1,(IF(AND(VLOOKUP(A9,'HIDDEN import'!B:E,4,FALSE)="C",OR(NOT(ISERROR(VLOOKUP(E9,'Optional features'!B:E,1,FALSE)=E9)),NOT(ISERROR(VLOOKUP(E9,'HIDDEN calc sheet'!A:C,1,FALSE)=E9)))),MD!$A$3,MD!$A$2)))</f>
        <v>Mandatory test for a mandatory feature</v>
      </c>
      <c r="E9" t="str">
        <f>IF('HIDDEN import'!F8=0,"",'HIDDEN import'!F8)</f>
        <v/>
      </c>
      <c r="F9" t="str">
        <f>IF('HIDDEN import'!G8=0,"",'HIDDEN import'!G8)</f>
        <v/>
      </c>
      <c r="G9" s="39" t="str">
        <f>IFERROR(VLOOKUP($A9,'HIDDEN Testrun Results'!$A:$B,2,FALSE),"")</f>
        <v/>
      </c>
      <c r="H9" s="39" t="b">
        <f t="shared" si="0"/>
        <v>1</v>
      </c>
      <c r="I9" s="39" t="b">
        <f>IF(VLOOKUP(A9&amp;" "&amp;B9,'HIDDEN import'!A:G,5,FALSE)="M",TRUE,IFERROR(VLOOKUP(E9,'Optional features'!B:E,3,FALSE)="Yes",IFERROR(VLOOKUP(E9,'HIDDEN calc sheet'!A:B,2,FALSE),VLOOKUP(E9,'Additional questions'!B:D,3,FALSE)="Yes")))</f>
        <v>1</v>
      </c>
      <c r="J9" t="b">
        <f>IF(VLOOKUP(B9,'Profile selection'!B:C,2,FALSE)="Yes",TRUE,FALSE)</f>
        <v>1</v>
      </c>
      <c r="K9" s="17" t="b">
        <f>IF(AND(D9=MD!$A$1,M9),TRUE,(IF(AND(D9=MD!$A$3,M9),(IF(L9=TRUE,TRUE,FALSE)),(IF(AND(D9=MD!$A$2,M9),(IF(N9=TRUE,TRUE,FALSE)),FALSE)))))</f>
        <v>1</v>
      </c>
      <c r="M9" t="b">
        <f>IF(VLOOKUP(B9,'Profile selection'!B:C,2,FALSE)="Yes",TRUE,FALSE)</f>
        <v>1</v>
      </c>
    </row>
    <row r="10" spans="1:17" x14ac:dyDescent="0.25">
      <c r="A10" t="str">
        <f>'HIDDEN import'!B9</f>
        <v>TC_A_19_CSMS</v>
      </c>
      <c r="B10" t="str">
        <f>'HIDDEN import'!C9</f>
        <v>Core</v>
      </c>
      <c r="C10" t="str">
        <f>'HIDDEN import'!D9</f>
        <v>Upgrade Charging Station Security Profile - Accepted</v>
      </c>
      <c r="D10" t="str">
        <f>IF(VLOOKUP(A10&amp;" "&amp;B10,'HIDDEN import'!A:G,5,FALSE)="M",MD!$A$1,(IF(AND(VLOOKUP(A10,'HIDDEN import'!B:E,4,FALSE)="C",OR(NOT(ISERROR(VLOOKUP(E10,'Optional features'!B:E,1,FALSE)=E10)),NOT(ISERROR(VLOOKUP(E10,'HIDDEN calc sheet'!A:C,1,FALSE)=E10)))),MD!$A$3,MD!$A$2)))</f>
        <v>Mandatory for optional feature</v>
      </c>
      <c r="E10" t="str">
        <f>IF('HIDDEN import'!F9=0,"",'HIDDEN import'!F9)</f>
        <v>C-61 OR Advanced Security</v>
      </c>
      <c r="F10" t="str">
        <f>IF('HIDDEN import'!G9=0,"",'HIDDEN import'!G9)</f>
        <v/>
      </c>
      <c r="G10" s="39" t="str">
        <f>IFERROR(VLOOKUP($A10,'HIDDEN Testrun Results'!$A:$B,2,FALSE),"")</f>
        <v/>
      </c>
      <c r="H10" s="39" t="b">
        <f t="shared" si="0"/>
        <v>1</v>
      </c>
      <c r="I10" s="39" t="b">
        <f>IF(VLOOKUP(A10&amp;" "&amp;B10,'HIDDEN import'!A:G,5,FALSE)="M",TRUE,IFERROR(VLOOKUP(E10,'Optional features'!B:E,3,FALSE)="Yes",IFERROR(VLOOKUP(E10,'HIDDEN calc sheet'!A:B,2,FALSE),VLOOKUP(E10,'Additional questions'!B:D,3,FALSE)="Yes")))</f>
        <v>1</v>
      </c>
      <c r="J10" t="b">
        <f>IF(VLOOKUP(B10,'Profile selection'!B:C,2,FALSE)="Yes",TRUE,FALSE)</f>
        <v>1</v>
      </c>
      <c r="K10" s="17" t="b">
        <f>IF(AND(D10=MD!$A$1,M10),TRUE,(IF(AND(D10=MD!$A$3,M10),(IF(L10=TRUE,TRUE,FALSE)),(IF(AND(D10=MD!$A$2,M10),(IF(N10=TRUE,TRUE,FALSE)),FALSE)))))</f>
        <v>0</v>
      </c>
      <c r="M10" t="b">
        <f>IF(VLOOKUP(B10,'Profile selection'!B:C,2,FALSE)="Yes",TRUE,FALSE)</f>
        <v>1</v>
      </c>
    </row>
    <row r="11" spans="1:17" x14ac:dyDescent="0.25">
      <c r="A11" t="str">
        <f>'HIDDEN import'!B10</f>
        <v>TC_B_01_CSMS</v>
      </c>
      <c r="B11" t="str">
        <f>'HIDDEN import'!C10</f>
        <v>Core</v>
      </c>
      <c r="C11" t="str">
        <f>'HIDDEN import'!D10</f>
        <v>Cold Boot Charging Station - Accepted</v>
      </c>
      <c r="D11" t="str">
        <f>IF(VLOOKUP(A11&amp;" "&amp;B11,'HIDDEN import'!A:G,5,FALSE)="M",MD!$A$1,(IF(AND(VLOOKUP(A11,'HIDDEN import'!B:E,4,FALSE)="C",OR(NOT(ISERROR(VLOOKUP(E11,'Optional features'!B:E,1,FALSE)=E11)),NOT(ISERROR(VLOOKUP(E11,'HIDDEN calc sheet'!A:C,1,FALSE)=E11)))),MD!$A$3,MD!$A$2)))</f>
        <v>Mandatory test for a mandatory feature</v>
      </c>
      <c r="E11" t="str">
        <f>IF('HIDDEN import'!F10=0,"",'HIDDEN import'!F10)</f>
        <v/>
      </c>
      <c r="F11" t="str">
        <f>IF('HIDDEN import'!G10=0,"",'HIDDEN import'!G10)</f>
        <v/>
      </c>
      <c r="G11" s="39" t="str">
        <f>IFERROR(VLOOKUP($A11,'HIDDEN Testrun Results'!$A:$B,2,FALSE),"")</f>
        <v/>
      </c>
      <c r="H11" s="39" t="b">
        <f t="shared" si="0"/>
        <v>1</v>
      </c>
      <c r="I11" s="39" t="b">
        <f>IF(VLOOKUP(A11&amp;" "&amp;B11,'HIDDEN import'!A:G,5,FALSE)="M",TRUE,IFERROR(VLOOKUP(E11,'Optional features'!B:E,3,FALSE)="Yes",IFERROR(VLOOKUP(E11,'HIDDEN calc sheet'!A:B,2,FALSE),VLOOKUP(E11,'Additional questions'!B:D,3,FALSE)="Yes")))</f>
        <v>1</v>
      </c>
      <c r="J11" t="b">
        <f>IF(VLOOKUP(B11,'Profile selection'!B:C,2,FALSE)="Yes",TRUE,FALSE)</f>
        <v>1</v>
      </c>
      <c r="K11" s="17" t="b">
        <f>IF(AND(D11=MD!$A$1,M11),TRUE,(IF(AND(D11=MD!$A$3,M11),(IF(L11=TRUE,TRUE,FALSE)),(IF(AND(D11=MD!$A$2,M11),(IF(N11=TRUE,TRUE,FALSE)),FALSE)))))</f>
        <v>1</v>
      </c>
      <c r="M11" t="b">
        <f>IF(VLOOKUP(B11,'Profile selection'!B:C,2,FALSE)="Yes",TRUE,FALSE)</f>
        <v>1</v>
      </c>
    </row>
    <row r="12" spans="1:17" x14ac:dyDescent="0.25">
      <c r="A12" t="str">
        <f>'HIDDEN import'!B11</f>
        <v>TC_B_02_CSMS</v>
      </c>
      <c r="B12" t="str">
        <f>'HIDDEN import'!C11</f>
        <v>Core</v>
      </c>
      <c r="C12" t="str">
        <f>'HIDDEN import'!D11</f>
        <v>Cold Boot Charging Station - Pending</v>
      </c>
      <c r="D12" t="str">
        <f>IF(VLOOKUP(A12&amp;" "&amp;B12,'HIDDEN import'!A:G,5,FALSE)="M",MD!$A$1,(IF(AND(VLOOKUP(A12,'HIDDEN import'!B:E,4,FALSE)="C",OR(NOT(ISERROR(VLOOKUP(E12,'Optional features'!B:E,1,FALSE)=E12)),NOT(ISERROR(VLOOKUP(E12,'HIDDEN calc sheet'!A:C,1,FALSE)=E12)))),MD!$A$3,MD!$A$2)))</f>
        <v>Mandatory for optional feature</v>
      </c>
      <c r="E12" t="str">
        <f>IF('HIDDEN import'!F11=0,"",'HIDDEN import'!F11)</f>
        <v>C-44</v>
      </c>
      <c r="F12" t="str">
        <f>IF('HIDDEN import'!G11=0,"",'HIDDEN import'!G11)</f>
        <v>BootNotification Pending</v>
      </c>
      <c r="G12" s="39" t="str">
        <f>IFERROR(VLOOKUP($A12,'HIDDEN Testrun Results'!$A:$B,2,FALSE),"")</f>
        <v/>
      </c>
      <c r="H12" s="39" t="b">
        <f t="shared" si="0"/>
        <v>0</v>
      </c>
      <c r="I12" s="39" t="b">
        <f>IF(VLOOKUP(A12&amp;" "&amp;B12,'HIDDEN import'!A:G,5,FALSE)="M",TRUE,IFERROR(VLOOKUP(E12,'Optional features'!B:E,3,FALSE)="Yes",IFERROR(VLOOKUP(E12,'HIDDEN calc sheet'!A:B,2,FALSE),VLOOKUP(E12,'Additional questions'!B:D,3,FALSE)="Yes")))</f>
        <v>0</v>
      </c>
      <c r="J12" t="b">
        <f>IF(VLOOKUP(B12,'Profile selection'!B:C,2,FALSE)="Yes",TRUE,FALSE)</f>
        <v>1</v>
      </c>
      <c r="K12" s="17" t="b">
        <f>IF(AND(D12=MD!$A$1,M12),TRUE,(IF(AND(D12=MD!$A$3,M12),(IF(L12=TRUE,TRUE,FALSE)),(IF(AND(D12=MD!$A$2,M12),(IF(N12=TRUE,TRUE,FALSE)),FALSE)))))</f>
        <v>0</v>
      </c>
      <c r="L12" t="b">
        <f>IF(ISNA(VLOOKUP(E12,'Optional features'!B:D,3,FALSE)),FALSE,IF(VLOOKUP(E12,'Optional features'!B:D,3,FALSE)="Yes",TRUE,FALSE))</f>
        <v>0</v>
      </c>
      <c r="M12" t="b">
        <f>IF(VLOOKUP(B12,'Profile selection'!B:C,2,FALSE)="Yes",TRUE,FALSE)</f>
        <v>1</v>
      </c>
    </row>
    <row r="13" spans="1:17" x14ac:dyDescent="0.25">
      <c r="A13" t="str">
        <f>'HIDDEN import'!B12</f>
        <v>TC_B_30_CSMS</v>
      </c>
      <c r="B13" t="str">
        <f>'HIDDEN import'!C12</f>
        <v>Core</v>
      </c>
      <c r="C13" t="str">
        <f>'HIDDEN import'!D12</f>
        <v>Cold Boot Charging Station - Pending/Rejected - SecurityError</v>
      </c>
      <c r="D13" t="str">
        <f>IF(VLOOKUP(A13&amp;" "&amp;B13,'HIDDEN import'!A:G,5,FALSE)="M",MD!$A$1,(IF(AND(VLOOKUP(A13,'HIDDEN import'!B:E,4,FALSE)="C",OR(NOT(ISERROR(VLOOKUP(E13,'Optional features'!B:E,1,FALSE)=E13)),NOT(ISERROR(VLOOKUP(E13,'HIDDEN calc sheet'!A:C,1,FALSE)=E13)))),MD!$A$3,MD!$A$2)))</f>
        <v>Mandatory for optional feature</v>
      </c>
      <c r="E13" t="str">
        <f>IF('HIDDEN import'!F12=0,"",'HIDDEN import'!F12)</f>
        <v>C-44 or NOT AQ-16</v>
      </c>
      <c r="F13" t="str">
        <f>IF('HIDDEN import'!G12=0,"",'HIDDEN import'!G12)</f>
        <v>BootNotification Pending or Does the CSMS reject unknown Charging Stations during websocket connection setup?</v>
      </c>
      <c r="G13" s="39" t="str">
        <f>IFERROR(VLOOKUP($A13,'HIDDEN Testrun Results'!$A:$B,2,FALSE),"")</f>
        <v/>
      </c>
      <c r="H13" s="39" t="b">
        <f t="shared" si="0"/>
        <v>1</v>
      </c>
      <c r="I13" s="39" t="b">
        <f>IF(VLOOKUP(A13&amp;" "&amp;B13,'HIDDEN import'!A:G,5,FALSE)="M",TRUE,IFERROR(VLOOKUP(E13,'Optional features'!B:E,3,FALSE)="Yes",IFERROR(VLOOKUP(E13,'HIDDEN calc sheet'!A:B,2,FALSE),VLOOKUP(E13,'Additional questions'!B:D,3,FALSE)="Yes")))</f>
        <v>1</v>
      </c>
      <c r="J13" t="b">
        <f>IF(VLOOKUP(B13,'Profile selection'!B:C,2,FALSE)="Yes",TRUE,FALSE)</f>
        <v>1</v>
      </c>
      <c r="K13" s="17" t="b">
        <f>IF(AND(D13=MD!$A$1,M13),TRUE,(IF(AND(D13=MD!$A$3,M13),(IF(L13=TRUE,TRUE,FALSE)),(IF(AND(D13=MD!$A$2,M13),(IF(N13=TRUE,TRUE,FALSE)),FALSE)))))</f>
        <v>0</v>
      </c>
      <c r="M13" t="b">
        <f>IF(VLOOKUP(B13,'Profile selection'!B:C,2,FALSE)="Yes",TRUE,FALSE)</f>
        <v>1</v>
      </c>
      <c r="N13" t="b">
        <f>IF('Additional questions'!$D$12="Yes",TRUE,FALSE)</f>
        <v>0</v>
      </c>
    </row>
    <row r="14" spans="1:17" x14ac:dyDescent="0.25">
      <c r="A14" t="str">
        <f>'HIDDEN import'!B13</f>
        <v>TC_B_31_CSMS</v>
      </c>
      <c r="B14" t="str">
        <f>'HIDDEN import'!C13</f>
        <v>Core</v>
      </c>
      <c r="C14" t="str">
        <f>'HIDDEN import'!D13</f>
        <v>Cold Boot Charging Station - Pending/Rejected - TriggerMessage</v>
      </c>
      <c r="D14" t="str">
        <f>IF(VLOOKUP(A14&amp;" "&amp;B14,'HIDDEN import'!A:G,5,FALSE)="M",MD!$A$1,(IF(AND(VLOOKUP(A14,'HIDDEN import'!B:E,4,FALSE)="C",OR(NOT(ISERROR(VLOOKUP(E14,'Optional features'!B:E,1,FALSE)=E14)),NOT(ISERROR(VLOOKUP(E14,'HIDDEN calc sheet'!A:C,1,FALSE)=E14)))),MD!$A$3,MD!$A$2)))</f>
        <v>Mandatory for optional feature</v>
      </c>
      <c r="E14" t="str">
        <f>IF('HIDDEN import'!F13=0,"",'HIDDEN import'!F13)</f>
        <v>C-44 or NOT AQ-16</v>
      </c>
      <c r="F14" t="str">
        <f>IF('HIDDEN import'!G13=0,"",'HIDDEN import'!G13)</f>
        <v>BootNotification Pending or Does the CSMS reject unknown Charging Stations during websocket connection setup?</v>
      </c>
      <c r="G14" s="39" t="str">
        <f>IFERROR(VLOOKUP($A14,'HIDDEN Testrun Results'!$A:$B,2,FALSE),"")</f>
        <v/>
      </c>
      <c r="H14" s="39" t="b">
        <f t="shared" si="0"/>
        <v>1</v>
      </c>
      <c r="I14" s="39" t="b">
        <f>IF(VLOOKUP(A14&amp;" "&amp;B14,'HIDDEN import'!A:G,5,FALSE)="M",TRUE,IFERROR(VLOOKUP(E14,'Optional features'!B:E,3,FALSE)="Yes",IFERROR(VLOOKUP(E14,'HIDDEN calc sheet'!A:B,2,FALSE),VLOOKUP(E14,'Additional questions'!B:D,3,FALSE)="Yes")))</f>
        <v>1</v>
      </c>
      <c r="J14" t="b">
        <f>IF(VLOOKUP(B14,'Profile selection'!B:C,2,FALSE)="Yes",TRUE,FALSE)</f>
        <v>1</v>
      </c>
      <c r="K14" s="17" t="b">
        <f>IF(AND(D14=MD!$A$1,M14),TRUE,(IF(AND(D14=MD!$A$3,M14),(IF(L14=TRUE,TRUE,FALSE)),(IF(AND(D14=MD!$A$2,M14),(IF(N14=TRUE,TRUE,FALSE)),FALSE)))))</f>
        <v>0</v>
      </c>
      <c r="M14" t="b">
        <f>IF(VLOOKUP(B14,'Profile selection'!B:C,2,FALSE)="Yes",TRUE,FALSE)</f>
        <v>1</v>
      </c>
      <c r="N14" t="b">
        <f>IF('Additional questions'!$D$12="Yes",TRUE,FALSE)</f>
        <v>0</v>
      </c>
    </row>
    <row r="15" spans="1:17" x14ac:dyDescent="0.25">
      <c r="A15" t="str">
        <f>'HIDDEN import'!B14</f>
        <v>TC_B_06_CSMS</v>
      </c>
      <c r="B15" t="str">
        <f>'HIDDEN import'!C14</f>
        <v>Core</v>
      </c>
      <c r="C15" t="str">
        <f>'HIDDEN import'!D14</f>
        <v>Get Variables - single value</v>
      </c>
      <c r="D15" t="str">
        <f>IF(VLOOKUP(A15&amp;" "&amp;B15,'HIDDEN import'!A:G,5,FALSE)="M",MD!$A$1,(IF(AND(VLOOKUP(A15,'HIDDEN import'!B:E,4,FALSE)="C",OR(NOT(ISERROR(VLOOKUP(E15,'Optional features'!B:E,1,FALSE)=E15)),NOT(ISERROR(VLOOKUP(E15,'HIDDEN calc sheet'!A:C,1,FALSE)=E15)))),MD!$A$3,MD!$A$2)))</f>
        <v>Mandatory test for a mandatory feature</v>
      </c>
      <c r="E15" t="str">
        <f>IF('HIDDEN import'!F14=0,"",'HIDDEN import'!F14)</f>
        <v/>
      </c>
      <c r="F15" t="str">
        <f>IF('HIDDEN import'!G14=0,"",'HIDDEN import'!G14)</f>
        <v/>
      </c>
      <c r="G15" s="39" t="str">
        <f>IFERROR(VLOOKUP($A15,'HIDDEN Testrun Results'!$A:$B,2,FALSE),"")</f>
        <v/>
      </c>
      <c r="H15" s="39" t="b">
        <f t="shared" si="0"/>
        <v>1</v>
      </c>
      <c r="I15" s="39" t="b">
        <f>IF(VLOOKUP(A15&amp;" "&amp;B15,'HIDDEN import'!A:G,5,FALSE)="M",TRUE,IFERROR(VLOOKUP(E15,'Optional features'!B:E,3,FALSE)="Yes",IFERROR(VLOOKUP(E15,'HIDDEN calc sheet'!A:B,2,FALSE),VLOOKUP(E15,'Additional questions'!B:D,3,FALSE)="Yes")))</f>
        <v>1</v>
      </c>
      <c r="J15" t="b">
        <f>IF(VLOOKUP(B15,'Profile selection'!B:C,2,FALSE)="Yes",TRUE,FALSE)</f>
        <v>1</v>
      </c>
      <c r="K15" s="17" t="b">
        <f>IF(AND(D15=MD!$A$1,M15),TRUE,(IF(AND(D15=MD!$A$3,M15),(IF(L15=TRUE,TRUE,FALSE)),(IF(AND(D15=MD!$A$2,M15),(IF(N15=TRUE,TRUE,FALSE)),FALSE)))))</f>
        <v>1</v>
      </c>
      <c r="M15" t="b">
        <f>IF(VLOOKUP(B15,'Profile selection'!B:C,2,FALSE)="Yes",TRUE,FALSE)</f>
        <v>1</v>
      </c>
    </row>
    <row r="16" spans="1:17" x14ac:dyDescent="0.25">
      <c r="A16" t="str">
        <f>'HIDDEN import'!B15</f>
        <v>TC_B_07_CSMS</v>
      </c>
      <c r="B16" t="str">
        <f>'HIDDEN import'!C15</f>
        <v>Core</v>
      </c>
      <c r="C16" t="str">
        <f>'HIDDEN import'!D15</f>
        <v>Get Variables - multiple values</v>
      </c>
      <c r="D16" t="str">
        <f>IF(VLOOKUP(A16&amp;" "&amp;B16,'HIDDEN import'!A:G,5,FALSE)="M",MD!$A$1,(IF(AND(VLOOKUP(A16,'HIDDEN import'!B:E,4,FALSE)="C",OR(NOT(ISERROR(VLOOKUP(E16,'Optional features'!B:E,1,FALSE)=E16)),NOT(ISERROR(VLOOKUP(E16,'HIDDEN calc sheet'!A:C,1,FALSE)=E16)))),MD!$A$3,MD!$A$2)))</f>
        <v>Mandatory for optional feature</v>
      </c>
      <c r="E16" t="str">
        <f>IF('HIDDEN import'!F15=0,"",'HIDDEN import'!F15)</f>
        <v>C-45</v>
      </c>
      <c r="F16" t="str">
        <f>IF('HIDDEN import'!G15=0,"",'HIDDEN import'!G15)</f>
        <v>multiple values elements GetVariablesRequest</v>
      </c>
      <c r="G16" s="39" t="str">
        <f>IFERROR(VLOOKUP($A16,'HIDDEN Testrun Results'!$A:$B,2,FALSE),"")</f>
        <v/>
      </c>
      <c r="H16" s="39" t="b">
        <f t="shared" si="0"/>
        <v>0</v>
      </c>
      <c r="I16" s="39" t="b">
        <f>IF(VLOOKUP(A16&amp;" "&amp;B16,'HIDDEN import'!A:G,5,FALSE)="M",TRUE,IFERROR(VLOOKUP(E16,'Optional features'!B:E,3,FALSE)="Yes",IFERROR(VLOOKUP(E16,'HIDDEN calc sheet'!A:B,2,FALSE),VLOOKUP(E16,'Additional questions'!B:D,3,FALSE)="Yes")))</f>
        <v>0</v>
      </c>
      <c r="J16" t="b">
        <f>IF(VLOOKUP(B16,'Profile selection'!B:C,2,FALSE)="Yes",TRUE,FALSE)</f>
        <v>1</v>
      </c>
      <c r="K16" s="17" t="b">
        <f>IF(AND(D16=MD!$A$1,M16),TRUE,(IF(AND(D16=MD!$A$3,M16),(IF(L16=TRUE,TRUE,FALSE)),(IF(AND(D16=MD!$A$2,M16),(IF(N16=TRUE,TRUE,FALSE)),FALSE)))))</f>
        <v>0</v>
      </c>
      <c r="L16" t="b">
        <f>IF(ISNA(VLOOKUP(E16,'Optional features'!B:D,3,FALSE)),FALSE,IF(VLOOKUP(E16,'Optional features'!B:D,3,FALSE)="Yes",TRUE,FALSE))</f>
        <v>0</v>
      </c>
      <c r="M16" t="b">
        <f>IF(VLOOKUP(B16,'Profile selection'!B:C,2,FALSE)="Yes",TRUE,FALSE)</f>
        <v>1</v>
      </c>
    </row>
    <row r="17" spans="1:14" x14ac:dyDescent="0.25">
      <c r="A17" t="str">
        <f>'HIDDEN import'!B16</f>
        <v>TC_B_09_CSMS</v>
      </c>
      <c r="B17" t="str">
        <f>'HIDDEN import'!C16</f>
        <v>Core</v>
      </c>
      <c r="C17" t="str">
        <f>'HIDDEN import'!D16</f>
        <v>Set Variables - single value</v>
      </c>
      <c r="D17" t="str">
        <f>IF(VLOOKUP(A17&amp;" "&amp;B17,'HIDDEN import'!A:G,5,FALSE)="M",MD!$A$1,(IF(AND(VLOOKUP(A17,'HIDDEN import'!B:E,4,FALSE)="C",OR(NOT(ISERROR(VLOOKUP(E17,'Optional features'!B:E,1,FALSE)=E17)),NOT(ISERROR(VLOOKUP(E17,'HIDDEN calc sheet'!A:C,1,FALSE)=E17)))),MD!$A$3,MD!$A$2)))</f>
        <v>Mandatory test for a mandatory feature</v>
      </c>
      <c r="E17" t="str">
        <f>IF('HIDDEN import'!F16=0,"",'HIDDEN import'!F16)</f>
        <v/>
      </c>
      <c r="F17" t="str">
        <f>IF('HIDDEN import'!G16=0,"",'HIDDEN import'!G16)</f>
        <v/>
      </c>
      <c r="G17" s="39" t="str">
        <f>IFERROR(VLOOKUP($A17,'HIDDEN Testrun Results'!$A:$B,2,FALSE),"")</f>
        <v/>
      </c>
      <c r="H17" s="39" t="b">
        <f t="shared" si="0"/>
        <v>1</v>
      </c>
      <c r="I17" s="39" t="b">
        <f>IF(VLOOKUP(A17&amp;" "&amp;B17,'HIDDEN import'!A:G,5,FALSE)="M",TRUE,IFERROR(VLOOKUP(E17,'Optional features'!B:E,3,FALSE)="Yes",IFERROR(VLOOKUP(E17,'HIDDEN calc sheet'!A:B,2,FALSE),VLOOKUP(E17,'Additional questions'!B:D,3,FALSE)="Yes")))</f>
        <v>1</v>
      </c>
      <c r="J17" t="b">
        <f>IF(VLOOKUP(B17,'Profile selection'!B:C,2,FALSE)="Yes",TRUE,FALSE)</f>
        <v>1</v>
      </c>
      <c r="K17" s="17" t="b">
        <f>IF(AND(D17=MD!$A$1,M17),TRUE,(IF(AND(D17=MD!$A$3,M17),(IF(L17=TRUE,TRUE,FALSE)),(IF(AND(D17=MD!$A$2,M17),(IF(N17=TRUE,TRUE,FALSE)),FALSE)))))</f>
        <v>1</v>
      </c>
      <c r="M17" t="b">
        <f>IF(VLOOKUP(B17,'Profile selection'!B:C,2,FALSE)="Yes",TRUE,FALSE)</f>
        <v>1</v>
      </c>
    </row>
    <row r="18" spans="1:14" x14ac:dyDescent="0.25">
      <c r="A18" t="str">
        <f>'HIDDEN import'!B17</f>
        <v>TC_B_10_CSMS</v>
      </c>
      <c r="B18" t="str">
        <f>'HIDDEN import'!C17</f>
        <v>Core</v>
      </c>
      <c r="C18" t="str">
        <f>'HIDDEN import'!D17</f>
        <v>Set Variables - multiple values</v>
      </c>
      <c r="D18" t="str">
        <f>IF(VLOOKUP(A18&amp;" "&amp;B18,'HIDDEN import'!A:G,5,FALSE)="M",MD!$A$1,(IF(AND(VLOOKUP(A18,'HIDDEN import'!B:E,4,FALSE)="C",OR(NOT(ISERROR(VLOOKUP(E18,'Optional features'!B:E,1,FALSE)=E18)),NOT(ISERROR(VLOOKUP(E18,'HIDDEN calc sheet'!A:C,1,FALSE)=E18)))),MD!$A$3,MD!$A$2)))</f>
        <v>Mandatory for optional feature</v>
      </c>
      <c r="E18" t="str">
        <f>IF('HIDDEN import'!F17=0,"",'HIDDEN import'!F17)</f>
        <v>C-46</v>
      </c>
      <c r="F18" t="str">
        <f>IF('HIDDEN import'!G17=0,"",'HIDDEN import'!G17)</f>
        <v>multiple values elements SetVariablesRequest</v>
      </c>
      <c r="G18" s="39" t="str">
        <f>IFERROR(VLOOKUP($A18,'HIDDEN Testrun Results'!$A:$B,2,FALSE),"")</f>
        <v/>
      </c>
      <c r="H18" s="39" t="b">
        <f t="shared" si="0"/>
        <v>0</v>
      </c>
      <c r="I18" s="39" t="b">
        <f>IF(VLOOKUP(A18&amp;" "&amp;B18,'HIDDEN import'!A:G,5,FALSE)="M",TRUE,IFERROR(VLOOKUP(E18,'Optional features'!B:E,3,FALSE)="Yes",IFERROR(VLOOKUP(E18,'HIDDEN calc sheet'!A:B,2,FALSE),VLOOKUP(E18,'Additional questions'!B:D,3,FALSE)="Yes")))</f>
        <v>0</v>
      </c>
      <c r="J18" t="b">
        <f>IF(VLOOKUP(B18,'Profile selection'!B:C,2,FALSE)="Yes",TRUE,FALSE)</f>
        <v>1</v>
      </c>
      <c r="K18" s="17" t="b">
        <f>IF(AND(D18=MD!$A$1,M18),TRUE,(IF(AND(D18=MD!$A$3,M18),(IF(L18=TRUE,TRUE,FALSE)),(IF(AND(D18=MD!$A$2,M18),(IF(N18=TRUE,TRUE,FALSE)),FALSE)))))</f>
        <v>0</v>
      </c>
      <c r="L18" t="b">
        <f>IF(ISNA(VLOOKUP(E18,'Optional features'!B:D,3,FALSE)),FALSE,IF(VLOOKUP(E18,'Optional features'!B:D,3,FALSE)="Yes",TRUE,FALSE))</f>
        <v>0</v>
      </c>
      <c r="M18" t="b">
        <f>IF(VLOOKUP(B18,'Profile selection'!B:C,2,FALSE)="Yes",TRUE,FALSE)</f>
        <v>1</v>
      </c>
    </row>
    <row r="19" spans="1:14" x14ac:dyDescent="0.25">
      <c r="A19" t="str">
        <f>'HIDDEN import'!B18</f>
        <v>TC_B_12_CSMS</v>
      </c>
      <c r="B19" t="str">
        <f>'HIDDEN import'!C18</f>
        <v>Core</v>
      </c>
      <c r="C19" t="str">
        <f>'HIDDEN import'!D18</f>
        <v>Get Base Report - ConfigurationInventory</v>
      </c>
      <c r="D19" t="str">
        <f>IF(VLOOKUP(A19&amp;" "&amp;B19,'HIDDEN import'!A:G,5,FALSE)="M",MD!$A$1,(IF(AND(VLOOKUP(A19,'HIDDEN import'!B:E,4,FALSE)="C",OR(NOT(ISERROR(VLOOKUP(E19,'Optional features'!B:E,1,FALSE)=E19)),NOT(ISERROR(VLOOKUP(E19,'HIDDEN calc sheet'!A:C,1,FALSE)=E19)))),MD!$A$3,MD!$A$2)))</f>
        <v>Mandatory for optional feature</v>
      </c>
      <c r="E19" t="str">
        <f>IF('HIDDEN import'!F18=0,"",'HIDDEN import'!F18)</f>
        <v>C-17 OR DM-0</v>
      </c>
      <c r="F19" t="str">
        <f>IF('HIDDEN import'!G18=0,"",'HIDDEN import'!G18)</f>
        <v>ConfigurationInventory</v>
      </c>
      <c r="G19" s="39" t="str">
        <f>IFERROR(VLOOKUP($A19,'HIDDEN Testrun Results'!$A:$B,2,FALSE),"")</f>
        <v/>
      </c>
      <c r="H19" s="39" t="b">
        <f t="shared" si="0"/>
        <v>0</v>
      </c>
      <c r="I19" s="39" t="b">
        <f>IF(VLOOKUP(A19&amp;" "&amp;B19,'HIDDEN import'!A:G,5,FALSE)="M",TRUE,IFERROR(VLOOKUP(E19,'Optional features'!B:E,3,FALSE)="Yes",IFERROR(VLOOKUP(E19,'HIDDEN calc sheet'!A:B,2,FALSE),VLOOKUP(E19,'Additional questions'!B:D,3,FALSE)="Yes")))</f>
        <v>0</v>
      </c>
      <c r="J19" t="b">
        <f>IF(VLOOKUP(B19,'Profile selection'!B:C,2,FALSE)="Yes",TRUE,FALSE)</f>
        <v>1</v>
      </c>
      <c r="K19" s="17" t="b">
        <f>IF(AND(D19=MD!$A$1,M19),TRUE,(IF(AND(D19=MD!$A$3,M19),(IF(L19=TRUE,TRUE,FALSE)),(IF(AND(D19=MD!$A$2,M19),(IF(N19=TRUE,TRUE,FALSE)),FALSE)))))</f>
        <v>0</v>
      </c>
      <c r="L19" t="b">
        <f>IF(ISNA(VLOOKUP(E19,'Optional features'!B:D,3,FALSE)),FALSE,IF(VLOOKUP(E19,'Optional features'!B:D,3,FALSE)="Yes",TRUE,FALSE))</f>
        <v>0</v>
      </c>
      <c r="M19" t="b">
        <f>IF(VLOOKUP(B19,'Profile selection'!B:C,2,FALSE)="Yes",TRUE,FALSE)</f>
        <v>1</v>
      </c>
    </row>
    <row r="20" spans="1:14" x14ac:dyDescent="0.25">
      <c r="A20" t="str">
        <f>'HIDDEN import'!B19</f>
        <v>TC_B_13_CSMS</v>
      </c>
      <c r="B20" t="str">
        <f>'HIDDEN import'!C19</f>
        <v>Core</v>
      </c>
      <c r="C20" t="str">
        <f>'HIDDEN import'!D19</f>
        <v>Get Base Report - FullInventory</v>
      </c>
      <c r="D20" t="str">
        <f>IF(VLOOKUP(A20&amp;" "&amp;B20,'HIDDEN import'!A:G,5,FALSE)="M",MD!$A$1,(IF(AND(VLOOKUP(A20,'HIDDEN import'!B:E,4,FALSE)="C",OR(NOT(ISERROR(VLOOKUP(E20,'Optional features'!B:E,1,FALSE)=E20)),NOT(ISERROR(VLOOKUP(E20,'HIDDEN calc sheet'!A:C,1,FALSE)=E20)))),MD!$A$3,MD!$A$2)))</f>
        <v>Mandatory for optional feature</v>
      </c>
      <c r="E20" t="str">
        <f>IF('HIDDEN import'!F19=0,"",'HIDDEN import'!F19)</f>
        <v>C-50.2</v>
      </c>
      <c r="F20" t="str">
        <f>IF('HIDDEN import'!G19=0,"",'HIDDEN import'!G19)</f>
        <v>GetBaseReport - FullInventory - Manual trigger</v>
      </c>
      <c r="G20" s="39" t="str">
        <f>IFERROR(VLOOKUP($A20,'HIDDEN Testrun Results'!$A:$B,2,FALSE),"")</f>
        <v/>
      </c>
      <c r="H20" s="39" t="b">
        <f t="shared" si="0"/>
        <v>0</v>
      </c>
      <c r="I20" s="39" t="b">
        <f>IF(VLOOKUP(A20&amp;" "&amp;B20,'HIDDEN import'!A:G,5,FALSE)="M",TRUE,IFERROR(VLOOKUP(E20,'Optional features'!B:E,3,FALSE)="Yes",IFERROR(VLOOKUP(E20,'HIDDEN calc sheet'!A:B,2,FALSE),VLOOKUP(E20,'Additional questions'!B:D,3,FALSE)="Yes")))</f>
        <v>0</v>
      </c>
      <c r="J20" t="b">
        <f>IF(VLOOKUP(B20,'Profile selection'!B:C,2,FALSE)="Yes",TRUE,FALSE)</f>
        <v>1</v>
      </c>
      <c r="K20" s="17" t="b">
        <f>IF(AND(D20=MD!$A$1,M20),TRUE,(IF(AND(D20=MD!$A$3,M20),(IF(L20=TRUE,TRUE,FALSE)),(IF(AND(D20=MD!$A$2,M20),(IF(N20=TRUE,TRUE,FALSE)),FALSE)))))</f>
        <v>0</v>
      </c>
      <c r="M20" t="b">
        <f>IF(VLOOKUP(B20,'Profile selection'!B:C,2,FALSE)="Yes",TRUE,FALSE)</f>
        <v>1</v>
      </c>
      <c r="N20" t="b">
        <f>IF('Additional questions'!D7="Yes",TRUE,FALSE)</f>
        <v>0</v>
      </c>
    </row>
    <row r="21" spans="1:14" x14ac:dyDescent="0.25">
      <c r="A21" t="str">
        <f>'HIDDEN import'!B20</f>
        <v>TC_B_20_CSMS</v>
      </c>
      <c r="B21" t="str">
        <f>'HIDDEN import'!C20</f>
        <v>Core</v>
      </c>
      <c r="C21" t="str">
        <f>'HIDDEN import'!D20</f>
        <v>Reset Charging Station - Without ongoing transaction - OnIdle</v>
      </c>
      <c r="D21" t="str">
        <f>IF(VLOOKUP(A21&amp;" "&amp;B21,'HIDDEN import'!A:G,5,FALSE)="M",MD!$A$1,(IF(AND(VLOOKUP(A21,'HIDDEN import'!B:E,4,FALSE)="C",OR(NOT(ISERROR(VLOOKUP(E21,'Optional features'!B:E,1,FALSE)=E21)),NOT(ISERROR(VLOOKUP(E21,'HIDDEN calc sheet'!A:C,1,FALSE)=E21)))),MD!$A$3,MD!$A$2)))</f>
        <v>Mandatory test for a mandatory feature</v>
      </c>
      <c r="E21" t="str">
        <f>IF('HIDDEN import'!F20=0,"",'HIDDEN import'!F20)</f>
        <v/>
      </c>
      <c r="F21" t="str">
        <f>IF('HIDDEN import'!G20=0,"",'HIDDEN import'!G20)</f>
        <v/>
      </c>
      <c r="G21" s="39" t="str">
        <f>IFERROR(VLOOKUP($A21,'HIDDEN Testrun Results'!$A:$B,2,FALSE),"")</f>
        <v/>
      </c>
      <c r="H21" s="39" t="b">
        <f t="shared" si="0"/>
        <v>1</v>
      </c>
      <c r="I21" s="39" t="b">
        <f>IF(VLOOKUP(A21&amp;" "&amp;B21,'HIDDEN import'!A:G,5,FALSE)="M",TRUE,IFERROR(VLOOKUP(E21,'Optional features'!B:E,3,FALSE)="Yes",IFERROR(VLOOKUP(E21,'HIDDEN calc sheet'!A:B,2,FALSE),VLOOKUP(E21,'Additional questions'!B:D,3,FALSE)="Yes")))</f>
        <v>1</v>
      </c>
      <c r="J21" t="b">
        <f>IF(VLOOKUP(B21,'Profile selection'!B:C,2,FALSE)="Yes",TRUE,FALSE)</f>
        <v>1</v>
      </c>
      <c r="K21" s="17" t="b">
        <f>IF(AND(D21=MD!$A$1,M21),TRUE,(IF(AND(D21=MD!$A$3,M21),(IF(L21=TRUE,TRUE,FALSE)),(IF(AND(D21=MD!$A$2,M21),(IF(N21=TRUE,TRUE,FALSE)),FALSE)))))</f>
        <v>1</v>
      </c>
      <c r="M21" t="b">
        <f>IF(VLOOKUP(B21,'Profile selection'!B:C,2,FALSE)="Yes",TRUE,FALSE)</f>
        <v>1</v>
      </c>
    </row>
    <row r="22" spans="1:14" x14ac:dyDescent="0.25">
      <c r="A22" t="str">
        <f>'HIDDEN import'!B21</f>
        <v>TC_B_21_CSMS</v>
      </c>
      <c r="B22" t="str">
        <f>'HIDDEN import'!C21</f>
        <v>Core</v>
      </c>
      <c r="C22" t="str">
        <f>'HIDDEN import'!D21</f>
        <v>Reset Charging Station - With Ongoing Transaction - OnIdle</v>
      </c>
      <c r="D22" t="str">
        <f>IF(VLOOKUP(A22&amp;" "&amp;B22,'HIDDEN import'!A:G,5,FALSE)="M",MD!$A$1,(IF(AND(VLOOKUP(A22,'HIDDEN import'!B:E,4,FALSE)="C",OR(NOT(ISERROR(VLOOKUP(E22,'Optional features'!B:E,1,FALSE)=E22)),NOT(ISERROR(VLOOKUP(E22,'HIDDEN calc sheet'!A:C,1,FALSE)=E22)))),MD!$A$3,MD!$A$2)))</f>
        <v>Mandatory test for a mandatory feature</v>
      </c>
      <c r="E22" t="str">
        <f>IF('HIDDEN import'!F21=0,"",'HIDDEN import'!F21)</f>
        <v/>
      </c>
      <c r="F22" t="str">
        <f>IF('HIDDEN import'!G21=0,"",'HIDDEN import'!G21)</f>
        <v/>
      </c>
      <c r="G22" s="39" t="str">
        <f>IFERROR(VLOOKUP($A22,'HIDDEN Testrun Results'!$A:$B,2,FALSE),"")</f>
        <v/>
      </c>
      <c r="H22" s="39" t="b">
        <f t="shared" si="0"/>
        <v>1</v>
      </c>
      <c r="I22" s="39" t="b">
        <f>IF(VLOOKUP(A22&amp;" "&amp;B22,'HIDDEN import'!A:G,5,FALSE)="M",TRUE,IFERROR(VLOOKUP(E22,'Optional features'!B:E,3,FALSE)="Yes",IFERROR(VLOOKUP(E22,'HIDDEN calc sheet'!A:B,2,FALSE),VLOOKUP(E22,'Additional questions'!B:D,3,FALSE)="Yes")))</f>
        <v>1</v>
      </c>
      <c r="J22" t="b">
        <f>IF(VLOOKUP(B22,'Profile selection'!B:C,2,FALSE)="Yes",TRUE,FALSE)</f>
        <v>1</v>
      </c>
      <c r="K22" s="17" t="b">
        <f>IF(AND(D22=MD!$A$1,M22),TRUE,(IF(AND(D22=MD!$A$3,M22),(IF(L22=TRUE,TRUE,FALSE)),(IF(AND(D22=MD!$A$2,M22),(IF(N22=TRUE,TRUE,FALSE)),FALSE)))))</f>
        <v>1</v>
      </c>
      <c r="M22" t="b">
        <f>IF(VLOOKUP(B22,'Profile selection'!B:C,2,FALSE)="Yes",TRUE,FALSE)</f>
        <v>1</v>
      </c>
    </row>
    <row r="23" spans="1:14" x14ac:dyDescent="0.25">
      <c r="A23" t="str">
        <f>'HIDDEN import'!B22</f>
        <v>TC_B_22_CSMS</v>
      </c>
      <c r="B23" t="str">
        <f>'HIDDEN import'!C22</f>
        <v>Core</v>
      </c>
      <c r="C23" t="str">
        <f>'HIDDEN import'!D22</f>
        <v>Reset Charging Station - With Ongoing Transaction - Immediate</v>
      </c>
      <c r="D23" t="str">
        <f>IF(VLOOKUP(A23&amp;" "&amp;B23,'HIDDEN import'!A:G,5,FALSE)="M",MD!$A$1,(IF(AND(VLOOKUP(A23,'HIDDEN import'!B:E,4,FALSE)="C",OR(NOT(ISERROR(VLOOKUP(E23,'Optional features'!B:E,1,FALSE)=E23)),NOT(ISERROR(VLOOKUP(E23,'HIDDEN calc sheet'!A:C,1,FALSE)=E23)))),MD!$A$3,MD!$A$2)))</f>
        <v>Mandatory test for a mandatory feature</v>
      </c>
      <c r="E23" t="str">
        <f>IF('HIDDEN import'!F22=0,"",'HIDDEN import'!F22)</f>
        <v/>
      </c>
      <c r="F23" t="str">
        <f>IF('HIDDEN import'!G22=0,"",'HIDDEN import'!G22)</f>
        <v/>
      </c>
      <c r="G23" s="39" t="str">
        <f>IFERROR(VLOOKUP($A23,'HIDDEN Testrun Results'!$A:$B,2,FALSE),"")</f>
        <v/>
      </c>
      <c r="H23" s="39" t="b">
        <f t="shared" si="0"/>
        <v>1</v>
      </c>
      <c r="I23" s="39" t="b">
        <f>IF(VLOOKUP(A23&amp;" "&amp;B23,'HIDDEN import'!A:G,5,FALSE)="M",TRUE,IFERROR(VLOOKUP(E23,'Optional features'!B:E,3,FALSE)="Yes",IFERROR(VLOOKUP(E23,'HIDDEN calc sheet'!A:B,2,FALSE),VLOOKUP(E23,'Additional questions'!B:D,3,FALSE)="Yes")))</f>
        <v>1</v>
      </c>
      <c r="J23" t="b">
        <f>IF(VLOOKUP(B23,'Profile selection'!B:C,2,FALSE)="Yes",TRUE,FALSE)</f>
        <v>1</v>
      </c>
      <c r="K23" s="17" t="b">
        <f>IF(AND(D23=MD!$A$1,M23),TRUE,(IF(AND(D23=MD!$A$3,M23),(IF(L23=TRUE,TRUE,FALSE)),(IF(AND(D23=MD!$A$2,M23),(IF(N23=TRUE,TRUE,FALSE)),FALSE)))))</f>
        <v>1</v>
      </c>
      <c r="M23" t="b">
        <f>IF(VLOOKUP(B23,'Profile selection'!B:C,2,FALSE)="Yes",TRUE,FALSE)</f>
        <v>1</v>
      </c>
    </row>
    <row r="24" spans="1:14" x14ac:dyDescent="0.25">
      <c r="A24" t="str">
        <f>'HIDDEN import'!B23</f>
        <v>TC_B_25_CSMS</v>
      </c>
      <c r="B24" t="str">
        <f>'HIDDEN import'!C23</f>
        <v>Core</v>
      </c>
      <c r="C24" t="str">
        <f>'HIDDEN import'!D23</f>
        <v>Reset EVSE - Without ongoing transaction</v>
      </c>
      <c r="D24" t="str">
        <f>IF(VLOOKUP(A24&amp;" "&amp;B24,'HIDDEN import'!A:G,5,FALSE)="M",MD!$A$1,(IF(AND(VLOOKUP(A24,'HIDDEN import'!B:E,4,FALSE)="C",OR(NOT(ISERROR(VLOOKUP(E24,'Optional features'!B:E,1,FALSE)=E24)),NOT(ISERROR(VLOOKUP(E24,'HIDDEN calc sheet'!A:C,1,FALSE)=E24)))),MD!$A$3,MD!$A$2)))</f>
        <v>Mandatory for optional feature</v>
      </c>
      <c r="E24" t="str">
        <f>IF('HIDDEN import'!F23=0,"",'HIDDEN import'!F23)</f>
        <v>C-13</v>
      </c>
      <c r="F24" t="str">
        <f>IF('HIDDEN import'!G23=0,"",'HIDDEN import'!G23)</f>
        <v>Reset per EVSE</v>
      </c>
      <c r="G24" s="39" t="str">
        <f>IFERROR(VLOOKUP($A24,'HIDDEN Testrun Results'!$A:$B,2,FALSE),"")</f>
        <v/>
      </c>
      <c r="H24" s="39" t="b">
        <f t="shared" si="0"/>
        <v>0</v>
      </c>
      <c r="I24" s="39" t="b">
        <f>IF(VLOOKUP(A24&amp;" "&amp;B24,'HIDDEN import'!A:G,5,FALSE)="M",TRUE,IFERROR(VLOOKUP(E24,'Optional features'!B:E,3,FALSE)="Yes",IFERROR(VLOOKUP(E24,'HIDDEN calc sheet'!A:B,2,FALSE),VLOOKUP(E24,'Additional questions'!B:D,3,FALSE)="Yes")))</f>
        <v>0</v>
      </c>
      <c r="J24" t="b">
        <f>IF(VLOOKUP(B24,'Profile selection'!B:C,2,FALSE)="Yes",TRUE,FALSE)</f>
        <v>1</v>
      </c>
      <c r="K24" s="17" t="b">
        <f>IF(AND(D24=MD!$A$1,M24),TRUE,(IF(AND(D24=MD!$A$3,M24),(IF(L24=TRUE,TRUE,FALSE)),(IF(AND(D24=MD!$A$2,M24),(IF(N24=TRUE,TRUE,FALSE)),FALSE)))))</f>
        <v>0</v>
      </c>
      <c r="L24" t="b">
        <f>IF(ISNA(VLOOKUP(E24,'Optional features'!B:D,3,FALSE)),FALSE,IF(VLOOKUP(E24,'Optional features'!B:D,3,FALSE)="Yes",TRUE,FALSE))</f>
        <v>0</v>
      </c>
      <c r="M24" t="b">
        <f>IF(VLOOKUP(B24,'Profile selection'!B:C,2,FALSE)="Yes",TRUE,FALSE)</f>
        <v>1</v>
      </c>
    </row>
    <row r="25" spans="1:14" x14ac:dyDescent="0.25">
      <c r="A25" t="str">
        <f>'HIDDEN import'!B24</f>
        <v>TC_B_26_CSMS</v>
      </c>
      <c r="B25" t="str">
        <f>'HIDDEN import'!C24</f>
        <v>Core</v>
      </c>
      <c r="C25" t="str">
        <f>'HIDDEN import'!D24</f>
        <v>Reset EVSE - With Ongoing Transaction - OnIdle</v>
      </c>
      <c r="D25" t="str">
        <f>IF(VLOOKUP(A25&amp;" "&amp;B25,'HIDDEN import'!A:G,5,FALSE)="M",MD!$A$1,(IF(AND(VLOOKUP(A25,'HIDDEN import'!B:E,4,FALSE)="C",OR(NOT(ISERROR(VLOOKUP(E25,'Optional features'!B:E,1,FALSE)=E25)),NOT(ISERROR(VLOOKUP(E25,'HIDDEN calc sheet'!A:C,1,FALSE)=E25)))),MD!$A$3,MD!$A$2)))</f>
        <v>Mandatory for optional feature</v>
      </c>
      <c r="E25" t="str">
        <f>IF('HIDDEN import'!F24=0,"",'HIDDEN import'!F24)</f>
        <v>C-13</v>
      </c>
      <c r="F25" t="str">
        <f>IF('HIDDEN import'!G24=0,"",'HIDDEN import'!G24)</f>
        <v>Reset per EVSE</v>
      </c>
      <c r="G25" s="39" t="str">
        <f>IFERROR(VLOOKUP($A25,'HIDDEN Testrun Results'!$A:$B,2,FALSE),"")</f>
        <v/>
      </c>
      <c r="H25" s="39" t="b">
        <f t="shared" si="0"/>
        <v>0</v>
      </c>
      <c r="I25" s="39" t="b">
        <f>IF(VLOOKUP(A25&amp;" "&amp;B25,'HIDDEN import'!A:G,5,FALSE)="M",TRUE,IFERROR(VLOOKUP(E25,'Optional features'!B:E,3,FALSE)="Yes",IFERROR(VLOOKUP(E25,'HIDDEN calc sheet'!A:B,2,FALSE),VLOOKUP(E25,'Additional questions'!B:D,3,FALSE)="Yes")))</f>
        <v>0</v>
      </c>
      <c r="J25" t="b">
        <f>IF(VLOOKUP(B25,'Profile selection'!B:C,2,FALSE)="Yes",TRUE,FALSE)</f>
        <v>1</v>
      </c>
      <c r="K25" s="17" t="b">
        <f>IF(AND(D25=MD!$A$1,M25),TRUE,(IF(AND(D25=MD!$A$3,M25),(IF(L25=TRUE,TRUE,FALSE)),(IF(AND(D25=MD!$A$2,M25),(IF(N25=TRUE,TRUE,FALSE)),FALSE)))))</f>
        <v>0</v>
      </c>
      <c r="L25" t="b">
        <f>IF(ISNA(VLOOKUP(E25,'Optional features'!B:D,3,FALSE)),FALSE,IF(VLOOKUP(E25,'Optional features'!B:D,3,FALSE)="Yes",TRUE,FALSE))</f>
        <v>0</v>
      </c>
      <c r="M25" t="b">
        <f>IF(VLOOKUP(B25,'Profile selection'!B:C,2,FALSE)="Yes",TRUE,FALSE)</f>
        <v>1</v>
      </c>
    </row>
    <row r="26" spans="1:14" x14ac:dyDescent="0.25">
      <c r="A26" t="str">
        <f>'HIDDEN import'!B25</f>
        <v>TC_B_27_CSMS</v>
      </c>
      <c r="B26" t="str">
        <f>'HIDDEN import'!C25</f>
        <v>Core</v>
      </c>
      <c r="C26" t="str">
        <f>'HIDDEN import'!D25</f>
        <v>Reset EVSE - With Ongoing Transaction - Immediate</v>
      </c>
      <c r="D26" t="str">
        <f>IF(VLOOKUP(A26&amp;" "&amp;B26,'HIDDEN import'!A:G,5,FALSE)="M",MD!$A$1,(IF(AND(VLOOKUP(A26,'HIDDEN import'!B:E,4,FALSE)="C",OR(NOT(ISERROR(VLOOKUP(E26,'Optional features'!B:E,1,FALSE)=E26)),NOT(ISERROR(VLOOKUP(E26,'HIDDEN calc sheet'!A:C,1,FALSE)=E26)))),MD!$A$3,MD!$A$2)))</f>
        <v>Mandatory for optional feature</v>
      </c>
      <c r="E26" t="str">
        <f>IF('HIDDEN import'!F25=0,"",'HIDDEN import'!F25)</f>
        <v>C-13</v>
      </c>
      <c r="F26" t="str">
        <f>IF('HIDDEN import'!G25=0,"",'HIDDEN import'!G25)</f>
        <v>Reset per EVSE</v>
      </c>
      <c r="G26" s="39" t="str">
        <f>IFERROR(VLOOKUP($A26,'HIDDEN Testrun Results'!$A:$B,2,FALSE),"")</f>
        <v/>
      </c>
      <c r="H26" s="39" t="b">
        <f t="shared" si="0"/>
        <v>0</v>
      </c>
      <c r="I26" s="39" t="b">
        <f>IF(VLOOKUP(A26&amp;" "&amp;B26,'HIDDEN import'!A:G,5,FALSE)="M",TRUE,IFERROR(VLOOKUP(E26,'Optional features'!B:E,3,FALSE)="Yes",IFERROR(VLOOKUP(E26,'HIDDEN calc sheet'!A:B,2,FALSE),VLOOKUP(E26,'Additional questions'!B:D,3,FALSE)="Yes")))</f>
        <v>0</v>
      </c>
      <c r="J26" t="b">
        <f>IF(VLOOKUP(B26,'Profile selection'!B:C,2,FALSE)="Yes",TRUE,FALSE)</f>
        <v>1</v>
      </c>
      <c r="K26" s="17" t="b">
        <f>IF(AND(D26=MD!$A$1,M26),TRUE,(IF(AND(D26=MD!$A$3,M26),(IF(L26=TRUE,TRUE,FALSE)),(IF(AND(D26=MD!$A$2,M26),(IF(N26=TRUE,TRUE,FALSE)),FALSE)))))</f>
        <v>0</v>
      </c>
      <c r="L26" t="b">
        <f>IF(ISNA(VLOOKUP(E26,'Optional features'!B:D,3,FALSE)),FALSE,IF(VLOOKUP(E26,'Optional features'!B:D,3,FALSE)="Yes",TRUE,FALSE))</f>
        <v>0</v>
      </c>
      <c r="M26" t="b">
        <f>IF(VLOOKUP(B26,'Profile selection'!B:C,2,FALSE)="Yes",TRUE,FALSE)</f>
        <v>1</v>
      </c>
    </row>
    <row r="27" spans="1:14" x14ac:dyDescent="0.25">
      <c r="A27" t="str">
        <f>'HIDDEN import'!B26</f>
        <v>TC_B_42_CSMS</v>
      </c>
      <c r="B27" t="str">
        <f>'HIDDEN import'!C26</f>
        <v>Core</v>
      </c>
      <c r="C27" t="str">
        <f>'HIDDEN import'!D26</f>
        <v>Set new NetworkConnectionProfile - Accepted</v>
      </c>
      <c r="D27" t="str">
        <f>IF(VLOOKUP(A27&amp;" "&amp;B27,'HIDDEN import'!A:G,5,FALSE)="M",MD!$A$1,(IF(AND(VLOOKUP(A27,'HIDDEN import'!B:E,4,FALSE)="C",OR(NOT(ISERROR(VLOOKUP(E27,'Optional features'!B:E,1,FALSE)=E27)),NOT(ISERROR(VLOOKUP(E27,'HIDDEN calc sheet'!A:C,1,FALSE)=E27)))),MD!$A$3,MD!$A$2)))</f>
        <v>Mandatory test for a mandatory feature</v>
      </c>
      <c r="E27" t="str">
        <f>IF('HIDDEN import'!F26=0,"",'HIDDEN import'!F26)</f>
        <v/>
      </c>
      <c r="F27" t="str">
        <f>IF('HIDDEN import'!G26=0,"",'HIDDEN import'!G26)</f>
        <v/>
      </c>
      <c r="G27" s="39" t="str">
        <f>IFERROR(VLOOKUP($A27,'HIDDEN Testrun Results'!$A:$B,2,FALSE),"")</f>
        <v/>
      </c>
      <c r="H27" s="39" t="b">
        <f t="shared" si="0"/>
        <v>1</v>
      </c>
      <c r="I27" s="39" t="b">
        <f>IF(VLOOKUP(A27&amp;" "&amp;B27,'HIDDEN import'!A:G,5,FALSE)="M",TRUE,IFERROR(VLOOKUP(E27,'Optional features'!B:E,3,FALSE)="Yes",IFERROR(VLOOKUP(E27,'HIDDEN calc sheet'!A:B,2,FALSE),VLOOKUP(E27,'Additional questions'!B:D,3,FALSE)="Yes")))</f>
        <v>1</v>
      </c>
      <c r="J27" t="b">
        <f>IF(VLOOKUP(B27,'Profile selection'!B:C,2,FALSE)="Yes",TRUE,FALSE)</f>
        <v>1</v>
      </c>
      <c r="K27" s="17" t="b">
        <f>IF(AND(D27=MD!$A$1,M27),TRUE,(IF(AND(D27=MD!$A$3,M27),(IF(L27=TRUE,TRUE,FALSE)),(IF(AND(D27=MD!$A$2,M27),(IF(N27=TRUE,TRUE,FALSE)),FALSE)))))</f>
        <v>1</v>
      </c>
      <c r="M27" t="b">
        <f>IF(VLOOKUP(B27,'Profile selection'!B:C,2,FALSE)="Yes",TRUE,FALSE)</f>
        <v>1</v>
      </c>
    </row>
    <row r="28" spans="1:14" x14ac:dyDescent="0.25">
      <c r="A28" t="str">
        <f>'HIDDEN import'!B27</f>
        <v>TC_B_44_CSMS</v>
      </c>
      <c r="B28" t="str">
        <f>'HIDDEN import'!C27</f>
        <v>Core</v>
      </c>
      <c r="C28" t="str">
        <f>'HIDDEN import'!D27</f>
        <v>Set new NetworkConnectionProfile - Failed</v>
      </c>
      <c r="D28" t="str">
        <f>IF(VLOOKUP(A28&amp;" "&amp;B28,'HIDDEN import'!A:G,5,FALSE)="M",MD!$A$1,(IF(AND(VLOOKUP(A28,'HIDDEN import'!B:E,4,FALSE)="C",OR(NOT(ISERROR(VLOOKUP(E28,'Optional features'!B:E,1,FALSE)=E28)),NOT(ISERROR(VLOOKUP(E28,'HIDDEN calc sheet'!A:C,1,FALSE)=E28)))),MD!$A$3,MD!$A$2)))</f>
        <v>Mandatory test for a mandatory feature</v>
      </c>
      <c r="E28" t="str">
        <f>IF('HIDDEN import'!F27=0,"",'HIDDEN import'!F27)</f>
        <v/>
      </c>
      <c r="F28" t="str">
        <f>IF('HIDDEN import'!G27=0,"",'HIDDEN import'!G27)</f>
        <v/>
      </c>
      <c r="G28" s="39" t="str">
        <f>IFERROR(VLOOKUP($A28,'HIDDEN Testrun Results'!$A:$B,2,FALSE),"")</f>
        <v/>
      </c>
      <c r="H28" s="39" t="b">
        <f t="shared" si="0"/>
        <v>1</v>
      </c>
      <c r="I28" s="39" t="b">
        <f>IF(VLOOKUP(A28&amp;" "&amp;B28,'HIDDEN import'!A:G,5,FALSE)="M",TRUE,IFERROR(VLOOKUP(E28,'Optional features'!B:E,3,FALSE)="Yes",IFERROR(VLOOKUP(E28,'HIDDEN calc sheet'!A:B,2,FALSE),VLOOKUP(E28,'Additional questions'!B:D,3,FALSE)="Yes")))</f>
        <v>1</v>
      </c>
      <c r="J28" t="b">
        <f>IF(VLOOKUP(B28,'Profile selection'!B:C,2,FALSE)="Yes",TRUE,FALSE)</f>
        <v>1</v>
      </c>
      <c r="K28" s="17" t="b">
        <f>IF(AND(D28=MD!$A$1,M28),TRUE,(IF(AND(D28=MD!$A$3,M28),(IF(L28=TRUE,TRUE,FALSE)),(IF(AND(D28=MD!$A$2,M28),(IF(N28=TRUE,TRUE,FALSE)),FALSE)))))</f>
        <v>1</v>
      </c>
      <c r="M28" t="b">
        <f>IF(VLOOKUP(B28,'Profile selection'!B:C,2,FALSE)="Yes",TRUE,FALSE)</f>
        <v>1</v>
      </c>
    </row>
    <row r="29" spans="1:14" x14ac:dyDescent="0.25">
      <c r="A29" t="str">
        <f>'HIDDEN import'!B28</f>
        <v>TC_B_58_CSMS</v>
      </c>
      <c r="B29" t="str">
        <f>'HIDDEN import'!C28</f>
        <v>Core</v>
      </c>
      <c r="C29" t="str">
        <f>'HIDDEN import'!D28</f>
        <v>Network Reconnection - WebSocket Subprotocol negotiation</v>
      </c>
      <c r="D29" t="str">
        <f>IF(VLOOKUP(A29&amp;" "&amp;B29,'HIDDEN import'!A:G,5,FALSE)="M",MD!$A$1,(IF(AND(VLOOKUP(A29,'HIDDEN import'!B:E,4,FALSE)="C",OR(NOT(ISERROR(VLOOKUP(E29,'Optional features'!B:E,1,FALSE)=E29)),NOT(ISERROR(VLOOKUP(E29,'HIDDEN calc sheet'!A:C,1,FALSE)=E29)))),MD!$A$3,MD!$A$2)))</f>
        <v>Mandatory test for a mandatory feature</v>
      </c>
      <c r="E29" t="str">
        <f>IF('HIDDEN import'!F28=0,"",'HIDDEN import'!F28)</f>
        <v/>
      </c>
      <c r="F29" t="str">
        <f>IF('HIDDEN import'!G28=0,"",'HIDDEN import'!G28)</f>
        <v/>
      </c>
      <c r="G29" s="39" t="str">
        <f>IFERROR(VLOOKUP($A29,'HIDDEN Testrun Results'!$A:$B,2,FALSE),"")</f>
        <v/>
      </c>
      <c r="H29" s="39" t="b">
        <f t="shared" si="0"/>
        <v>1</v>
      </c>
      <c r="I29" s="39" t="b">
        <f>IF(VLOOKUP(A29&amp;" "&amp;B29,'HIDDEN import'!A:G,5,FALSE)="M",TRUE,IFERROR(VLOOKUP(E29,'Optional features'!B:E,3,FALSE)="Yes",IFERROR(VLOOKUP(E29,'HIDDEN calc sheet'!A:B,2,FALSE),VLOOKUP(E29,'Additional questions'!B:D,3,FALSE)="Yes")))</f>
        <v>1</v>
      </c>
      <c r="J29" t="b">
        <f>IF(VLOOKUP(B29,'Profile selection'!B:C,2,FALSE)="Yes",TRUE,FALSE)</f>
        <v>1</v>
      </c>
      <c r="K29" s="17" t="b">
        <f>IF(AND(D29=MD!$A$1,M29),TRUE,(IF(AND(D29=MD!$A$3,M29),(IF(L29=TRUE,TRUE,FALSE)),(IF(AND(D29=MD!$A$2,M29),(IF(N29=TRUE,TRUE,FALSE)),FALSE)))))</f>
        <v>1</v>
      </c>
      <c r="M29" t="b">
        <f>IF(VLOOKUP(B29,'Profile selection'!B:C,2,FALSE)="Yes",TRUE,FALSE)</f>
        <v>1</v>
      </c>
    </row>
    <row r="30" spans="1:14" x14ac:dyDescent="0.25">
      <c r="A30" t="str">
        <f>'HIDDEN import'!B29</f>
        <v>TC_C_02_CSMS</v>
      </c>
      <c r="B30" t="str">
        <f>'HIDDEN import'!C29</f>
        <v>Core</v>
      </c>
      <c r="C30" t="str">
        <f>'HIDDEN import'!D29</f>
        <v>Local start transaction - Authorization Invalid/Unknown</v>
      </c>
      <c r="D30" t="str">
        <f>IF(VLOOKUP(A30&amp;" "&amp;B30,'HIDDEN import'!A:G,5,FALSE)="M",MD!$A$1,(IF(AND(VLOOKUP(A30,'HIDDEN import'!B:E,4,FALSE)="C",OR(NOT(ISERROR(VLOOKUP(E30,'Optional features'!B:E,1,FALSE)=E30)),NOT(ISERROR(VLOOKUP(E30,'HIDDEN calc sheet'!A:C,1,FALSE)=E30)))),MD!$A$3,MD!$A$2)))</f>
        <v>Mandatory test for a mandatory feature</v>
      </c>
      <c r="E30" t="str">
        <f>IF('HIDDEN import'!F29=0,"",'HIDDEN import'!F29)</f>
        <v>(C-30 or C-31 or C-32) and NOT AQ-2</v>
      </c>
      <c r="F30" t="str">
        <f>IF('HIDDEN import'!G29=0,"",'HIDDEN import'!G29)</f>
        <v>Local Authorization - using RFID ISO14443 / RFID ISO15693 / KeyCode and Does the Charging Station have a cable lock, which prevents the EV driver to connect the EV and EVSE before authorization?</v>
      </c>
      <c r="G30" s="39" t="str">
        <f>IFERROR(VLOOKUP($A30,'HIDDEN Testrun Results'!$A:$B,2,FALSE),"")</f>
        <v/>
      </c>
      <c r="H30" s="39" t="b">
        <f t="shared" si="0"/>
        <v>1</v>
      </c>
      <c r="I30" s="39" t="b">
        <f>IF(VLOOKUP(A30&amp;" "&amp;B30,'HIDDEN import'!A:G,5,FALSE)="M",TRUE,IFERROR(VLOOKUP(E30,'Optional features'!B:E,3,FALSE)="Yes",IFERROR(VLOOKUP(E30,'HIDDEN calc sheet'!A:B,2,FALSE),VLOOKUP(E30,'Additional questions'!B:D,3,FALSE)="Yes")))</f>
        <v>1</v>
      </c>
      <c r="J30" t="b">
        <f>IF(VLOOKUP(B30,'Profile selection'!B:C,2,FALSE)="Yes",TRUE,FALSE)</f>
        <v>1</v>
      </c>
      <c r="K30" s="17" t="b">
        <f>IF(AND(D30=MD!$A$1,M30),TRUE,(IF(AND(D30=MD!$A$3,M30),(IF(L30=TRUE,TRUE,FALSE)),(IF(AND(D30=MD!$A$2,M30),(IF(N30=TRUE,TRUE,FALSE)),FALSE)))))</f>
        <v>1</v>
      </c>
      <c r="M30" t="b">
        <f>IF(VLOOKUP(B30,'Profile selection'!B:C,2,FALSE)="Yes",TRUE,FALSE)</f>
        <v>1</v>
      </c>
    </row>
    <row r="31" spans="1:14" x14ac:dyDescent="0.25">
      <c r="A31" t="str">
        <f>'HIDDEN import'!B30</f>
        <v>TC_C_06_CSMS</v>
      </c>
      <c r="B31" t="str">
        <f>'HIDDEN import'!C30</f>
        <v>Core</v>
      </c>
      <c r="C31" t="str">
        <f>'HIDDEN import'!D30</f>
        <v>Local start transaction - Authorization Blocked</v>
      </c>
      <c r="D31" t="str">
        <f>IF(VLOOKUP(A31&amp;" "&amp;B31,'HIDDEN import'!A:G,5,FALSE)="M",MD!$A$1,(IF(AND(VLOOKUP(A31,'HIDDEN import'!B:E,4,FALSE)="C",OR(NOT(ISERROR(VLOOKUP(E31,'Optional features'!B:E,1,FALSE)=E31)),NOT(ISERROR(VLOOKUP(E31,'HIDDEN calc sheet'!A:C,1,FALSE)=E31)))),MD!$A$3,MD!$A$2)))</f>
        <v>Mandatory test for a mandatory feature</v>
      </c>
      <c r="E31" t="str">
        <f>IF('HIDDEN import'!F30=0,"",'HIDDEN import'!F30)</f>
        <v>NOT AQ-2 and (C-30 or C-31 or C-32)</v>
      </c>
      <c r="F31" t="str">
        <f>IF('HIDDEN import'!G30=0,"",'HIDDEN import'!G30)</f>
        <v>Local Authorization - using RFID ISO14443 / RFID ISO15693 / KeyCode</v>
      </c>
      <c r="G31" s="39" t="str">
        <f>IFERROR(VLOOKUP($A31,'HIDDEN Testrun Results'!$A:$B,2,FALSE),"")</f>
        <v/>
      </c>
      <c r="H31" s="39" t="b">
        <f t="shared" si="0"/>
        <v>1</v>
      </c>
      <c r="I31" s="39" t="b">
        <f>IF(VLOOKUP(A31&amp;" "&amp;B31,'HIDDEN import'!A:G,5,FALSE)="M",TRUE,IFERROR(VLOOKUP(E31,'Optional features'!B:E,3,FALSE)="Yes",IFERROR(VLOOKUP(E31,'HIDDEN calc sheet'!A:B,2,FALSE),VLOOKUP(E31,'Additional questions'!B:D,3,FALSE)="Yes")))</f>
        <v>1</v>
      </c>
      <c r="J31" t="b">
        <f>IF(VLOOKUP(B31,'Profile selection'!B:C,2,FALSE)="Yes",TRUE,FALSE)</f>
        <v>1</v>
      </c>
      <c r="K31" s="17" t="b">
        <f>IF(AND(D31=MD!$A$1,M31),TRUE,(IF(AND(D31=MD!$A$3,M31),(IF(L31=TRUE,TRUE,FALSE)),(IF(AND(D31=MD!$A$2,M31),(IF(N31=TRUE,TRUE,FALSE)),FALSE)))))</f>
        <v>1</v>
      </c>
      <c r="M31" t="b">
        <f>IF(VLOOKUP(B31,'Profile selection'!B:C,2,FALSE)="Yes",TRUE,FALSE)</f>
        <v>1</v>
      </c>
    </row>
    <row r="32" spans="1:14" x14ac:dyDescent="0.25">
      <c r="A32" t="str">
        <f>'HIDDEN import'!B31</f>
        <v>TC_C_07_CSMS</v>
      </c>
      <c r="B32" t="str">
        <f>'HIDDEN import'!C31</f>
        <v>Core</v>
      </c>
      <c r="C32" t="str">
        <f>'HIDDEN import'!D31</f>
        <v>Local start transaction - Authorization Expired</v>
      </c>
      <c r="D32" t="str">
        <f>IF(VLOOKUP(A32&amp;" "&amp;B32,'HIDDEN import'!A:G,5,FALSE)="M",MD!$A$1,(IF(AND(VLOOKUP(A32,'HIDDEN import'!B:E,4,FALSE)="C",OR(NOT(ISERROR(VLOOKUP(E32,'Optional features'!B:E,1,FALSE)=E32)),NOT(ISERROR(VLOOKUP(E32,'HIDDEN calc sheet'!A:C,1,FALSE)=E32)))),MD!$A$3,MD!$A$2)))</f>
        <v>Mandatory test for a mandatory feature</v>
      </c>
      <c r="E32" t="str">
        <f>IF('HIDDEN import'!F31=0,"",'HIDDEN import'!F31)</f>
        <v>NOT AQ-2 and (C-30 or C-31 or C-32)</v>
      </c>
      <c r="F32" t="str">
        <f>IF('HIDDEN import'!G31=0,"",'HIDDEN import'!G31)</f>
        <v>Local Authorization - using RFID ISO14443 / RFID ISO15693 / KeyCode</v>
      </c>
      <c r="G32" s="39" t="str">
        <f>IFERROR(VLOOKUP($A32,'HIDDEN Testrun Results'!$A:$B,2,FALSE),"")</f>
        <v/>
      </c>
      <c r="H32" s="39" t="b">
        <f t="shared" si="0"/>
        <v>1</v>
      </c>
      <c r="I32" s="39" t="b">
        <f>IF(VLOOKUP(A32&amp;" "&amp;B32,'HIDDEN import'!A:G,5,FALSE)="M",TRUE,IFERROR(VLOOKUP(E32,'Optional features'!B:E,3,FALSE)="Yes",IFERROR(VLOOKUP(E32,'HIDDEN calc sheet'!A:B,2,FALSE),VLOOKUP(E32,'Additional questions'!B:D,3,FALSE)="Yes")))</f>
        <v>1</v>
      </c>
      <c r="J32" t="b">
        <f>IF(VLOOKUP(B32,'Profile selection'!B:C,2,FALSE)="Yes",TRUE,FALSE)</f>
        <v>1</v>
      </c>
      <c r="K32" s="17" t="b">
        <f>IF(AND(D32=MD!$A$1,M32),TRUE,(IF(AND(D32=MD!$A$3,M32),(IF(L32=TRUE,TRUE,FALSE)),(IF(AND(D32=MD!$A$2,M32),(IF(N32=TRUE,TRUE,FALSE)),FALSE)))))</f>
        <v>1</v>
      </c>
      <c r="M32" t="b">
        <f>IF(VLOOKUP(B32,'Profile selection'!B:C,2,FALSE)="Yes",TRUE,FALSE)</f>
        <v>1</v>
      </c>
    </row>
    <row r="33" spans="1:13" x14ac:dyDescent="0.25">
      <c r="A33" t="str">
        <f>'HIDDEN import'!B32</f>
        <v>TC_E_38_CSMS</v>
      </c>
      <c r="B33" t="str">
        <f>'HIDDEN import'!C32</f>
        <v>Core</v>
      </c>
      <c r="C33" t="str">
        <f>'HIDDEN import'!D32</f>
        <v>Local start transaction - EV not ready</v>
      </c>
      <c r="D33" t="str">
        <f>IF(VLOOKUP(A33&amp;" "&amp;B33,'HIDDEN import'!A:G,5,FALSE)="M",MD!$A$1,(IF(AND(VLOOKUP(A33,'HIDDEN import'!B:E,4,FALSE)="C",OR(NOT(ISERROR(VLOOKUP(E33,'Optional features'!B:E,1,FALSE)=E33)),NOT(ISERROR(VLOOKUP(E33,'HIDDEN calc sheet'!A:C,1,FALSE)=E33)))),MD!$A$3,MD!$A$2)))</f>
        <v>Mandatory test for a mandatory feature</v>
      </c>
      <c r="E33" t="str">
        <f>IF('HIDDEN import'!F32=0,"",'HIDDEN import'!F32)</f>
        <v>NOT C-09.5 and NOT Product Subtype "Mode 1/2-only Charging Station"</v>
      </c>
      <c r="F33" t="str">
        <f>IF('HIDDEN import'!G32=0,"",'HIDDEN import'!G32)</f>
        <v>Start transaction options - EnergyTransfer</v>
      </c>
      <c r="G33" s="39" t="str">
        <f>IFERROR(VLOOKUP($A33,'HIDDEN Testrun Results'!$A:$B,2,FALSE),"")</f>
        <v/>
      </c>
      <c r="H33" s="39" t="b">
        <f t="shared" si="0"/>
        <v>1</v>
      </c>
      <c r="I33" s="39" t="b">
        <f>IF(VLOOKUP(A33&amp;" "&amp;B33,'HIDDEN import'!A:G,5,FALSE)="M",TRUE,IFERROR(VLOOKUP(E33,'Optional features'!B:E,3,FALSE)="Yes",IFERROR(VLOOKUP(E33,'HIDDEN calc sheet'!A:B,2,FALSE),VLOOKUP(E33,'Additional questions'!B:D,3,FALSE)="Yes")))</f>
        <v>1</v>
      </c>
      <c r="J33" t="b">
        <f>IF(VLOOKUP(B33,'Profile selection'!B:C,2,FALSE)="Yes",TRUE,FALSE)</f>
        <v>1</v>
      </c>
      <c r="K33" s="17" t="b">
        <f>IF(AND(D33=MD!$A$1,M33),TRUE,(IF(AND(D33=MD!$A$3,M33),(IF(L33=TRUE,TRUE,FALSE)),(IF(AND(D33=MD!$A$2,M33),(IF(N33=TRUE,TRUE,FALSE)),FALSE)))))</f>
        <v>1</v>
      </c>
      <c r="M33" t="b">
        <f>IF(VLOOKUP(B33,'Profile selection'!B:C,2,FALSE)="Yes",TRUE,FALSE)</f>
        <v>1</v>
      </c>
    </row>
    <row r="34" spans="1:13" x14ac:dyDescent="0.25">
      <c r="A34" t="str">
        <f>'HIDDEN import'!B33</f>
        <v>TC_C_39_CSMS</v>
      </c>
      <c r="B34" t="str">
        <f>'HIDDEN import'!C33</f>
        <v>Core</v>
      </c>
      <c r="C34" t="str">
        <f>'HIDDEN import'!D33</f>
        <v>Authorization by GroupId - Success</v>
      </c>
      <c r="D34" t="str">
        <f>IF(VLOOKUP(A34&amp;" "&amp;B34,'HIDDEN import'!A:G,5,FALSE)="M",MD!$A$1,(IF(AND(VLOOKUP(A34,'HIDDEN import'!B:E,4,FALSE)="C",OR(NOT(ISERROR(VLOOKUP(E34,'Optional features'!B:E,1,FALSE)=E34)),NOT(ISERROR(VLOOKUP(E34,'HIDDEN calc sheet'!A:C,1,FALSE)=E34)))),MD!$A$3,MD!$A$2)))</f>
        <v>Mandatory test for a mandatory feature</v>
      </c>
      <c r="E34" t="str">
        <f>IF('HIDDEN import'!F33=0,"",'HIDDEN import'!F33)</f>
        <v>(C-30 and C-70) or (C-31 and C-71) or (C-32 and C-72)</v>
      </c>
      <c r="F34" t="str">
        <f>IF('HIDDEN import'!G33=0,"",'HIDDEN import'!G33)</f>
        <v>Local Authorization - using RFID ISO14443 / RFID ISO15693 / KeyCode</v>
      </c>
      <c r="G34" s="39" t="str">
        <f>IFERROR(VLOOKUP($A34,'HIDDEN Testrun Results'!$A:$B,2,FALSE),"")</f>
        <v/>
      </c>
      <c r="H34" s="39" t="b">
        <f t="shared" si="0"/>
        <v>1</v>
      </c>
      <c r="I34" s="39" t="b">
        <f>IF(VLOOKUP(A34&amp;" "&amp;B34,'HIDDEN import'!A:G,5,FALSE)="M",TRUE,IFERROR(VLOOKUP(E34,'Optional features'!B:E,3,FALSE)="Yes",IFERROR(VLOOKUP(E34,'HIDDEN calc sheet'!A:B,2,FALSE),VLOOKUP(E34,'Additional questions'!B:D,3,FALSE)="Yes")))</f>
        <v>1</v>
      </c>
      <c r="J34" t="b">
        <f>IF(VLOOKUP(B34,'Profile selection'!B:C,2,FALSE)="Yes",TRUE,FALSE)</f>
        <v>1</v>
      </c>
      <c r="K34" s="17" t="b">
        <f>IF(AND(D34=MD!$A$1,M34),TRUE,(IF(AND(D34=MD!$A$3,M34),(IF(L34=TRUE,TRUE,FALSE)),(IF(AND(D34=MD!$A$2,M34),(IF(N34=TRUE,TRUE,FALSE)),FALSE)))))</f>
        <v>1</v>
      </c>
      <c r="M34" t="b">
        <f>IF(VLOOKUP(B34,'Profile selection'!B:C,2,FALSE)="Yes",TRUE,FALSE)</f>
        <v>1</v>
      </c>
    </row>
    <row r="35" spans="1:13" x14ac:dyDescent="0.25">
      <c r="A35" t="str">
        <f>'HIDDEN import'!B34</f>
        <v>TC_C_47_CSMS</v>
      </c>
      <c r="B35" t="str">
        <f>'HIDDEN import'!C34</f>
        <v>Core</v>
      </c>
      <c r="C35" t="str">
        <f>'HIDDEN import'!D34</f>
        <v>Stop Transaction with a Master Pass - With UI - All transactions</v>
      </c>
      <c r="D35" t="str">
        <f>IF(VLOOKUP(A35&amp;" "&amp;B35,'HIDDEN import'!A:G,5,FALSE)="M",MD!$A$1,(IF(AND(VLOOKUP(A35,'HIDDEN import'!B:E,4,FALSE)="C",OR(NOT(ISERROR(VLOOKUP(E35,'Optional features'!B:E,1,FALSE)=E35)),NOT(ISERROR(VLOOKUP(E35,'HIDDEN calc sheet'!A:C,1,FALSE)=E35)))),MD!$A$3,MD!$A$2)))</f>
        <v>Mandatory test for a mandatory feature</v>
      </c>
      <c r="E35" t="str">
        <f>IF('HIDDEN import'!F34=0,"",'HIDDEN import'!F34)</f>
        <v>C-07 and (C-70 or C-71 or C-72)</v>
      </c>
      <c r="F35" t="str">
        <f>IF('HIDDEN import'!G34=0,"",'HIDDEN import'!G34)</f>
        <v>Master Pass - With UI</v>
      </c>
      <c r="G35" s="39" t="str">
        <f>IFERROR(VLOOKUP($A35,'HIDDEN Testrun Results'!$A:$B,2,FALSE),"")</f>
        <v/>
      </c>
      <c r="H35" s="39" t="b">
        <f t="shared" si="0"/>
        <v>1</v>
      </c>
      <c r="I35" s="39" t="b">
        <f>IF(VLOOKUP(A35&amp;" "&amp;B35,'HIDDEN import'!A:G,5,FALSE)="M",TRUE,IFERROR(VLOOKUP(E35,'Optional features'!B:E,3,FALSE)="Yes",IFERROR(VLOOKUP(E35,'HIDDEN calc sheet'!A:B,2,FALSE),VLOOKUP(E35,'Additional questions'!B:D,3,FALSE)="Yes")))</f>
        <v>1</v>
      </c>
      <c r="J35" t="b">
        <f>IF(VLOOKUP(B35,'Profile selection'!B:C,2,FALSE)="Yes",TRUE,FALSE)</f>
        <v>1</v>
      </c>
      <c r="K35" s="17" t="b">
        <f>IF(AND(D35=MD!$A$1,M35),TRUE,(IF(AND(D35=MD!$A$3,M35),(IF(L35=TRUE,TRUE,FALSE)),(IF(AND(D35=MD!$A$2,M35),(IF(N35=TRUE,TRUE,FALSE)),FALSE)))))</f>
        <v>1</v>
      </c>
      <c r="M35" t="b">
        <f>IF(VLOOKUP(B35,'Profile selection'!B:C,2,FALSE)="Yes",TRUE,FALSE)</f>
        <v>1</v>
      </c>
    </row>
    <row r="36" spans="1:13" x14ac:dyDescent="0.25">
      <c r="A36" t="str">
        <f>'HIDDEN import'!B35</f>
        <v>TC_C_48_CSMS</v>
      </c>
      <c r="B36" t="str">
        <f>'HIDDEN import'!C35</f>
        <v>Core</v>
      </c>
      <c r="C36" t="str">
        <f>'HIDDEN import'!D35</f>
        <v>Stop Transaction with a Master Pass - With UI - With UI - Specific transactions</v>
      </c>
      <c r="D36" t="str">
        <f>IF(VLOOKUP(A36&amp;" "&amp;B36,'HIDDEN import'!A:G,5,FALSE)="M",MD!$A$1,(IF(AND(VLOOKUP(A36,'HIDDEN import'!B:E,4,FALSE)="C",OR(NOT(ISERROR(VLOOKUP(E36,'Optional features'!B:E,1,FALSE)=E36)),NOT(ISERROR(VLOOKUP(E36,'HIDDEN calc sheet'!A:C,1,FALSE)=E36)))),MD!$A$3,MD!$A$2)))</f>
        <v>Mandatory test for a mandatory feature</v>
      </c>
      <c r="E36" t="str">
        <f>IF('HIDDEN import'!F35=0,"",'HIDDEN import'!F35)</f>
        <v>C-07 and (C-70 or C-71 or C-72)</v>
      </c>
      <c r="F36" t="str">
        <f>IF('HIDDEN import'!G35=0,"",'HIDDEN import'!G35)</f>
        <v>Master Pass - With UI</v>
      </c>
      <c r="G36" s="39" t="str">
        <f>IFERROR(VLOOKUP($A36,'HIDDEN Testrun Results'!$A:$B,2,FALSE),"")</f>
        <v/>
      </c>
      <c r="H36" s="39" t="b">
        <f t="shared" si="0"/>
        <v>1</v>
      </c>
      <c r="I36" s="39" t="b">
        <f>IF(VLOOKUP(A36&amp;" "&amp;B36,'HIDDEN import'!A:G,5,FALSE)="M",TRUE,IFERROR(VLOOKUP(E36,'Optional features'!B:E,3,FALSE)="Yes",IFERROR(VLOOKUP(E36,'HIDDEN calc sheet'!A:B,2,FALSE),VLOOKUP(E36,'Additional questions'!B:D,3,FALSE)="Yes")))</f>
        <v>1</v>
      </c>
      <c r="J36" t="b">
        <f>IF(VLOOKUP(B36,'Profile selection'!B:C,2,FALSE)="Yes",TRUE,FALSE)</f>
        <v>1</v>
      </c>
      <c r="K36" s="17" t="b">
        <f>IF(AND(D36=MD!$A$1,M36),TRUE,(IF(AND(D36=MD!$A$3,M36),(IF(L36=TRUE,TRUE,FALSE)),(IF(AND(D36=MD!$A$2,M36),(IF(N36=TRUE,TRUE,FALSE)),FALSE)))))</f>
        <v>1</v>
      </c>
      <c r="M36" t="b">
        <f>IF(VLOOKUP(B36,'Profile selection'!B:C,2,FALSE)="Yes",TRUE,FALSE)</f>
        <v>1</v>
      </c>
    </row>
    <row r="37" spans="1:13" x14ac:dyDescent="0.25">
      <c r="A37" t="str">
        <f>'HIDDEN import'!B36</f>
        <v>TC_C_49_CSMS</v>
      </c>
      <c r="B37" t="str">
        <f>'HIDDEN import'!C36</f>
        <v>Core</v>
      </c>
      <c r="C37" t="str">
        <f>'HIDDEN import'!D36</f>
        <v>Stop Transaction with a Master Pass - Without UI</v>
      </c>
      <c r="D37" t="str">
        <f>IF(VLOOKUP(A37&amp;" "&amp;B37,'HIDDEN import'!A:G,5,FALSE)="M",MD!$A$1,(IF(AND(VLOOKUP(A37,'HIDDEN import'!B:E,4,FALSE)="C",OR(NOT(ISERROR(VLOOKUP(E37,'Optional features'!B:E,1,FALSE)=E37)),NOT(ISERROR(VLOOKUP(E37,'HIDDEN calc sheet'!A:C,1,FALSE)=E37)))),MD!$A$3,MD!$A$2)))</f>
        <v>Mandatory test for a mandatory feature</v>
      </c>
      <c r="E37" t="str">
        <f>IF('HIDDEN import'!F36=0,"",'HIDDEN import'!F36)</f>
        <v>C-08 and (C-70 or C-71 or C-72)</v>
      </c>
      <c r="F37" t="str">
        <f>IF('HIDDEN import'!G36=0,"",'HIDDEN import'!G36)</f>
        <v>Master Pass - Without UI</v>
      </c>
      <c r="G37" s="39" t="str">
        <f>IFERROR(VLOOKUP($A37,'HIDDEN Testrun Results'!$A:$B,2,FALSE),"")</f>
        <v/>
      </c>
      <c r="H37" s="39" t="b">
        <f t="shared" si="0"/>
        <v>1</v>
      </c>
      <c r="I37" s="39" t="b">
        <f>IF(VLOOKUP(A37&amp;" "&amp;B37,'HIDDEN import'!A:G,5,FALSE)="M",TRUE,IFERROR(VLOOKUP(E37,'Optional features'!B:E,3,FALSE)="Yes",IFERROR(VLOOKUP(E37,'HIDDEN calc sheet'!A:B,2,FALSE),VLOOKUP(E37,'Additional questions'!B:D,3,FALSE)="Yes")))</f>
        <v>1</v>
      </c>
      <c r="J37" t="b">
        <f>IF(VLOOKUP(B37,'Profile selection'!B:C,2,FALSE)="Yes",TRUE,FALSE)</f>
        <v>1</v>
      </c>
      <c r="K37" s="17" t="b">
        <f>IF(AND(D37=MD!$A$1,M37),TRUE,(IF(AND(D37=MD!$A$3,M37),(IF(L37=TRUE,TRUE,FALSE)),(IF(AND(D37=MD!$A$2,M37),(IF(N37=TRUE,TRUE,FALSE)),FALSE)))))</f>
        <v>1</v>
      </c>
      <c r="M37" t="b">
        <f>IF(VLOOKUP(B37,'Profile selection'!B:C,2,FALSE)="Yes",TRUE,FALSE)</f>
        <v>1</v>
      </c>
    </row>
    <row r="38" spans="1:13" x14ac:dyDescent="0.25">
      <c r="A38" t="str">
        <f>'HIDDEN import'!B37</f>
        <v>TC_C_37_CSMS</v>
      </c>
      <c r="B38" t="str">
        <f>'HIDDEN import'!C37</f>
        <v>Core</v>
      </c>
      <c r="C38" t="str">
        <f>'HIDDEN import'!D37</f>
        <v>Clear Authorization Data in Authorization Cache - Accepted</v>
      </c>
      <c r="D38" t="str">
        <f>IF(VLOOKUP(A38&amp;" "&amp;B38,'HIDDEN import'!A:G,5,FALSE)="M",MD!$A$1,(IF(AND(VLOOKUP(A38,'HIDDEN import'!B:E,4,FALSE)="C",OR(NOT(ISERROR(VLOOKUP(E38,'Optional features'!B:E,1,FALSE)=E38)),NOT(ISERROR(VLOOKUP(E38,'HIDDEN calc sheet'!A:C,1,FALSE)=E38)))),MD!$A$3,MD!$A$2)))</f>
        <v>Mandatory test for a mandatory feature</v>
      </c>
      <c r="E38" t="str">
        <f>IF('HIDDEN import'!F37=0,"",'HIDDEN import'!F37)</f>
        <v>C-49 and (((C-30 and C-70) or (C-31 and C-71) or (C-32 and C-72)) or (C-36 or C-37))</v>
      </c>
      <c r="F38" t="str">
        <f>IF('HIDDEN import'!G37=0,"",'HIDDEN import'!G37)</f>
        <v>Authorization Cache</v>
      </c>
      <c r="G38" s="39" t="str">
        <f>IFERROR(VLOOKUP($A38,'HIDDEN Testrun Results'!$A:$B,2,FALSE),"")</f>
        <v/>
      </c>
      <c r="H38" s="39" t="b">
        <f t="shared" si="0"/>
        <v>1</v>
      </c>
      <c r="I38" s="39" t="b">
        <f>IF(VLOOKUP(A38&amp;" "&amp;B38,'HIDDEN import'!A:G,5,FALSE)="M",TRUE,IFERROR(VLOOKUP(E38,'Optional features'!B:E,3,FALSE)="Yes",IFERROR(VLOOKUP(E38,'HIDDEN calc sheet'!A:B,2,FALSE),VLOOKUP(E38,'Additional questions'!B:D,3,FALSE)="Yes")))</f>
        <v>1</v>
      </c>
      <c r="J38" t="b">
        <f>IF(VLOOKUP(B38,'Profile selection'!B:C,2,FALSE)="Yes",TRUE,FALSE)</f>
        <v>1</v>
      </c>
      <c r="K38" s="17" t="b">
        <f>IF(AND(D38=MD!$A$1,M38),TRUE,(IF(AND(D38=MD!$A$3,M38),(IF(L38=TRUE,TRUE,FALSE)),(IF(AND(D38=MD!$A$2,M38),(IF(N38=TRUE,TRUE,FALSE)),FALSE)))))</f>
        <v>1</v>
      </c>
      <c r="M38" t="b">
        <f>IF(VLOOKUP(B38,'Profile selection'!B:C,2,FALSE)="Yes",TRUE,FALSE)</f>
        <v>1</v>
      </c>
    </row>
    <row r="39" spans="1:13" x14ac:dyDescent="0.25">
      <c r="A39" t="str">
        <f>'HIDDEN import'!B38</f>
        <v>TC_C_38_CSMS</v>
      </c>
      <c r="B39" t="str">
        <f>'HIDDEN import'!C38</f>
        <v>Core</v>
      </c>
      <c r="C39" t="str">
        <f>'HIDDEN import'!D38</f>
        <v>Clear Authorization Data in Authorization Cache - Rejected</v>
      </c>
      <c r="D39" t="str">
        <f>IF(VLOOKUP(A39&amp;" "&amp;B39,'HIDDEN import'!A:G,5,FALSE)="M",MD!$A$1,(IF(AND(VLOOKUP(A39,'HIDDEN import'!B:E,4,FALSE)="C",OR(NOT(ISERROR(VLOOKUP(E39,'Optional features'!B:E,1,FALSE)=E39)),NOT(ISERROR(VLOOKUP(E39,'HIDDEN calc sheet'!A:C,1,FALSE)=E39)))),MD!$A$3,MD!$A$2)))</f>
        <v>Mandatory test for a mandatory feature</v>
      </c>
      <c r="E39" t="str">
        <f>IF('HIDDEN import'!F38=0,"",'HIDDEN import'!F38)</f>
        <v>C-49 and (((C-30 and C-70) or (C-31 and C-71) or (C-32 and C-72)) or (C-36 or C-37))</v>
      </c>
      <c r="F39" t="str">
        <f>IF('HIDDEN import'!G38=0,"",'HIDDEN import'!G38)</f>
        <v>Authorization Cache</v>
      </c>
      <c r="G39" s="39" t="str">
        <f>IFERROR(VLOOKUP($A39,'HIDDEN Testrun Results'!$A:$B,2,FALSE),"")</f>
        <v/>
      </c>
      <c r="H39" s="39" t="b">
        <f t="shared" si="0"/>
        <v>1</v>
      </c>
      <c r="I39" s="39" t="b">
        <f>IF(VLOOKUP(A39&amp;" "&amp;B39,'HIDDEN import'!A:G,5,FALSE)="M",TRUE,IFERROR(VLOOKUP(E39,'Optional features'!B:E,3,FALSE)="Yes",IFERROR(VLOOKUP(E39,'HIDDEN calc sheet'!A:B,2,FALSE),VLOOKUP(E39,'Additional questions'!B:D,3,FALSE)="Yes")))</f>
        <v>1</v>
      </c>
      <c r="J39" t="b">
        <f>IF(VLOOKUP(B39,'Profile selection'!B:C,2,FALSE)="Yes",TRUE,FALSE)</f>
        <v>1</v>
      </c>
      <c r="K39" s="17" t="b">
        <f>IF(AND(D39=MD!$A$1,M39),TRUE,(IF(AND(D39=MD!$A$3,M39),(IF(L39=TRUE,TRUE,FALSE)),(IF(AND(D39=MD!$A$2,M39),(IF(N39=TRUE,TRUE,FALSE)),FALSE)))))</f>
        <v>1</v>
      </c>
      <c r="M39" t="b">
        <f>IF(VLOOKUP(B39,'Profile selection'!B:C,2,FALSE)="Yes",TRUE,FALSE)</f>
        <v>1</v>
      </c>
    </row>
    <row r="40" spans="1:13" x14ac:dyDescent="0.25">
      <c r="A40" t="str">
        <f>'HIDDEN import'!B39</f>
        <v>TC_C_08_CSMS</v>
      </c>
      <c r="B40" t="str">
        <f>'HIDDEN import'!C39</f>
        <v>Core</v>
      </c>
      <c r="C40" t="str">
        <f>'HIDDEN import'!D39</f>
        <v>Authorization through authorization cache - Accepted</v>
      </c>
      <c r="D40" t="str">
        <f>IF(VLOOKUP(A40&amp;" "&amp;B40,'HIDDEN import'!A:G,5,FALSE)="M",MD!$A$1,(IF(AND(VLOOKUP(A40,'HIDDEN import'!B:E,4,FALSE)="C",OR(NOT(ISERROR(VLOOKUP(E40,'Optional features'!B:E,1,FALSE)=E40)),NOT(ISERROR(VLOOKUP(E40,'HIDDEN calc sheet'!A:C,1,FALSE)=E40)))),MD!$A$3,MD!$A$2)))</f>
        <v>Mandatory test for a mandatory feature</v>
      </c>
      <c r="E40" t="str">
        <f>IF('HIDDEN import'!F39=0,"",'HIDDEN import'!F39)</f>
        <v>C-49 and (((C-30 and C-70) or (C-31 and C-71) or (C-32 and C-72)) or (C-36 or C-37))</v>
      </c>
      <c r="F40" t="str">
        <f>IF('HIDDEN import'!G39=0,"",'HIDDEN import'!G39)</f>
        <v>Authorization Cache</v>
      </c>
      <c r="G40" s="39" t="str">
        <f>IFERROR(VLOOKUP($A40,'HIDDEN Testrun Results'!$A:$B,2,FALSE),"")</f>
        <v/>
      </c>
      <c r="H40" s="39" t="b">
        <f t="shared" si="0"/>
        <v>1</v>
      </c>
      <c r="I40" s="39" t="b">
        <f>IF(VLOOKUP(A40&amp;" "&amp;B40,'HIDDEN import'!A:G,5,FALSE)="M",TRUE,IFERROR(VLOOKUP(E40,'Optional features'!B:E,3,FALSE)="Yes",IFERROR(VLOOKUP(E40,'HIDDEN calc sheet'!A:B,2,FALSE),VLOOKUP(E40,'Additional questions'!B:D,3,FALSE)="Yes")))</f>
        <v>1</v>
      </c>
      <c r="J40" t="b">
        <f>IF(VLOOKUP(B40,'Profile selection'!B:C,2,FALSE)="Yes",TRUE,FALSE)</f>
        <v>1</v>
      </c>
      <c r="K40" s="17" t="b">
        <f>IF(AND(D40=MD!$A$1,M40),TRUE,(IF(AND(D40=MD!$A$3,M40),(IF(L40=TRUE,TRUE,FALSE)),(IF(AND(D40=MD!$A$2,M40),(IF(N40=TRUE,TRUE,FALSE)),FALSE)))))</f>
        <v>1</v>
      </c>
      <c r="M40" t="b">
        <f>IF(VLOOKUP(B40,'Profile selection'!B:C,2,FALSE)="Yes",TRUE,FALSE)</f>
        <v>1</v>
      </c>
    </row>
    <row r="41" spans="1:13" x14ac:dyDescent="0.25">
      <c r="A41" t="str">
        <f>'HIDDEN import'!B40</f>
        <v>TC_C_20_CSMS</v>
      </c>
      <c r="B41" t="str">
        <f>'HIDDEN import'!C40</f>
        <v>Core</v>
      </c>
      <c r="C41" t="str">
        <f>'HIDDEN import'!D40</f>
        <v>Authorization through authorization cache - Invalid</v>
      </c>
      <c r="D41" t="str">
        <f>IF(VLOOKUP(A41&amp;" "&amp;B41,'HIDDEN import'!A:G,5,FALSE)="M",MD!$A$1,(IF(AND(VLOOKUP(A41,'HIDDEN import'!B:E,4,FALSE)="C",OR(NOT(ISERROR(VLOOKUP(E41,'Optional features'!B:E,1,FALSE)=E41)),NOT(ISERROR(VLOOKUP(E41,'HIDDEN calc sheet'!A:C,1,FALSE)=E41)))),MD!$A$3,MD!$A$2)))</f>
        <v>Mandatory test for a mandatory feature</v>
      </c>
      <c r="E41" t="str">
        <f>IF('HIDDEN import'!F40=0,"",'HIDDEN import'!F40)</f>
        <v/>
      </c>
      <c r="F41" t="str">
        <f>IF('HIDDEN import'!G40=0,"",'HIDDEN import'!G40)</f>
        <v/>
      </c>
      <c r="G41" s="39" t="str">
        <f>IFERROR(VLOOKUP($A41,'HIDDEN Testrun Results'!$A:$B,2,FALSE),"")</f>
        <v/>
      </c>
      <c r="H41" s="39" t="b">
        <f t="shared" si="0"/>
        <v>1</v>
      </c>
      <c r="I41" s="39" t="b">
        <f>IF(VLOOKUP(A41&amp;" "&amp;B41,'HIDDEN import'!A:G,5,FALSE)="M",TRUE,IFERROR(VLOOKUP(E41,'Optional features'!B:E,3,FALSE)="Yes",IFERROR(VLOOKUP(E41,'HIDDEN calc sheet'!A:B,2,FALSE),VLOOKUP(E41,'Additional questions'!B:D,3,FALSE)="Yes")))</f>
        <v>1</v>
      </c>
      <c r="J41" t="b">
        <f>IF(VLOOKUP(B41,'Profile selection'!B:C,2,FALSE)="Yes",TRUE,FALSE)</f>
        <v>1</v>
      </c>
      <c r="K41" s="17" t="b">
        <f>IF(AND(D41=MD!$A$1,M41),TRUE,(IF(AND(D41=MD!$A$3,M41),(IF(L41=TRUE,TRUE,FALSE)),(IF(AND(D41=MD!$A$2,M41),(IF(N41=TRUE,TRUE,FALSE)),FALSE)))))</f>
        <v>1</v>
      </c>
      <c r="M41" t="b">
        <f>IF(VLOOKUP(B41,'Profile selection'!B:C,2,FALSE)="Yes",TRUE,FALSE)</f>
        <v>1</v>
      </c>
    </row>
    <row r="42" spans="1:13" x14ac:dyDescent="0.25">
      <c r="A42" t="str">
        <f>'HIDDEN import'!B41</f>
        <v>TC_E_03_CSMS</v>
      </c>
      <c r="B42" t="str">
        <f>'HIDDEN import'!C41</f>
        <v>Core</v>
      </c>
      <c r="C42" t="str">
        <f>'HIDDEN import'!D41</f>
        <v>Local start transaction - Cable plugin first - Success</v>
      </c>
      <c r="D42" t="str">
        <f>IF(VLOOKUP(A42&amp;" "&amp;B42,'HIDDEN import'!A:G,5,FALSE)="M",MD!$A$1,(IF(AND(VLOOKUP(A42,'HIDDEN import'!B:E,4,FALSE)="C",OR(NOT(ISERROR(VLOOKUP(E42,'Optional features'!B:E,1,FALSE)=E42)),NOT(ISERROR(VLOOKUP(E42,'HIDDEN calc sheet'!A:C,1,FALSE)=E42)))),MD!$A$3,MD!$A$2)))</f>
        <v>Mandatory test for a mandatory feature</v>
      </c>
      <c r="E42" t="str">
        <f>IF('HIDDEN import'!F41=0,"",'HIDDEN import'!F41)</f>
        <v>NOT AQ-2 and (C-30 or C-31 or C-32 or C-33 or C-34 or C-35 or ISO 15118 support)</v>
      </c>
      <c r="F42" t="str">
        <f>IF('HIDDEN import'!G41=0,"",'HIDDEN import'!G41)</f>
        <v>Authorization options for local start</v>
      </c>
      <c r="G42" s="39" t="str">
        <f>IFERROR(VLOOKUP($A42,'HIDDEN Testrun Results'!$A:$B,2,FALSE),"")</f>
        <v/>
      </c>
      <c r="H42" s="39" t="b">
        <f t="shared" si="0"/>
        <v>1</v>
      </c>
      <c r="I42" s="39" t="b">
        <f>IF(VLOOKUP(A42&amp;" "&amp;B42,'HIDDEN import'!A:G,5,FALSE)="M",TRUE,IFERROR(VLOOKUP(E42,'Optional features'!B:E,3,FALSE)="Yes",IFERROR(VLOOKUP(E42,'HIDDEN calc sheet'!A:B,2,FALSE),VLOOKUP(E42,'Additional questions'!B:D,3,FALSE)="Yes")))</f>
        <v>1</v>
      </c>
      <c r="J42" t="b">
        <f>IF(VLOOKUP(B42,'Profile selection'!B:C,2,FALSE)="Yes",TRUE,FALSE)</f>
        <v>1</v>
      </c>
      <c r="K42" s="17" t="b">
        <f>IF(AND(D42=MD!$A$1,M42),TRUE,(IF(AND(D42=MD!$A$3,M42),(IF(L42=TRUE,TRUE,FALSE)),(IF(AND(D42=MD!$A$2,M42),(IF(N42=TRUE,TRUE,FALSE)),FALSE)))))</f>
        <v>1</v>
      </c>
      <c r="L42" t="b">
        <f>IF(ISNA(VLOOKUP(E42,'Optional features'!B:D,3,FALSE)),FALSE,IF(VLOOKUP(E42,'Optional features'!B:D,3,FALSE)="Yes",TRUE,FALSE))</f>
        <v>0</v>
      </c>
      <c r="M42" t="b">
        <f>IF(VLOOKUP(B42,'Profile selection'!B:C,2,FALSE)="Yes",TRUE,FALSE)</f>
        <v>1</v>
      </c>
    </row>
    <row r="43" spans="1:13" x14ac:dyDescent="0.25">
      <c r="A43" t="str">
        <f>'HIDDEN import'!B42</f>
        <v>TC_E_04_CSMS</v>
      </c>
      <c r="B43" t="str">
        <f>'HIDDEN import'!C42</f>
        <v>Core</v>
      </c>
      <c r="C43" t="str">
        <f>'HIDDEN import'!D42</f>
        <v>Local start transaction - Authorization first - Success</v>
      </c>
      <c r="D43" t="str">
        <f>IF(VLOOKUP(A43&amp;" "&amp;B43,'HIDDEN import'!A:G,5,FALSE)="M",MD!$A$1,(IF(AND(VLOOKUP(A43,'HIDDEN import'!B:E,4,FALSE)="C",OR(NOT(ISERROR(VLOOKUP(E43,'Optional features'!B:E,1,FALSE)=E43)),NOT(ISERROR(VLOOKUP(E43,'HIDDEN calc sheet'!A:C,1,FALSE)=E43)))),MD!$A$3,MD!$A$2)))</f>
        <v>Mandatory test for a mandatory feature</v>
      </c>
      <c r="E43" t="str">
        <f>IF('HIDDEN import'!F42=0,"",'HIDDEN import'!F42)</f>
        <v>C-30 or C-31 or C-32 or C-33 or C-35</v>
      </c>
      <c r="F43" t="str">
        <f>IF('HIDDEN import'!G42=0,"",'HIDDEN import'!G42)</f>
        <v>Authorization options for local start</v>
      </c>
      <c r="G43" s="39" t="str">
        <f>IFERROR(VLOOKUP($A43,'HIDDEN Testrun Results'!$A:$B,2,FALSE),"")</f>
        <v/>
      </c>
      <c r="H43" s="39" t="b">
        <f t="shared" si="0"/>
        <v>1</v>
      </c>
      <c r="I43" s="39" t="b">
        <f>IF(VLOOKUP(A43&amp;" "&amp;B43,'HIDDEN import'!A:G,5,FALSE)="M",TRUE,IFERROR(VLOOKUP(E43,'Optional features'!B:E,3,FALSE)="Yes",IFERROR(VLOOKUP(E43,'HIDDEN calc sheet'!A:B,2,FALSE),VLOOKUP(E43,'Additional questions'!B:D,3,FALSE)="Yes")))</f>
        <v>1</v>
      </c>
      <c r="J43" t="b">
        <f>IF(VLOOKUP(B43,'Profile selection'!B:C,2,FALSE)="Yes",TRUE,FALSE)</f>
        <v>1</v>
      </c>
      <c r="K43" s="17" t="b">
        <f>IF(AND(D43=MD!$A$1,M43),TRUE,(IF(AND(D43=MD!$A$3,M43),(IF(L43=TRUE,TRUE,FALSE)),(IF(AND(D43=MD!$A$2,M43),(IF(N43=TRUE,TRUE,FALSE)),FALSE)))))</f>
        <v>1</v>
      </c>
      <c r="M43" t="b">
        <f>IF(VLOOKUP(B43,'Profile selection'!B:C,2,FALSE)="Yes",TRUE,FALSE)</f>
        <v>1</v>
      </c>
    </row>
    <row r="44" spans="1:13" x14ac:dyDescent="0.25">
      <c r="A44" t="str">
        <f>'HIDDEN import'!B43</f>
        <v>TC_E_09_CSMS</v>
      </c>
      <c r="B44" t="str">
        <f>'HIDDEN import'!C43</f>
        <v>Core</v>
      </c>
      <c r="C44" t="str">
        <f>'HIDDEN import'!D43</f>
        <v>Start transaction options - EVConnected</v>
      </c>
      <c r="D44" t="str">
        <f>IF(VLOOKUP(A44&amp;" "&amp;B44,'HIDDEN import'!A:G,5,FALSE)="M",MD!$A$1,(IF(AND(VLOOKUP(A44,'HIDDEN import'!B:E,4,FALSE)="C",OR(NOT(ISERROR(VLOOKUP(E44,'Optional features'!B:E,1,FALSE)=E44)),NOT(ISERROR(VLOOKUP(E44,'HIDDEN calc sheet'!A:C,1,FALSE)=E44)))),MD!$A$3,MD!$A$2)))</f>
        <v>Mandatory test for a mandatory feature</v>
      </c>
      <c r="E44" t="str">
        <f>IF('HIDDEN import'!F43=0,"",'HIDDEN import'!F43)</f>
        <v>(C-09.1 and (C-51 or NOT C-09.6)) and NOT AQ-2</v>
      </c>
      <c r="F44" t="str">
        <f>IF('HIDDEN import'!G43=0,"",'HIDDEN import'!G43)</f>
        <v/>
      </c>
      <c r="G44" s="39" t="str">
        <f>IFERROR(VLOOKUP($A44,'HIDDEN Testrun Results'!$A:$B,2,FALSE),"")</f>
        <v/>
      </c>
      <c r="H44" s="39" t="b">
        <f t="shared" si="0"/>
        <v>1</v>
      </c>
      <c r="I44" s="39" t="b">
        <f>IF(VLOOKUP(A44&amp;" "&amp;B44,'HIDDEN import'!A:G,5,FALSE)="M",TRUE,IFERROR(VLOOKUP(E44,'Optional features'!B:E,3,FALSE)="Yes",IFERROR(VLOOKUP(E44,'HIDDEN calc sheet'!A:B,2,FALSE),VLOOKUP(E44,'Additional questions'!B:D,3,FALSE)="Yes")))</f>
        <v>1</v>
      </c>
      <c r="J44" t="b">
        <f>IF(VLOOKUP(B44,'Profile selection'!B:C,2,FALSE)="Yes",TRUE,FALSE)</f>
        <v>1</v>
      </c>
      <c r="K44" s="17" t="b">
        <f>IF(AND(D44=MD!$A$1,M44),TRUE,(IF(AND(D44=MD!$A$3,M44),(IF(L44=TRUE,TRUE,FALSE)),(IF(AND(D44=MD!$A$2,M44),(IF(N44=TRUE,TRUE,FALSE)),FALSE)))))</f>
        <v>1</v>
      </c>
      <c r="M44" t="b">
        <f>IF(VLOOKUP(B44,'Profile selection'!B:C,2,FALSE)="Yes",TRUE,FALSE)</f>
        <v>1</v>
      </c>
    </row>
    <row r="45" spans="1:13" x14ac:dyDescent="0.25">
      <c r="A45" t="str">
        <f>'HIDDEN import'!B44</f>
        <v>TC_E_10_CSMS</v>
      </c>
      <c r="B45" t="str">
        <f>'HIDDEN import'!C44</f>
        <v>Core</v>
      </c>
      <c r="C45" t="str">
        <f>'HIDDEN import'!D44</f>
        <v>Start transaction options - Authorized - Local</v>
      </c>
      <c r="D45" t="str">
        <f>IF(VLOOKUP(A45&amp;" "&amp;B45,'HIDDEN import'!A:G,5,FALSE)="M",MD!$A$1,(IF(AND(VLOOKUP(A45,'HIDDEN import'!B:E,4,FALSE)="C",OR(NOT(ISERROR(VLOOKUP(E45,'Optional features'!B:E,1,FALSE)=E45)),NOT(ISERROR(VLOOKUP(E45,'HIDDEN calc sheet'!A:C,1,FALSE)=E45)))),MD!$A$3,MD!$A$2)))</f>
        <v>Mandatory test for a mandatory feature</v>
      </c>
      <c r="E45" t="str">
        <f>IF('HIDDEN import'!F44=0,"",'HIDDEN import'!F44)</f>
        <v>C-09.2 and (C-30 or C-31 or C-32 or C-33 or C-34 or C-35 or ISO 15118 support)</v>
      </c>
      <c r="F45" t="str">
        <f>IF('HIDDEN import'!G44=0,"",'HIDDEN import'!G44)</f>
        <v>Supported Transaction Start Points &amp; Authorization options for local start &amp; Authorization - eMAID</v>
      </c>
      <c r="G45" s="39" t="str">
        <f>IFERROR(VLOOKUP($A45,'HIDDEN Testrun Results'!$A:$B,2,FALSE),"")</f>
        <v/>
      </c>
      <c r="H45" s="39" t="b">
        <f t="shared" si="0"/>
        <v>1</v>
      </c>
      <c r="I45" s="39" t="b">
        <f>IF(VLOOKUP(A45&amp;" "&amp;B45,'HIDDEN import'!A:G,5,FALSE)="M",TRUE,IFERROR(VLOOKUP(E45,'Optional features'!B:E,3,FALSE)="Yes",IFERROR(VLOOKUP(E45,'HIDDEN calc sheet'!A:B,2,FALSE),VLOOKUP(E45,'Additional questions'!B:D,3,FALSE)="Yes")))</f>
        <v>1</v>
      </c>
      <c r="J45" t="b">
        <f>IF(VLOOKUP(B45,'Profile selection'!B:C,2,FALSE)="Yes",TRUE,FALSE)</f>
        <v>1</v>
      </c>
      <c r="K45" s="17" t="b">
        <f>IF(AND(D45=MD!$A$1,M45),TRUE,(IF(AND(D45=MD!$A$3,M45),(IF(L45=TRUE,TRUE,FALSE)),(IF(AND(D45=MD!$A$2,M45),(IF(N45=TRUE,TRUE,FALSE)),FALSE)))))</f>
        <v>1</v>
      </c>
      <c r="M45" t="b">
        <f>IF(VLOOKUP(B45,'Profile selection'!B:C,2,FALSE)="Yes",TRUE,FALSE)</f>
        <v>1</v>
      </c>
    </row>
    <row r="46" spans="1:13" x14ac:dyDescent="0.25">
      <c r="A46" t="str">
        <f>'HIDDEN import'!B45</f>
        <v>TC_E_11_CSMS</v>
      </c>
      <c r="B46" t="str">
        <f>'HIDDEN import'!C45</f>
        <v>Core</v>
      </c>
      <c r="C46" t="str">
        <f>'HIDDEN import'!D45</f>
        <v>Start transaction options - DataSigned</v>
      </c>
      <c r="D46" t="str">
        <f>IF(VLOOKUP(A46&amp;" "&amp;B46,'HIDDEN import'!A:G,5,FALSE)="M",MD!$A$1,(IF(AND(VLOOKUP(A46,'HIDDEN import'!B:E,4,FALSE)="C",OR(NOT(ISERROR(VLOOKUP(E46,'Optional features'!B:E,1,FALSE)=E46)),NOT(ISERROR(VLOOKUP(E46,'HIDDEN calc sheet'!A:C,1,FALSE)=E46)))),MD!$A$3,MD!$A$2)))</f>
        <v>Mandatory test for a mandatory feature</v>
      </c>
      <c r="E46" t="str">
        <f>IF('HIDDEN import'!F45=0,"",'HIDDEN import'!F45)</f>
        <v>C-09.3 and (C-51 or NOT (C-09.1 or C-09.2 or C-09.6))</v>
      </c>
      <c r="F46" t="str">
        <f>IF('HIDDEN import'!G45=0,"",'HIDDEN import'!G45)</f>
        <v>Supported Transaction Start points</v>
      </c>
      <c r="G46" s="39" t="str">
        <f>IFERROR(VLOOKUP($A46,'HIDDEN Testrun Results'!$A:$B,2,FALSE),"")</f>
        <v/>
      </c>
      <c r="H46" s="39" t="b">
        <f t="shared" si="0"/>
        <v>1</v>
      </c>
      <c r="I46" s="39" t="b">
        <f>IF(VLOOKUP(A46&amp;" "&amp;B46,'HIDDEN import'!A:G,5,FALSE)="M",TRUE,IFERROR(VLOOKUP(E46,'Optional features'!B:E,3,FALSE)="Yes",IFERROR(VLOOKUP(E46,'HIDDEN calc sheet'!A:B,2,FALSE),VLOOKUP(E46,'Additional questions'!B:D,3,FALSE)="Yes")))</f>
        <v>1</v>
      </c>
      <c r="J46" t="b">
        <f>IF(VLOOKUP(B46,'Profile selection'!B:C,2,FALSE)="Yes",TRUE,FALSE)</f>
        <v>1</v>
      </c>
      <c r="K46" s="17" t="b">
        <f>IF(AND(D46=MD!$A$1,M46),TRUE,(IF(AND(D46=MD!$A$3,M46),(IF(L46=TRUE,TRUE,FALSE)),(IF(AND(D46=MD!$A$2,M46),(IF(N46=TRUE,TRUE,FALSE)),FALSE)))))</f>
        <v>1</v>
      </c>
      <c r="M46" t="b">
        <f>IF(VLOOKUP(B46,'Profile selection'!B:C,2,FALSE)="Yes",TRUE,FALSE)</f>
        <v>1</v>
      </c>
    </row>
    <row r="47" spans="1:13" x14ac:dyDescent="0.25">
      <c r="A47" t="str">
        <f>'HIDDEN import'!B46</f>
        <v>TC_E_01_CSMS</v>
      </c>
      <c r="B47" t="str">
        <f>'HIDDEN import'!C46</f>
        <v>Core</v>
      </c>
      <c r="C47" t="str">
        <f>'HIDDEN import'!D46</f>
        <v>Start transaction options - PowerPathClosed</v>
      </c>
      <c r="D47" t="str">
        <f>IF(VLOOKUP(A47&amp;" "&amp;B47,'HIDDEN import'!A:G,5,FALSE)="M",MD!$A$1,(IF(AND(VLOOKUP(A47,'HIDDEN import'!B:E,4,FALSE)="C",OR(NOT(ISERROR(VLOOKUP(E47,'Optional features'!B:E,1,FALSE)=E47)),NOT(ISERROR(VLOOKUP(E47,'HIDDEN calc sheet'!A:C,1,FALSE)=E47)))),MD!$A$3,MD!$A$2)))</f>
        <v>Mandatory test for a mandatory feature</v>
      </c>
      <c r="E47" t="str">
        <f>IF('HIDDEN import'!F46=0,"",'HIDDEN import'!F46)</f>
        <v>C-09.4 and (C-51 or NOT (C-09.1 or C-09.2 or C-09.3 or C-09.6))</v>
      </c>
      <c r="F47" t="str">
        <f>IF('HIDDEN import'!G46=0,"",'HIDDEN import'!G46)</f>
        <v>Supported Transaction Start points</v>
      </c>
      <c r="G47" s="39" t="str">
        <f>IFERROR(VLOOKUP($A47,'HIDDEN Testrun Results'!$A:$B,2,FALSE),"")</f>
        <v/>
      </c>
      <c r="H47" s="39" t="b">
        <f t="shared" si="0"/>
        <v>1</v>
      </c>
      <c r="I47" s="39" t="b">
        <f>IF(VLOOKUP(A47&amp;" "&amp;B47,'HIDDEN import'!A:G,5,FALSE)="M",TRUE,IFERROR(VLOOKUP(E47,'Optional features'!B:E,3,FALSE)="Yes",IFERROR(VLOOKUP(E47,'HIDDEN calc sheet'!A:B,2,FALSE),VLOOKUP(E47,'Additional questions'!B:D,3,FALSE)="Yes")))</f>
        <v>1</v>
      </c>
      <c r="J47" t="b">
        <f>IF(VLOOKUP(B47,'Profile selection'!B:C,2,FALSE)="Yes",TRUE,FALSE)</f>
        <v>1</v>
      </c>
      <c r="K47" s="17" t="b">
        <f>IF(AND(D47=MD!$A$1,M47),TRUE,(IF(AND(D47=MD!$A$3,M47),(IF(L47=TRUE,TRUE,FALSE)),(IF(AND(D47=MD!$A$2,M47),(IF(N47=TRUE,TRUE,FALSE)),FALSE)))))</f>
        <v>1</v>
      </c>
      <c r="M47" t="b">
        <f>IF(VLOOKUP(B47,'Profile selection'!B:C,2,FALSE)="Yes",TRUE,FALSE)</f>
        <v>1</v>
      </c>
    </row>
    <row r="48" spans="1:13" x14ac:dyDescent="0.25">
      <c r="A48" t="str">
        <f>'HIDDEN import'!B47</f>
        <v>TC_E_02_CSMS</v>
      </c>
      <c r="B48" t="str">
        <f>'HIDDEN import'!C47</f>
        <v>Core</v>
      </c>
      <c r="C48" t="str">
        <f>'HIDDEN import'!D47</f>
        <v>Start transaction options - EnergyTransfer</v>
      </c>
      <c r="D48" t="str">
        <f>IF(VLOOKUP(A48&amp;" "&amp;B48,'HIDDEN import'!A:G,5,FALSE)="M",MD!$A$1,(IF(AND(VLOOKUP(A48,'HIDDEN import'!B:E,4,FALSE)="C",OR(NOT(ISERROR(VLOOKUP(E48,'Optional features'!B:E,1,FALSE)=E48)),NOT(ISERROR(VLOOKUP(E48,'HIDDEN calc sheet'!A:C,1,FALSE)=E48)))),MD!$A$3,MD!$A$2)))</f>
        <v>Mandatory test for a mandatory feature</v>
      </c>
      <c r="E48" t="str">
        <f>IF('HIDDEN import'!F47=0,"",'HIDDEN import'!F47)</f>
        <v>C-09.5 and (C-51 or NOT (C-09.1 or C-09.2 or C-09.3 or C-09.4 or C-09.6))</v>
      </c>
      <c r="F48" t="str">
        <f>IF('HIDDEN import'!G47=0,"",'HIDDEN import'!G47)</f>
        <v>Supported Transaction Start points</v>
      </c>
      <c r="G48" s="39" t="str">
        <f>IFERROR(VLOOKUP($A48,'HIDDEN Testrun Results'!$A:$B,2,FALSE),"")</f>
        <v/>
      </c>
      <c r="H48" s="39" t="b">
        <f t="shared" si="0"/>
        <v>1</v>
      </c>
      <c r="I48" s="39" t="b">
        <f>IF(VLOOKUP(A48&amp;" "&amp;B48,'HIDDEN import'!A:G,5,FALSE)="M",TRUE,IFERROR(VLOOKUP(E48,'Optional features'!B:E,3,FALSE)="Yes",IFERROR(VLOOKUP(E48,'HIDDEN calc sheet'!A:B,2,FALSE),VLOOKUP(E48,'Additional questions'!B:D,3,FALSE)="Yes")))</f>
        <v>1</v>
      </c>
      <c r="J48" t="b">
        <f>IF(VLOOKUP(B48,'Profile selection'!B:C,2,FALSE)="Yes",TRUE,FALSE)</f>
        <v>1</v>
      </c>
      <c r="K48" s="17" t="b">
        <f>IF(AND(D48=MD!$A$1,M48),TRUE,(IF(AND(D48=MD!$A$3,M48),(IF(L48=TRUE,TRUE,FALSE)),(IF(AND(D48=MD!$A$2,M48),(IF(N48=TRUE,TRUE,FALSE)),FALSE)))))</f>
        <v>1</v>
      </c>
      <c r="M48" t="b">
        <f>IF(VLOOKUP(B48,'Profile selection'!B:C,2,FALSE)="Yes",TRUE,FALSE)</f>
        <v>1</v>
      </c>
    </row>
    <row r="49" spans="1:13" x14ac:dyDescent="0.25">
      <c r="A49" t="str">
        <f>'HIDDEN import'!B48</f>
        <v>TC_E_12_CSMS</v>
      </c>
      <c r="B49" t="str">
        <f>'HIDDEN import'!C48</f>
        <v>Core</v>
      </c>
      <c r="C49" t="str">
        <f>'HIDDEN import'!D48</f>
        <v>Start transaction options - ParkingBayOccupied</v>
      </c>
      <c r="D49" t="str">
        <f>IF(VLOOKUP(A49&amp;" "&amp;B49,'HIDDEN import'!A:G,5,FALSE)="M",MD!$A$1,(IF(AND(VLOOKUP(A49,'HIDDEN import'!B:E,4,FALSE)="C",OR(NOT(ISERROR(VLOOKUP(E49,'Optional features'!B:E,1,FALSE)=E49)),NOT(ISERROR(VLOOKUP(E49,'HIDDEN calc sheet'!A:C,1,FALSE)=E49)))),MD!$A$3,MD!$A$2)))</f>
        <v>Mandatory test for a mandatory feature</v>
      </c>
      <c r="E49" t="str">
        <f>IF('HIDDEN import'!F48=0,"",'HIDDEN import'!F48)</f>
        <v>C-09.6</v>
      </c>
      <c r="F49" t="str">
        <f>IF('HIDDEN import'!G48=0,"",'HIDDEN import'!G48)</f>
        <v>Supported Transaction Start points</v>
      </c>
      <c r="G49" s="39" t="str">
        <f>IFERROR(VLOOKUP($A49,'HIDDEN Testrun Results'!$A:$B,2,FALSE),"")</f>
        <v/>
      </c>
      <c r="H49" s="39" t="b">
        <f t="shared" si="0"/>
        <v>1</v>
      </c>
      <c r="I49" s="39" t="b">
        <f>IF(VLOOKUP(A49&amp;" "&amp;B49,'HIDDEN import'!A:G,5,FALSE)="M",TRUE,IFERROR(VLOOKUP(E49,'Optional features'!B:E,3,FALSE)="Yes",IFERROR(VLOOKUP(E49,'HIDDEN calc sheet'!A:B,2,FALSE),VLOOKUP(E49,'Additional questions'!B:D,3,FALSE)="Yes")))</f>
        <v>1</v>
      </c>
      <c r="J49" t="b">
        <f>IF(VLOOKUP(B49,'Profile selection'!B:C,2,FALSE)="Yes",TRUE,FALSE)</f>
        <v>1</v>
      </c>
      <c r="K49" s="17" t="b">
        <f>IF(AND(D49=MD!$A$1,M49),TRUE,(IF(AND(D49=MD!$A$3,M49),(IF(L49=TRUE,TRUE,FALSE)),(IF(AND(D49=MD!$A$2,M49),(IF(N49=TRUE,TRUE,FALSE)),FALSE)))))</f>
        <v>1</v>
      </c>
      <c r="M49" t="b">
        <f>IF(VLOOKUP(B49,'Profile selection'!B:C,2,FALSE)="Yes",TRUE,FALSE)</f>
        <v>1</v>
      </c>
    </row>
    <row r="50" spans="1:13" x14ac:dyDescent="0.25">
      <c r="A50" t="str">
        <f>'HIDDEN import'!B49</f>
        <v>TC_E_14_CSMS</v>
      </c>
      <c r="B50" t="str">
        <f>'HIDDEN import'!C49</f>
        <v>Core</v>
      </c>
      <c r="C50" t="str">
        <f>'HIDDEN import'!D49</f>
        <v>Stop transaction options - EVDisconnected - Charging Station side</v>
      </c>
      <c r="D50" t="str">
        <f>IF(VLOOKUP(A50&amp;" "&amp;B50,'HIDDEN import'!A:G,5,FALSE)="M",MD!$A$1,(IF(AND(VLOOKUP(A50,'HIDDEN import'!B:E,4,FALSE)="C",OR(NOT(ISERROR(VLOOKUP(E50,'Optional features'!B:E,1,FALSE)=E50)),NOT(ISERROR(VLOOKUP(E50,'HIDDEN calc sheet'!A:C,1,FALSE)=E50)))),MD!$A$3,MD!$A$2)))</f>
        <v>Mandatory test for a mandatory feature</v>
      </c>
      <c r="E50" t="str">
        <f>IF('HIDDEN import'!F49=0,"",'HIDDEN import'!F49)</f>
        <v>HFS-1 and C-10.1 and (C-52 or NOT (C-10.2 or C-10.3 or C-10.4))</v>
      </c>
      <c r="F50" t="str">
        <f>IF('HIDDEN import'!G49=0,"",'HIDDEN import'!G49)</f>
        <v>Supported Transaction Stop points</v>
      </c>
      <c r="G50" s="39" t="str">
        <f>IFERROR(VLOOKUP($A50,'HIDDEN Testrun Results'!$A:$B,2,FALSE),"")</f>
        <v/>
      </c>
      <c r="H50" s="39" t="b">
        <f t="shared" si="0"/>
        <v>1</v>
      </c>
      <c r="I50" s="39" t="b">
        <f>IF(VLOOKUP(A50&amp;" "&amp;B50,'HIDDEN import'!A:G,5,FALSE)="M",TRUE,IFERROR(VLOOKUP(E50,'Optional features'!B:E,3,FALSE)="Yes",IFERROR(VLOOKUP(E50,'HIDDEN calc sheet'!A:B,2,FALSE),VLOOKUP(E50,'Additional questions'!B:D,3,FALSE)="Yes")))</f>
        <v>1</v>
      </c>
      <c r="J50" t="b">
        <f>IF(VLOOKUP(B50,'Profile selection'!B:C,2,FALSE)="Yes",TRUE,FALSE)</f>
        <v>1</v>
      </c>
      <c r="K50" s="17" t="b">
        <f>IF(AND(D50=MD!$A$1,M50),TRUE,(IF(AND(D50=MD!$A$3,M50),(IF(L50=TRUE,TRUE,FALSE)),(IF(AND(D50=MD!$A$2,M50),(IF(N50=TRUE,TRUE,FALSE)),FALSE)))))</f>
        <v>1</v>
      </c>
      <c r="M50" t="b">
        <f>IF(VLOOKUP(B50,'Profile selection'!B:C,2,FALSE)="Yes",TRUE,FALSE)</f>
        <v>1</v>
      </c>
    </row>
    <row r="51" spans="1:13" x14ac:dyDescent="0.25">
      <c r="A51" t="str">
        <f>'HIDDEN import'!B50</f>
        <v>TC_E_20_CSMS</v>
      </c>
      <c r="B51" t="str">
        <f>'HIDDEN import'!C50</f>
        <v>Core</v>
      </c>
      <c r="C51" t="str">
        <f>'HIDDEN import'!D50</f>
        <v>Stop transaction options - EVDisconnected - EV side (able to charge IEC 61851-1 EV)</v>
      </c>
      <c r="D51" t="str">
        <f>IF(VLOOKUP(A51&amp;" "&amp;B51,'HIDDEN import'!A:G,5,FALSE)="M",MD!$A$1,(IF(AND(VLOOKUP(A51,'HIDDEN import'!B:E,4,FALSE)="C",OR(NOT(ISERROR(VLOOKUP(E51,'Optional features'!B:E,1,FALSE)=E51)),NOT(ISERROR(VLOOKUP(E51,'HIDDEN calc sheet'!A:C,1,FALSE)=E51)))),MD!$A$3,MD!$A$2)))</f>
        <v>Mandatory test for a mandatory feature</v>
      </c>
      <c r="E51" t="str">
        <f>IF('HIDDEN import'!F50=0,"",'HIDDEN import'!F50)</f>
        <v>(C-10.1 AND (NOT (NOT C-52 AND (C-10.3 or C-10.4))) AND NOT (NOT C-06.1 AND NOT C-52 AND C-10.2)) AND (AQ-9 OR Product Subtype "Mode 1/2-only Charging Station") AND NOT Product Subtype "Wireless Charging Station"</v>
      </c>
      <c r="F51" t="str">
        <f>IF('HIDDEN import'!G50=0,"",'HIDDEN import'!G50)</f>
        <v>Supported Transaction Stop points</v>
      </c>
      <c r="G51" s="39" t="str">
        <f>IFERROR(VLOOKUP($A51,'HIDDEN Testrun Results'!$A:$B,2,FALSE),"")</f>
        <v/>
      </c>
      <c r="H51" s="39" t="b">
        <f t="shared" si="0"/>
        <v>1</v>
      </c>
      <c r="I51" s="39" t="b">
        <f>IF(VLOOKUP(A51&amp;" "&amp;B51,'HIDDEN import'!A:G,5,FALSE)="M",TRUE,IFERROR(VLOOKUP(E51,'Optional features'!B:E,3,FALSE)="Yes",IFERROR(VLOOKUP(E51,'HIDDEN calc sheet'!A:B,2,FALSE),VLOOKUP(E51,'Additional questions'!B:D,3,FALSE)="Yes")))</f>
        <v>1</v>
      </c>
      <c r="J51" t="b">
        <f>IF(VLOOKUP(B51,'Profile selection'!B:C,2,FALSE)="Yes",TRUE,FALSE)</f>
        <v>1</v>
      </c>
      <c r="K51" s="17" t="b">
        <f>IF(AND(D51=MD!$A$1,M51),TRUE,(IF(AND(D51=MD!$A$3,M51),(IF(L51=TRUE,TRUE,FALSE)),(IF(AND(D51=MD!$A$2,M51),(IF(N51=TRUE,TRUE,FALSE)),FALSE)))))</f>
        <v>1</v>
      </c>
      <c r="M51" t="b">
        <f>IF(VLOOKUP(B51,'Profile selection'!B:C,2,FALSE)="Yes",TRUE,FALSE)</f>
        <v>1</v>
      </c>
    </row>
    <row r="52" spans="1:13" x14ac:dyDescent="0.25">
      <c r="A52" t="str">
        <f>'HIDDEN import'!B51</f>
        <v>TC_E_15_CSMS</v>
      </c>
      <c r="B52" t="str">
        <f>'HIDDEN import'!C51</f>
        <v>Core</v>
      </c>
      <c r="C52" t="str">
        <f>'HIDDEN import'!D51</f>
        <v>Stop transaction options - StopAuthorized - Local</v>
      </c>
      <c r="D52" t="str">
        <f>IF(VLOOKUP(A52&amp;" "&amp;B52,'HIDDEN import'!A:G,5,FALSE)="M",MD!$A$1,(IF(AND(VLOOKUP(A52,'HIDDEN import'!B:E,4,FALSE)="C",OR(NOT(ISERROR(VLOOKUP(E52,'Optional features'!B:E,1,FALSE)=E52)),NOT(ISERROR(VLOOKUP(E52,'HIDDEN calc sheet'!A:C,1,FALSE)=E52)))),MD!$A$3,MD!$A$2)))</f>
        <v>Mandatory test for a mandatory feature</v>
      </c>
      <c r="E52" t="str">
        <f>IF('HIDDEN import'!F51=0,"",'HIDDEN import'!F51)</f>
        <v>C-10.2 and (C-70 or C-71 or C-72 or C-75)</v>
      </c>
      <c r="F52" t="str">
        <f>IF('HIDDEN import'!G51=0,"",'HIDDEN import'!G51)</f>
        <v>Supported Transaction Stop Points &amp; Local Authorization - using RFID ISO14443 / RFID ISO15693 / KeyCode / NoAuthorization</v>
      </c>
      <c r="G52" s="39" t="str">
        <f>IFERROR(VLOOKUP($A52,'HIDDEN Testrun Results'!$A:$B,2,FALSE),"")</f>
        <v/>
      </c>
      <c r="H52" s="39" t="b">
        <f t="shared" si="0"/>
        <v>1</v>
      </c>
      <c r="I52" s="39" t="b">
        <f>IF(VLOOKUP(A52&amp;" "&amp;B52,'HIDDEN import'!A:G,5,FALSE)="M",TRUE,IFERROR(VLOOKUP(E52,'Optional features'!B:E,3,FALSE)="Yes",IFERROR(VLOOKUP(E52,'HIDDEN calc sheet'!A:B,2,FALSE),VLOOKUP(E52,'Additional questions'!B:D,3,FALSE)="Yes")))</f>
        <v>1</v>
      </c>
      <c r="J52" t="b">
        <f>IF(VLOOKUP(B52,'Profile selection'!B:C,2,FALSE)="Yes",TRUE,FALSE)</f>
        <v>1</v>
      </c>
      <c r="K52" s="17" t="b">
        <f>IF(AND(D52=MD!$A$1,M52),TRUE,(IF(AND(D52=MD!$A$3,M52),(IF(L52=TRUE,TRUE,FALSE)),(IF(AND(D52=MD!$A$2,M52),(IF(N52=TRUE,TRUE,FALSE)),FALSE)))))</f>
        <v>1</v>
      </c>
      <c r="M52" t="b">
        <f>IF(VLOOKUP(B52,'Profile selection'!B:C,2,FALSE)="Yes",TRUE,FALSE)</f>
        <v>1</v>
      </c>
    </row>
    <row r="53" spans="1:13" x14ac:dyDescent="0.25">
      <c r="A53" t="str">
        <f>'HIDDEN import'!B52</f>
        <v>TC_E_21_CSMS</v>
      </c>
      <c r="B53" t="str">
        <f>'HIDDEN import'!C52</f>
        <v>Core</v>
      </c>
      <c r="C53" t="str">
        <f>'HIDDEN import'!D52</f>
        <v>Stop transaction options - StopAuthorized - Remote</v>
      </c>
      <c r="D53" t="str">
        <f>IF(VLOOKUP(A53&amp;" "&amp;B53,'HIDDEN import'!A:G,5,FALSE)="M",MD!$A$1,(IF(AND(VLOOKUP(A53,'HIDDEN import'!B:E,4,FALSE)="C",OR(NOT(ISERROR(VLOOKUP(E53,'Optional features'!B:E,1,FALSE)=E53)),NOT(ISERROR(VLOOKUP(E53,'HIDDEN calc sheet'!A:C,1,FALSE)=E53)))),MD!$A$3,MD!$A$2)))</f>
        <v>Mandatory test for a mandatory feature</v>
      </c>
      <c r="E53" t="str">
        <f>IF('HIDDEN import'!F52=0,"",'HIDDEN import'!F52)</f>
        <v>C-10.2</v>
      </c>
      <c r="F53" t="str">
        <f>IF('HIDDEN import'!G52=0,"",'HIDDEN import'!G52)</f>
        <v>Supported Transaction Stop points</v>
      </c>
      <c r="G53" s="39" t="str">
        <f>IFERROR(VLOOKUP($A53,'HIDDEN Testrun Results'!$A:$B,2,FALSE),"")</f>
        <v/>
      </c>
      <c r="H53" s="39" t="b">
        <f t="shared" si="0"/>
        <v>1</v>
      </c>
      <c r="I53" s="39" t="b">
        <f>IF(VLOOKUP(A53&amp;" "&amp;B53,'HIDDEN import'!A:G,5,FALSE)="M",TRUE,IFERROR(VLOOKUP(E53,'Optional features'!B:E,3,FALSE)="Yes",IFERROR(VLOOKUP(E53,'HIDDEN calc sheet'!A:B,2,FALSE),VLOOKUP(E53,'Additional questions'!B:D,3,FALSE)="Yes")))</f>
        <v>1</v>
      </c>
      <c r="J53" t="b">
        <f>IF(VLOOKUP(B53,'Profile selection'!B:C,2,FALSE)="Yes",TRUE,FALSE)</f>
        <v>1</v>
      </c>
      <c r="K53" s="17" t="b">
        <f>IF(AND(D53=MD!$A$1,M53),TRUE,(IF(AND(D53=MD!$A$3,M53),(IF(L53=TRUE,TRUE,FALSE)),(IF(AND(D53=MD!$A$2,M53),(IF(N53=TRUE,TRUE,FALSE)),FALSE)))))</f>
        <v>1</v>
      </c>
      <c r="M53" t="b">
        <f>IF(VLOOKUP(B53,'Profile selection'!B:C,2,FALSE)="Yes",TRUE,FALSE)</f>
        <v>1</v>
      </c>
    </row>
    <row r="54" spans="1:13" x14ac:dyDescent="0.25">
      <c r="A54" t="str">
        <f>'HIDDEN import'!B53</f>
        <v>TC_E_16_CSMS</v>
      </c>
      <c r="B54" t="str">
        <f>'HIDDEN import'!C53</f>
        <v>Core</v>
      </c>
      <c r="C54" t="str">
        <f>'HIDDEN import'!D53</f>
        <v>Stop transaction options - Deauthorized - Invalid idToken</v>
      </c>
      <c r="D54" t="str">
        <f>IF(VLOOKUP(A54&amp;" "&amp;B54,'HIDDEN import'!A:G,5,FALSE)="M",MD!$A$1,(IF(AND(VLOOKUP(A54,'HIDDEN import'!B:E,4,FALSE)="C",OR(NOT(ISERROR(VLOOKUP(E54,'Optional features'!B:E,1,FALSE)=E54)),NOT(ISERROR(VLOOKUP(E54,'HIDDEN calc sheet'!A:C,1,FALSE)=E54)))),MD!$A$3,MD!$A$2)))</f>
        <v>Mandatory test for a mandatory feature</v>
      </c>
      <c r="E54" t="str">
        <f>IF('HIDDEN import'!F53=0,"",'HIDDEN import'!F53)</f>
        <v>(C-10.2 or C-10.3) and C-01 and NOT C-35</v>
      </c>
      <c r="F54" t="str">
        <f>IF('HIDDEN import'!G53=0,"",'HIDDEN import'!G53)</f>
        <v>Supported Transaction Stop Points &amp; Local Authorization options for local start</v>
      </c>
      <c r="G54" s="39" t="str">
        <f>IFERROR(VLOOKUP($A54,'HIDDEN Testrun Results'!$A:$B,2,FALSE),"")</f>
        <v/>
      </c>
      <c r="H54" s="39" t="b">
        <f t="shared" si="0"/>
        <v>1</v>
      </c>
      <c r="I54" s="39" t="b">
        <f>IF(VLOOKUP(A54&amp;" "&amp;B54,'HIDDEN import'!A:G,5,FALSE)="M",TRUE,IFERROR(VLOOKUP(E54,'Optional features'!B:E,3,FALSE)="Yes",IFERROR(VLOOKUP(E54,'HIDDEN calc sheet'!A:B,2,FALSE),VLOOKUP(E54,'Additional questions'!B:D,3,FALSE)="Yes")))</f>
        <v>1</v>
      </c>
      <c r="J54" t="b">
        <f>IF(VLOOKUP(B54,'Profile selection'!B:C,2,FALSE)="Yes",TRUE,FALSE)</f>
        <v>1</v>
      </c>
      <c r="K54" s="17" t="b">
        <f>IF(AND(D54=MD!$A$1,M54),TRUE,(IF(AND(D54=MD!$A$3,M54),(IF(L54=TRUE,TRUE,FALSE)),(IF(AND(D54=MD!$A$2,M54),(IF(N54=TRUE,TRUE,FALSE)),FALSE)))))</f>
        <v>1</v>
      </c>
      <c r="M54" t="b">
        <f>IF(VLOOKUP(B54,'Profile selection'!B:C,2,FALSE)="Yes",TRUE,FALSE)</f>
        <v>1</v>
      </c>
    </row>
    <row r="55" spans="1:13" x14ac:dyDescent="0.25">
      <c r="A55" t="str">
        <f>'HIDDEN import'!B54</f>
        <v>TC_E_17_CSMS</v>
      </c>
      <c r="B55" t="str">
        <f>'HIDDEN import'!C54</f>
        <v>Core</v>
      </c>
      <c r="C55" t="str">
        <f>'HIDDEN import'!D54</f>
        <v>Stop transaction options - Deauthorized - EV side disconnect</v>
      </c>
      <c r="D55" t="str">
        <f>IF(VLOOKUP(A55&amp;" "&amp;B55,'HIDDEN import'!A:G,5,FALSE)="M",MD!$A$1,(IF(AND(VLOOKUP(A55,'HIDDEN import'!B:E,4,FALSE)="C",OR(NOT(ISERROR(VLOOKUP(E55,'Optional features'!B:E,1,FALSE)=E55)),NOT(ISERROR(VLOOKUP(E55,'HIDDEN calc sheet'!A:C,1,FALSE)=E55)))),MD!$A$3,MD!$A$2)))</f>
        <v>Mandatory test for a mandatory feature</v>
      </c>
      <c r="E55" t="str">
        <f>IF('HIDDEN import'!F54=0,"",'HIDDEN import'!F54)</f>
        <v>C-10.2 and C-06.2 and AQ-9 and NOT (NOT C-52 AND (C-10.1 OR C-10.3 OR C-10.4))</v>
      </c>
      <c r="F55" t="str">
        <f>IF('HIDDEN import'!G54=0,"",'HIDDEN import'!G54)</f>
        <v>Supported Transaction Stop points</v>
      </c>
      <c r="G55" s="39" t="str">
        <f>IFERROR(VLOOKUP($A55,'HIDDEN Testrun Results'!$A:$B,2,FALSE),"")</f>
        <v/>
      </c>
      <c r="H55" s="39" t="b">
        <f t="shared" si="0"/>
        <v>1</v>
      </c>
      <c r="I55" s="39" t="b">
        <f>IF(VLOOKUP(A55&amp;" "&amp;B55,'HIDDEN import'!A:G,5,FALSE)="M",TRUE,IFERROR(VLOOKUP(E55,'Optional features'!B:E,3,FALSE)="Yes",IFERROR(VLOOKUP(E55,'HIDDEN calc sheet'!A:B,2,FALSE),VLOOKUP(E55,'Additional questions'!B:D,3,FALSE)="Yes")))</f>
        <v>1</v>
      </c>
      <c r="J55" t="b">
        <f>IF(VLOOKUP(B55,'Profile selection'!B:C,2,FALSE)="Yes",TRUE,FALSE)</f>
        <v>1</v>
      </c>
      <c r="K55" s="17" t="b">
        <f>IF(AND(D55=MD!$A$1,M55),TRUE,(IF(AND(D55=MD!$A$3,M55),(IF(L55=TRUE,TRUE,FALSE)),(IF(AND(D55=MD!$A$2,M55),(IF(N55=TRUE,TRUE,FALSE)),FALSE)))))</f>
        <v>1</v>
      </c>
      <c r="M55" t="b">
        <f>IF(VLOOKUP(B55,'Profile selection'!B:C,2,FALSE)="Yes",TRUE,FALSE)</f>
        <v>1</v>
      </c>
    </row>
    <row r="56" spans="1:13" x14ac:dyDescent="0.25">
      <c r="A56" t="str">
        <f>'HIDDEN import'!B55</f>
        <v>TC_E_39_CSMS</v>
      </c>
      <c r="B56" t="str">
        <f>'HIDDEN import'!C55</f>
        <v>Core</v>
      </c>
      <c r="C56" t="str">
        <f>'HIDDEN import'!D55</f>
        <v>Stop transaction options - Deauthorized - timeout</v>
      </c>
      <c r="D56" t="str">
        <f>IF(VLOOKUP(A56&amp;" "&amp;B56,'HIDDEN import'!A:G,5,FALSE)="M",MD!$A$1,(IF(AND(VLOOKUP(A56,'HIDDEN import'!B:E,4,FALSE)="C",OR(NOT(ISERROR(VLOOKUP(E56,'Optional features'!B:E,1,FALSE)=E56)),NOT(ISERROR(VLOOKUP(E56,'HIDDEN calc sheet'!A:C,1,FALSE)=E56)))),MD!$A$3,MD!$A$2)))</f>
        <v>Mandatory test for a mandatory feature</v>
      </c>
      <c r="E56" t="str">
        <f>IF('HIDDEN import'!F55=0,"",'HIDDEN import'!F55)</f>
        <v/>
      </c>
      <c r="F56" t="str">
        <f>IF('HIDDEN import'!G55=0,"",'HIDDEN import'!G55)</f>
        <v/>
      </c>
      <c r="G56" s="39" t="str">
        <f>IFERROR(VLOOKUP($A56,'HIDDEN Testrun Results'!$A:$B,2,FALSE),"")</f>
        <v/>
      </c>
      <c r="H56" s="39" t="b">
        <f t="shared" si="0"/>
        <v>1</v>
      </c>
      <c r="I56" s="39" t="b">
        <f>IF(VLOOKUP(A56&amp;" "&amp;B56,'HIDDEN import'!A:G,5,FALSE)="M",TRUE,IFERROR(VLOOKUP(E56,'Optional features'!B:E,3,FALSE)="Yes",IFERROR(VLOOKUP(E56,'HIDDEN calc sheet'!A:B,2,FALSE),VLOOKUP(E56,'Additional questions'!B:D,3,FALSE)="Yes")))</f>
        <v>1</v>
      </c>
      <c r="J56" t="b">
        <f>IF(VLOOKUP(B56,'Profile selection'!B:C,2,FALSE)="Yes",TRUE,FALSE)</f>
        <v>1</v>
      </c>
      <c r="K56" s="17" t="b">
        <f>IF(AND(D56=MD!$A$1,M56),TRUE,(IF(AND(D56=MD!$A$3,M56),(IF(L56=TRUE,TRUE,FALSE)),(IF(AND(D56=MD!$A$2,M56),(IF(N56=TRUE,TRUE,FALSE)),FALSE)))))</f>
        <v>1</v>
      </c>
      <c r="M56" t="b">
        <f>IF(VLOOKUP(B56,'Profile selection'!B:C,2,FALSE)="Yes",TRUE,FALSE)</f>
        <v>1</v>
      </c>
    </row>
    <row r="57" spans="1:13" x14ac:dyDescent="0.25">
      <c r="A57" t="str">
        <f>'HIDDEN import'!B56</f>
        <v>TC_E_07_CSMS</v>
      </c>
      <c r="B57" t="str">
        <f>'HIDDEN import'!C56</f>
        <v>Core</v>
      </c>
      <c r="C57" t="str">
        <f>'HIDDEN import'!D56</f>
        <v>Stop transaction options - PowerPathClosed - Local stop</v>
      </c>
      <c r="D57" t="str">
        <f>IF(VLOOKUP(A57&amp;" "&amp;B57,'HIDDEN import'!A:G,5,FALSE)="M",MD!$A$1,(IF(AND(VLOOKUP(A57,'HIDDEN import'!B:E,4,FALSE)="C",OR(NOT(ISERROR(VLOOKUP(E57,'Optional features'!B:E,1,FALSE)=E57)),NOT(ISERROR(VLOOKUP(E57,'HIDDEN calc sheet'!A:C,1,FALSE)=E57)))),MD!$A$3,MD!$A$2)))</f>
        <v>Mandatory test for a mandatory feature</v>
      </c>
      <c r="E57" t="str">
        <f>IF('HIDDEN import'!F56=0,"",'HIDDEN import'!F56)</f>
        <v>C-10.3 and (C-52 or NOT C-10.2) and (C-70 or C-71 or C-72 or C-75)</v>
      </c>
      <c r="F57" t="str">
        <f>IF('HIDDEN import'!G56=0,"",'HIDDEN import'!G56)</f>
        <v>Supported Transaction Stop Points &amp; Local Authorization - using RFID ISO14443 / RFID ISO15693 / KeyCode / NoAuthorization</v>
      </c>
      <c r="G57" s="39" t="str">
        <f>IFERROR(VLOOKUP($A57,'HIDDEN Testrun Results'!$A:$B,2,FALSE),"")</f>
        <v/>
      </c>
      <c r="H57" s="39" t="b">
        <f t="shared" si="0"/>
        <v>1</v>
      </c>
      <c r="I57" s="39" t="b">
        <f>IF(VLOOKUP(A57&amp;" "&amp;B57,'HIDDEN import'!A:G,5,FALSE)="M",TRUE,IFERROR(VLOOKUP(E57,'Optional features'!B:E,3,FALSE)="Yes",IFERROR(VLOOKUP(E57,'HIDDEN calc sheet'!A:B,2,FALSE),VLOOKUP(E57,'Additional questions'!B:D,3,FALSE)="Yes")))</f>
        <v>1</v>
      </c>
      <c r="J57" t="b">
        <f>IF(VLOOKUP(B57,'Profile selection'!B:C,2,FALSE)="Yes",TRUE,FALSE)</f>
        <v>1</v>
      </c>
      <c r="K57" s="17" t="b">
        <f>IF(AND(D57=MD!$A$1,M57),TRUE,(IF(AND(D57=MD!$A$3,M57),(IF(L57=TRUE,TRUE,FALSE)),(IF(AND(D57=MD!$A$2,M57),(IF(N57=TRUE,TRUE,FALSE)),FALSE)))))</f>
        <v>1</v>
      </c>
      <c r="M57" t="b">
        <f>IF(VLOOKUP(B57,'Profile selection'!B:C,2,FALSE)="Yes",TRUE,FALSE)</f>
        <v>1</v>
      </c>
    </row>
    <row r="58" spans="1:13" x14ac:dyDescent="0.25">
      <c r="A58" t="str">
        <f>'HIDDEN import'!B57</f>
        <v>TC_E_08_CSMS</v>
      </c>
      <c r="B58" t="str">
        <f>'HIDDEN import'!C57</f>
        <v>Core</v>
      </c>
      <c r="C58" t="str">
        <f>'HIDDEN import'!D57</f>
        <v>Stop transaction options - EnergyTransfer stopped - StopAuthorized</v>
      </c>
      <c r="D58" t="str">
        <f>IF(VLOOKUP(A58&amp;" "&amp;B58,'HIDDEN import'!A:G,5,FALSE)="M",MD!$A$1,(IF(AND(VLOOKUP(A58,'HIDDEN import'!B:E,4,FALSE)="C",OR(NOT(ISERROR(VLOOKUP(E58,'Optional features'!B:E,1,FALSE)=E58)),NOT(ISERROR(VLOOKUP(E58,'HIDDEN calc sheet'!A:C,1,FALSE)=E58)))),MD!$A$3,MD!$A$2)))</f>
        <v>Mandatory test for a mandatory feature</v>
      </c>
      <c r="E58" t="str">
        <f>IF('HIDDEN import'!F57=0,"",'HIDDEN import'!F57)</f>
        <v>C-10.4 and (C-52 or NOT (C-10.2 or C-10.3))</v>
      </c>
      <c r="F58" t="str">
        <f>IF('HIDDEN import'!G57=0,"",'HIDDEN import'!G57)</f>
        <v>Supported Transaction Stop points</v>
      </c>
      <c r="G58" s="39" t="str">
        <f>IFERROR(VLOOKUP($A58,'HIDDEN Testrun Results'!$A:$B,2,FALSE),"")</f>
        <v/>
      </c>
      <c r="H58" s="39" t="b">
        <f t="shared" si="0"/>
        <v>1</v>
      </c>
      <c r="I58" s="39" t="b">
        <f>IF(VLOOKUP(A58&amp;" "&amp;B58,'HIDDEN import'!A:G,5,FALSE)="M",TRUE,IFERROR(VLOOKUP(E58,'Optional features'!B:E,3,FALSE)="Yes",IFERROR(VLOOKUP(E58,'HIDDEN calc sheet'!A:B,2,FALSE),VLOOKUP(E58,'Additional questions'!B:D,3,FALSE)="Yes")))</f>
        <v>1</v>
      </c>
      <c r="J58" t="b">
        <f>IF(VLOOKUP(B58,'Profile selection'!B:C,2,FALSE)="Yes",TRUE,FALSE)</f>
        <v>1</v>
      </c>
      <c r="K58" s="17" t="b">
        <f>IF(AND(D58=MD!$A$1,M58),TRUE,(IF(AND(D58=MD!$A$3,M58),(IF(L58=TRUE,TRUE,FALSE)),(IF(AND(D58=MD!$A$2,M58),(IF(N58=TRUE,TRUE,FALSE)),FALSE)))))</f>
        <v>1</v>
      </c>
      <c r="L58" t="b">
        <f>IF(ISNA(VLOOKUP(E58,'Optional features'!B:D,3,FALSE)),FALSE,IF(VLOOKUP(E58,'Optional features'!B:D,3,FALSE)="Yes",TRUE,FALSE))</f>
        <v>0</v>
      </c>
      <c r="M58" t="b">
        <f>IF(VLOOKUP(B58,'Profile selection'!B:C,2,FALSE)="Yes",TRUE,FALSE)</f>
        <v>1</v>
      </c>
    </row>
    <row r="59" spans="1:13" x14ac:dyDescent="0.25">
      <c r="A59" t="str">
        <f>'HIDDEN import'!B58</f>
        <v>TC_E_22_CSMS</v>
      </c>
      <c r="B59" t="str">
        <f>'HIDDEN import'!C58</f>
        <v>Core</v>
      </c>
      <c r="C59" t="str">
        <f>'HIDDEN import'!D58</f>
        <v>Stop transaction options - EnergyTransfer stopped - SuspendedEV</v>
      </c>
      <c r="D59" t="str">
        <f>IF(VLOOKUP(A59&amp;" "&amp;B59,'HIDDEN import'!A:G,5,FALSE)="M",MD!$A$1,(IF(AND(VLOOKUP(A59,'HIDDEN import'!B:E,4,FALSE)="C",OR(NOT(ISERROR(VLOOKUP(E59,'Optional features'!B:E,1,FALSE)=E59)),NOT(ISERROR(VLOOKUP(E59,'HIDDEN calc sheet'!A:C,1,FALSE)=E59)))),MD!$A$3,MD!$A$2)))</f>
        <v>Mandatory test for a mandatory feature</v>
      </c>
      <c r="E59" t="str">
        <f>IF('HIDDEN import'!F58=0,"",'HIDDEN import'!F58)</f>
        <v>C-10.4</v>
      </c>
      <c r="F59" t="str">
        <f>IF('HIDDEN import'!G58=0,"",'HIDDEN import'!G58)</f>
        <v>Supported Transaction Stop points</v>
      </c>
      <c r="G59" s="39" t="str">
        <f>IFERROR(VLOOKUP($A59,'HIDDEN Testrun Results'!$A:$B,2,FALSE),"")</f>
        <v/>
      </c>
      <c r="H59" s="39" t="b">
        <f t="shared" si="0"/>
        <v>1</v>
      </c>
      <c r="I59" s="39" t="b">
        <f>IF(VLOOKUP(A59&amp;" "&amp;B59,'HIDDEN import'!A:G,5,FALSE)="M",TRUE,IFERROR(VLOOKUP(E59,'Optional features'!B:E,3,FALSE)="Yes",IFERROR(VLOOKUP(E59,'HIDDEN calc sheet'!A:B,2,FALSE),VLOOKUP(E59,'Additional questions'!B:D,3,FALSE)="Yes")))</f>
        <v>1</v>
      </c>
      <c r="J59" t="b">
        <f>IF(VLOOKUP(B59,'Profile selection'!B:C,2,FALSE)="Yes",TRUE,FALSE)</f>
        <v>1</v>
      </c>
      <c r="K59" s="17" t="b">
        <f>IF(AND(D59=MD!$A$1,M59),TRUE,(IF(AND(D59=MD!$A$3,M59),(IF(L59=TRUE,TRUE,FALSE)),(IF(AND(D59=MD!$A$2,M59),(IF(N59=TRUE,TRUE,FALSE)),FALSE)))))</f>
        <v>1</v>
      </c>
      <c r="L59" t="b">
        <f>IF(ISNA(VLOOKUP(E59,'Optional features'!B:D,3,FALSE)),FALSE,IF(VLOOKUP(E59,'Optional features'!B:D,3,FALSE)="Yes",TRUE,FALSE))</f>
        <v>0</v>
      </c>
      <c r="M59" t="b">
        <f>IF(VLOOKUP(B59,'Profile selection'!B:C,2,FALSE)="Yes",TRUE,FALSE)</f>
        <v>1</v>
      </c>
    </row>
    <row r="60" spans="1:13" x14ac:dyDescent="0.25">
      <c r="A60" t="str">
        <f>'HIDDEN import'!B59</f>
        <v>TC_E_19_CSMS</v>
      </c>
      <c r="B60" t="str">
        <f>'HIDDEN import'!C59</f>
        <v>Core</v>
      </c>
      <c r="C60" t="str">
        <f>'HIDDEN import'!D59</f>
        <v>Stop transaction options - ParkingBayUnoccupied</v>
      </c>
      <c r="D60" t="str">
        <f>IF(VLOOKUP(A60&amp;" "&amp;B60,'HIDDEN import'!A:G,5,FALSE)="M",MD!$A$1,(IF(AND(VLOOKUP(A60,'HIDDEN import'!B:E,4,FALSE)="C",OR(NOT(ISERROR(VLOOKUP(E60,'Optional features'!B:E,1,FALSE)=E60)),NOT(ISERROR(VLOOKUP(E60,'HIDDEN calc sheet'!A:C,1,FALSE)=E60)))),MD!$A$3,MD!$A$2)))</f>
        <v>Mandatory test for a mandatory feature</v>
      </c>
      <c r="E60" t="str">
        <f>IF('HIDDEN import'!F59=0,"",'HIDDEN import'!F59)</f>
        <v>C-10.5 and (C-52 or NOT (C-10.1 or C-10.2 or C-10.3 or C-10.4))</v>
      </c>
      <c r="F60" t="str">
        <f>IF('HIDDEN import'!G59=0,"",'HIDDEN import'!G59)</f>
        <v>Supported Transaction Stop points</v>
      </c>
      <c r="G60" s="39" t="str">
        <f>IFERROR(VLOOKUP($A60,'HIDDEN Testrun Results'!$A:$B,2,FALSE),"")</f>
        <v/>
      </c>
      <c r="H60" s="39" t="b">
        <f t="shared" si="0"/>
        <v>1</v>
      </c>
      <c r="I60" s="39" t="b">
        <f>IF(VLOOKUP(A60&amp;" "&amp;B60,'HIDDEN import'!A:G,5,FALSE)="M",TRUE,IFERROR(VLOOKUP(E60,'Optional features'!B:E,3,FALSE)="Yes",IFERROR(VLOOKUP(E60,'HIDDEN calc sheet'!A:B,2,FALSE),VLOOKUP(E60,'Additional questions'!B:D,3,FALSE)="Yes")))</f>
        <v>1</v>
      </c>
      <c r="J60" t="b">
        <f>IF(VLOOKUP(B60,'Profile selection'!B:C,2,FALSE)="Yes",TRUE,FALSE)</f>
        <v>1</v>
      </c>
      <c r="K60" s="17" t="b">
        <f>IF(AND(D60=MD!$A$1,M60),TRUE,(IF(AND(D60=MD!$A$3,M60),(IF(L60=TRUE,TRUE,FALSE)),(IF(AND(D60=MD!$A$2,M60),(IF(N60=TRUE,TRUE,FALSE)),FALSE)))))</f>
        <v>1</v>
      </c>
      <c r="L60" t="b">
        <f>IF(ISNA(VLOOKUP(E60,'Optional features'!B:D,3,FALSE)),FALSE,IF(VLOOKUP(E60,'Optional features'!B:D,3,FALSE)="Yes",TRUE,FALSE))</f>
        <v>0</v>
      </c>
      <c r="M60" t="b">
        <f>IF(VLOOKUP(B60,'Profile selection'!B:C,2,FALSE)="Yes",TRUE,FALSE)</f>
        <v>1</v>
      </c>
    </row>
    <row r="61" spans="1:13" x14ac:dyDescent="0.25">
      <c r="A61" t="str">
        <f>'HIDDEN import'!B60</f>
        <v>TC_E_26_CSMS</v>
      </c>
      <c r="B61" t="str">
        <f>'HIDDEN import'!C60</f>
        <v>Core</v>
      </c>
      <c r="C61" t="str">
        <f>'HIDDEN import'!D60</f>
        <v>Disconnect cable on EV-side - Suspend transaction</v>
      </c>
      <c r="D61" t="str">
        <f>IF(VLOOKUP(A61&amp;" "&amp;B61,'HIDDEN import'!A:G,5,FALSE)="M",MD!$A$1,(IF(AND(VLOOKUP(A61,'HIDDEN import'!B:E,4,FALSE)="C",OR(NOT(ISERROR(VLOOKUP(E61,'Optional features'!B:E,1,FALSE)=E61)),NOT(ISERROR(VLOOKUP(E61,'HIDDEN calc sheet'!A:C,1,FALSE)=E61)))),MD!$A$3,MD!$A$2)))</f>
        <v>Mandatory test for a mandatory feature</v>
      </c>
      <c r="E61" t="str">
        <f>IF('HIDDEN import'!F60=0,"",'HIDDEN import'!F60)</f>
        <v>(C-10.2 or C-10.5) and (C-52 or NOT (C-10.1 or C-10.3 or C-10.4)) and C-06.1 and C-12.2 and NOT (HFS-4 or (ISO 15118 support and NOT AQ-9 )) and NOT Product Subtype "Mode 1/2-only Charging Station"</v>
      </c>
      <c r="F61" t="str">
        <f>IF('HIDDEN import'!G60=0,"",'HIDDEN import'!G60)</f>
        <v/>
      </c>
      <c r="G61" s="39" t="str">
        <f>IFERROR(VLOOKUP($A61,'HIDDEN Testrun Results'!$A:$B,2,FALSE),"")</f>
        <v/>
      </c>
      <c r="H61" s="39" t="b">
        <f t="shared" si="0"/>
        <v>1</v>
      </c>
      <c r="I61" s="39" t="b">
        <f>IF(VLOOKUP(A61&amp;" "&amp;B61,'HIDDEN import'!A:G,5,FALSE)="M",TRUE,IFERROR(VLOOKUP(E61,'Optional features'!B:E,3,FALSE)="Yes",IFERROR(VLOOKUP(E61,'HIDDEN calc sheet'!A:B,2,FALSE),VLOOKUP(E61,'Additional questions'!B:D,3,FALSE)="Yes")))</f>
        <v>1</v>
      </c>
      <c r="J61" t="b">
        <f>IF(VLOOKUP(B61,'Profile selection'!B:C,2,FALSE)="Yes",TRUE,FALSE)</f>
        <v>1</v>
      </c>
      <c r="K61" s="17" t="b">
        <f>IF(AND(D61=MD!$A$1,M61),TRUE,(IF(AND(D61=MD!$A$3,M61),(IF(L61=TRUE,TRUE,FALSE)),(IF(AND(D61=MD!$A$2,M61),(IF(N61=TRUE,TRUE,FALSE)),FALSE)))))</f>
        <v>1</v>
      </c>
      <c r="L61" t="b">
        <f>IF(ISNA(VLOOKUP(E61,'Optional features'!B:D,3,FALSE)),FALSE,IF(VLOOKUP(E61,'Optional features'!B:D,3,FALSE)="Yes",TRUE,FALSE))</f>
        <v>0</v>
      </c>
      <c r="M61" t="b">
        <f>IF(VLOOKUP(B61,'Profile selection'!B:C,2,FALSE)="Yes",TRUE,FALSE)</f>
        <v>1</v>
      </c>
    </row>
    <row r="62" spans="1:13" x14ac:dyDescent="0.25">
      <c r="A62" t="str">
        <f>'HIDDEN import'!B61</f>
        <v>TC_E_29_CSMS</v>
      </c>
      <c r="B62" t="str">
        <f>'HIDDEN import'!C61</f>
        <v>Core</v>
      </c>
      <c r="C62" t="str">
        <f>'HIDDEN import'!D61</f>
        <v>Check Transaction status - Transaction with id ongoing - with message in queue</v>
      </c>
      <c r="D62" t="str">
        <f>IF(VLOOKUP(A62&amp;" "&amp;B62,'HIDDEN import'!A:G,5,FALSE)="M",MD!$A$1,(IF(AND(VLOOKUP(A62,'HIDDEN import'!B:E,4,FALSE)="C",OR(NOT(ISERROR(VLOOKUP(E62,'Optional features'!B:E,1,FALSE)=E62)),NOT(ISERROR(VLOOKUP(E62,'HIDDEN calc sheet'!A:C,1,FALSE)=E62)))),MD!$A$3,MD!$A$2)))</f>
        <v>Mandatory for optional feature</v>
      </c>
      <c r="E62" t="str">
        <f>IF('HIDDEN import'!F61=0,"",'HIDDEN import'!F61)</f>
        <v>C-16</v>
      </c>
      <c r="F62" t="str">
        <f>IF('HIDDEN import'!G61=0,"",'HIDDEN import'!G61)</f>
        <v>Check TransactionStatus</v>
      </c>
      <c r="G62" s="39" t="str">
        <f>IFERROR(VLOOKUP($A62,'HIDDEN Testrun Results'!$A:$B,2,FALSE),"")</f>
        <v/>
      </c>
      <c r="H62" s="39" t="b">
        <f t="shared" si="0"/>
        <v>0</v>
      </c>
      <c r="I62" s="39" t="b">
        <f>IF(VLOOKUP(A62&amp;" "&amp;B62,'HIDDEN import'!A:G,5,FALSE)="M",TRUE,IFERROR(VLOOKUP(E62,'Optional features'!B:E,3,FALSE)="Yes",IFERROR(VLOOKUP(E62,'HIDDEN calc sheet'!A:B,2,FALSE),VLOOKUP(E62,'Additional questions'!B:D,3,FALSE)="Yes")))</f>
        <v>0</v>
      </c>
      <c r="J62" t="b">
        <f>IF(VLOOKUP(B62,'Profile selection'!B:C,2,FALSE)="Yes",TRUE,FALSE)</f>
        <v>1</v>
      </c>
      <c r="K62" s="17" t="b">
        <f>IF(AND(D62=MD!$A$1,M62),TRUE,(IF(AND(D62=MD!$A$3,M62),(IF(L62=TRUE,TRUE,FALSE)),(IF(AND(D62=MD!$A$2,M62),(IF(N62=TRUE,TRUE,FALSE)),FALSE)))))</f>
        <v>0</v>
      </c>
      <c r="L62" t="b">
        <f>IF(ISNA(VLOOKUP(E62,'Optional features'!B:D,3,FALSE)),FALSE,IF(VLOOKUP(E62,'Optional features'!B:D,3,FALSE)="Yes",TRUE,FALSE))</f>
        <v>0</v>
      </c>
      <c r="M62" t="b">
        <f>IF(VLOOKUP(B62,'Profile selection'!B:C,2,FALSE)="Yes",TRUE,FALSE)</f>
        <v>1</v>
      </c>
    </row>
    <row r="63" spans="1:13" x14ac:dyDescent="0.25">
      <c r="A63" t="str">
        <f>'HIDDEN import'!B62</f>
        <v>TC_E_30_CSMS</v>
      </c>
      <c r="B63" t="str">
        <f>'HIDDEN import'!C62</f>
        <v>Core</v>
      </c>
      <c r="C63" t="str">
        <f>'HIDDEN import'!D62</f>
        <v>Check Transaction status - Transaction with id ongoing - without message in queue</v>
      </c>
      <c r="D63" t="str">
        <f>IF(VLOOKUP(A63&amp;" "&amp;B63,'HIDDEN import'!A:G,5,FALSE)="M",MD!$A$1,(IF(AND(VLOOKUP(A63,'HIDDEN import'!B:E,4,FALSE)="C",OR(NOT(ISERROR(VLOOKUP(E63,'Optional features'!B:E,1,FALSE)=E63)),NOT(ISERROR(VLOOKUP(E63,'HIDDEN calc sheet'!A:C,1,FALSE)=E63)))),MD!$A$3,MD!$A$2)))</f>
        <v>Mandatory for optional feature</v>
      </c>
      <c r="E63" t="str">
        <f>IF('HIDDEN import'!F62=0,"",'HIDDEN import'!F62)</f>
        <v>C-16</v>
      </c>
      <c r="F63" t="str">
        <f>IF('HIDDEN import'!G62=0,"",'HIDDEN import'!G62)</f>
        <v>Check TransactionStatus</v>
      </c>
      <c r="G63" s="39" t="str">
        <f>IFERROR(VLOOKUP($A63,'HIDDEN Testrun Results'!$A:$B,2,FALSE),"")</f>
        <v/>
      </c>
      <c r="H63" s="39" t="b">
        <f t="shared" si="0"/>
        <v>0</v>
      </c>
      <c r="I63" s="39" t="b">
        <f>IF(VLOOKUP(A63&amp;" "&amp;B63,'HIDDEN import'!A:G,5,FALSE)="M",TRUE,IFERROR(VLOOKUP(E63,'Optional features'!B:E,3,FALSE)="Yes",IFERROR(VLOOKUP(E63,'HIDDEN calc sheet'!A:B,2,FALSE),VLOOKUP(E63,'Additional questions'!B:D,3,FALSE)="Yes")))</f>
        <v>0</v>
      </c>
      <c r="J63" t="b">
        <f>IF(VLOOKUP(B63,'Profile selection'!B:C,2,FALSE)="Yes",TRUE,FALSE)</f>
        <v>1</v>
      </c>
      <c r="K63" s="17" t="b">
        <f>IF(AND(D63=MD!$A$1,M63),TRUE,(IF(AND(D63=MD!$A$3,M63),(IF(L63=TRUE,TRUE,FALSE)),(IF(AND(D63=MD!$A$2,M63),(IF(N63=TRUE,TRUE,FALSE)),FALSE)))))</f>
        <v>0</v>
      </c>
      <c r="M63" t="b">
        <f>IF(VLOOKUP(B63,'Profile selection'!B:C,2,FALSE)="Yes",TRUE,FALSE)</f>
        <v>1</v>
      </c>
    </row>
    <row r="64" spans="1:13" x14ac:dyDescent="0.25">
      <c r="A64" t="str">
        <f>'HIDDEN import'!B63</f>
        <v>TC_E_31_CSMS</v>
      </c>
      <c r="B64" t="str">
        <f>'HIDDEN import'!C63</f>
        <v>Core</v>
      </c>
      <c r="C64" t="str">
        <f>'HIDDEN import'!D63</f>
        <v>Check Transaction status - Transaction with id ended - with message in queue</v>
      </c>
      <c r="D64" t="str">
        <f>IF(VLOOKUP(A64&amp;" "&amp;B64,'HIDDEN import'!A:G,5,FALSE)="M",MD!$A$1,(IF(AND(VLOOKUP(A64,'HIDDEN import'!B:E,4,FALSE)="C",OR(NOT(ISERROR(VLOOKUP(E64,'Optional features'!B:E,1,FALSE)=E64)),NOT(ISERROR(VLOOKUP(E64,'HIDDEN calc sheet'!A:C,1,FALSE)=E64)))),MD!$A$3,MD!$A$2)))</f>
        <v>Mandatory for optional feature</v>
      </c>
      <c r="E64" t="str">
        <f>IF('HIDDEN import'!F63=0,"",'HIDDEN import'!F63)</f>
        <v>C-16</v>
      </c>
      <c r="F64" t="str">
        <f>IF('HIDDEN import'!G63=0,"",'HIDDEN import'!G63)</f>
        <v xml:space="preserve"> Check TransactionStatus</v>
      </c>
      <c r="G64" s="39" t="str">
        <f>IFERROR(VLOOKUP($A64,'HIDDEN Testrun Results'!$A:$B,2,FALSE),"")</f>
        <v/>
      </c>
      <c r="H64" s="39" t="b">
        <f t="shared" si="0"/>
        <v>0</v>
      </c>
      <c r="I64" s="39" t="b">
        <f>IF(VLOOKUP(A64&amp;" "&amp;B64,'HIDDEN import'!A:G,5,FALSE)="M",TRUE,IFERROR(VLOOKUP(E64,'Optional features'!B:E,3,FALSE)="Yes",IFERROR(VLOOKUP(E64,'HIDDEN calc sheet'!A:B,2,FALSE),VLOOKUP(E64,'Additional questions'!B:D,3,FALSE)="Yes")))</f>
        <v>0</v>
      </c>
      <c r="J64" t="b">
        <f>IF(VLOOKUP(B64,'Profile selection'!B:C,2,FALSE)="Yes",TRUE,FALSE)</f>
        <v>1</v>
      </c>
      <c r="K64" s="17" t="b">
        <f>IF(AND(D64=MD!$A$1,M64),TRUE,(IF(AND(D64=MD!$A$3,M64),(IF(L64=TRUE,TRUE,FALSE)),(IF(AND(D64=MD!$A$2,M64),(IF(N64=TRUE,TRUE,FALSE)),FALSE)))))</f>
        <v>0</v>
      </c>
      <c r="M64" t="b">
        <f>IF(VLOOKUP(B64,'Profile selection'!B:C,2,FALSE)="Yes",TRUE,FALSE)</f>
        <v>1</v>
      </c>
    </row>
    <row r="65" spans="1:13" x14ac:dyDescent="0.25">
      <c r="A65" t="str">
        <f>'HIDDEN import'!B64</f>
        <v>TC_E_33_CSMS</v>
      </c>
      <c r="B65" t="str">
        <f>'HIDDEN import'!C64</f>
        <v>Core</v>
      </c>
      <c r="C65" t="str">
        <f>'HIDDEN import'!D64</f>
        <v>Check Transaction status - Without transactionId - with message in queue</v>
      </c>
      <c r="D65" t="str">
        <f>IF(VLOOKUP(A65&amp;" "&amp;B65,'HIDDEN import'!A:G,5,FALSE)="M",MD!$A$1,(IF(AND(VLOOKUP(A65,'HIDDEN import'!B:E,4,FALSE)="C",OR(NOT(ISERROR(VLOOKUP(E65,'Optional features'!B:E,1,FALSE)=E65)),NOT(ISERROR(VLOOKUP(E65,'HIDDEN calc sheet'!A:C,1,FALSE)=E65)))),MD!$A$3,MD!$A$2)))</f>
        <v>Mandatory for optional feature</v>
      </c>
      <c r="E65" t="str">
        <f>IF('HIDDEN import'!F64=0,"",'HIDDEN import'!F64)</f>
        <v>C-16</v>
      </c>
      <c r="F65" t="str">
        <f>IF('HIDDEN import'!G64=0,"",'HIDDEN import'!G64)</f>
        <v>Check TransactionStatus</v>
      </c>
      <c r="G65" s="39" t="str">
        <f>IFERROR(VLOOKUP($A65,'HIDDEN Testrun Results'!$A:$B,2,FALSE),"")</f>
        <v/>
      </c>
      <c r="H65" s="39" t="b">
        <f t="shared" si="0"/>
        <v>0</v>
      </c>
      <c r="I65" s="39" t="b">
        <f>IF(VLOOKUP(A65&amp;" "&amp;B65,'HIDDEN import'!A:G,5,FALSE)="M",TRUE,IFERROR(VLOOKUP(E65,'Optional features'!B:E,3,FALSE)="Yes",IFERROR(VLOOKUP(E65,'HIDDEN calc sheet'!A:B,2,FALSE),VLOOKUP(E65,'Additional questions'!B:D,3,FALSE)="Yes")))</f>
        <v>0</v>
      </c>
      <c r="J65" t="b">
        <f>IF(VLOOKUP(B65,'Profile selection'!B:C,2,FALSE)="Yes",TRUE,FALSE)</f>
        <v>1</v>
      </c>
      <c r="K65" s="17" t="b">
        <f>IF(AND(D65=MD!$A$1,M65),TRUE,(IF(AND(D65=MD!$A$3,M65),(IF(L65=TRUE,TRUE,FALSE)),(IF(AND(D65=MD!$A$2,M65),(IF(N65=TRUE,TRUE,FALSE)),FALSE)))))</f>
        <v>0</v>
      </c>
      <c r="M65" t="b">
        <f>IF(VLOOKUP(B65,'Profile selection'!B:C,2,FALSE)="Yes",TRUE,FALSE)</f>
        <v>1</v>
      </c>
    </row>
    <row r="66" spans="1:13" x14ac:dyDescent="0.25">
      <c r="A66" t="str">
        <f>'HIDDEN import'!B65</f>
        <v>TC_E_34_CSMS</v>
      </c>
      <c r="B66" t="str">
        <f>'HIDDEN import'!C65</f>
        <v>Core</v>
      </c>
      <c r="C66" t="str">
        <f>'HIDDEN import'!D65</f>
        <v>Check Transaction status - Without transactionId - without message in queue</v>
      </c>
      <c r="D66" t="str">
        <f>IF(VLOOKUP(A66&amp;" "&amp;B66,'HIDDEN import'!A:G,5,FALSE)="M",MD!$A$1,(IF(AND(VLOOKUP(A66,'HIDDEN import'!B:E,4,FALSE)="C",OR(NOT(ISERROR(VLOOKUP(E66,'Optional features'!B:E,1,FALSE)=E66)),NOT(ISERROR(VLOOKUP(E66,'HIDDEN calc sheet'!A:C,1,FALSE)=E66)))),MD!$A$3,MD!$A$2)))</f>
        <v>Mandatory for optional feature</v>
      </c>
      <c r="E66" t="str">
        <f>IF('HIDDEN import'!F65=0,"",'HIDDEN import'!F65)</f>
        <v>C-16</v>
      </c>
      <c r="F66" t="str">
        <f>IF('HIDDEN import'!G65=0,"",'HIDDEN import'!G65)</f>
        <v>Check TransactionStatus</v>
      </c>
      <c r="G66" s="39" t="str">
        <f>IFERROR(VLOOKUP($A66,'HIDDEN Testrun Results'!$A:$B,2,FALSE),"")</f>
        <v/>
      </c>
      <c r="H66" s="39" t="b">
        <f t="shared" si="0"/>
        <v>0</v>
      </c>
      <c r="I66" s="39" t="b">
        <f>IF(VLOOKUP(A66&amp;" "&amp;B66,'HIDDEN import'!A:G,5,FALSE)="M",TRUE,IFERROR(VLOOKUP(E66,'Optional features'!B:E,3,FALSE)="Yes",IFERROR(VLOOKUP(E66,'HIDDEN calc sheet'!A:B,2,FALSE),VLOOKUP(E66,'Additional questions'!B:D,3,FALSE)="Yes")))</f>
        <v>0</v>
      </c>
      <c r="J66" t="b">
        <f>IF(VLOOKUP(B66,'Profile selection'!B:C,2,FALSE)="Yes",TRUE,FALSE)</f>
        <v>1</v>
      </c>
      <c r="K66" s="17" t="b">
        <f>IF(AND(D66=MD!$A$1,M66),TRUE,(IF(AND(D66=MD!$A$3,M66),(IF(L66=TRUE,TRUE,FALSE)),(IF(AND(D66=MD!$A$2,M66),(IF(N66=TRUE,TRUE,FALSE)),FALSE)))))</f>
        <v>0</v>
      </c>
      <c r="M66" t="b">
        <f>IF(VLOOKUP(B66,'Profile selection'!B:C,2,FALSE)="Yes",TRUE,FALSE)</f>
        <v>1</v>
      </c>
    </row>
    <row r="67" spans="1:13" x14ac:dyDescent="0.25">
      <c r="A67" t="str">
        <f>'HIDDEN import'!B66</f>
        <v>TC_E_53_CSMS</v>
      </c>
      <c r="B67" t="str">
        <f>'HIDDEN import'!C66</f>
        <v>Core</v>
      </c>
      <c r="C67" t="str">
        <f>'HIDDEN import'!D66</f>
        <v>Reset Sequence Number - CSMS accepting _seqNo_ = 0 at start of transaction</v>
      </c>
      <c r="D67" t="str">
        <f>IF(VLOOKUP(A67&amp;" "&amp;B67,'HIDDEN import'!A:G,5,FALSE)="M",MD!$A$1,(IF(AND(VLOOKUP(A67,'HIDDEN import'!B:E,4,FALSE)="C",OR(NOT(ISERROR(VLOOKUP(E67,'Optional features'!B:E,1,FALSE)=E67)),NOT(ISERROR(VLOOKUP(E67,'HIDDEN calc sheet'!A:C,1,FALSE)=E67)))),MD!$A$3,MD!$A$2)))</f>
        <v>Mandatory test for a mandatory feature</v>
      </c>
      <c r="E67" t="str">
        <f>IF('HIDDEN import'!F66=0,"",'HIDDEN import'!F66)</f>
        <v/>
      </c>
      <c r="F67" t="str">
        <f>IF('HIDDEN import'!G66=0,"",'HIDDEN import'!G66)</f>
        <v/>
      </c>
      <c r="G67" s="39" t="str">
        <f>IFERROR(VLOOKUP($A67,'HIDDEN Testrun Results'!$A:$B,2,FALSE),"")</f>
        <v/>
      </c>
      <c r="H67" s="39" t="b">
        <f t="shared" si="0"/>
        <v>1</v>
      </c>
      <c r="I67" s="39" t="b">
        <f>IF(VLOOKUP(A67&amp;" "&amp;B67,'HIDDEN import'!A:G,5,FALSE)="M",TRUE,IFERROR(VLOOKUP(E67,'Optional features'!B:E,3,FALSE)="Yes",IFERROR(VLOOKUP(E67,'HIDDEN calc sheet'!A:B,2,FALSE),VLOOKUP(E67,'Additional questions'!B:D,3,FALSE)="Yes")))</f>
        <v>1</v>
      </c>
      <c r="J67" t="b">
        <f>IF(VLOOKUP(B67,'Profile selection'!B:C,2,FALSE)="Yes",TRUE,FALSE)</f>
        <v>1</v>
      </c>
      <c r="K67" s="17" t="b">
        <f>IF(AND(D67=MD!$A$1,M67),TRUE,(IF(AND(D67=MD!$A$3,M67),(IF(L67=TRUE,TRUE,FALSE)),(IF(AND(D67=MD!$A$2,M67),(IF(N67=TRUE,TRUE,FALSE)),FALSE)))))</f>
        <v>1</v>
      </c>
      <c r="L67" t="b">
        <f>IF(ISNA(VLOOKUP(E67,'Optional features'!B:D,3,FALSE)),FALSE,IF(VLOOKUP(E67,'Optional features'!B:D,3,FALSE)="Yes",TRUE,FALSE))</f>
        <v>0</v>
      </c>
      <c r="M67" t="b">
        <f>IF(VLOOKUP(B67,'Profile selection'!B:C,2,FALSE)="Yes",TRUE,FALSE)</f>
        <v>1</v>
      </c>
    </row>
    <row r="68" spans="1:13" x14ac:dyDescent="0.25">
      <c r="A68" t="str">
        <f>'HIDDEN import'!B67</f>
        <v>TC_F_01_CSMS</v>
      </c>
      <c r="B68" t="str">
        <f>'HIDDEN import'!C67</f>
        <v>Core</v>
      </c>
      <c r="C68" t="str">
        <f>'HIDDEN import'!D67</f>
        <v>Remote start transaction - Cable plugin first</v>
      </c>
      <c r="D68" t="str">
        <f>IF(VLOOKUP(A68&amp;" "&amp;B68,'HIDDEN import'!A:G,5,FALSE)="M",MD!$A$1,(IF(AND(VLOOKUP(A68,'HIDDEN import'!B:E,4,FALSE)="C",OR(NOT(ISERROR(VLOOKUP(E68,'Optional features'!B:E,1,FALSE)=E68)),NOT(ISERROR(VLOOKUP(E68,'HIDDEN calc sheet'!A:C,1,FALSE)=E68)))),MD!$A$3,MD!$A$2)))</f>
        <v>Mandatory test for a mandatory feature</v>
      </c>
      <c r="E68" t="str">
        <f>IF('HIDDEN import'!F67=0,"",'HIDDEN import'!F67)</f>
        <v>NOT AQ-2 and (C-36 or C-37 or C-38 or C-39)</v>
      </c>
      <c r="F68" t="str">
        <f>IF('HIDDEN import'!G67=0,"",'HIDDEN import'!G67)</f>
        <v>Authorization options for remote start</v>
      </c>
      <c r="G68" s="39" t="str">
        <f>IFERROR(VLOOKUP($A68,'HIDDEN Testrun Results'!$A:$B,2,FALSE),"")</f>
        <v/>
      </c>
      <c r="H68" s="39" t="b">
        <f t="shared" ref="H68:H131" si="1">IF(NOT(ISLOGICAL(I68)),I68,AND(I68,J68))</f>
        <v>1</v>
      </c>
      <c r="I68" s="39" t="b">
        <f>IF(VLOOKUP(A68&amp;" "&amp;B68,'HIDDEN import'!A:G,5,FALSE)="M",TRUE,IFERROR(VLOOKUP(E68,'Optional features'!B:E,3,FALSE)="Yes",IFERROR(VLOOKUP(E68,'HIDDEN calc sheet'!A:B,2,FALSE),VLOOKUP(E68,'Additional questions'!B:D,3,FALSE)="Yes")))</f>
        <v>1</v>
      </c>
      <c r="J68" t="b">
        <f>IF(VLOOKUP(B68,'Profile selection'!B:C,2,FALSE)="Yes",TRUE,FALSE)</f>
        <v>1</v>
      </c>
      <c r="K68" s="17" t="b">
        <f>IF(AND(D68=MD!$A$1,M68),TRUE,(IF(AND(D68=MD!$A$3,M68),(IF(L68=TRUE,TRUE,FALSE)),(IF(AND(D68=MD!$A$2,M68),(IF(N68=TRUE,TRUE,FALSE)),FALSE)))))</f>
        <v>1</v>
      </c>
      <c r="L68" t="b">
        <f>IF('Optional features'!D12="Yes",TRUE,FALSE)</f>
        <v>0</v>
      </c>
      <c r="M68" t="b">
        <f>IF(VLOOKUP(B68,'Profile selection'!B:C,2,FALSE)="Yes",TRUE,FALSE)</f>
        <v>1</v>
      </c>
    </row>
    <row r="69" spans="1:13" x14ac:dyDescent="0.25">
      <c r="A69" t="str">
        <f>'HIDDEN import'!B68</f>
        <v>TC_F_02_CSMS</v>
      </c>
      <c r="B69" t="str">
        <f>'HIDDEN import'!C68</f>
        <v>Core</v>
      </c>
      <c r="C69" t="str">
        <f>'HIDDEN import'!D68</f>
        <v>Remote start transaction - Remote start first - AuthorizeRemoteStart is true</v>
      </c>
      <c r="D69" t="str">
        <f>IF(VLOOKUP(A69&amp;" "&amp;B69,'HIDDEN import'!A:G,5,FALSE)="M",MD!$A$1,(IF(AND(VLOOKUP(A69,'HIDDEN import'!B:E,4,FALSE)="C",OR(NOT(ISERROR(VLOOKUP(E69,'Optional features'!B:E,1,FALSE)=E69)),NOT(ISERROR(VLOOKUP(E69,'HIDDEN calc sheet'!A:C,1,FALSE)=E69)))),MD!$A$3,MD!$A$2)))</f>
        <v>Mandatory test for a mandatory feature</v>
      </c>
      <c r="E69" t="str">
        <f>IF('HIDDEN import'!F68=0,"",'HIDDEN import'!F68)</f>
        <v>C-48.1 and (C-36 or C-37 or C-38 or C-39)</v>
      </c>
      <c r="F69" t="str">
        <f>IF('HIDDEN import'!G68=0,"",'HIDDEN import'!G68)</f>
        <v>Authorization options for remote start</v>
      </c>
      <c r="G69" s="39" t="str">
        <f>IFERROR(VLOOKUP($A69,'HIDDEN Testrun Results'!$A:$B,2,FALSE),"")</f>
        <v/>
      </c>
      <c r="H69" s="39" t="b">
        <f t="shared" si="1"/>
        <v>1</v>
      </c>
      <c r="I69" s="39" t="b">
        <f>IF(VLOOKUP(A69&amp;" "&amp;B69,'HIDDEN import'!A:G,5,FALSE)="M",TRUE,IFERROR(VLOOKUP(E69,'Optional features'!B:E,3,FALSE)="Yes",IFERROR(VLOOKUP(E69,'HIDDEN calc sheet'!A:B,2,FALSE),VLOOKUP(E69,'Additional questions'!B:D,3,FALSE)="Yes")))</f>
        <v>1</v>
      </c>
      <c r="J69" t="b">
        <f>IF(VLOOKUP(B69,'Profile selection'!B:C,2,FALSE)="Yes",TRUE,FALSE)</f>
        <v>1</v>
      </c>
      <c r="K69" s="17" t="b">
        <f>IF(AND(D69=MD!$A$1,M69),TRUE,(IF(AND(D69=MD!$A$3,M69),(IF(L69=TRUE,TRUE,FALSE)),(IF(AND(D69=MD!$A$2,M69),(IF(N69=TRUE,TRUE,FALSE)),FALSE)))))</f>
        <v>1</v>
      </c>
      <c r="L69" t="b">
        <f>IF('Optional features'!D13="Yes",TRUE,FALSE)</f>
        <v>0</v>
      </c>
      <c r="M69" t="b">
        <f>IF(VLOOKUP(B69,'Profile selection'!B:C,2,FALSE)="Yes",TRUE,FALSE)</f>
        <v>1</v>
      </c>
    </row>
    <row r="70" spans="1:13" x14ac:dyDescent="0.25">
      <c r="A70" t="str">
        <f>'HIDDEN import'!B69</f>
        <v>TC_F_03_CSMS</v>
      </c>
      <c r="B70" t="str">
        <f>'HIDDEN import'!C69</f>
        <v>Core</v>
      </c>
      <c r="C70" t="str">
        <f>'HIDDEN import'!D69</f>
        <v>Remote start transaction - Remote start first - AuthorizeRemoteStart is false</v>
      </c>
      <c r="D70" t="str">
        <f>IF(VLOOKUP(A70&amp;" "&amp;B70,'HIDDEN import'!A:G,5,FALSE)="M",MD!$A$1,(IF(AND(VLOOKUP(A70,'HIDDEN import'!B:E,4,FALSE)="C",OR(NOT(ISERROR(VLOOKUP(E70,'Optional features'!B:E,1,FALSE)=E70)),NOT(ISERROR(VLOOKUP(E70,'HIDDEN calc sheet'!A:C,1,FALSE)=E70)))),MD!$A$3,MD!$A$2)))</f>
        <v>Mandatory test for a mandatory feature</v>
      </c>
      <c r="E70" t="str">
        <f>IF('HIDDEN import'!F69=0,"",'HIDDEN import'!F69)</f>
        <v>C-48.2 and (C-36 or C-37 or C-38 or C-39)</v>
      </c>
      <c r="F70" t="str">
        <f>IF('HIDDEN import'!G69=0,"",'HIDDEN import'!G69)</f>
        <v>Authorization options for remote start</v>
      </c>
      <c r="G70" s="39" t="str">
        <f>IFERROR(VLOOKUP($A70,'HIDDEN Testrun Results'!$A:$B,2,FALSE),"")</f>
        <v/>
      </c>
      <c r="H70" s="39" t="b">
        <f t="shared" si="1"/>
        <v>1</v>
      </c>
      <c r="I70" s="39" t="b">
        <f>IF(VLOOKUP(A70&amp;" "&amp;B70,'HIDDEN import'!A:G,5,FALSE)="M",TRUE,IFERROR(VLOOKUP(E70,'Optional features'!B:E,3,FALSE)="Yes",IFERROR(VLOOKUP(E70,'HIDDEN calc sheet'!A:B,2,FALSE),VLOOKUP(E70,'Additional questions'!B:D,3,FALSE)="Yes")))</f>
        <v>1</v>
      </c>
      <c r="J70" t="b">
        <f>IF(VLOOKUP(B70,'Profile selection'!B:C,2,FALSE)="Yes",TRUE,FALSE)</f>
        <v>1</v>
      </c>
      <c r="K70" s="17" t="b">
        <f>IF(AND(D70=MD!$A$1,M70),TRUE,(IF(AND(D70=MD!$A$3,M70),(IF(L70=TRUE,TRUE,FALSE)),(IF(AND(D70=MD!$A$2,M70),(IF(N70=TRUE,TRUE,FALSE)),FALSE)))))</f>
        <v>1</v>
      </c>
      <c r="L70" t="b">
        <f>IF('Optional features'!D14="Yes",TRUE,FALSE)</f>
        <v>0</v>
      </c>
      <c r="M70" t="b">
        <f>IF(VLOOKUP(B70,'Profile selection'!B:C,2,FALSE)="Yes",TRUE,FALSE)</f>
        <v>1</v>
      </c>
    </row>
    <row r="71" spans="1:13" x14ac:dyDescent="0.25">
      <c r="A71" t="str">
        <f>'HIDDEN import'!B70</f>
        <v>TC_F_04_CSMS</v>
      </c>
      <c r="B71" t="str">
        <f>'HIDDEN import'!C70</f>
        <v>Core</v>
      </c>
      <c r="C71" t="str">
        <f>'HIDDEN import'!D70</f>
        <v>Remote start transaction - Remote start first - Cable plugin timeout</v>
      </c>
      <c r="D71" t="str">
        <f>IF(VLOOKUP(A71&amp;" "&amp;B71,'HIDDEN import'!A:G,5,FALSE)="M",MD!$A$1,(IF(AND(VLOOKUP(A71,'HIDDEN import'!B:E,4,FALSE)="C",OR(NOT(ISERROR(VLOOKUP(E71,'Optional features'!B:E,1,FALSE)=E71)),NOT(ISERROR(VLOOKUP(E71,'HIDDEN calc sheet'!A:C,1,FALSE)=E71)))),MD!$A$3,MD!$A$2)))</f>
        <v>Mandatory test for a mandatory feature</v>
      </c>
      <c r="E71" t="str">
        <f>IF('HIDDEN import'!F70=0,"",'HIDDEN import'!F70)</f>
        <v/>
      </c>
      <c r="F71" t="str">
        <f>IF('HIDDEN import'!G70=0,"",'HIDDEN import'!G70)</f>
        <v/>
      </c>
      <c r="G71" s="39" t="str">
        <f>IFERROR(VLOOKUP($A71,'HIDDEN Testrun Results'!$A:$B,2,FALSE),"")</f>
        <v/>
      </c>
      <c r="H71" s="39" t="b">
        <f t="shared" si="1"/>
        <v>1</v>
      </c>
      <c r="I71" s="39" t="b">
        <f>IF(VLOOKUP(A71&amp;" "&amp;B71,'HIDDEN import'!A:G,5,FALSE)="M",TRUE,IFERROR(VLOOKUP(E71,'Optional features'!B:E,3,FALSE)="Yes",IFERROR(VLOOKUP(E71,'HIDDEN calc sheet'!A:B,2,FALSE),VLOOKUP(E71,'Additional questions'!B:D,3,FALSE)="Yes")))</f>
        <v>1</v>
      </c>
      <c r="J71" t="b">
        <f>IF(VLOOKUP(B71,'Profile selection'!B:C,2,FALSE)="Yes",TRUE,FALSE)</f>
        <v>1</v>
      </c>
      <c r="K71" s="17" t="b">
        <f>IF(AND(D71=MD!$A$1,M71),TRUE,(IF(AND(D71=MD!$A$3,M71),(IF(L71=TRUE,TRUE,FALSE)),(IF(AND(D71=MD!$A$2,M71),(IF(N71=TRUE,TRUE,FALSE)),FALSE)))))</f>
        <v>1</v>
      </c>
      <c r="L71" t="b">
        <f>IF('Optional features'!D15="Yes",TRUE,FALSE)</f>
        <v>0</v>
      </c>
      <c r="M71" t="b">
        <f>IF(VLOOKUP(B71,'Profile selection'!B:C,2,FALSE)="Yes",TRUE,FALSE)</f>
        <v>1</v>
      </c>
    </row>
    <row r="72" spans="1:13" x14ac:dyDescent="0.25">
      <c r="A72" t="str">
        <f>'HIDDEN import'!B71</f>
        <v>TC_F_06_CSMS</v>
      </c>
      <c r="B72" t="str">
        <f>'HIDDEN import'!C71</f>
        <v>Core</v>
      </c>
      <c r="C72" t="str">
        <f>'HIDDEN import'!D71</f>
        <v>Remote unlock Connector - Without ongoing transaction - Accepted</v>
      </c>
      <c r="D72" t="str">
        <f>IF(VLOOKUP(A72&amp;" "&amp;B72,'HIDDEN import'!A:G,5,FALSE)="M",MD!$A$1,(IF(AND(VLOOKUP(A72,'HIDDEN import'!B:E,4,FALSE)="C",OR(NOT(ISERROR(VLOOKUP(E72,'Optional features'!B:E,1,FALSE)=E72)),NOT(ISERROR(VLOOKUP(E72,'HIDDEN calc sheet'!A:C,1,FALSE)=E72)))),MD!$A$3,MD!$A$2)))</f>
        <v>Mandatory for optional feature</v>
      </c>
      <c r="E72" t="str">
        <f>IF('HIDDEN import'!F71=0,"",'HIDDEN import'!F71)</f>
        <v>C-11</v>
      </c>
      <c r="F72" t="str">
        <f>IF('HIDDEN import'!G71=0,"",'HIDDEN import'!G71)</f>
        <v/>
      </c>
      <c r="G72" s="39" t="str">
        <f>IFERROR(VLOOKUP($A72,'HIDDEN Testrun Results'!$A:$B,2,FALSE),"")</f>
        <v/>
      </c>
      <c r="H72" s="39" t="b">
        <f t="shared" si="1"/>
        <v>0</v>
      </c>
      <c r="I72" s="39" t="b">
        <f>IF(VLOOKUP(A72&amp;" "&amp;B72,'HIDDEN import'!A:G,5,FALSE)="M",TRUE,IFERROR(VLOOKUP(E72,'Optional features'!B:E,3,FALSE)="Yes",IFERROR(VLOOKUP(E72,'HIDDEN calc sheet'!A:B,2,FALSE),VLOOKUP(E72,'Additional questions'!B:D,3,FALSE)="Yes")))</f>
        <v>0</v>
      </c>
      <c r="J72" t="b">
        <f>IF(VLOOKUP(B72,'Profile selection'!B:C,2,FALSE)="Yes",TRUE,FALSE)</f>
        <v>1</v>
      </c>
      <c r="K72" s="17" t="b">
        <f>IF(AND(D72=MD!$A$1,M72),TRUE,(IF(AND(D72=MD!$A$3,M72),(IF(L72=TRUE,TRUE,FALSE)),(IF(AND(D72=MD!$A$2,M72),(IF(N72=TRUE,TRUE,FALSE)),FALSE)))))</f>
        <v>0</v>
      </c>
      <c r="L72" t="b">
        <f>IF('Optional features'!D16="Yes",TRUE,FALSE)</f>
        <v>0</v>
      </c>
      <c r="M72" t="b">
        <f>IF(VLOOKUP(B72,'Profile selection'!B:C,2,FALSE)="Yes",TRUE,FALSE)</f>
        <v>1</v>
      </c>
    </row>
    <row r="73" spans="1:13" x14ac:dyDescent="0.25">
      <c r="A73" t="str">
        <f>'HIDDEN import'!B72</f>
        <v>TC_F_11_CSMS</v>
      </c>
      <c r="B73" t="str">
        <f>'HIDDEN import'!C72</f>
        <v>Core</v>
      </c>
      <c r="C73" t="str">
        <f>'HIDDEN import'!D72</f>
        <v>Trigger message - MeterValues - Specific EVSE</v>
      </c>
      <c r="D73" t="str">
        <f>IF(VLOOKUP(A73&amp;" "&amp;B73,'HIDDEN import'!A:G,5,FALSE)="M",MD!$A$1,(IF(AND(VLOOKUP(A73,'HIDDEN import'!B:E,4,FALSE)="C",OR(NOT(ISERROR(VLOOKUP(E73,'Optional features'!B:E,1,FALSE)=E73)),NOT(ISERROR(VLOOKUP(E73,'HIDDEN calc sheet'!A:C,1,FALSE)=E73)))),MD!$A$3,MD!$A$2)))</f>
        <v>Mandatory for optional feature</v>
      </c>
      <c r="E73" t="str">
        <f>IF('HIDDEN import'!F72=0,"",'HIDDEN import'!F72)</f>
        <v>C-29.1</v>
      </c>
      <c r="F73" t="str">
        <f>IF('HIDDEN import'!G72=0,"",'HIDDEN import'!G72)</f>
        <v>TriggerMessage</v>
      </c>
      <c r="G73" s="39" t="str">
        <f>IFERROR(VLOOKUP($A73,'HIDDEN Testrun Results'!$A:$B,2,FALSE),"")</f>
        <v/>
      </c>
      <c r="H73" s="39" t="b">
        <f t="shared" si="1"/>
        <v>0</v>
      </c>
      <c r="I73" s="39" t="b">
        <f>IF(VLOOKUP(A73&amp;" "&amp;B73,'HIDDEN import'!A:G,5,FALSE)="M",TRUE,IFERROR(VLOOKUP(E73,'Optional features'!B:E,3,FALSE)="Yes",IFERROR(VLOOKUP(E73,'HIDDEN calc sheet'!A:B,2,FALSE),VLOOKUP(E73,'Additional questions'!B:D,3,FALSE)="Yes")))</f>
        <v>0</v>
      </c>
      <c r="J73" t="b">
        <f>IF(VLOOKUP(B73,'Profile selection'!B:C,2,FALSE)="Yes",TRUE,FALSE)</f>
        <v>1</v>
      </c>
      <c r="K73" s="17" t="b">
        <f>IF(AND(D73=MD!$A$1,M73),TRUE,(IF(AND(D73=MD!$A$3,M73),(IF(L73=TRUE,TRUE,FALSE)),(IF(AND(D73=MD!$A$2,M73),(IF(N73=TRUE,TRUE,FALSE)),FALSE)))))</f>
        <v>0</v>
      </c>
      <c r="L73" t="b">
        <f>VLOOKUP(E73,'Optional features'!$B:$D,3,FALSE)="Yes"</f>
        <v>0</v>
      </c>
      <c r="M73" t="b">
        <f>IF(VLOOKUP(B73,'Profile selection'!B:C,2,FALSE)="Yes",TRUE,FALSE)</f>
        <v>1</v>
      </c>
    </row>
    <row r="74" spans="1:13" x14ac:dyDescent="0.25">
      <c r="A74" t="str">
        <f>'HIDDEN import'!B73</f>
        <v>TC_F_12_CSMS</v>
      </c>
      <c r="B74" t="str">
        <f>'HIDDEN import'!C73</f>
        <v>Core</v>
      </c>
      <c r="C74" t="str">
        <f>'HIDDEN import'!D73</f>
        <v>Trigger message - MeterValues - All EVSE</v>
      </c>
      <c r="D74" t="str">
        <f>IF(VLOOKUP(A74&amp;" "&amp;B74,'HIDDEN import'!A:G,5,FALSE)="M",MD!$A$1,(IF(AND(VLOOKUP(A74,'HIDDEN import'!B:E,4,FALSE)="C",OR(NOT(ISERROR(VLOOKUP(E74,'Optional features'!B:E,1,FALSE)=E74)),NOT(ISERROR(VLOOKUP(E74,'HIDDEN calc sheet'!A:C,1,FALSE)=E74)))),MD!$A$3,MD!$A$2)))</f>
        <v>Mandatory for optional feature</v>
      </c>
      <c r="E74" t="str">
        <f>IF('HIDDEN import'!F73=0,"",'HIDDEN import'!F73)</f>
        <v>C-29.1</v>
      </c>
      <c r="F74" t="str">
        <f>IF('HIDDEN import'!G73=0,"",'HIDDEN import'!G73)</f>
        <v>TriggerMessage</v>
      </c>
      <c r="G74" s="39" t="str">
        <f>IFERROR(VLOOKUP($A74,'HIDDEN Testrun Results'!$A:$B,2,FALSE),"")</f>
        <v/>
      </c>
      <c r="H74" s="39" t="b">
        <f t="shared" si="1"/>
        <v>0</v>
      </c>
      <c r="I74" s="39" t="b">
        <f>IF(VLOOKUP(A74&amp;" "&amp;B74,'HIDDEN import'!A:G,5,FALSE)="M",TRUE,IFERROR(VLOOKUP(E74,'Optional features'!B:E,3,FALSE)="Yes",IFERROR(VLOOKUP(E74,'HIDDEN calc sheet'!A:B,2,FALSE),VLOOKUP(E74,'Additional questions'!B:D,3,FALSE)="Yes")))</f>
        <v>0</v>
      </c>
      <c r="J74" t="b">
        <f>IF(VLOOKUP(B74,'Profile selection'!B:C,2,FALSE)="Yes",TRUE,FALSE)</f>
        <v>1</v>
      </c>
      <c r="K74" s="17" t="b">
        <f>IF(AND(D74=MD!$A$1,M74),TRUE,(IF(AND(D74=MD!$A$3,M74),(IF(L74=TRUE,TRUE,FALSE)),(IF(AND(D74=MD!$A$2,M74),(IF(N74=TRUE,TRUE,FALSE)),FALSE)))))</f>
        <v>0</v>
      </c>
      <c r="M74" t="b">
        <f>IF(VLOOKUP(B74,'Profile selection'!B:C,2,FALSE)="Yes",TRUE,FALSE)</f>
        <v>1</v>
      </c>
    </row>
    <row r="75" spans="1:13" x14ac:dyDescent="0.25">
      <c r="A75" t="str">
        <f>'HIDDEN import'!B74</f>
        <v>TC_F_13_CSMS</v>
      </c>
      <c r="B75" t="str">
        <f>'HIDDEN import'!C74</f>
        <v>Core</v>
      </c>
      <c r="C75" t="str">
        <f>'HIDDEN import'!D74</f>
        <v>Trigger message - TransactionEvent - Specific EVSE</v>
      </c>
      <c r="D75" t="str">
        <f>IF(VLOOKUP(A75&amp;" "&amp;B75,'HIDDEN import'!A:G,5,FALSE)="M",MD!$A$1,(IF(AND(VLOOKUP(A75,'HIDDEN import'!B:E,4,FALSE)="C",OR(NOT(ISERROR(VLOOKUP(E75,'Optional features'!B:E,1,FALSE)=E75)),NOT(ISERROR(VLOOKUP(E75,'HIDDEN calc sheet'!A:C,1,FALSE)=E75)))),MD!$A$3,MD!$A$2)))</f>
        <v>Mandatory for optional feature</v>
      </c>
      <c r="E75" t="str">
        <f>IF('HIDDEN import'!F74=0,"",'HIDDEN import'!F74)</f>
        <v>C-29.2</v>
      </c>
      <c r="F75" t="str">
        <f>IF('HIDDEN import'!G74=0,"",'HIDDEN import'!G74)</f>
        <v>TriggerMessage</v>
      </c>
      <c r="G75" s="39" t="str">
        <f>IFERROR(VLOOKUP($A75,'HIDDEN Testrun Results'!$A:$B,2,FALSE),"")</f>
        <v/>
      </c>
      <c r="H75" s="39" t="b">
        <f t="shared" si="1"/>
        <v>0</v>
      </c>
      <c r="I75" s="39" t="b">
        <f>IF(VLOOKUP(A75&amp;" "&amp;B75,'HIDDEN import'!A:G,5,FALSE)="M",TRUE,IFERROR(VLOOKUP(E75,'Optional features'!B:E,3,FALSE)="Yes",IFERROR(VLOOKUP(E75,'HIDDEN calc sheet'!A:B,2,FALSE),VLOOKUP(E75,'Additional questions'!B:D,3,FALSE)="Yes")))</f>
        <v>0</v>
      </c>
      <c r="J75" t="b">
        <f>IF(VLOOKUP(B75,'Profile selection'!B:C,2,FALSE)="Yes",TRUE,FALSE)</f>
        <v>1</v>
      </c>
      <c r="K75" s="17" t="b">
        <f>IF(AND(D75=MD!$A$1,M75),TRUE,(IF(AND(D75=MD!$A$3,M75),(IF(L75=TRUE,TRUE,FALSE)),(IF(AND(D75=MD!$A$2,M75),(IF(N75=TRUE,TRUE,FALSE)),FALSE)))))</f>
        <v>0</v>
      </c>
      <c r="L75" t="b">
        <f>VLOOKUP(E75,'Optional features'!$B:$D,3,FALSE)="Yes"</f>
        <v>0</v>
      </c>
      <c r="M75" t="b">
        <f>IF(VLOOKUP(B75,'Profile selection'!B:C,2,FALSE)="Yes",TRUE,FALSE)</f>
        <v>1</v>
      </c>
    </row>
    <row r="76" spans="1:13" x14ac:dyDescent="0.25">
      <c r="A76" t="str">
        <f>'HIDDEN import'!B75</f>
        <v>TC_F_14_CSMS</v>
      </c>
      <c r="B76" t="str">
        <f>'HIDDEN import'!C75</f>
        <v>Core</v>
      </c>
      <c r="C76" t="str">
        <f>'HIDDEN import'!D75</f>
        <v>Trigger message - TransactionEvent - All EVSE</v>
      </c>
      <c r="D76" t="str">
        <f>IF(VLOOKUP(A76&amp;" "&amp;B76,'HIDDEN import'!A:G,5,FALSE)="M",MD!$A$1,(IF(AND(VLOOKUP(A76,'HIDDEN import'!B:E,4,FALSE)="C",OR(NOT(ISERROR(VLOOKUP(E76,'Optional features'!B:E,1,FALSE)=E76)),NOT(ISERROR(VLOOKUP(E76,'HIDDEN calc sheet'!A:C,1,FALSE)=E76)))),MD!$A$3,MD!$A$2)))</f>
        <v>Mandatory for optional feature</v>
      </c>
      <c r="E76" t="str">
        <f>IF('HIDDEN import'!F75=0,"",'HIDDEN import'!F75)</f>
        <v>C-29.2</v>
      </c>
      <c r="F76" t="str">
        <f>IF('HIDDEN import'!G75=0,"",'HIDDEN import'!G75)</f>
        <v>TriggerMessage</v>
      </c>
      <c r="G76" s="39" t="str">
        <f>IFERROR(VLOOKUP($A76,'HIDDEN Testrun Results'!$A:$B,2,FALSE),"")</f>
        <v/>
      </c>
      <c r="H76" s="39" t="b">
        <f t="shared" si="1"/>
        <v>0</v>
      </c>
      <c r="I76" s="39" t="b">
        <f>IF(VLOOKUP(A76&amp;" "&amp;B76,'HIDDEN import'!A:G,5,FALSE)="M",TRUE,IFERROR(VLOOKUP(E76,'Optional features'!B:E,3,FALSE)="Yes",IFERROR(VLOOKUP(E76,'HIDDEN calc sheet'!A:B,2,FALSE),VLOOKUP(E76,'Additional questions'!B:D,3,FALSE)="Yes")))</f>
        <v>0</v>
      </c>
      <c r="J76" t="b">
        <f>IF(VLOOKUP(B76,'Profile selection'!B:C,2,FALSE)="Yes",TRUE,FALSE)</f>
        <v>1</v>
      </c>
      <c r="K76" s="17" t="b">
        <f>IF(AND(D76=MD!$A$1,M76),TRUE,(IF(AND(D76=MD!$A$3,M76),(IF(L76=TRUE,TRUE,FALSE)),(IF(AND(D76=MD!$A$2,M76),(IF(N76=TRUE,TRUE,FALSE)),FALSE)))))</f>
        <v>0</v>
      </c>
      <c r="L76" t="b">
        <f>VLOOKUP(E76,'Optional features'!$B:$D,3,FALSE)="Yes"</f>
        <v>0</v>
      </c>
      <c r="M76" t="b">
        <f>IF(VLOOKUP(B76,'Profile selection'!B:C,2,FALSE)="Yes",TRUE,FALSE)</f>
        <v>1</v>
      </c>
    </row>
    <row r="77" spans="1:13" x14ac:dyDescent="0.25">
      <c r="A77" t="str">
        <f>'HIDDEN import'!B76</f>
        <v>TC_F_15_CSMS</v>
      </c>
      <c r="B77" t="str">
        <f>'HIDDEN import'!C76</f>
        <v>Core</v>
      </c>
      <c r="C77" t="str">
        <f>'HIDDEN import'!D76</f>
        <v>Trigger message - LogStatusNotification - Idle</v>
      </c>
      <c r="D77" t="str">
        <f>IF(VLOOKUP(A77&amp;" "&amp;B77,'HIDDEN import'!A:G,5,FALSE)="M",MD!$A$1,(IF(AND(VLOOKUP(A77,'HIDDEN import'!B:E,4,FALSE)="C",OR(NOT(ISERROR(VLOOKUP(E77,'Optional features'!B:E,1,FALSE)=E77)),NOT(ISERROR(VLOOKUP(E77,'HIDDEN calc sheet'!A:C,1,FALSE)=E77)))),MD!$A$3,MD!$A$2)))</f>
        <v>Mandatory for optional feature</v>
      </c>
      <c r="E77" t="str">
        <f>IF('HIDDEN import'!F76=0,"",'HIDDEN import'!F76)</f>
        <v>C-29.3</v>
      </c>
      <c r="F77" t="str">
        <f>IF('HIDDEN import'!G76=0,"",'HIDDEN import'!G76)</f>
        <v>TriggerMessage</v>
      </c>
      <c r="G77" s="39" t="str">
        <f>IFERROR(VLOOKUP($A77,'HIDDEN Testrun Results'!$A:$B,2,FALSE),"")</f>
        <v/>
      </c>
      <c r="H77" s="39" t="b">
        <f t="shared" si="1"/>
        <v>0</v>
      </c>
      <c r="I77" s="39" t="b">
        <f>IF(VLOOKUP(A77&amp;" "&amp;B77,'HIDDEN import'!A:G,5,FALSE)="M",TRUE,IFERROR(VLOOKUP(E77,'Optional features'!B:E,3,FALSE)="Yes",IFERROR(VLOOKUP(E77,'HIDDEN calc sheet'!A:B,2,FALSE),VLOOKUP(E77,'Additional questions'!B:D,3,FALSE)="Yes")))</f>
        <v>0</v>
      </c>
      <c r="J77" t="b">
        <f>IF(VLOOKUP(B77,'Profile selection'!B:C,2,FALSE)="Yes",TRUE,FALSE)</f>
        <v>1</v>
      </c>
      <c r="K77" s="17" t="b">
        <f>IF(AND(D77=MD!$A$1,M77),TRUE,(IF(AND(D77=MD!$A$3,M77),(IF(L77=TRUE,TRUE,FALSE)),(IF(AND(D77=MD!$A$2,M77),(IF(N77=TRUE,TRUE,FALSE)),FALSE)))))</f>
        <v>0</v>
      </c>
      <c r="M77" t="b">
        <f>IF(VLOOKUP(B77,'Profile selection'!B:C,2,FALSE)="Yes",TRUE,FALSE)</f>
        <v>1</v>
      </c>
    </row>
    <row r="78" spans="1:13" x14ac:dyDescent="0.25">
      <c r="A78" t="str">
        <f>'HIDDEN import'!B77</f>
        <v>TC_F_18_CSMS</v>
      </c>
      <c r="B78" t="str">
        <f>'HIDDEN import'!C77</f>
        <v>Core</v>
      </c>
      <c r="C78" t="str">
        <f>'HIDDEN import'!D77</f>
        <v>Trigger message - FirmwareStatusNotification - Idle</v>
      </c>
      <c r="D78" t="str">
        <f>IF(VLOOKUP(A78&amp;" "&amp;B78,'HIDDEN import'!A:G,5,FALSE)="M",MD!$A$1,(IF(AND(VLOOKUP(A78,'HIDDEN import'!B:E,4,FALSE)="C",OR(NOT(ISERROR(VLOOKUP(E78,'Optional features'!B:E,1,FALSE)=E78)),NOT(ISERROR(VLOOKUP(E78,'HIDDEN calc sheet'!A:C,1,FALSE)=E78)))),MD!$A$3,MD!$A$2)))</f>
        <v>Mandatory for optional feature</v>
      </c>
      <c r="E78" t="str">
        <f>IF('HIDDEN import'!F77=0,"",'HIDDEN import'!F77)</f>
        <v>C-29.4</v>
      </c>
      <c r="F78" t="str">
        <f>IF('HIDDEN import'!G77=0,"",'HIDDEN import'!G77)</f>
        <v>TriggerMessage</v>
      </c>
      <c r="G78" s="39" t="str">
        <f>IFERROR(VLOOKUP($A78,'HIDDEN Testrun Results'!$A:$B,2,FALSE),"")</f>
        <v/>
      </c>
      <c r="H78" s="39" t="b">
        <f t="shared" si="1"/>
        <v>0</v>
      </c>
      <c r="I78" s="39" t="b">
        <f>IF(VLOOKUP(A78&amp;" "&amp;B78,'HIDDEN import'!A:G,5,FALSE)="M",TRUE,IFERROR(VLOOKUP(E78,'Optional features'!B:E,3,FALSE)="Yes",IFERROR(VLOOKUP(E78,'HIDDEN calc sheet'!A:B,2,FALSE),VLOOKUP(E78,'Additional questions'!B:D,3,FALSE)="Yes")))</f>
        <v>0</v>
      </c>
      <c r="J78" t="b">
        <f>IF(VLOOKUP(B78,'Profile selection'!B:C,2,FALSE)="Yes",TRUE,FALSE)</f>
        <v>1</v>
      </c>
      <c r="K78" s="17" t="b">
        <f>IF(AND(D78=MD!$A$1,M78),TRUE,(IF(AND(D78=MD!$A$3,M78),(IF(L78=TRUE,TRUE,FALSE)),(IF(AND(D78=MD!$A$2,M78),(IF(N78=TRUE,TRUE,FALSE)),FALSE)))))</f>
        <v>0</v>
      </c>
      <c r="M78" t="b">
        <f>IF(VLOOKUP(B78,'Profile selection'!B:C,2,FALSE)="Yes",TRUE,FALSE)</f>
        <v>1</v>
      </c>
    </row>
    <row r="79" spans="1:13" x14ac:dyDescent="0.25">
      <c r="A79" t="str">
        <f>'HIDDEN import'!B78</f>
        <v>TC_F_20_CSMS</v>
      </c>
      <c r="B79" t="str">
        <f>'HIDDEN import'!C78</f>
        <v>Core</v>
      </c>
      <c r="C79" t="str">
        <f>'HIDDEN import'!D78</f>
        <v>Trigger message - Heartbeat</v>
      </c>
      <c r="D79" t="str">
        <f>IF(VLOOKUP(A79&amp;" "&amp;B79,'HIDDEN import'!A:G,5,FALSE)="M",MD!$A$1,(IF(AND(VLOOKUP(A79,'HIDDEN import'!B:E,4,FALSE)="C",OR(NOT(ISERROR(VLOOKUP(E79,'Optional features'!B:E,1,FALSE)=E79)),NOT(ISERROR(VLOOKUP(E79,'HIDDEN calc sheet'!A:C,1,FALSE)=E79)))),MD!$A$3,MD!$A$2)))</f>
        <v>Mandatory test for a mandatory feature</v>
      </c>
      <c r="E79" t="str">
        <f>IF('HIDDEN import'!F78=0,"",'HIDDEN import'!F78)</f>
        <v/>
      </c>
      <c r="F79" t="str">
        <f>IF('HIDDEN import'!G78=0,"",'HIDDEN import'!G78)</f>
        <v/>
      </c>
      <c r="G79" s="39" t="str">
        <f>IFERROR(VLOOKUP($A79,'HIDDEN Testrun Results'!$A:$B,2,FALSE),"")</f>
        <v/>
      </c>
      <c r="H79" s="39" t="b">
        <f t="shared" si="1"/>
        <v>1</v>
      </c>
      <c r="I79" s="39" t="b">
        <f>IF(VLOOKUP(A79&amp;" "&amp;B79,'HIDDEN import'!A:G,5,FALSE)="M",TRUE,IFERROR(VLOOKUP(E79,'Optional features'!B:E,3,FALSE)="Yes",IFERROR(VLOOKUP(E79,'HIDDEN calc sheet'!A:B,2,FALSE),VLOOKUP(E79,'Additional questions'!B:D,3,FALSE)="Yes")))</f>
        <v>1</v>
      </c>
      <c r="J79" t="b">
        <f>IF(VLOOKUP(B79,'Profile selection'!B:C,2,FALSE)="Yes",TRUE,FALSE)</f>
        <v>1</v>
      </c>
      <c r="K79" s="17" t="b">
        <f>IF(AND(D79=MD!$A$1,M79),TRUE,(IF(AND(D79=MD!$A$3,M79),(IF(L79=TRUE,TRUE,FALSE)),(IF(AND(D79=MD!$A$2,M79),(IF(N79=TRUE,TRUE,FALSE)),FALSE)))))</f>
        <v>1</v>
      </c>
      <c r="M79" t="b">
        <f>IF(VLOOKUP(B79,'Profile selection'!B:C,2,FALSE)="Yes",TRUE,FALSE)</f>
        <v>1</v>
      </c>
    </row>
    <row r="80" spans="1:13" x14ac:dyDescent="0.25">
      <c r="A80" t="str">
        <f>'HIDDEN import'!B79</f>
        <v>TC_F_23_CSMS</v>
      </c>
      <c r="B80" t="str">
        <f>'HIDDEN import'!C79</f>
        <v>Core</v>
      </c>
      <c r="C80" t="str">
        <f>'HIDDEN import'!D79</f>
        <v>Trigger message - StatusNotification - Specific EVSE - Available</v>
      </c>
      <c r="D80" t="str">
        <f>IF(VLOOKUP(A80&amp;" "&amp;B80,'HIDDEN import'!A:G,5,FALSE)="M",MD!$A$1,(IF(AND(VLOOKUP(A80,'HIDDEN import'!B:E,4,FALSE)="C",OR(NOT(ISERROR(VLOOKUP(E80,'Optional features'!B:E,1,FALSE)=E80)),NOT(ISERROR(VLOOKUP(E80,'HIDDEN calc sheet'!A:C,1,FALSE)=E80)))),MD!$A$3,MD!$A$2)))</f>
        <v>Mandatory for optional feature</v>
      </c>
      <c r="E80" t="str">
        <f>IF('HIDDEN import'!F79=0,"",'HIDDEN import'!F79)</f>
        <v>C-29.5</v>
      </c>
      <c r="F80" t="str">
        <f>IF('HIDDEN import'!G79=0,"",'HIDDEN import'!G79)</f>
        <v>TriggerMessage</v>
      </c>
      <c r="G80" s="39" t="str">
        <f>IFERROR(VLOOKUP($A80,'HIDDEN Testrun Results'!$A:$B,2,FALSE),"")</f>
        <v/>
      </c>
      <c r="H80" s="39" t="b">
        <f t="shared" si="1"/>
        <v>0</v>
      </c>
      <c r="I80" s="39" t="b">
        <f>IF(VLOOKUP(A80&amp;" "&amp;B80,'HIDDEN import'!A:G,5,FALSE)="M",TRUE,IFERROR(VLOOKUP(E80,'Optional features'!B:E,3,FALSE)="Yes",IFERROR(VLOOKUP(E80,'HIDDEN calc sheet'!A:B,2,FALSE),VLOOKUP(E80,'Additional questions'!B:D,3,FALSE)="Yes")))</f>
        <v>0</v>
      </c>
      <c r="J80" t="b">
        <f>IF(VLOOKUP(B80,'Profile selection'!B:C,2,FALSE)="Yes",TRUE,FALSE)</f>
        <v>1</v>
      </c>
      <c r="K80" s="17" t="b">
        <f>IF(AND(D80=MD!$A$1,M80),TRUE,(IF(AND(D80=MD!$A$3,M80),(IF(L80=TRUE,TRUE,FALSE)),(IF(AND(D80=MD!$A$2,M80),(IF(N80=TRUE,TRUE,FALSE)),FALSE)))))</f>
        <v>0</v>
      </c>
      <c r="M80" t="b">
        <f>IF(VLOOKUP(B80,'Profile selection'!B:C,2,FALSE)="Yes",TRUE,FALSE)</f>
        <v>1</v>
      </c>
    </row>
    <row r="81" spans="1:13" x14ac:dyDescent="0.25">
      <c r="A81" t="str">
        <f>'HIDDEN import'!B80</f>
        <v>TC_F_24_CSMS</v>
      </c>
      <c r="B81" t="str">
        <f>'HIDDEN import'!C80</f>
        <v>Core</v>
      </c>
      <c r="C81" t="str">
        <f>'HIDDEN import'!D80</f>
        <v>Trigger message - StatusNotification - Specific EVSE - Occupied</v>
      </c>
      <c r="D81" t="str">
        <f>IF(VLOOKUP(A81&amp;" "&amp;B81,'HIDDEN import'!A:G,5,FALSE)="M",MD!$A$1,(IF(AND(VLOOKUP(A81,'HIDDEN import'!B:E,4,FALSE)="C",OR(NOT(ISERROR(VLOOKUP(E81,'Optional features'!B:E,1,FALSE)=E81)),NOT(ISERROR(VLOOKUP(E81,'HIDDEN calc sheet'!A:C,1,FALSE)=E81)))),MD!$A$3,MD!$A$2)))</f>
        <v>Mandatory for optional feature</v>
      </c>
      <c r="E81" t="str">
        <f>IF('HIDDEN import'!F80=0,"",'HIDDEN import'!F80)</f>
        <v>C-29.5</v>
      </c>
      <c r="F81" t="str">
        <f>IF('HIDDEN import'!G80=0,"",'HIDDEN import'!G80)</f>
        <v>TriggerMessage</v>
      </c>
      <c r="G81" s="39" t="str">
        <f>IFERROR(VLOOKUP($A81,'HIDDEN Testrun Results'!$A:$B,2,FALSE),"")</f>
        <v/>
      </c>
      <c r="H81" s="39" t="b">
        <f t="shared" si="1"/>
        <v>0</v>
      </c>
      <c r="I81" s="39" t="b">
        <f>IF(VLOOKUP(A81&amp;" "&amp;B81,'HIDDEN import'!A:G,5,FALSE)="M",TRUE,IFERROR(VLOOKUP(E81,'Optional features'!B:E,3,FALSE)="Yes",IFERROR(VLOOKUP(E81,'HIDDEN calc sheet'!A:B,2,FALSE),VLOOKUP(E81,'Additional questions'!B:D,3,FALSE)="Yes")))</f>
        <v>0</v>
      </c>
      <c r="J81" t="b">
        <f>IF(VLOOKUP(B81,'Profile selection'!B:C,2,FALSE)="Yes",TRUE,FALSE)</f>
        <v>1</v>
      </c>
      <c r="K81" s="17" t="b">
        <f>IF(AND(D81=MD!$A$1,M81),TRUE,(IF(AND(D81=MD!$A$3,M81),(IF(L81=TRUE,TRUE,FALSE)),(IF(AND(D81=MD!$A$2,M81),(IF(N81=TRUE,TRUE,FALSE)),FALSE)))))</f>
        <v>0</v>
      </c>
      <c r="M81" t="b">
        <f>IF(VLOOKUP(B81,'Profile selection'!B:C,2,FALSE)="Yes",TRUE,FALSE)</f>
        <v>1</v>
      </c>
    </row>
    <row r="82" spans="1:13" x14ac:dyDescent="0.25">
      <c r="A82" t="str">
        <f>'HIDDEN import'!B81</f>
        <v>TC_F_27_CSMS</v>
      </c>
      <c r="B82" t="str">
        <f>'HIDDEN import'!C81</f>
        <v>Core</v>
      </c>
      <c r="C82" t="str">
        <f>'HIDDEN import'!D81</f>
        <v>Trigger message - NotImplemented</v>
      </c>
      <c r="D82" t="str">
        <f>IF(VLOOKUP(A82&amp;" "&amp;B82,'HIDDEN import'!A:G,5,FALSE)="M",MD!$A$1,(IF(AND(VLOOKUP(A82,'HIDDEN import'!B:E,4,FALSE)="C",OR(NOT(ISERROR(VLOOKUP(E82,'Optional features'!B:E,1,FALSE)=E82)),NOT(ISERROR(VLOOKUP(E82,'HIDDEN calc sheet'!A:C,1,FALSE)=E82)))),MD!$A$3,MD!$A$2)))</f>
        <v>Mandatory test for a mandatory feature</v>
      </c>
      <c r="E82" t="str">
        <f>IF('HIDDEN import'!F81=0,"",'HIDDEN import'!F81)</f>
        <v>NOT AQ-11</v>
      </c>
      <c r="F82" t="str">
        <f>IF('HIDDEN import'!G81=0,"",'HIDDEN import'!G81)</f>
        <v/>
      </c>
      <c r="G82" s="39" t="str">
        <f>IFERROR(VLOOKUP($A82,'HIDDEN Testrun Results'!$A:$B,2,FALSE),"")</f>
        <v/>
      </c>
      <c r="H82" s="39" t="b">
        <f t="shared" si="1"/>
        <v>1</v>
      </c>
      <c r="I82" s="39" t="b">
        <f>IF(VLOOKUP(A82&amp;" "&amp;B82,'HIDDEN import'!A:G,5,FALSE)="M",TRUE,IFERROR(VLOOKUP(E82,'Optional features'!B:E,3,FALSE)="Yes",IFERROR(VLOOKUP(E82,'HIDDEN calc sheet'!A:B,2,FALSE),VLOOKUP(E82,'Additional questions'!B:D,3,FALSE)="Yes")))</f>
        <v>1</v>
      </c>
      <c r="J82" t="b">
        <f>IF(VLOOKUP(B82,'Profile selection'!B:C,2,FALSE)="Yes",TRUE,FALSE)</f>
        <v>1</v>
      </c>
      <c r="K82" s="17" t="b">
        <f>IF(AND(D82=MD!$A$1,M82),TRUE,(IF(AND(D82=MD!$A$3,M82),(IF(L82=TRUE,TRUE,FALSE)),(IF(AND(D82=MD!$A$2,M82),(IF(N82=TRUE,TRUE,FALSE)),FALSE)))))</f>
        <v>1</v>
      </c>
      <c r="M82" t="b">
        <f>IF(VLOOKUP(B82,'Profile selection'!B:C,2,FALSE)="Yes",TRUE,FALSE)</f>
        <v>1</v>
      </c>
    </row>
    <row r="83" spans="1:13" x14ac:dyDescent="0.25">
      <c r="A83" t="str">
        <f>'HIDDEN import'!B82</f>
        <v>TC_G_20_CSMS</v>
      </c>
      <c r="B83" t="str">
        <f>'HIDDEN import'!C82</f>
        <v>Core</v>
      </c>
      <c r="C83" t="str">
        <f>'HIDDEN import'!D82</f>
        <v>Connector status Notification - Lock Failure</v>
      </c>
      <c r="D83" t="str">
        <f>IF(VLOOKUP(A83&amp;" "&amp;B83,'HIDDEN import'!A:G,5,FALSE)="M",MD!$A$1,(IF(AND(VLOOKUP(A83,'HIDDEN import'!B:E,4,FALSE)="C",OR(NOT(ISERROR(VLOOKUP(E83,'Optional features'!B:E,1,FALSE)=E83)),NOT(ISERROR(VLOOKUP(E83,'HIDDEN calc sheet'!A:C,1,FALSE)=E83)))),MD!$A$3,MD!$A$2)))</f>
        <v>Mandatory test for a mandatory feature</v>
      </c>
      <c r="E83" t="str">
        <f>IF('HIDDEN import'!F82=0,"",'HIDDEN import'!F82)</f>
        <v/>
      </c>
      <c r="F83" t="str">
        <f>IF('HIDDEN import'!G82=0,"",'HIDDEN import'!G82)</f>
        <v/>
      </c>
      <c r="G83" s="39" t="str">
        <f>IFERROR(VLOOKUP($A83,'HIDDEN Testrun Results'!$A:$B,2,FALSE),"")</f>
        <v/>
      </c>
      <c r="H83" s="39" t="b">
        <f t="shared" si="1"/>
        <v>1</v>
      </c>
      <c r="I83" s="39" t="b">
        <f>IF(VLOOKUP(A83&amp;" "&amp;B83,'HIDDEN import'!A:G,5,FALSE)="M",TRUE,IFERROR(VLOOKUP(E83,'Optional features'!B:E,3,FALSE)="Yes",IFERROR(VLOOKUP(E83,'HIDDEN calc sheet'!A:B,2,FALSE),VLOOKUP(E83,'Additional questions'!B:D,3,FALSE)="Yes")))</f>
        <v>1</v>
      </c>
      <c r="J83" t="b">
        <f>IF(VLOOKUP(B83,'Profile selection'!B:C,2,FALSE)="Yes",TRUE,FALSE)</f>
        <v>1</v>
      </c>
      <c r="K83" s="17" t="b">
        <f>IF(AND(D83=MD!$A$1,M83),TRUE,(IF(AND(D83=MD!$A$3,M83),(IF(L83=TRUE,TRUE,FALSE)),(IF(AND(D83=MD!$A$2,M83),(IF(N83=TRUE,TRUE,FALSE)),FALSE)))))</f>
        <v>1</v>
      </c>
      <c r="M83" t="b">
        <f>IF(VLOOKUP(B83,'Profile selection'!B:C,2,FALSE)="Yes",TRUE,FALSE)</f>
        <v>1</v>
      </c>
    </row>
    <row r="84" spans="1:13" x14ac:dyDescent="0.25">
      <c r="A84" t="str">
        <f>'HIDDEN import'!B83</f>
        <v>TC_G_03_CSMS</v>
      </c>
      <c r="B84" t="str">
        <f>'HIDDEN import'!C83</f>
        <v>Core</v>
      </c>
      <c r="C84" t="str">
        <f>'HIDDEN import'!D83</f>
        <v>Change Availability EVSE - Operative to inoperative</v>
      </c>
      <c r="D84" t="str">
        <f>IF(VLOOKUP(A84&amp;" "&amp;B84,'HIDDEN import'!A:G,5,FALSE)="M",MD!$A$1,(IF(AND(VLOOKUP(A84,'HIDDEN import'!B:E,4,FALSE)="C",OR(NOT(ISERROR(VLOOKUP(E84,'Optional features'!B:E,1,FALSE)=E84)),NOT(ISERROR(VLOOKUP(E84,'HIDDEN calc sheet'!A:C,1,FALSE)=E84)))),MD!$A$3,MD!$A$2)))</f>
        <v>Mandatory test for a mandatory feature</v>
      </c>
      <c r="E84" t="str">
        <f>IF('HIDDEN import'!F83=0,"",'HIDDEN import'!F83)</f>
        <v/>
      </c>
      <c r="F84" t="str">
        <f>IF('HIDDEN import'!G83=0,"",'HIDDEN import'!G83)</f>
        <v/>
      </c>
      <c r="G84" s="39" t="str">
        <f>IFERROR(VLOOKUP($A84,'HIDDEN Testrun Results'!$A:$B,2,FALSE),"")</f>
        <v/>
      </c>
      <c r="H84" s="39" t="b">
        <f t="shared" si="1"/>
        <v>1</v>
      </c>
      <c r="I84" s="39" t="b">
        <f>IF(VLOOKUP(A84&amp;" "&amp;B84,'HIDDEN import'!A:G,5,FALSE)="M",TRUE,IFERROR(VLOOKUP(E84,'Optional features'!B:E,3,FALSE)="Yes",IFERROR(VLOOKUP(E84,'HIDDEN calc sheet'!A:B,2,FALSE),VLOOKUP(E84,'Additional questions'!B:D,3,FALSE)="Yes")))</f>
        <v>1</v>
      </c>
      <c r="J84" t="b">
        <f>IF(VLOOKUP(B84,'Profile selection'!B:C,2,FALSE)="Yes",TRUE,FALSE)</f>
        <v>1</v>
      </c>
      <c r="K84" s="17" t="b">
        <f>IF(AND(D84=MD!$A$1,M84),TRUE,(IF(AND(D84=MD!$A$3,M84),(IF(L84=TRUE,TRUE,FALSE)),(IF(AND(D84=MD!$A$2,M84),(IF(N84=TRUE,TRUE,FALSE)),FALSE)))))</f>
        <v>1</v>
      </c>
      <c r="M84" t="b">
        <f>IF(VLOOKUP(B84,'Profile selection'!B:C,2,FALSE)="Yes",TRUE,FALSE)</f>
        <v>1</v>
      </c>
    </row>
    <row r="85" spans="1:13" x14ac:dyDescent="0.25">
      <c r="A85" t="str">
        <f>'HIDDEN import'!B84</f>
        <v>TC_G_04_CSMS</v>
      </c>
      <c r="B85" t="str">
        <f>'HIDDEN import'!C84</f>
        <v>Core</v>
      </c>
      <c r="C85" t="str">
        <f>'HIDDEN import'!D84</f>
        <v>Change Availability EVSE - Inoperative to operative</v>
      </c>
      <c r="D85" t="str">
        <f>IF(VLOOKUP(A85&amp;" "&amp;B85,'HIDDEN import'!A:G,5,FALSE)="M",MD!$A$1,(IF(AND(VLOOKUP(A85,'HIDDEN import'!B:E,4,FALSE)="C",OR(NOT(ISERROR(VLOOKUP(E85,'Optional features'!B:E,1,FALSE)=E85)),NOT(ISERROR(VLOOKUP(E85,'HIDDEN calc sheet'!A:C,1,FALSE)=E85)))),MD!$A$3,MD!$A$2)))</f>
        <v>Mandatory test for a mandatory feature</v>
      </c>
      <c r="E85" t="str">
        <f>IF('HIDDEN import'!F84=0,"",'HIDDEN import'!F84)</f>
        <v/>
      </c>
      <c r="F85" t="str">
        <f>IF('HIDDEN import'!G84=0,"",'HIDDEN import'!G84)</f>
        <v/>
      </c>
      <c r="G85" s="39" t="str">
        <f>IFERROR(VLOOKUP($A85,'HIDDEN Testrun Results'!$A:$B,2,FALSE),"")</f>
        <v/>
      </c>
      <c r="H85" s="39" t="b">
        <f t="shared" si="1"/>
        <v>1</v>
      </c>
      <c r="I85" s="39" t="b">
        <f>IF(VLOOKUP(A85&amp;" "&amp;B85,'HIDDEN import'!A:G,5,FALSE)="M",TRUE,IFERROR(VLOOKUP(E85,'Optional features'!B:E,3,FALSE)="Yes",IFERROR(VLOOKUP(E85,'HIDDEN calc sheet'!A:B,2,FALSE),VLOOKUP(E85,'Additional questions'!B:D,3,FALSE)="Yes")))</f>
        <v>1</v>
      </c>
      <c r="J85" t="b">
        <f>IF(VLOOKUP(B85,'Profile selection'!B:C,2,FALSE)="Yes",TRUE,FALSE)</f>
        <v>1</v>
      </c>
      <c r="K85" s="17" t="b">
        <f>IF(AND(D85=MD!$A$1,M85),TRUE,(IF(AND(D85=MD!$A$3,M85),(IF(L85=TRUE,TRUE,FALSE)),(IF(AND(D85=MD!$A$2,M85),(IF(N85=TRUE,TRUE,FALSE)),FALSE)))))</f>
        <v>1</v>
      </c>
      <c r="M85" t="b">
        <f>IF(VLOOKUP(B85,'Profile selection'!B:C,2,FALSE)="Yes",TRUE,FALSE)</f>
        <v>1</v>
      </c>
    </row>
    <row r="86" spans="1:13" x14ac:dyDescent="0.25">
      <c r="A86" t="str">
        <f>'HIDDEN import'!B85</f>
        <v>TC_G_11_CSMS</v>
      </c>
      <c r="B86" t="str">
        <f>'HIDDEN import'!C85</f>
        <v>Core</v>
      </c>
      <c r="C86" t="str">
        <f>'HIDDEN import'!D85</f>
        <v>Change Availability EVSE - With ongoing transaction</v>
      </c>
      <c r="D86" t="str">
        <f>IF(VLOOKUP(A86&amp;" "&amp;B86,'HIDDEN import'!A:G,5,FALSE)="M",MD!$A$1,(IF(AND(VLOOKUP(A86,'HIDDEN import'!B:E,4,FALSE)="C",OR(NOT(ISERROR(VLOOKUP(E86,'Optional features'!B:E,1,FALSE)=E86)),NOT(ISERROR(VLOOKUP(E86,'HIDDEN calc sheet'!A:C,1,FALSE)=E86)))),MD!$A$3,MD!$A$2)))</f>
        <v>Mandatory test for a mandatory feature</v>
      </c>
      <c r="E86" t="str">
        <f>IF('HIDDEN import'!F85=0,"",'HIDDEN import'!F85)</f>
        <v/>
      </c>
      <c r="F86" t="str">
        <f>IF('HIDDEN import'!G85=0,"",'HIDDEN import'!G85)</f>
        <v/>
      </c>
      <c r="G86" s="39" t="str">
        <f>IFERROR(VLOOKUP($A86,'HIDDEN Testrun Results'!$A:$B,2,FALSE),"")</f>
        <v/>
      </c>
      <c r="H86" s="39" t="b">
        <f t="shared" si="1"/>
        <v>1</v>
      </c>
      <c r="I86" s="39" t="b">
        <f>IF(VLOOKUP(A86&amp;" "&amp;B86,'HIDDEN import'!A:G,5,FALSE)="M",TRUE,IFERROR(VLOOKUP(E86,'Optional features'!B:E,3,FALSE)="Yes",IFERROR(VLOOKUP(E86,'HIDDEN calc sheet'!A:B,2,FALSE),VLOOKUP(E86,'Additional questions'!B:D,3,FALSE)="Yes")))</f>
        <v>1</v>
      </c>
      <c r="J86" t="b">
        <f>IF(VLOOKUP(B86,'Profile selection'!B:C,2,FALSE)="Yes",TRUE,FALSE)</f>
        <v>1</v>
      </c>
      <c r="K86" s="17" t="b">
        <f>IF(AND(D86=MD!$A$1,M86),TRUE,(IF(AND(D86=MD!$A$3,M86),(IF(L86=TRUE,TRUE,FALSE)),(IF(AND(D86=MD!$A$2,M86),(IF(N86=TRUE,TRUE,FALSE)),FALSE)))))</f>
        <v>1</v>
      </c>
      <c r="M86" t="b">
        <f>IF(VLOOKUP(B86,'Profile selection'!B:C,2,FALSE)="Yes",TRUE,FALSE)</f>
        <v>1</v>
      </c>
    </row>
    <row r="87" spans="1:13" x14ac:dyDescent="0.25">
      <c r="A87" t="str">
        <f>'HIDDEN import'!B86</f>
        <v>TC_G_05_CSMS</v>
      </c>
      <c r="B87" t="str">
        <f>'HIDDEN import'!C86</f>
        <v>Core</v>
      </c>
      <c r="C87" t="str">
        <f>'HIDDEN import'!D86</f>
        <v>Change Availability Charging Station - Operative to inoperative</v>
      </c>
      <c r="D87" t="str">
        <f>IF(VLOOKUP(A87&amp;" "&amp;B87,'HIDDEN import'!A:G,5,FALSE)="M",MD!$A$1,(IF(AND(VLOOKUP(A87,'HIDDEN import'!B:E,4,FALSE)="C",OR(NOT(ISERROR(VLOOKUP(E87,'Optional features'!B:E,1,FALSE)=E87)),NOT(ISERROR(VLOOKUP(E87,'HIDDEN calc sheet'!A:C,1,FALSE)=E87)))),MD!$A$3,MD!$A$2)))</f>
        <v>Mandatory test for a mandatory feature</v>
      </c>
      <c r="E87" t="str">
        <f>IF('HIDDEN import'!F86=0,"",'HIDDEN import'!F86)</f>
        <v/>
      </c>
      <c r="F87" t="str">
        <f>IF('HIDDEN import'!G86=0,"",'HIDDEN import'!G86)</f>
        <v/>
      </c>
      <c r="G87" s="39" t="str">
        <f>IFERROR(VLOOKUP($A87,'HIDDEN Testrun Results'!$A:$B,2,FALSE),"")</f>
        <v/>
      </c>
      <c r="H87" s="39" t="b">
        <f t="shared" si="1"/>
        <v>1</v>
      </c>
      <c r="I87" s="39" t="b">
        <f>IF(VLOOKUP(A87&amp;" "&amp;B87,'HIDDEN import'!A:G,5,FALSE)="M",TRUE,IFERROR(VLOOKUP(E87,'Optional features'!B:E,3,FALSE)="Yes",IFERROR(VLOOKUP(E87,'HIDDEN calc sheet'!A:B,2,FALSE),VLOOKUP(E87,'Additional questions'!B:D,3,FALSE)="Yes")))</f>
        <v>1</v>
      </c>
      <c r="J87" t="b">
        <f>IF(VLOOKUP(B87,'Profile selection'!B:C,2,FALSE)="Yes",TRUE,FALSE)</f>
        <v>1</v>
      </c>
      <c r="K87" s="17" t="b">
        <f>IF(AND(D87=MD!$A$1,M87),TRUE,(IF(AND(D87=MD!$A$3,M87),(IF(L87=TRUE,TRUE,FALSE)),(IF(AND(D87=MD!$A$2,M87),(IF(N87=TRUE,TRUE,FALSE)),FALSE)))))</f>
        <v>1</v>
      </c>
      <c r="M87" t="b">
        <f>IF(VLOOKUP(B87,'Profile selection'!B:C,2,FALSE)="Yes",TRUE,FALSE)</f>
        <v>1</v>
      </c>
    </row>
    <row r="88" spans="1:13" x14ac:dyDescent="0.25">
      <c r="A88" t="str">
        <f>'HIDDEN import'!B87</f>
        <v>TC_G_06_CSMS</v>
      </c>
      <c r="B88" t="str">
        <f>'HIDDEN import'!C87</f>
        <v>Core</v>
      </c>
      <c r="C88" t="str">
        <f>'HIDDEN import'!D87</f>
        <v>Change Availability Charging Station - Inoperative to operative</v>
      </c>
      <c r="D88" t="str">
        <f>IF(VLOOKUP(A88&amp;" "&amp;B88,'HIDDEN import'!A:G,5,FALSE)="M",MD!$A$1,(IF(AND(VLOOKUP(A88,'HIDDEN import'!B:E,4,FALSE)="C",OR(NOT(ISERROR(VLOOKUP(E88,'Optional features'!B:E,1,FALSE)=E88)),NOT(ISERROR(VLOOKUP(E88,'HIDDEN calc sheet'!A:C,1,FALSE)=E88)))),MD!$A$3,MD!$A$2)))</f>
        <v>Mandatory test for a mandatory feature</v>
      </c>
      <c r="E88" t="str">
        <f>IF('HIDDEN import'!F87=0,"",'HIDDEN import'!F87)</f>
        <v/>
      </c>
      <c r="F88" t="str">
        <f>IF('HIDDEN import'!G87=0,"",'HIDDEN import'!G87)</f>
        <v/>
      </c>
      <c r="G88" s="39" t="str">
        <f>IFERROR(VLOOKUP($A88,'HIDDEN Testrun Results'!$A:$B,2,FALSE),"")</f>
        <v/>
      </c>
      <c r="H88" s="39" t="b">
        <f t="shared" si="1"/>
        <v>1</v>
      </c>
      <c r="I88" s="39" t="b">
        <f>IF(VLOOKUP(A88&amp;" "&amp;B88,'HIDDEN import'!A:G,5,FALSE)="M",TRUE,IFERROR(VLOOKUP(E88,'Optional features'!B:E,3,FALSE)="Yes",IFERROR(VLOOKUP(E88,'HIDDEN calc sheet'!A:B,2,FALSE),VLOOKUP(E88,'Additional questions'!B:D,3,FALSE)="Yes")))</f>
        <v>1</v>
      </c>
      <c r="J88" t="b">
        <f>IF(VLOOKUP(B88,'Profile selection'!B:C,2,FALSE)="Yes",TRUE,FALSE)</f>
        <v>1</v>
      </c>
      <c r="K88" s="17" t="b">
        <f>IF(AND(D88=MD!$A$1,M88),TRUE,(IF(AND(D88=MD!$A$3,M88),(IF(L88=TRUE,TRUE,FALSE)),(IF(AND(D88=MD!$A$2,M88),(IF(N88=TRUE,TRUE,FALSE)),FALSE)))))</f>
        <v>1</v>
      </c>
      <c r="M88" t="b">
        <f>IF(VLOOKUP(B88,'Profile selection'!B:C,2,FALSE)="Yes",TRUE,FALSE)</f>
        <v>1</v>
      </c>
    </row>
    <row r="89" spans="1:13" x14ac:dyDescent="0.25">
      <c r="A89" t="str">
        <f>'HIDDEN import'!B88</f>
        <v>TC_G_14_CSMS</v>
      </c>
      <c r="B89" t="str">
        <f>'HIDDEN import'!C88</f>
        <v>Core</v>
      </c>
      <c r="C89" t="str">
        <f>'HIDDEN import'!D88</f>
        <v>Change Availability Charging Station - With ongoing transaction</v>
      </c>
      <c r="D89" t="str">
        <f>IF(VLOOKUP(A89&amp;" "&amp;B89,'HIDDEN import'!A:G,5,FALSE)="M",MD!$A$1,(IF(AND(VLOOKUP(A89,'HIDDEN import'!B:E,4,FALSE)="C",OR(NOT(ISERROR(VLOOKUP(E89,'Optional features'!B:E,1,FALSE)=E89)),NOT(ISERROR(VLOOKUP(E89,'HIDDEN calc sheet'!A:C,1,FALSE)=E89)))),MD!$A$3,MD!$A$2)))</f>
        <v>Mandatory test for a mandatory feature</v>
      </c>
      <c r="E89" t="str">
        <f>IF('HIDDEN import'!F88=0,"",'HIDDEN import'!F88)</f>
        <v/>
      </c>
      <c r="F89" t="str">
        <f>IF('HIDDEN import'!G88=0,"",'HIDDEN import'!G88)</f>
        <v/>
      </c>
      <c r="G89" s="39" t="str">
        <f>IFERROR(VLOOKUP($A89,'HIDDEN Testrun Results'!$A:$B,2,FALSE),"")</f>
        <v/>
      </c>
      <c r="H89" s="39" t="b">
        <f t="shared" si="1"/>
        <v>1</v>
      </c>
      <c r="I89" s="39" t="b">
        <f>IF(VLOOKUP(A89&amp;" "&amp;B89,'HIDDEN import'!A:G,5,FALSE)="M",TRUE,IFERROR(VLOOKUP(E89,'Optional features'!B:E,3,FALSE)="Yes",IFERROR(VLOOKUP(E89,'HIDDEN calc sheet'!A:B,2,FALSE),VLOOKUP(E89,'Additional questions'!B:D,3,FALSE)="Yes")))</f>
        <v>1</v>
      </c>
      <c r="J89" t="b">
        <f>IF(VLOOKUP(B89,'Profile selection'!B:C,2,FALSE)="Yes",TRUE,FALSE)</f>
        <v>1</v>
      </c>
      <c r="K89" s="17" t="b">
        <f>IF(AND(D89=MD!$A$1,M89),TRUE,(IF(AND(D89=MD!$A$3,M89),(IF(L89=TRUE,TRUE,FALSE)),(IF(AND(D89=MD!$A$2,M89),(IF(N89=TRUE,TRUE,FALSE)),FALSE)))))</f>
        <v>1</v>
      </c>
      <c r="M89" t="b">
        <f>IF(VLOOKUP(B89,'Profile selection'!B:C,2,FALSE)="Yes",TRUE,FALSE)</f>
        <v>1</v>
      </c>
    </row>
    <row r="90" spans="1:13" x14ac:dyDescent="0.25">
      <c r="A90" t="str">
        <f>'HIDDEN import'!B89</f>
        <v>TC_G_07_CSMS</v>
      </c>
      <c r="B90" t="str">
        <f>'HIDDEN import'!C89</f>
        <v>Core</v>
      </c>
      <c r="C90" t="str">
        <f>'HIDDEN import'!D89</f>
        <v>Change Availability Connector - Operative to inoperative</v>
      </c>
      <c r="D90" t="str">
        <f>IF(VLOOKUP(A90&amp;" "&amp;B90,'HIDDEN import'!A:G,5,FALSE)="M",MD!$A$1,(IF(AND(VLOOKUP(A90,'HIDDEN import'!B:E,4,FALSE)="C",OR(NOT(ISERROR(VLOOKUP(E90,'Optional features'!B:E,1,FALSE)=E90)),NOT(ISERROR(VLOOKUP(E90,'HIDDEN calc sheet'!A:C,1,FALSE)=E90)))),MD!$A$3,MD!$A$2)))</f>
        <v>Mandatory test for a mandatory feature</v>
      </c>
      <c r="E90" t="str">
        <f>IF('HIDDEN import'!F89=0,"",'HIDDEN import'!F89)</f>
        <v/>
      </c>
      <c r="F90" t="str">
        <f>IF('HIDDEN import'!G89=0,"",'HIDDEN import'!G89)</f>
        <v/>
      </c>
      <c r="G90" s="39" t="str">
        <f>IFERROR(VLOOKUP($A90,'HIDDEN Testrun Results'!$A:$B,2,FALSE),"")</f>
        <v/>
      </c>
      <c r="H90" s="39" t="b">
        <f t="shared" si="1"/>
        <v>1</v>
      </c>
      <c r="I90" s="39" t="b">
        <f>IF(VLOOKUP(A90&amp;" "&amp;B90,'HIDDEN import'!A:G,5,FALSE)="M",TRUE,IFERROR(VLOOKUP(E90,'Optional features'!B:E,3,FALSE)="Yes",IFERROR(VLOOKUP(E90,'HIDDEN calc sheet'!A:B,2,FALSE),VLOOKUP(E90,'Additional questions'!B:D,3,FALSE)="Yes")))</f>
        <v>1</v>
      </c>
      <c r="J90" t="b">
        <f>IF(VLOOKUP(B90,'Profile selection'!B:C,2,FALSE)="Yes",TRUE,FALSE)</f>
        <v>1</v>
      </c>
      <c r="K90" s="17" t="b">
        <f>IF(AND(D90=MD!$A$1,M90),TRUE,(IF(AND(D90=MD!$A$3,M90),(IF(L90=TRUE,TRUE,FALSE)),(IF(AND(D90=MD!$A$2,M90),(IF(N90=TRUE,TRUE,FALSE)),FALSE)))))</f>
        <v>1</v>
      </c>
      <c r="M90" t="b">
        <f>IF(VLOOKUP(B90,'Profile selection'!B:C,2,FALSE)="Yes",TRUE,FALSE)</f>
        <v>1</v>
      </c>
    </row>
    <row r="91" spans="1:13" x14ac:dyDescent="0.25">
      <c r="A91" t="str">
        <f>'HIDDEN import'!B90</f>
        <v>TC_G_08_CSMS</v>
      </c>
      <c r="B91" t="str">
        <f>'HIDDEN import'!C90</f>
        <v>Core</v>
      </c>
      <c r="C91" t="str">
        <f>'HIDDEN import'!D90</f>
        <v>Change Availability Connector - Inoperative to operative</v>
      </c>
      <c r="D91" t="str">
        <f>IF(VLOOKUP(A91&amp;" "&amp;B91,'HIDDEN import'!A:G,5,FALSE)="M",MD!$A$1,(IF(AND(VLOOKUP(A91,'HIDDEN import'!B:E,4,FALSE)="C",OR(NOT(ISERROR(VLOOKUP(E91,'Optional features'!B:E,1,FALSE)=E91)),NOT(ISERROR(VLOOKUP(E91,'HIDDEN calc sheet'!A:C,1,FALSE)=E91)))),MD!$A$3,MD!$A$2)))</f>
        <v>Mandatory test for a mandatory feature</v>
      </c>
      <c r="E91" t="str">
        <f>IF('HIDDEN import'!F90=0,"",'HIDDEN import'!F90)</f>
        <v/>
      </c>
      <c r="F91" t="str">
        <f>IF('HIDDEN import'!G90=0,"",'HIDDEN import'!G90)</f>
        <v/>
      </c>
      <c r="G91" s="39" t="str">
        <f>IFERROR(VLOOKUP($A91,'HIDDEN Testrun Results'!$A:$B,2,FALSE),"")</f>
        <v/>
      </c>
      <c r="H91" s="39" t="b">
        <f t="shared" si="1"/>
        <v>1</v>
      </c>
      <c r="I91" s="39" t="b">
        <f>IF(VLOOKUP(A91&amp;" "&amp;B91,'HIDDEN import'!A:G,5,FALSE)="M",TRUE,IFERROR(VLOOKUP(E91,'Optional features'!B:E,3,FALSE)="Yes",IFERROR(VLOOKUP(E91,'HIDDEN calc sheet'!A:B,2,FALSE),VLOOKUP(E91,'Additional questions'!B:D,3,FALSE)="Yes")))</f>
        <v>1</v>
      </c>
      <c r="J91" t="b">
        <f>IF(VLOOKUP(B91,'Profile selection'!B:C,2,FALSE)="Yes",TRUE,FALSE)</f>
        <v>1</v>
      </c>
      <c r="K91" s="17" t="b">
        <f>IF(AND(D91=MD!$A$1,M91),TRUE,(IF(AND(D91=MD!$A$3,M91),(IF(L91=TRUE,TRUE,FALSE)),(IF(AND(D91=MD!$A$2,M91),(IF(N91=TRUE,TRUE,FALSE)),FALSE)))))</f>
        <v>1</v>
      </c>
      <c r="M91" t="b">
        <f>IF(VLOOKUP(B91,'Profile selection'!B:C,2,FALSE)="Yes",TRUE,FALSE)</f>
        <v>1</v>
      </c>
    </row>
    <row r="92" spans="1:13" x14ac:dyDescent="0.25">
      <c r="A92" t="str">
        <f>'HIDDEN import'!B91</f>
        <v>TC_G_17_CSMS</v>
      </c>
      <c r="B92" t="str">
        <f>'HIDDEN import'!C91</f>
        <v>Core</v>
      </c>
      <c r="C92" t="str">
        <f>'HIDDEN import'!D91</f>
        <v>Change Availability Connector - With ongoing transaction</v>
      </c>
      <c r="D92" t="str">
        <f>IF(VLOOKUP(A92&amp;" "&amp;B92,'HIDDEN import'!A:G,5,FALSE)="M",MD!$A$1,(IF(AND(VLOOKUP(A92,'HIDDEN import'!B:E,4,FALSE)="C",OR(NOT(ISERROR(VLOOKUP(E92,'Optional features'!B:E,1,FALSE)=E92)),NOT(ISERROR(VLOOKUP(E92,'HIDDEN calc sheet'!A:C,1,FALSE)=E92)))),MD!$A$3,MD!$A$2)))</f>
        <v>Mandatory test for a mandatory feature</v>
      </c>
      <c r="E92" t="str">
        <f>IF('HIDDEN import'!F91=0,"",'HIDDEN import'!F91)</f>
        <v/>
      </c>
      <c r="F92" t="str">
        <f>IF('HIDDEN import'!G91=0,"",'HIDDEN import'!G91)</f>
        <v/>
      </c>
      <c r="G92" s="39" t="str">
        <f>IFERROR(VLOOKUP($A92,'HIDDEN Testrun Results'!$A:$B,2,FALSE),"")</f>
        <v/>
      </c>
      <c r="H92" s="39" t="b">
        <f t="shared" si="1"/>
        <v>1</v>
      </c>
      <c r="I92" s="39" t="b">
        <f>IF(VLOOKUP(A92&amp;" "&amp;B92,'HIDDEN import'!A:G,5,FALSE)="M",TRUE,IFERROR(VLOOKUP(E92,'Optional features'!B:E,3,FALSE)="Yes",IFERROR(VLOOKUP(E92,'HIDDEN calc sheet'!A:B,2,FALSE),VLOOKUP(E92,'Additional questions'!B:D,3,FALSE)="Yes")))</f>
        <v>1</v>
      </c>
      <c r="J92" t="b">
        <f>IF(VLOOKUP(B92,'Profile selection'!B:C,2,FALSE)="Yes",TRUE,FALSE)</f>
        <v>1</v>
      </c>
      <c r="K92" s="17" t="b">
        <f>IF(AND(D92=MD!$A$1,M92),TRUE,(IF(AND(D92=MD!$A$3,M92),(IF(L92=TRUE,TRUE,FALSE)),(IF(AND(D92=MD!$A$2,M92),(IF(N92=TRUE,TRUE,FALSE)),FALSE)))))</f>
        <v>1</v>
      </c>
      <c r="M92" t="b">
        <f>IF(VLOOKUP(B92,'Profile selection'!B:C,2,FALSE)="Yes",TRUE,FALSE)</f>
        <v>1</v>
      </c>
    </row>
    <row r="93" spans="1:13" x14ac:dyDescent="0.25">
      <c r="A93" t="str">
        <f>'HIDDEN import'!B92</f>
        <v>TC_J_01_CSMS</v>
      </c>
      <c r="B93" t="str">
        <f>'HIDDEN import'!C92</f>
        <v>Core</v>
      </c>
      <c r="C93" t="str">
        <f>'HIDDEN import'!D92</f>
        <v>Clock-aligned Meter Values - No transaction ongoing</v>
      </c>
      <c r="D93" t="str">
        <f>IF(VLOOKUP(A93&amp;" "&amp;B93,'HIDDEN import'!A:G,5,FALSE)="M",MD!$A$1,(IF(AND(VLOOKUP(A93,'HIDDEN import'!B:E,4,FALSE)="C",OR(NOT(ISERROR(VLOOKUP(E93,'Optional features'!B:E,1,FALSE)=E93)),NOT(ISERROR(VLOOKUP(E93,'HIDDEN calc sheet'!A:C,1,FALSE)=E93)))),MD!$A$3,MD!$A$2)))</f>
        <v>Mandatory test for a mandatory feature</v>
      </c>
      <c r="E93" t="str">
        <f>IF('HIDDEN import'!F92=0,"",'HIDDEN import'!F92)</f>
        <v>C-40</v>
      </c>
      <c r="F93" t="str">
        <f>IF('HIDDEN import'!G92=0,"",'HIDDEN import'!G92)</f>
        <v>Supported MeterValue Measurands</v>
      </c>
      <c r="G93" s="39" t="str">
        <f>IFERROR(VLOOKUP($A93,'HIDDEN Testrun Results'!$A:$B,2,FALSE),"")</f>
        <v/>
      </c>
      <c r="H93" s="39" t="b">
        <f t="shared" si="1"/>
        <v>1</v>
      </c>
      <c r="I93" s="39" t="b">
        <f>IF(VLOOKUP(A93&amp;" "&amp;B93,'HIDDEN import'!A:G,5,FALSE)="M",TRUE,IFERROR(VLOOKUP(E93,'Optional features'!B:E,3,FALSE)="Yes",IFERROR(VLOOKUP(E93,'HIDDEN calc sheet'!A:B,2,FALSE),VLOOKUP(E93,'Additional questions'!B:D,3,FALSE)="Yes")))</f>
        <v>1</v>
      </c>
      <c r="J93" t="b">
        <f>IF(VLOOKUP(B93,'Profile selection'!B:C,2,FALSE)="Yes",TRUE,FALSE)</f>
        <v>1</v>
      </c>
      <c r="K93" s="17" t="b">
        <f>IF(AND(D93=MD!$A$1,M93),TRUE,(IF(AND(D93=MD!$A$3,M93),(IF(L93=TRUE,TRUE,FALSE)),(IF(AND(D93=MD!$A$2,M93),(IF(N93=TRUE,TRUE,FALSE)),FALSE)))))</f>
        <v>1</v>
      </c>
      <c r="M93" t="b">
        <f>IF(VLOOKUP(B93,'Profile selection'!B:C,2,FALSE)="Yes",TRUE,FALSE)</f>
        <v>1</v>
      </c>
    </row>
    <row r="94" spans="1:13" x14ac:dyDescent="0.25">
      <c r="A94" t="str">
        <f>'HIDDEN import'!B93</f>
        <v>TC_J_02_CSMS</v>
      </c>
      <c r="B94" t="str">
        <f>'HIDDEN import'!C93</f>
        <v>Core</v>
      </c>
      <c r="C94" t="str">
        <f>'HIDDEN import'!D93</f>
        <v>Clock-aligned Meter Values - Transaction ongoing</v>
      </c>
      <c r="D94" t="str">
        <f>IF(VLOOKUP(A94&amp;" "&amp;B94,'HIDDEN import'!A:G,5,FALSE)="M",MD!$A$1,(IF(AND(VLOOKUP(A94,'HIDDEN import'!B:E,4,FALSE)="C",OR(NOT(ISERROR(VLOOKUP(E94,'Optional features'!B:E,1,FALSE)=E94)),NOT(ISERROR(VLOOKUP(E94,'HIDDEN calc sheet'!A:C,1,FALSE)=E94)))),MD!$A$3,MD!$A$2)))</f>
        <v>Mandatory test for a mandatory feature</v>
      </c>
      <c r="E94" t="str">
        <f>IF('HIDDEN import'!F93=0,"",'HIDDEN import'!F93)</f>
        <v>C-40</v>
      </c>
      <c r="F94" t="str">
        <f>IF('HIDDEN import'!G93=0,"",'HIDDEN import'!G93)</f>
        <v>Supported MeterValue Measurands</v>
      </c>
      <c r="G94" s="39" t="str">
        <f>IFERROR(VLOOKUP($A94,'HIDDEN Testrun Results'!$A:$B,2,FALSE),"")</f>
        <v/>
      </c>
      <c r="H94" s="39" t="b">
        <f t="shared" si="1"/>
        <v>1</v>
      </c>
      <c r="I94" s="39" t="b">
        <f>IF(VLOOKUP(A94&amp;" "&amp;B94,'HIDDEN import'!A:G,5,FALSE)="M",TRUE,IFERROR(VLOOKUP(E94,'Optional features'!B:E,3,FALSE)="Yes",IFERROR(VLOOKUP(E94,'HIDDEN calc sheet'!A:B,2,FALSE),VLOOKUP(E94,'Additional questions'!B:D,3,FALSE)="Yes")))</f>
        <v>1</v>
      </c>
      <c r="J94" t="b">
        <f>IF(VLOOKUP(B94,'Profile selection'!B:C,2,FALSE)="Yes",TRUE,FALSE)</f>
        <v>1</v>
      </c>
      <c r="K94" s="17" t="b">
        <f>IF(AND(D94=MD!$A$1,M94),TRUE,(IF(AND(D94=MD!$A$3,M94),(IF(L94=TRUE,TRUE,FALSE)),(IF(AND(D94=MD!$A$2,M94),(IF(N94=TRUE,TRUE,FALSE)),FALSE)))))</f>
        <v>1</v>
      </c>
      <c r="M94" t="b">
        <f>IF(VLOOKUP(B94,'Profile selection'!B:C,2,FALSE)="Yes",TRUE,FALSE)</f>
        <v>1</v>
      </c>
    </row>
    <row r="95" spans="1:13" x14ac:dyDescent="0.25">
      <c r="A95" t="str">
        <f>'HIDDEN import'!B94</f>
        <v>TC_J_03_CSMS</v>
      </c>
      <c r="B95" t="str">
        <f>'HIDDEN import'!C94</f>
        <v>Core</v>
      </c>
      <c r="C95" t="str">
        <f>'HIDDEN import'!D94</f>
        <v>Clock-aligned Meter Values - EventType Ended</v>
      </c>
      <c r="D95" t="str">
        <f>IF(VLOOKUP(A95&amp;" "&amp;B95,'HIDDEN import'!A:G,5,FALSE)="M",MD!$A$1,(IF(AND(VLOOKUP(A95,'HIDDEN import'!B:E,4,FALSE)="C",OR(NOT(ISERROR(VLOOKUP(E95,'Optional features'!B:E,1,FALSE)=E95)),NOT(ISERROR(VLOOKUP(E95,'HIDDEN calc sheet'!A:C,1,FALSE)=E95)))),MD!$A$3,MD!$A$2)))</f>
        <v>Mandatory test for a mandatory feature</v>
      </c>
      <c r="E95" t="str">
        <f>IF('HIDDEN import'!F94=0,"",'HIDDEN import'!F94)</f>
        <v>C-40</v>
      </c>
      <c r="F95" t="str">
        <f>IF('HIDDEN import'!G94=0,"",'HIDDEN import'!G94)</f>
        <v>Supported MeterValue Measurands</v>
      </c>
      <c r="G95" s="39" t="str">
        <f>IFERROR(VLOOKUP($A95,'HIDDEN Testrun Results'!$A:$B,2,FALSE),"")</f>
        <v/>
      </c>
      <c r="H95" s="39" t="b">
        <f t="shared" si="1"/>
        <v>1</v>
      </c>
      <c r="I95" s="39" t="b">
        <f>IF(VLOOKUP(A95&amp;" "&amp;B95,'HIDDEN import'!A:G,5,FALSE)="M",TRUE,IFERROR(VLOOKUP(E95,'Optional features'!B:E,3,FALSE)="Yes",IFERROR(VLOOKUP(E95,'HIDDEN calc sheet'!A:B,2,FALSE),VLOOKUP(E95,'Additional questions'!B:D,3,FALSE)="Yes")))</f>
        <v>1</v>
      </c>
      <c r="J95" t="b">
        <f>IF(VLOOKUP(B95,'Profile selection'!B:C,2,FALSE)="Yes",TRUE,FALSE)</f>
        <v>1</v>
      </c>
      <c r="K95" s="17" t="b">
        <f>IF(AND(D95=MD!$A$1,M95),TRUE,(IF(AND(D95=MD!$A$3,M95),(IF(L95=TRUE,TRUE,FALSE)),(IF(AND(D95=MD!$A$2,M95),(IF(N95=TRUE,TRUE,FALSE)),FALSE)))))</f>
        <v>1</v>
      </c>
      <c r="M95" t="b">
        <f>IF(VLOOKUP(B95,'Profile selection'!B:C,2,FALSE)="Yes",TRUE,FALSE)</f>
        <v>1</v>
      </c>
    </row>
    <row r="96" spans="1:13" x14ac:dyDescent="0.25">
      <c r="A96" t="str">
        <f>'HIDDEN import'!B95</f>
        <v>TC_J_04_CSMS</v>
      </c>
      <c r="B96" t="str">
        <f>'HIDDEN import'!C95</f>
        <v>Core</v>
      </c>
      <c r="C96" t="str">
        <f>'HIDDEN import'!D95</f>
        <v>Clock-aligned Meter Values - Signed</v>
      </c>
      <c r="D96" t="str">
        <f>IF(VLOOKUP(A96&amp;" "&amp;B96,'HIDDEN import'!A:G,5,FALSE)="M",MD!$A$1,(IF(AND(VLOOKUP(A96,'HIDDEN import'!B:E,4,FALSE)="C",OR(NOT(ISERROR(VLOOKUP(E96,'Optional features'!B:E,1,FALSE)=E96)),NOT(ISERROR(VLOOKUP(E96,'HIDDEN calc sheet'!A:C,1,FALSE)=E96)))),MD!$A$3,MD!$A$2)))</f>
        <v>Mandatory test for a mandatory feature</v>
      </c>
      <c r="E96" t="str">
        <f>IF('HIDDEN import'!F95=0,"",'HIDDEN import'!F95)</f>
        <v>C-42</v>
      </c>
      <c r="F96" t="str">
        <f>IF('HIDDEN import'!G95=0,"",'HIDDEN import'!G95)</f>
        <v>Supported MeterValue Measurands &amp; Signed Metervalues</v>
      </c>
      <c r="G96" s="39" t="str">
        <f>IFERROR(VLOOKUP($A96,'HIDDEN Testrun Results'!$A:$B,2,FALSE),"")</f>
        <v/>
      </c>
      <c r="H96" s="39" t="b">
        <f t="shared" si="1"/>
        <v>1</v>
      </c>
      <c r="I96" s="39" t="b">
        <f>IF(VLOOKUP(A96&amp;" "&amp;B96,'HIDDEN import'!A:G,5,FALSE)="M",TRUE,IFERROR(VLOOKUP(E96,'Optional features'!B:E,3,FALSE)="Yes",IFERROR(VLOOKUP(E96,'HIDDEN calc sheet'!A:B,2,FALSE),VLOOKUP(E96,'Additional questions'!B:D,3,FALSE)="Yes")))</f>
        <v>1</v>
      </c>
      <c r="J96" t="b">
        <f>IF(VLOOKUP(B96,'Profile selection'!B:C,2,FALSE)="Yes",TRUE,FALSE)</f>
        <v>1</v>
      </c>
      <c r="K96" s="17" t="b">
        <f>IF(AND(D96=MD!$A$1,M96),TRUE,(IF(AND(D96=MD!$A$3,M96),(IF(L96=TRUE,TRUE,FALSE)),(IF(AND(D96=MD!$A$2,M96),(IF(N96=TRUE,TRUE,FALSE)),FALSE)))))</f>
        <v>1</v>
      </c>
      <c r="L96" t="b">
        <f>IF(ISNA(VLOOKUP(E96,'Optional features'!B:D,3,FALSE)),FALSE,IF(VLOOKUP(E96,'Optional features'!B:D,3,FALSE)="Yes",TRUE,FALSE))</f>
        <v>0</v>
      </c>
      <c r="M96" t="b">
        <f>IF(VLOOKUP(B96,'Profile selection'!B:C,2,FALSE)="Yes",TRUE,FALSE)</f>
        <v>1</v>
      </c>
    </row>
    <row r="97" spans="1:13" x14ac:dyDescent="0.25">
      <c r="A97" t="str">
        <f>'HIDDEN import'!B96</f>
        <v>TC_J_07_CSMS</v>
      </c>
      <c r="B97" t="str">
        <f>'HIDDEN import'!C96</f>
        <v>Core</v>
      </c>
      <c r="C97" t="str">
        <f>'HIDDEN import'!D96</f>
        <v>Sampled Meter Values - EventType Started - EVSE known</v>
      </c>
      <c r="D97" t="str">
        <f>IF(VLOOKUP(A97&amp;" "&amp;B97,'HIDDEN import'!A:G,5,FALSE)="M",MD!$A$1,(IF(AND(VLOOKUP(A97,'HIDDEN import'!B:E,4,FALSE)="C",OR(NOT(ISERROR(VLOOKUP(E97,'Optional features'!B:E,1,FALSE)=E97)),NOT(ISERROR(VLOOKUP(E97,'HIDDEN calc sheet'!A:C,1,FALSE)=E97)))),MD!$A$3,MD!$A$2)))</f>
        <v>Mandatory test for a mandatory feature</v>
      </c>
      <c r="E97" t="str">
        <f>IF('HIDDEN import'!F96=0,"",'HIDDEN import'!F96)</f>
        <v>C-40</v>
      </c>
      <c r="F97" t="str">
        <f>IF('HIDDEN import'!G96=0,"",'HIDDEN import'!G96)</f>
        <v>Supported MeterValue Measurands</v>
      </c>
      <c r="G97" s="39" t="str">
        <f>IFERROR(VLOOKUP($A97,'HIDDEN Testrun Results'!$A:$B,2,FALSE),"")</f>
        <v/>
      </c>
      <c r="H97" s="39" t="b">
        <f t="shared" si="1"/>
        <v>1</v>
      </c>
      <c r="I97" s="39" t="b">
        <f>IF(VLOOKUP(A97&amp;" "&amp;B97,'HIDDEN import'!A:G,5,FALSE)="M",TRUE,IFERROR(VLOOKUP(E97,'Optional features'!B:E,3,FALSE)="Yes",IFERROR(VLOOKUP(E97,'HIDDEN calc sheet'!A:B,2,FALSE),VLOOKUP(E97,'Additional questions'!B:D,3,FALSE)="Yes")))</f>
        <v>1</v>
      </c>
      <c r="J97" t="b">
        <f>IF(VLOOKUP(B97,'Profile selection'!B:C,2,FALSE)="Yes",TRUE,FALSE)</f>
        <v>1</v>
      </c>
      <c r="K97" s="17" t="b">
        <f>IF(AND(D97=MD!$A$1,M97),TRUE,(IF(AND(D97=MD!$A$3,M97),(IF(L97=TRUE,TRUE,FALSE)),(IF(AND(D97=MD!$A$2,M97),(IF(N97=TRUE,TRUE,FALSE)),FALSE)))))</f>
        <v>1</v>
      </c>
      <c r="M97" t="b">
        <f>IF(VLOOKUP(B97,'Profile selection'!B:C,2,FALSE)="Yes",TRUE,FALSE)</f>
        <v>1</v>
      </c>
    </row>
    <row r="98" spans="1:13" x14ac:dyDescent="0.25">
      <c r="A98" t="str">
        <f>'HIDDEN import'!B97</f>
        <v>TC_J_08_CSMS</v>
      </c>
      <c r="B98" t="str">
        <f>'HIDDEN import'!C97</f>
        <v>Core</v>
      </c>
      <c r="C98" t="str">
        <f>'HIDDEN import'!D97</f>
        <v>Sampled Meter Values - Context Transaction.Begin - EVSE not known</v>
      </c>
      <c r="D98" t="str">
        <f>IF(VLOOKUP(A98&amp;" "&amp;B98,'HIDDEN import'!A:G,5,FALSE)="M",MD!$A$1,(IF(AND(VLOOKUP(A98,'HIDDEN import'!B:E,4,FALSE)="C",OR(NOT(ISERROR(VLOOKUP(E98,'Optional features'!B:E,1,FALSE)=E98)),NOT(ISERROR(VLOOKUP(E98,'HIDDEN calc sheet'!A:C,1,FALSE)=E98)))),MD!$A$3,MD!$A$2)))</f>
        <v>Mandatory test for a mandatory feature</v>
      </c>
      <c r="E98" t="str">
        <f>IF('HIDDEN import'!F97=0,"",'HIDDEN import'!F97)</f>
        <v>C-40 and NOT AQ-8 AND (C-09.2 OR C-09.6)</v>
      </c>
      <c r="F98" t="str">
        <f>IF('HIDDEN import'!G97=0,"",'HIDDEN import'!G97)</f>
        <v>Supported MeterValue Measurands &amp; possibility to enforce EVSE being known.</v>
      </c>
      <c r="G98" s="39" t="str">
        <f>IFERROR(VLOOKUP($A98,'HIDDEN Testrun Results'!$A:$B,2,FALSE),"")</f>
        <v/>
      </c>
      <c r="H98" s="39" t="b">
        <f t="shared" si="1"/>
        <v>1</v>
      </c>
      <c r="I98" s="39" t="b">
        <f>IF(VLOOKUP(A98&amp;" "&amp;B98,'HIDDEN import'!A:G,5,FALSE)="M",TRUE,IFERROR(VLOOKUP(E98,'Optional features'!B:E,3,FALSE)="Yes",IFERROR(VLOOKUP(E98,'HIDDEN calc sheet'!A:B,2,FALSE),VLOOKUP(E98,'Additional questions'!B:D,3,FALSE)="Yes")))</f>
        <v>1</v>
      </c>
      <c r="J98" t="b">
        <f>IF(VLOOKUP(B98,'Profile selection'!B:C,2,FALSE)="Yes",TRUE,FALSE)</f>
        <v>1</v>
      </c>
      <c r="K98" s="17" t="b">
        <f>IF(AND(D98=MD!$A$1,M98),TRUE,(IF(AND(D98=MD!$A$3,M98),(IF(L98=TRUE,TRUE,FALSE)),(IF(AND(D98=MD!$A$2,M98),(IF(N98=TRUE,TRUE,FALSE)),FALSE)))))</f>
        <v>1</v>
      </c>
      <c r="L98" t="b">
        <f>IF(ISNA(VLOOKUP(E98,'Optional features'!B:D,3,FALSE)),FALSE,IF(VLOOKUP(E98,'Optional features'!B:D,3,FALSE)="Yes",TRUE,FALSE))</f>
        <v>0</v>
      </c>
      <c r="M98" t="b">
        <f>IF(VLOOKUP(B98,'Profile selection'!B:C,2,FALSE)="Yes",TRUE,FALSE)</f>
        <v>1</v>
      </c>
    </row>
    <row r="99" spans="1:13" x14ac:dyDescent="0.25">
      <c r="A99" t="str">
        <f>'HIDDEN import'!B98</f>
        <v>TC_J_09_CSMS</v>
      </c>
      <c r="B99" t="str">
        <f>'HIDDEN import'!C98</f>
        <v>Core</v>
      </c>
      <c r="C99" t="str">
        <f>'HIDDEN import'!D98</f>
        <v>Sampled Meter Values - EventType Updated</v>
      </c>
      <c r="D99" t="str">
        <f>IF(VLOOKUP(A99&amp;" "&amp;B99,'HIDDEN import'!A:G,5,FALSE)="M",MD!$A$1,(IF(AND(VLOOKUP(A99,'HIDDEN import'!B:E,4,FALSE)="C",OR(NOT(ISERROR(VLOOKUP(E99,'Optional features'!B:E,1,FALSE)=E99)),NOT(ISERROR(VLOOKUP(E99,'HIDDEN calc sheet'!A:C,1,FALSE)=E99)))),MD!$A$3,MD!$A$2)))</f>
        <v>Mandatory test for a mandatory feature</v>
      </c>
      <c r="E99" t="str">
        <f>IF('HIDDEN import'!F98=0,"",'HIDDEN import'!F98)</f>
        <v>C-40</v>
      </c>
      <c r="F99" t="str">
        <f>IF('HIDDEN import'!G98=0,"",'HIDDEN import'!G98)</f>
        <v>Supported MeterValue Measurands</v>
      </c>
      <c r="G99" s="39" t="str">
        <f>IFERROR(VLOOKUP($A99,'HIDDEN Testrun Results'!$A:$B,2,FALSE),"")</f>
        <v/>
      </c>
      <c r="H99" s="39" t="b">
        <f t="shared" si="1"/>
        <v>1</v>
      </c>
      <c r="I99" s="39" t="b">
        <f>IF(VLOOKUP(A99&amp;" "&amp;B99,'HIDDEN import'!A:G,5,FALSE)="M",TRUE,IFERROR(VLOOKUP(E99,'Optional features'!B:E,3,FALSE)="Yes",IFERROR(VLOOKUP(E99,'HIDDEN calc sheet'!A:B,2,FALSE),VLOOKUP(E99,'Additional questions'!B:D,3,FALSE)="Yes")))</f>
        <v>1</v>
      </c>
      <c r="J99" t="b">
        <f>IF(VLOOKUP(B99,'Profile selection'!B:C,2,FALSE)="Yes",TRUE,FALSE)</f>
        <v>1</v>
      </c>
      <c r="K99" s="17" t="b">
        <f>IF(AND(D99=MD!$A$1,M99),TRUE,(IF(AND(D99=MD!$A$3,M99),(IF(L99=TRUE,TRUE,FALSE)),(IF(AND(D99=MD!$A$2,M99),(IF(N99=TRUE,TRUE,FALSE)),FALSE)))))</f>
        <v>1</v>
      </c>
      <c r="L99" t="b">
        <f>IF(ISNA(VLOOKUP(E99,'Optional features'!B:D,3,FALSE)),FALSE,IF(VLOOKUP(E99,'Optional features'!B:D,3,FALSE)="Yes",TRUE,FALSE))</f>
        <v>0</v>
      </c>
      <c r="M99" t="b">
        <f>IF(VLOOKUP(B99,'Profile selection'!B:C,2,FALSE)="Yes",TRUE,FALSE)</f>
        <v>1</v>
      </c>
    </row>
    <row r="100" spans="1:13" x14ac:dyDescent="0.25">
      <c r="A100" t="str">
        <f>'HIDDEN import'!B99</f>
        <v>TC_J_10_CSMS</v>
      </c>
      <c r="B100" t="str">
        <f>'HIDDEN import'!C99</f>
        <v>Core</v>
      </c>
      <c r="C100" t="str">
        <f>'HIDDEN import'!D99</f>
        <v>Sampled Meter Values - EventType Ended</v>
      </c>
      <c r="D100" t="str">
        <f>IF(VLOOKUP(A100&amp;" "&amp;B100,'HIDDEN import'!A:G,5,FALSE)="M",MD!$A$1,(IF(AND(VLOOKUP(A100,'HIDDEN import'!B:E,4,FALSE)="C",OR(NOT(ISERROR(VLOOKUP(E100,'Optional features'!B:E,1,FALSE)=E100)),NOT(ISERROR(VLOOKUP(E100,'HIDDEN calc sheet'!A:C,1,FALSE)=E100)))),MD!$A$3,MD!$A$2)))</f>
        <v>Mandatory test for a mandatory feature</v>
      </c>
      <c r="E100" t="str">
        <f>IF('HIDDEN import'!F99=0,"",'HIDDEN import'!F99)</f>
        <v>C-40</v>
      </c>
      <c r="F100" t="str">
        <f>IF('HIDDEN import'!G99=0,"",'HIDDEN import'!G99)</f>
        <v>Supported MeterValue Measurands</v>
      </c>
      <c r="G100" s="39" t="str">
        <f>IFERROR(VLOOKUP($A100,'HIDDEN Testrun Results'!$A:$B,2,FALSE),"")</f>
        <v/>
      </c>
      <c r="H100" s="39" t="b">
        <f t="shared" si="1"/>
        <v>1</v>
      </c>
      <c r="I100" s="39" t="b">
        <f>IF(VLOOKUP(A100&amp;" "&amp;B100,'HIDDEN import'!A:G,5,FALSE)="M",TRUE,IFERROR(VLOOKUP(E100,'Optional features'!B:E,3,FALSE)="Yes",IFERROR(VLOOKUP(E100,'HIDDEN calc sheet'!A:B,2,FALSE),VLOOKUP(E100,'Additional questions'!B:D,3,FALSE)="Yes")))</f>
        <v>1</v>
      </c>
      <c r="J100" t="b">
        <f>IF(VLOOKUP(B100,'Profile selection'!B:C,2,FALSE)="Yes",TRUE,FALSE)</f>
        <v>1</v>
      </c>
      <c r="K100" s="17" t="b">
        <f>IF(AND(D100=MD!$A$1,M100),TRUE,(IF(AND(D100=MD!$A$3,M100),(IF(L100=TRUE,TRUE,FALSE)),(IF(AND(D100=MD!$A$2,M100),(IF(N100=TRUE,TRUE,FALSE)),FALSE)))))</f>
        <v>1</v>
      </c>
      <c r="M100" t="b">
        <f>IF(VLOOKUP(B100,'Profile selection'!B:C,2,FALSE)="Yes",TRUE,FALSE)</f>
        <v>1</v>
      </c>
    </row>
    <row r="101" spans="1:13" x14ac:dyDescent="0.25">
      <c r="A101" t="str">
        <f>'HIDDEN import'!B100</f>
        <v>TC_J_11_CSMS</v>
      </c>
      <c r="B101" t="str">
        <f>'HIDDEN import'!C100</f>
        <v>Core</v>
      </c>
      <c r="C101" t="str">
        <f>'HIDDEN import'!D100</f>
        <v>Sampled Meter Values - Signed</v>
      </c>
      <c r="D101" t="str">
        <f>IF(VLOOKUP(A101&amp;" "&amp;B101,'HIDDEN import'!A:G,5,FALSE)="M",MD!$A$1,(IF(AND(VLOOKUP(A101,'HIDDEN import'!B:E,4,FALSE)="C",OR(NOT(ISERROR(VLOOKUP(E101,'Optional features'!B:E,1,FALSE)=E101)),NOT(ISERROR(VLOOKUP(E101,'HIDDEN calc sheet'!A:C,1,FALSE)=E101)))),MD!$A$3,MD!$A$2)))</f>
        <v>Mandatory test for a mandatory feature</v>
      </c>
      <c r="E101" t="str">
        <f>IF('HIDDEN import'!F100=0,"",'HIDDEN import'!F100)</f>
        <v>C-42</v>
      </c>
      <c r="F101" t="str">
        <f>IF('HIDDEN import'!G100=0,"",'HIDDEN import'!G100)</f>
        <v>Supported MeterValue Measurands &amp; Signed Metervalues</v>
      </c>
      <c r="G101" s="39" t="str">
        <f>IFERROR(VLOOKUP($A101,'HIDDEN Testrun Results'!$A:$B,2,FALSE),"")</f>
        <v/>
      </c>
      <c r="H101" s="39" t="b">
        <f t="shared" si="1"/>
        <v>1</v>
      </c>
      <c r="I101" s="39" t="b">
        <f>IF(VLOOKUP(A101&amp;" "&amp;B101,'HIDDEN import'!A:G,5,FALSE)="M",TRUE,IFERROR(VLOOKUP(E101,'Optional features'!B:E,3,FALSE)="Yes",IFERROR(VLOOKUP(E101,'HIDDEN calc sheet'!A:B,2,FALSE),VLOOKUP(E101,'Additional questions'!B:D,3,FALSE)="Yes")))</f>
        <v>1</v>
      </c>
      <c r="J101" t="b">
        <f>IF(VLOOKUP(B101,'Profile selection'!B:C,2,FALSE)="Yes",TRUE,FALSE)</f>
        <v>1</v>
      </c>
      <c r="K101" s="17" t="b">
        <f>IF(AND(D101=MD!$A$1,M101),TRUE,(IF(AND(D101=MD!$A$3,M101),(IF(L101=TRUE,TRUE,FALSE)),(IF(AND(D101=MD!$A$2,M101),(IF(N101=TRUE,TRUE,FALSE)),FALSE)))))</f>
        <v>1</v>
      </c>
      <c r="M101" t="b">
        <f>IF(VLOOKUP(B101,'Profile selection'!B:C,2,FALSE)="Yes",TRUE,FALSE)</f>
        <v>1</v>
      </c>
    </row>
    <row r="102" spans="1:13" x14ac:dyDescent="0.25">
      <c r="A102" t="str">
        <f>'HIDDEN import'!B101</f>
        <v>TC_L_01_CSMS</v>
      </c>
      <c r="B102" t="str">
        <f>'HIDDEN import'!C101</f>
        <v>Core</v>
      </c>
      <c r="C102" t="str">
        <f>'HIDDEN import'!D101</f>
        <v>Secure Firmware Update - Installation successful</v>
      </c>
      <c r="D102" t="str">
        <f>IF(VLOOKUP(A102&amp;" "&amp;B102,'HIDDEN import'!A:G,5,FALSE)="M",MD!$A$1,(IF(AND(VLOOKUP(A102,'HIDDEN import'!B:E,4,FALSE)="C",OR(NOT(ISERROR(VLOOKUP(E102,'Optional features'!B:E,1,FALSE)=E102)),NOT(ISERROR(VLOOKUP(E102,'HIDDEN calc sheet'!A:C,1,FALSE)=E102)))),MD!$A$3,MD!$A$2)))</f>
        <v>Mandatory test for a mandatory feature</v>
      </c>
      <c r="E102" t="str">
        <f>IF('HIDDEN import'!F101=0,"",'HIDDEN import'!F101)</f>
        <v/>
      </c>
      <c r="F102" t="str">
        <f>IF('HIDDEN import'!G101=0,"",'HIDDEN import'!G101)</f>
        <v/>
      </c>
      <c r="G102" s="39" t="str">
        <f>IFERROR(VLOOKUP($A102,'HIDDEN Testrun Results'!$A:$B,2,FALSE),"")</f>
        <v/>
      </c>
      <c r="H102" s="39" t="b">
        <f t="shared" si="1"/>
        <v>1</v>
      </c>
      <c r="I102" s="39" t="b">
        <f>IF(VLOOKUP(A102&amp;" "&amp;B102,'HIDDEN import'!A:G,5,FALSE)="M",TRUE,IFERROR(VLOOKUP(E102,'Optional features'!B:E,3,FALSE)="Yes",IFERROR(VLOOKUP(E102,'HIDDEN calc sheet'!A:B,2,FALSE),VLOOKUP(E102,'Additional questions'!B:D,3,FALSE)="Yes")))</f>
        <v>1</v>
      </c>
      <c r="J102" t="b">
        <f>IF(VLOOKUP(B102,'Profile selection'!B:C,2,FALSE)="Yes",TRUE,FALSE)</f>
        <v>1</v>
      </c>
      <c r="K102" s="17" t="b">
        <f>IF(AND(D102=MD!$A$1,M102),TRUE,(IF(AND(D102=MD!$A$3,M102),(IF(L102=TRUE,TRUE,FALSE)),(IF(AND(D102=MD!$A$2,M102),(IF(N102=TRUE,TRUE,FALSE)),FALSE)))))</f>
        <v>1</v>
      </c>
      <c r="M102" t="b">
        <f>IF(VLOOKUP(B102,'Profile selection'!B:C,2,FALSE)="Yes",TRUE,FALSE)</f>
        <v>1</v>
      </c>
    </row>
    <row r="103" spans="1:13" x14ac:dyDescent="0.25">
      <c r="A103" t="str">
        <f>'HIDDEN import'!B102</f>
        <v>TC_L_02_CSMS</v>
      </c>
      <c r="B103" t="str">
        <f>'HIDDEN import'!C102</f>
        <v>Core</v>
      </c>
      <c r="C103" t="str">
        <f>'HIDDEN import'!D102</f>
        <v>Secure Firmware Update - InstallScheduled</v>
      </c>
      <c r="D103" t="str">
        <f>IF(VLOOKUP(A103&amp;" "&amp;B103,'HIDDEN import'!A:G,5,FALSE)="M",MD!$A$1,(IF(AND(VLOOKUP(A103,'HIDDEN import'!B:E,4,FALSE)="C",OR(NOT(ISERROR(VLOOKUP(E103,'Optional features'!B:E,1,FALSE)=E103)),NOT(ISERROR(VLOOKUP(E103,'HIDDEN calc sheet'!A:C,1,FALSE)=E103)))),MD!$A$3,MD!$A$2)))</f>
        <v>Mandatory for optional feature</v>
      </c>
      <c r="E103" t="str">
        <f>IF('HIDDEN import'!F102=0,"",'HIDDEN import'!F102)</f>
        <v>C-15</v>
      </c>
      <c r="F103" t="str">
        <f>IF('HIDDEN import'!G102=0,"",'HIDDEN import'!G102)</f>
        <v>Scheduled firmware updates</v>
      </c>
      <c r="G103" s="39" t="str">
        <f>IFERROR(VLOOKUP($A103,'HIDDEN Testrun Results'!$A:$B,2,FALSE),"")</f>
        <v/>
      </c>
      <c r="H103" s="39" t="b">
        <f t="shared" si="1"/>
        <v>0</v>
      </c>
      <c r="I103" s="39" t="b">
        <f>IF(VLOOKUP(A103&amp;" "&amp;B103,'HIDDEN import'!A:G,5,FALSE)="M",TRUE,IFERROR(VLOOKUP(E103,'Optional features'!B:E,3,FALSE)="Yes",IFERROR(VLOOKUP(E103,'HIDDEN calc sheet'!A:B,2,FALSE),VLOOKUP(E103,'Additional questions'!B:D,3,FALSE)="Yes")))</f>
        <v>0</v>
      </c>
      <c r="J103" t="b">
        <f>IF(VLOOKUP(B103,'Profile selection'!B:C,2,FALSE)="Yes",TRUE,FALSE)</f>
        <v>1</v>
      </c>
      <c r="K103" s="17" t="b">
        <f>IF(AND(D103=MD!$A$1,M103),TRUE,(IF(AND(D103=MD!$A$3,M103),(IF(L103=TRUE,TRUE,FALSE)),(IF(AND(D103=MD!$A$2,M103),(IF(N103=TRUE,TRUE,FALSE)),FALSE)))))</f>
        <v>0</v>
      </c>
      <c r="M103" t="b">
        <f>IF(VLOOKUP(B103,'Profile selection'!B:C,2,FALSE)="Yes",TRUE,FALSE)</f>
        <v>1</v>
      </c>
    </row>
    <row r="104" spans="1:13" x14ac:dyDescent="0.25">
      <c r="A104" t="str">
        <f>'HIDDEN import'!B103</f>
        <v>TC_L_03_CSMS</v>
      </c>
      <c r="B104" t="str">
        <f>'HIDDEN import'!C103</f>
        <v>Core</v>
      </c>
      <c r="C104" t="str">
        <f>'HIDDEN import'!D103</f>
        <v>Secure Firmware Update - DownloadScheduled</v>
      </c>
      <c r="D104" t="str">
        <f>IF(VLOOKUP(A104&amp;" "&amp;B104,'HIDDEN import'!A:G,5,FALSE)="M",MD!$A$1,(IF(AND(VLOOKUP(A104,'HIDDEN import'!B:E,4,FALSE)="C",OR(NOT(ISERROR(VLOOKUP(E104,'Optional features'!B:E,1,FALSE)=E104)),NOT(ISERROR(VLOOKUP(E104,'HIDDEN calc sheet'!A:C,1,FALSE)=E104)))),MD!$A$3,MD!$A$2)))</f>
        <v>Mandatory for optional feature</v>
      </c>
      <c r="E104" t="str">
        <f>IF('HIDDEN import'!F103=0,"",'HIDDEN import'!F103)</f>
        <v>C-15</v>
      </c>
      <c r="F104" t="str">
        <f>IF('HIDDEN import'!G103=0,"",'HIDDEN import'!G103)</f>
        <v>Scheduled firmware updates</v>
      </c>
      <c r="G104" s="39" t="str">
        <f>IFERROR(VLOOKUP($A104,'HIDDEN Testrun Results'!$A:$B,2,FALSE),"")</f>
        <v/>
      </c>
      <c r="H104" s="39" t="b">
        <f t="shared" si="1"/>
        <v>0</v>
      </c>
      <c r="I104" s="39" t="b">
        <f>IF(VLOOKUP(A104&amp;" "&amp;B104,'HIDDEN import'!A:G,5,FALSE)="M",TRUE,IFERROR(VLOOKUP(E104,'Optional features'!B:E,3,FALSE)="Yes",IFERROR(VLOOKUP(E104,'HIDDEN calc sheet'!A:B,2,FALSE),VLOOKUP(E104,'Additional questions'!B:D,3,FALSE)="Yes")))</f>
        <v>0</v>
      </c>
      <c r="J104" t="b">
        <f>IF(VLOOKUP(B104,'Profile selection'!B:C,2,FALSE)="Yes",TRUE,FALSE)</f>
        <v>1</v>
      </c>
      <c r="K104" s="17" t="b">
        <f>IF(AND(D104=MD!$A$1,M104),TRUE,(IF(AND(D104=MD!$A$3,M104),(IF(L104=TRUE,TRUE,FALSE)),(IF(AND(D104=MD!$A$2,M104),(IF(N104=TRUE,TRUE,FALSE)),FALSE)))))</f>
        <v>0</v>
      </c>
      <c r="M104" t="b">
        <f>IF(VLOOKUP(B104,'Profile selection'!B:C,2,FALSE)="Yes",TRUE,FALSE)</f>
        <v>1</v>
      </c>
    </row>
    <row r="105" spans="1:13" x14ac:dyDescent="0.25">
      <c r="A105" t="str">
        <f>'HIDDEN import'!B104</f>
        <v>TC_L_04_CSMS</v>
      </c>
      <c r="B105" t="str">
        <f>'HIDDEN import'!C104</f>
        <v>Core</v>
      </c>
      <c r="C105" t="str">
        <f>'HIDDEN import'!D104</f>
        <v>Secure Firmware Update - RevokedCertificate</v>
      </c>
      <c r="D105" t="str">
        <f>IF(VLOOKUP(A105&amp;" "&amp;B105,'HIDDEN import'!A:G,5,FALSE)="M",MD!$A$1,(IF(AND(VLOOKUP(A105,'HIDDEN import'!B:E,4,FALSE)="C",OR(NOT(ISERROR(VLOOKUP(E105,'Optional features'!B:E,1,FALSE)=E105)),NOT(ISERROR(VLOOKUP(E105,'HIDDEN calc sheet'!A:C,1,FALSE)=E105)))),MD!$A$3,MD!$A$2)))</f>
        <v>Mandatory test for a mandatory feature</v>
      </c>
      <c r="E105" t="str">
        <f>IF('HIDDEN import'!F104=0,"",'HIDDEN import'!F104)</f>
        <v/>
      </c>
      <c r="F105" t="str">
        <f>IF('HIDDEN import'!G104=0,"",'HIDDEN import'!G104)</f>
        <v/>
      </c>
      <c r="G105" s="39" t="str">
        <f>IFERROR(VLOOKUP($A105,'HIDDEN Testrun Results'!$A:$B,2,FALSE),"")</f>
        <v/>
      </c>
      <c r="H105" s="39" t="b">
        <f t="shared" si="1"/>
        <v>1</v>
      </c>
      <c r="I105" s="39" t="b">
        <f>IF(VLOOKUP(A105&amp;" "&amp;B105,'HIDDEN import'!A:G,5,FALSE)="M",TRUE,IFERROR(VLOOKUP(E105,'Optional features'!B:E,3,FALSE)="Yes",IFERROR(VLOOKUP(E105,'HIDDEN calc sheet'!A:B,2,FALSE),VLOOKUP(E105,'Additional questions'!B:D,3,FALSE)="Yes")))</f>
        <v>1</v>
      </c>
      <c r="J105" t="b">
        <f>IF(VLOOKUP(B105,'Profile selection'!B:C,2,FALSE)="Yes",TRUE,FALSE)</f>
        <v>1</v>
      </c>
      <c r="K105" s="17" t="b">
        <f>IF(AND(D105=MD!$A$1,M105),TRUE,(IF(AND(D105=MD!$A$3,M105),(IF(L105=TRUE,TRUE,FALSE)),(IF(AND(D105=MD!$A$2,M105),(IF(N105=TRUE,TRUE,FALSE)),FALSE)))))</f>
        <v>1</v>
      </c>
      <c r="M105" t="b">
        <f>IF(VLOOKUP(B105,'Profile selection'!B:C,2,FALSE)="Yes",TRUE,FALSE)</f>
        <v>1</v>
      </c>
    </row>
    <row r="106" spans="1:13" x14ac:dyDescent="0.25">
      <c r="A106" t="str">
        <f>'HIDDEN import'!B105</f>
        <v>TC_L_05_CSMS</v>
      </c>
      <c r="B106" t="str">
        <f>'HIDDEN import'!C105</f>
        <v>Core</v>
      </c>
      <c r="C106" t="str">
        <f>'HIDDEN import'!D105</f>
        <v>Secure Firmware Update - InvalidCertificate</v>
      </c>
      <c r="D106" t="str">
        <f>IF(VLOOKUP(A106&amp;" "&amp;B106,'HIDDEN import'!A:G,5,FALSE)="M",MD!$A$1,(IF(AND(VLOOKUP(A106,'HIDDEN import'!B:E,4,FALSE)="C",OR(NOT(ISERROR(VLOOKUP(E106,'Optional features'!B:E,1,FALSE)=E106)),NOT(ISERROR(VLOOKUP(E106,'HIDDEN calc sheet'!A:C,1,FALSE)=E106)))),MD!$A$3,MD!$A$2)))</f>
        <v>Mandatory test for a mandatory feature</v>
      </c>
      <c r="E106" t="str">
        <f>IF('HIDDEN import'!F105=0,"",'HIDDEN import'!F105)</f>
        <v/>
      </c>
      <c r="F106" t="str">
        <f>IF('HIDDEN import'!G105=0,"",'HIDDEN import'!G105)</f>
        <v/>
      </c>
      <c r="G106" s="39" t="str">
        <f>IFERROR(VLOOKUP($A106,'HIDDEN Testrun Results'!$A:$B,2,FALSE),"")</f>
        <v/>
      </c>
      <c r="H106" s="39" t="b">
        <f t="shared" si="1"/>
        <v>1</v>
      </c>
      <c r="I106" s="39" t="b">
        <f>IF(VLOOKUP(A106&amp;" "&amp;B106,'HIDDEN import'!A:G,5,FALSE)="M",TRUE,IFERROR(VLOOKUP(E106,'Optional features'!B:E,3,FALSE)="Yes",IFERROR(VLOOKUP(E106,'HIDDEN calc sheet'!A:B,2,FALSE),VLOOKUP(E106,'Additional questions'!B:D,3,FALSE)="Yes")))</f>
        <v>1</v>
      </c>
      <c r="J106" t="b">
        <f>IF(VLOOKUP(B106,'Profile selection'!B:C,2,FALSE)="Yes",TRUE,FALSE)</f>
        <v>1</v>
      </c>
      <c r="K106" s="17" t="b">
        <f>IF(AND(D106=MD!$A$1,M106),TRUE,(IF(AND(D106=MD!$A$3,M106),(IF(L106=TRUE,TRUE,FALSE)),(IF(AND(D106=MD!$A$2,M106),(IF(N106=TRUE,TRUE,FALSE)),FALSE)))))</f>
        <v>1</v>
      </c>
      <c r="M106" t="b">
        <f>IF(VLOOKUP(B106,'Profile selection'!B:C,2,FALSE)="Yes",TRUE,FALSE)</f>
        <v>1</v>
      </c>
    </row>
    <row r="107" spans="1:13" x14ac:dyDescent="0.25">
      <c r="A107" t="str">
        <f>'HIDDEN import'!B106</f>
        <v>TC_L_06_CSMS</v>
      </c>
      <c r="B107" t="str">
        <f>'HIDDEN import'!C106</f>
        <v>Core</v>
      </c>
      <c r="C107" t="str">
        <f>'HIDDEN import'!D106</f>
        <v>Secure Firmware Update - InvalidSignature</v>
      </c>
      <c r="D107" t="str">
        <f>IF(VLOOKUP(A107&amp;" "&amp;B107,'HIDDEN import'!A:G,5,FALSE)="M",MD!$A$1,(IF(AND(VLOOKUP(A107,'HIDDEN import'!B:E,4,FALSE)="C",OR(NOT(ISERROR(VLOOKUP(E107,'Optional features'!B:E,1,FALSE)=E107)),NOT(ISERROR(VLOOKUP(E107,'HIDDEN calc sheet'!A:C,1,FALSE)=E107)))),MD!$A$3,MD!$A$2)))</f>
        <v>Mandatory test for a mandatory feature</v>
      </c>
      <c r="E107" t="str">
        <f>IF('HIDDEN import'!F106=0,"",'HIDDEN import'!F106)</f>
        <v/>
      </c>
      <c r="F107" t="str">
        <f>IF('HIDDEN import'!G106=0,"",'HIDDEN import'!G106)</f>
        <v/>
      </c>
      <c r="G107" s="39" t="str">
        <f>IFERROR(VLOOKUP($A107,'HIDDEN Testrun Results'!$A:$B,2,FALSE),"")</f>
        <v/>
      </c>
      <c r="H107" s="39" t="b">
        <f t="shared" si="1"/>
        <v>1</v>
      </c>
      <c r="I107" s="39" t="b">
        <f>IF(VLOOKUP(A107&amp;" "&amp;B107,'HIDDEN import'!A:G,5,FALSE)="M",TRUE,IFERROR(VLOOKUP(E107,'Optional features'!B:E,3,FALSE)="Yes",IFERROR(VLOOKUP(E107,'HIDDEN calc sheet'!A:B,2,FALSE),VLOOKUP(E107,'Additional questions'!B:D,3,FALSE)="Yes")))</f>
        <v>1</v>
      </c>
      <c r="J107" t="b">
        <f>IF(VLOOKUP(B107,'Profile selection'!B:C,2,FALSE)="Yes",TRUE,FALSE)</f>
        <v>1</v>
      </c>
      <c r="K107" s="17" t="b">
        <f>IF(AND(D107=MD!$A$1,M107),TRUE,(IF(AND(D107=MD!$A$3,M107),(IF(L107=TRUE,TRUE,FALSE)),(IF(AND(D107=MD!$A$2,M107),(IF(N107=TRUE,TRUE,FALSE)),FALSE)))))</f>
        <v>1</v>
      </c>
      <c r="M107" t="b">
        <f>IF(VLOOKUP(B107,'Profile selection'!B:C,2,FALSE)="Yes",TRUE,FALSE)</f>
        <v>1</v>
      </c>
    </row>
    <row r="108" spans="1:13" x14ac:dyDescent="0.25">
      <c r="A108" t="str">
        <f>'HIDDEN import'!B107</f>
        <v>TC_L_07_CSMS</v>
      </c>
      <c r="B108" t="str">
        <f>'HIDDEN import'!C107</f>
        <v>Core</v>
      </c>
      <c r="C108" t="str">
        <f>'HIDDEN import'!D107</f>
        <v>Secure Firmware Update - DownloadFailed</v>
      </c>
      <c r="D108" t="str">
        <f>IF(VLOOKUP(A108&amp;" "&amp;B108,'HIDDEN import'!A:G,5,FALSE)="M",MD!$A$1,(IF(AND(VLOOKUP(A108,'HIDDEN import'!B:E,4,FALSE)="C",OR(NOT(ISERROR(VLOOKUP(E108,'Optional features'!B:E,1,FALSE)=E108)),NOT(ISERROR(VLOOKUP(E108,'HIDDEN calc sheet'!A:C,1,FALSE)=E108)))),MD!$A$3,MD!$A$2)))</f>
        <v>Mandatory test for a mandatory feature</v>
      </c>
      <c r="E108" t="str">
        <f>IF('HIDDEN import'!F107=0,"",'HIDDEN import'!F107)</f>
        <v/>
      </c>
      <c r="F108" t="str">
        <f>IF('HIDDEN import'!G107=0,"",'HIDDEN import'!G107)</f>
        <v/>
      </c>
      <c r="G108" s="39" t="str">
        <f>IFERROR(VLOOKUP($A108,'HIDDEN Testrun Results'!$A:$B,2,FALSE),"")</f>
        <v/>
      </c>
      <c r="H108" s="39" t="b">
        <f t="shared" si="1"/>
        <v>1</v>
      </c>
      <c r="I108" s="39" t="b">
        <f>IF(VLOOKUP(A108&amp;" "&amp;B108,'HIDDEN import'!A:G,5,FALSE)="M",TRUE,IFERROR(VLOOKUP(E108,'Optional features'!B:E,3,FALSE)="Yes",IFERROR(VLOOKUP(E108,'HIDDEN calc sheet'!A:B,2,FALSE),VLOOKUP(E108,'Additional questions'!B:D,3,FALSE)="Yes")))</f>
        <v>1</v>
      </c>
      <c r="J108" t="b">
        <f>IF(VLOOKUP(B108,'Profile selection'!B:C,2,FALSE)="Yes",TRUE,FALSE)</f>
        <v>1</v>
      </c>
      <c r="K108" s="17" t="b">
        <f>IF(AND(D108=MD!$A$1,M108),TRUE,(IF(AND(D108=MD!$A$3,M108),(IF(L108=TRUE,TRUE,FALSE)),(IF(AND(D108=MD!$A$2,M108),(IF(N108=TRUE,TRUE,FALSE)),FALSE)))))</f>
        <v>1</v>
      </c>
      <c r="M108" t="b">
        <f>IF(VLOOKUP(B108,'Profile selection'!B:C,2,FALSE)="Yes",TRUE,FALSE)</f>
        <v>1</v>
      </c>
    </row>
    <row r="109" spans="1:13" x14ac:dyDescent="0.25">
      <c r="A109" t="str">
        <f>'HIDDEN import'!B108</f>
        <v>TC_L_08_CSMS</v>
      </c>
      <c r="B109" t="str">
        <f>'HIDDEN import'!C108</f>
        <v>Core</v>
      </c>
      <c r="C109" t="str">
        <f>'HIDDEN import'!D108</f>
        <v>Secure Firmware Update - InstallVerificationFailed or InstallationFailed</v>
      </c>
      <c r="D109" t="str">
        <f>IF(VLOOKUP(A109&amp;" "&amp;B109,'HIDDEN import'!A:G,5,FALSE)="M",MD!$A$1,(IF(AND(VLOOKUP(A109,'HIDDEN import'!B:E,4,FALSE)="C",OR(NOT(ISERROR(VLOOKUP(E109,'Optional features'!B:E,1,FALSE)=E109)),NOT(ISERROR(VLOOKUP(E109,'HIDDEN calc sheet'!A:C,1,FALSE)=E109)))),MD!$A$3,MD!$A$2)))</f>
        <v>Mandatory test for a mandatory feature</v>
      </c>
      <c r="E109" t="str">
        <f>IF('HIDDEN import'!F108=0,"",'HIDDEN import'!F108)</f>
        <v/>
      </c>
      <c r="F109" t="str">
        <f>IF('HIDDEN import'!G108=0,"",'HIDDEN import'!G108)</f>
        <v/>
      </c>
      <c r="G109" s="39" t="str">
        <f>IFERROR(VLOOKUP($A109,'HIDDEN Testrun Results'!$A:$B,2,FALSE),"")</f>
        <v/>
      </c>
      <c r="H109" s="39" t="b">
        <f t="shared" si="1"/>
        <v>1</v>
      </c>
      <c r="I109" s="39" t="b">
        <f>IF(VLOOKUP(A109&amp;" "&amp;B109,'HIDDEN import'!A:G,5,FALSE)="M",TRUE,IFERROR(VLOOKUP(E109,'Optional features'!B:E,3,FALSE)="Yes",IFERROR(VLOOKUP(E109,'HIDDEN calc sheet'!A:B,2,FALSE),VLOOKUP(E109,'Additional questions'!B:D,3,FALSE)="Yes")))</f>
        <v>1</v>
      </c>
      <c r="J109" t="b">
        <f>IF(VLOOKUP(B109,'Profile selection'!B:C,2,FALSE)="Yes",TRUE,FALSE)</f>
        <v>1</v>
      </c>
      <c r="K109" s="17" t="b">
        <f>IF(AND(D109=MD!$A$1,M109),TRUE,(IF(AND(D109=MD!$A$3,M109),(IF(L109=TRUE,TRUE,FALSE)),(IF(AND(D109=MD!$A$2,M109),(IF(N109=TRUE,TRUE,FALSE)),FALSE)))))</f>
        <v>1</v>
      </c>
      <c r="M109" t="b">
        <f>IF(VLOOKUP(B109,'Profile selection'!B:C,2,FALSE)="Yes",TRUE,FALSE)</f>
        <v>1</v>
      </c>
    </row>
    <row r="110" spans="1:13" x14ac:dyDescent="0.25">
      <c r="A110" t="str">
        <f>'HIDDEN import'!B109</f>
        <v>TC_L_09_CSMS</v>
      </c>
      <c r="B110" t="str">
        <f>'HIDDEN import'!C109</f>
        <v>Core</v>
      </c>
      <c r="C110" t="str">
        <f>'HIDDEN import'!D109</f>
        <v>Secure Firmware Update - InstallationFailed</v>
      </c>
      <c r="D110" t="str">
        <f>IF(VLOOKUP(A110&amp;" "&amp;B110,'HIDDEN import'!A:G,5,FALSE)="M",MD!$A$1,(IF(AND(VLOOKUP(A110,'HIDDEN import'!B:E,4,FALSE)="C",OR(NOT(ISERROR(VLOOKUP(E110,'Optional features'!B:E,1,FALSE)=E110)),NOT(ISERROR(VLOOKUP(E110,'HIDDEN calc sheet'!A:C,1,FALSE)=E110)))),MD!$A$3,MD!$A$2)))</f>
        <v>Mandatory test for a mandatory feature</v>
      </c>
      <c r="E110" t="str">
        <f>IF('HIDDEN import'!F109=0,"",'HIDDEN import'!F109)</f>
        <v/>
      </c>
      <c r="F110" t="str">
        <f>IF('HIDDEN import'!G109=0,"",'HIDDEN import'!G109)</f>
        <v/>
      </c>
      <c r="G110" s="39" t="str">
        <f>IFERROR(VLOOKUP($A110,'HIDDEN Testrun Results'!$A:$B,2,FALSE),"")</f>
        <v/>
      </c>
      <c r="H110" s="39" t="b">
        <f t="shared" si="1"/>
        <v>1</v>
      </c>
      <c r="I110" s="39" t="b">
        <f>IF(VLOOKUP(A110&amp;" "&amp;B110,'HIDDEN import'!A:G,5,FALSE)="M",TRUE,IFERROR(VLOOKUP(E110,'Optional features'!B:E,3,FALSE)="Yes",IFERROR(VLOOKUP(E110,'HIDDEN calc sheet'!A:B,2,FALSE),VLOOKUP(E110,'Additional questions'!B:D,3,FALSE)="Yes")))</f>
        <v>1</v>
      </c>
      <c r="J110" t="b">
        <f>IF(VLOOKUP(B110,'Profile selection'!B:C,2,FALSE)="Yes",TRUE,FALSE)</f>
        <v>1</v>
      </c>
      <c r="K110" s="17" t="b">
        <f>IF(AND(D110=MD!$A$1,M110),TRUE,(IF(AND(D110=MD!$A$3,M110),(IF(L110=TRUE,TRUE,FALSE)),(IF(AND(D110=MD!$A$2,M110),(IF(N110=TRUE,TRUE,FALSE)),FALSE)))))</f>
        <v>1</v>
      </c>
      <c r="M110" t="b">
        <f>IF(VLOOKUP(B110,'Profile selection'!B:C,2,FALSE)="Yes",TRUE,FALSE)</f>
        <v>1</v>
      </c>
    </row>
    <row r="111" spans="1:13" x14ac:dyDescent="0.25">
      <c r="A111" t="str">
        <f>'HIDDEN import'!B110</f>
        <v>TC_L_10_CSMS</v>
      </c>
      <c r="B111" t="str">
        <f>'HIDDEN import'!C110</f>
        <v>Core</v>
      </c>
      <c r="C111" t="str">
        <f>'HIDDEN import'!D110</f>
        <v>Secure Firmware Update - AcceptedCanceled</v>
      </c>
      <c r="D111" t="str">
        <f>IF(VLOOKUP(A111&amp;" "&amp;B111,'HIDDEN import'!A:G,5,FALSE)="M",MD!$A$1,(IF(AND(VLOOKUP(A111,'HIDDEN import'!B:E,4,FALSE)="C",OR(NOT(ISERROR(VLOOKUP(E111,'Optional features'!B:E,1,FALSE)=E111)),NOT(ISERROR(VLOOKUP(E111,'HIDDEN calc sheet'!A:C,1,FALSE)=E111)))),MD!$A$3,MD!$A$2)))</f>
        <v>Mandatory test for a mandatory feature</v>
      </c>
      <c r="E111" t="str">
        <f>IF('HIDDEN import'!F110=0,"",'HIDDEN import'!F110)</f>
        <v>C-60</v>
      </c>
      <c r="F111" t="str">
        <f>IF('HIDDEN import'!G110=0,"",'HIDDEN import'!G110)</f>
        <v/>
      </c>
      <c r="G111" s="39" t="str">
        <f>IFERROR(VLOOKUP($A111,'HIDDEN Testrun Results'!$A:$B,2,FALSE),"")</f>
        <v/>
      </c>
      <c r="H111" s="39" t="b">
        <f t="shared" si="1"/>
        <v>1</v>
      </c>
      <c r="I111" s="39" t="b">
        <f>IF(VLOOKUP(A111&amp;" "&amp;B111,'HIDDEN import'!A:G,5,FALSE)="M",TRUE,IFERROR(VLOOKUP(E111,'Optional features'!B:E,3,FALSE)="Yes",IFERROR(VLOOKUP(E111,'HIDDEN calc sheet'!A:B,2,FALSE),VLOOKUP(E111,'Additional questions'!B:D,3,FALSE)="Yes")))</f>
        <v>1</v>
      </c>
      <c r="J111" t="b">
        <f>IF(VLOOKUP(B111,'Profile selection'!B:C,2,FALSE)="Yes",TRUE,FALSE)</f>
        <v>1</v>
      </c>
      <c r="K111" s="17" t="b">
        <f>IF(AND(D111=MD!$A$1,M111),TRUE,(IF(AND(D111=MD!$A$3,M111),(IF(L111=TRUE,TRUE,FALSE)),(IF(AND(D111=MD!$A$2,M111),(IF(N111=TRUE,TRUE,FALSE)),FALSE)))))</f>
        <v>1</v>
      </c>
      <c r="M111" t="b">
        <f>IF(VLOOKUP(B111,'Profile selection'!B:C,2,FALSE)="Yes",TRUE,FALSE)</f>
        <v>1</v>
      </c>
    </row>
    <row r="112" spans="1:13" x14ac:dyDescent="0.25">
      <c r="A112" t="str">
        <f>'HIDDEN import'!B111</f>
        <v>TC_L_11_CSMS</v>
      </c>
      <c r="B112" t="str">
        <f>'HIDDEN import'!C111</f>
        <v>Core</v>
      </c>
      <c r="C112" t="str">
        <f>'HIDDEN import'!D111</f>
        <v>Secure Firmware Update - Unable to cancel</v>
      </c>
      <c r="D112" t="str">
        <f>IF(VLOOKUP(A112&amp;" "&amp;B112,'HIDDEN import'!A:G,5,FALSE)="M",MD!$A$1,(IF(AND(VLOOKUP(A112,'HIDDEN import'!B:E,4,FALSE)="C",OR(NOT(ISERROR(VLOOKUP(E112,'Optional features'!B:E,1,FALSE)=E112)),NOT(ISERROR(VLOOKUP(E112,'HIDDEN calc sheet'!A:C,1,FALSE)=E112)))),MD!$A$3,MD!$A$2)))</f>
        <v>Mandatory test for a mandatory feature</v>
      </c>
      <c r="E112" t="str">
        <f>IF('HIDDEN import'!F111=0,"",'HIDDEN import'!F111)</f>
        <v>NOT C-60</v>
      </c>
      <c r="F112" t="str">
        <f>IF('HIDDEN import'!G111=0,"",'HIDDEN import'!G111)</f>
        <v/>
      </c>
      <c r="G112" s="39" t="str">
        <f>IFERROR(VLOOKUP($A112,'HIDDEN Testrun Results'!$A:$B,2,FALSE),"")</f>
        <v/>
      </c>
      <c r="H112" s="39" t="b">
        <f t="shared" si="1"/>
        <v>1</v>
      </c>
      <c r="I112" s="39" t="b">
        <f>IF(VLOOKUP(A112&amp;" "&amp;B112,'HIDDEN import'!A:G,5,FALSE)="M",TRUE,IFERROR(VLOOKUP(E112,'Optional features'!B:E,3,FALSE)="Yes",IFERROR(VLOOKUP(E112,'HIDDEN calc sheet'!A:B,2,FALSE),VLOOKUP(E112,'Additional questions'!B:D,3,FALSE)="Yes")))</f>
        <v>1</v>
      </c>
      <c r="J112" t="b">
        <f>IF(VLOOKUP(B112,'Profile selection'!B:C,2,FALSE)="Yes",TRUE,FALSE)</f>
        <v>1</v>
      </c>
      <c r="K112" s="17" t="b">
        <f>IF(AND(D112=MD!$A$1,M112),TRUE,(IF(AND(D112=MD!$A$3,M112),(IF(L112=TRUE,TRUE,FALSE)),(IF(AND(D112=MD!$A$2,M112),(IF(N112=TRUE,TRUE,FALSE)),FALSE)))))</f>
        <v>1</v>
      </c>
      <c r="M112" t="b">
        <f>IF(VLOOKUP(B112,'Profile selection'!B:C,2,FALSE)="Yes",TRUE,FALSE)</f>
        <v>1</v>
      </c>
    </row>
    <row r="113" spans="1:13" x14ac:dyDescent="0.25">
      <c r="A113" t="str">
        <f>'HIDDEN import'!B112</f>
        <v>TC_L_13_CSMS</v>
      </c>
      <c r="B113" t="str">
        <f>'HIDDEN import'!C112</f>
        <v>Core</v>
      </c>
      <c r="C113" t="str">
        <f>'HIDDEN import'!D112</f>
        <v>Secure Firmware Update - Unable to download/install firmware with ongoing transaction - AllowNewSessionsPendingFirmwareUpdate is false</v>
      </c>
      <c r="D113" t="str">
        <f>IF(VLOOKUP(A113&amp;" "&amp;B113,'HIDDEN import'!A:G,5,FALSE)="M",MD!$A$1,(IF(AND(VLOOKUP(A113,'HIDDEN import'!B:E,4,FALSE)="C",OR(NOT(ISERROR(VLOOKUP(E113,'Optional features'!B:E,1,FALSE)=E113)),NOT(ISERROR(VLOOKUP(E113,'HIDDEN calc sheet'!A:C,1,FALSE)=E113)))),MD!$A$3,MD!$A$2)))</f>
        <v>Mandatory test for a mandatory feature</v>
      </c>
      <c r="E113" t="str">
        <f>IF('HIDDEN import'!F112=0,"",'HIDDEN import'!F112)</f>
        <v>NOT C-43 and NOT AQ-7</v>
      </c>
      <c r="F113" t="str">
        <f>IF('HIDDEN import'!G112=0,"",'HIDDEN import'!G112)</f>
        <v/>
      </c>
      <c r="G113" s="39" t="str">
        <f>IFERROR(VLOOKUP($A113,'HIDDEN Testrun Results'!$A:$B,2,FALSE),"")</f>
        <v/>
      </c>
      <c r="H113" s="39" t="b">
        <f t="shared" si="1"/>
        <v>1</v>
      </c>
      <c r="I113" s="39" t="b">
        <f>IF(VLOOKUP(A113&amp;" "&amp;B113,'HIDDEN import'!A:G,5,FALSE)="M",TRUE,IFERROR(VLOOKUP(E113,'Optional features'!B:E,3,FALSE)="Yes",IFERROR(VLOOKUP(E113,'HIDDEN calc sheet'!A:B,2,FALSE),VLOOKUP(E113,'Additional questions'!B:D,3,FALSE)="Yes")))</f>
        <v>1</v>
      </c>
      <c r="J113" t="b">
        <f>IF(VLOOKUP(B113,'Profile selection'!B:C,2,FALSE)="Yes",TRUE,FALSE)</f>
        <v>1</v>
      </c>
      <c r="K113" s="17" t="b">
        <f>IF(AND(D113=MD!$A$1,M113),TRUE,(IF(AND(D113=MD!$A$3,M113),(IF(L113=TRUE,TRUE,FALSE)),(IF(AND(D113=MD!$A$2,M113),(IF(N113=TRUE,TRUE,FALSE)),FALSE)))))</f>
        <v>1</v>
      </c>
      <c r="M113" t="b">
        <f>IF(VLOOKUP(B113,'Profile selection'!B:C,2,FALSE)="Yes",TRUE,FALSE)</f>
        <v>1</v>
      </c>
    </row>
    <row r="114" spans="1:13" x14ac:dyDescent="0.25">
      <c r="A114" t="str">
        <f>'HIDDEN import'!B113</f>
        <v>TC_M_13_CSMS</v>
      </c>
      <c r="B114" t="str">
        <f>'HIDDEN import'!C113</f>
        <v>Core</v>
      </c>
      <c r="C114" t="str">
        <f>'HIDDEN import'!D113</f>
        <v>Retrieve certificates from Charging Station - ManufacturerRootCertificate</v>
      </c>
      <c r="D114" t="str">
        <f>IF(VLOOKUP(A114&amp;" "&amp;B114,'HIDDEN import'!A:G,5,FALSE)="M",MD!$A$1,(IF(AND(VLOOKUP(A114,'HIDDEN import'!B:E,4,FALSE)="C",OR(NOT(ISERROR(VLOOKUP(E114,'Optional features'!B:E,1,FALSE)=E114)),NOT(ISERROR(VLOOKUP(E114,'HIDDEN calc sheet'!A:C,1,FALSE)=E114)))),MD!$A$3,MD!$A$2)))</f>
        <v>Mandatory test for a mandatory feature</v>
      </c>
      <c r="E114" t="str">
        <f>IF('HIDDEN import'!F113=0,"",'HIDDEN import'!F113)</f>
        <v/>
      </c>
      <c r="F114" t="str">
        <f>IF('HIDDEN import'!G113=0,"",'HIDDEN import'!G113)</f>
        <v/>
      </c>
      <c r="G114" s="39" t="str">
        <f>IFERROR(VLOOKUP($A114,'HIDDEN Testrun Results'!$A:$B,2,FALSE),"")</f>
        <v/>
      </c>
      <c r="H114" s="39" t="b">
        <f t="shared" si="1"/>
        <v>1</v>
      </c>
      <c r="I114" s="39" t="b">
        <f>IF(VLOOKUP(A114&amp;" "&amp;B114,'HIDDEN import'!A:G,5,FALSE)="M",TRUE,IFERROR(VLOOKUP(E114,'Optional features'!B:E,3,FALSE)="Yes",IFERROR(VLOOKUP(E114,'HIDDEN calc sheet'!A:B,2,FALSE),VLOOKUP(E114,'Additional questions'!B:D,3,FALSE)="Yes")))</f>
        <v>1</v>
      </c>
      <c r="J114" t="b">
        <f>IF(VLOOKUP(B114,'Profile selection'!B:C,2,FALSE)="Yes",TRUE,FALSE)</f>
        <v>1</v>
      </c>
      <c r="K114" s="17" t="b">
        <f>IF(AND(D114=MD!$A$1,M114),TRUE,(IF(AND(D114=MD!$A$3,M114),(IF(L114=TRUE,TRUE,FALSE)),(IF(AND(D114=MD!$A$2,M114),(IF(N114=TRUE,TRUE,FALSE)),FALSE)))))</f>
        <v>1</v>
      </c>
      <c r="M114" t="b">
        <f>IF(VLOOKUP(B114,'Profile selection'!B:C,2,FALSE)="Yes",TRUE,FALSE)</f>
        <v>1</v>
      </c>
    </row>
    <row r="115" spans="1:13" x14ac:dyDescent="0.25">
      <c r="A115" t="str">
        <f>'HIDDEN import'!B114</f>
        <v>TC_M_18_CSMS</v>
      </c>
      <c r="B115" t="str">
        <f>'HIDDEN import'!C114</f>
        <v>Core</v>
      </c>
      <c r="C115" t="str">
        <f>'HIDDEN import'!D114</f>
        <v>Retrieve certificates from Charging Station - All certificateTypes</v>
      </c>
      <c r="D115" t="str">
        <f>IF(VLOOKUP(A115&amp;" "&amp;B115,'HIDDEN import'!A:G,5,FALSE)="M",MD!$A$1,(IF(AND(VLOOKUP(A115,'HIDDEN import'!B:E,4,FALSE)="C",OR(NOT(ISERROR(VLOOKUP(E115,'Optional features'!B:E,1,FALSE)=E115)),NOT(ISERROR(VLOOKUP(E115,'HIDDEN calc sheet'!A:C,1,FALSE)=E115)))),MD!$A$3,MD!$A$2)))</f>
        <v>Mandatory test for a mandatory feature</v>
      </c>
      <c r="E115" t="str">
        <f>IF('HIDDEN import'!F114=0,"",'HIDDEN import'!F114)</f>
        <v/>
      </c>
      <c r="F115" t="str">
        <f>IF('HIDDEN import'!G114=0,"",'HIDDEN import'!G114)</f>
        <v/>
      </c>
      <c r="G115" s="39" t="str">
        <f>IFERROR(VLOOKUP($A115,'HIDDEN Testrun Results'!$A:$B,2,FALSE),"")</f>
        <v/>
      </c>
      <c r="H115" s="39" t="b">
        <f t="shared" si="1"/>
        <v>1</v>
      </c>
      <c r="I115" s="39" t="b">
        <f>IF(VLOOKUP(A115&amp;" "&amp;B115,'HIDDEN import'!A:G,5,FALSE)="M",TRUE,IFERROR(VLOOKUP(E115,'Optional features'!B:E,3,FALSE)="Yes",IFERROR(VLOOKUP(E115,'HIDDEN calc sheet'!A:B,2,FALSE),VLOOKUP(E115,'Additional questions'!B:D,3,FALSE)="Yes")))</f>
        <v>1</v>
      </c>
      <c r="J115" t="b">
        <f>IF(VLOOKUP(B115,'Profile selection'!B:C,2,FALSE)="Yes",TRUE,FALSE)</f>
        <v>1</v>
      </c>
      <c r="K115" s="17" t="b">
        <f>IF(AND(D115=MD!$A$1,M115),TRUE,(IF(AND(D115=MD!$A$3,M115),(IF(L115=TRUE,TRUE,FALSE)),(IF(AND(D115=MD!$A$2,M115),(IF(N115=TRUE,TRUE,FALSE)),FALSE)))))</f>
        <v>1</v>
      </c>
      <c r="M115" t="b">
        <f>IF(VLOOKUP(B115,'Profile selection'!B:C,2,FALSE)="Yes",TRUE,FALSE)</f>
        <v>1</v>
      </c>
    </row>
    <row r="116" spans="1:13" x14ac:dyDescent="0.25">
      <c r="A116" t="str">
        <f>'HIDDEN import'!B115</f>
        <v>TC_M_19_CSMS</v>
      </c>
      <c r="B116" t="str">
        <f>'HIDDEN import'!C115</f>
        <v>Core</v>
      </c>
      <c r="C116" t="str">
        <f>'HIDDEN import'!D115</f>
        <v>Retrieve certificates from Charging Station - No matching certificate found</v>
      </c>
      <c r="D116" t="str">
        <f>IF(VLOOKUP(A116&amp;" "&amp;B116,'HIDDEN import'!A:G,5,FALSE)="M",MD!$A$1,(IF(AND(VLOOKUP(A116,'HIDDEN import'!B:E,4,FALSE)="C",OR(NOT(ISERROR(VLOOKUP(E116,'Optional features'!B:E,1,FALSE)=E116)),NOT(ISERROR(VLOOKUP(E116,'HIDDEN calc sheet'!A:C,1,FALSE)=E116)))),MD!$A$3,MD!$A$2)))</f>
        <v>Mandatory test for a mandatory feature</v>
      </c>
      <c r="E116" t="str">
        <f>IF('HIDDEN import'!F115=0,"",'HIDDEN import'!F115)</f>
        <v/>
      </c>
      <c r="F116" t="str">
        <f>IF('HIDDEN import'!G115=0,"",'HIDDEN import'!G115)</f>
        <v/>
      </c>
      <c r="G116" s="39" t="str">
        <f>IFERROR(VLOOKUP($A116,'HIDDEN Testrun Results'!$A:$B,2,FALSE),"")</f>
        <v/>
      </c>
      <c r="H116" s="39" t="b">
        <f t="shared" si="1"/>
        <v>1</v>
      </c>
      <c r="I116" s="39" t="b">
        <f>IF(VLOOKUP(A116&amp;" "&amp;B116,'HIDDEN import'!A:G,5,FALSE)="M",TRUE,IFERROR(VLOOKUP(E116,'Optional features'!B:E,3,FALSE)="Yes",IFERROR(VLOOKUP(E116,'HIDDEN calc sheet'!A:B,2,FALSE),VLOOKUP(E116,'Additional questions'!B:D,3,FALSE)="Yes")))</f>
        <v>1</v>
      </c>
      <c r="J116" t="b">
        <f>IF(VLOOKUP(B116,'Profile selection'!B:C,2,FALSE)="Yes",TRUE,FALSE)</f>
        <v>1</v>
      </c>
      <c r="K116" s="17" t="b">
        <f>IF(AND(D116=MD!$A$1,M116),TRUE,(IF(AND(D116=MD!$A$3,M116),(IF(L116=TRUE,TRUE,FALSE)),(IF(AND(D116=MD!$A$2,M116),(IF(N116=TRUE,TRUE,FALSE)),FALSE)))))</f>
        <v>1</v>
      </c>
      <c r="M116" t="b">
        <f>IF(VLOOKUP(B116,'Profile selection'!B:C,2,FALSE)="Yes",TRUE,FALSE)</f>
        <v>1</v>
      </c>
    </row>
    <row r="117" spans="1:13" x14ac:dyDescent="0.25">
      <c r="A117" t="str">
        <f>'HIDDEN import'!B116</f>
        <v>TC_M_20_CSMS</v>
      </c>
      <c r="B117" t="str">
        <f>'HIDDEN import'!C116</f>
        <v>Core</v>
      </c>
      <c r="C117" t="str">
        <f>'HIDDEN import'!D116</f>
        <v>Delete a certificate from a Charging Station - Success</v>
      </c>
      <c r="D117" t="str">
        <f>IF(VLOOKUP(A117&amp;" "&amp;B117,'HIDDEN import'!A:G,5,FALSE)="M",MD!$A$1,(IF(AND(VLOOKUP(A117,'HIDDEN import'!B:E,4,FALSE)="C",OR(NOT(ISERROR(VLOOKUP(E117,'Optional features'!B:E,1,FALSE)=E117)),NOT(ISERROR(VLOOKUP(E117,'HIDDEN calc sheet'!A:C,1,FALSE)=E117)))),MD!$A$3,MD!$A$2)))</f>
        <v>Mandatory test for a mandatory feature</v>
      </c>
      <c r="E117" t="str">
        <f>IF('HIDDEN import'!F116=0,"",'HIDDEN import'!F116)</f>
        <v/>
      </c>
      <c r="F117" t="str">
        <f>IF('HIDDEN import'!G116=0,"",'HIDDEN import'!G116)</f>
        <v/>
      </c>
      <c r="G117" s="39" t="str">
        <f>IFERROR(VLOOKUP($A117,'HIDDEN Testrun Results'!$A:$B,2,FALSE),"")</f>
        <v/>
      </c>
      <c r="H117" s="39" t="b">
        <f t="shared" si="1"/>
        <v>1</v>
      </c>
      <c r="I117" s="39" t="b">
        <f>IF(VLOOKUP(A117&amp;" "&amp;B117,'HIDDEN import'!A:G,5,FALSE)="M",TRUE,IFERROR(VLOOKUP(E117,'Optional features'!B:E,3,FALSE)="Yes",IFERROR(VLOOKUP(E117,'HIDDEN calc sheet'!A:B,2,FALSE),VLOOKUP(E117,'Additional questions'!B:D,3,FALSE)="Yes")))</f>
        <v>1</v>
      </c>
      <c r="J117" t="b">
        <f>IF(VLOOKUP(B117,'Profile selection'!B:C,2,FALSE)="Yes",TRUE,FALSE)</f>
        <v>1</v>
      </c>
      <c r="K117" s="17" t="b">
        <f>IF(AND(D117=MD!$A$1,M117),TRUE,(IF(AND(D117=MD!$A$3,M117),(IF(L117=TRUE,TRUE,FALSE)),(IF(AND(D117=MD!$A$2,M117),(IF(N117=TRUE,TRUE,FALSE)),FALSE)))))</f>
        <v>1</v>
      </c>
      <c r="M117" t="b">
        <f>IF(VLOOKUP(B117,'Profile selection'!B:C,2,FALSE)="Yes",TRUE,FALSE)</f>
        <v>1</v>
      </c>
    </row>
    <row r="118" spans="1:13" x14ac:dyDescent="0.25">
      <c r="A118" t="str">
        <f>'HIDDEN import'!B117</f>
        <v>TC_M_21_CSMS</v>
      </c>
      <c r="B118" t="str">
        <f>'HIDDEN import'!C117</f>
        <v>Core</v>
      </c>
      <c r="C118" t="str">
        <f>'HIDDEN import'!D117</f>
        <v>Delete a certificate from a Charging Station - Failed</v>
      </c>
      <c r="D118" t="str">
        <f>IF(VLOOKUP(A118&amp;" "&amp;B118,'HIDDEN import'!A:G,5,FALSE)="M",MD!$A$1,(IF(AND(VLOOKUP(A118,'HIDDEN import'!B:E,4,FALSE)="C",OR(NOT(ISERROR(VLOOKUP(E118,'Optional features'!B:E,1,FALSE)=E118)),NOT(ISERROR(VLOOKUP(E118,'HIDDEN calc sheet'!A:C,1,FALSE)=E118)))),MD!$A$3,MD!$A$2)))</f>
        <v>Mandatory test for a mandatory feature</v>
      </c>
      <c r="E118" t="str">
        <f>IF('HIDDEN import'!F117=0,"",'HIDDEN import'!F117)</f>
        <v/>
      </c>
      <c r="F118" t="str">
        <f>IF('HIDDEN import'!G117=0,"",'HIDDEN import'!G117)</f>
        <v/>
      </c>
      <c r="G118" s="39" t="str">
        <f>IFERROR(VLOOKUP($A118,'HIDDEN Testrun Results'!$A:$B,2,FALSE),"")</f>
        <v/>
      </c>
      <c r="H118" s="39" t="b">
        <f t="shared" si="1"/>
        <v>1</v>
      </c>
      <c r="I118" s="39" t="b">
        <f>IF(VLOOKUP(A118&amp;" "&amp;B118,'HIDDEN import'!A:G,5,FALSE)="M",TRUE,IFERROR(VLOOKUP(E118,'Optional features'!B:E,3,FALSE)="Yes",IFERROR(VLOOKUP(E118,'HIDDEN calc sheet'!A:B,2,FALSE),VLOOKUP(E118,'Additional questions'!B:D,3,FALSE)="Yes")))</f>
        <v>1</v>
      </c>
      <c r="J118" t="b">
        <f>IF(VLOOKUP(B118,'Profile selection'!B:C,2,FALSE)="Yes",TRUE,FALSE)</f>
        <v>1</v>
      </c>
      <c r="K118" s="17" t="b">
        <f>IF(AND(D118=MD!$A$1,M118),TRUE,(IF(AND(D118=MD!$A$3,M118),(IF(L118=TRUE,TRUE,FALSE)),(IF(AND(D118=MD!$A$2,M118),(IF(N118=TRUE,TRUE,FALSE)),FALSE)))))</f>
        <v>1</v>
      </c>
      <c r="M118" t="b">
        <f>IF(VLOOKUP(B118,'Profile selection'!B:C,2,FALSE)="Yes",TRUE,FALSE)</f>
        <v>1</v>
      </c>
    </row>
    <row r="119" spans="1:13" x14ac:dyDescent="0.25">
      <c r="A119" t="str">
        <f>'HIDDEN import'!B118</f>
        <v>TC_M_01_CSMS</v>
      </c>
      <c r="B119" t="str">
        <f>'HIDDEN import'!C118</f>
        <v>Core</v>
      </c>
      <c r="C119" t="str">
        <f>'HIDDEN import'!D118</f>
        <v>Install CA certificate - CSMSRootCertificate</v>
      </c>
      <c r="D119" t="str">
        <f>IF(VLOOKUP(A119&amp;" "&amp;B119,'HIDDEN import'!A:G,5,FALSE)="M",MD!$A$1,(IF(AND(VLOOKUP(A119,'HIDDEN import'!B:E,4,FALSE)="C",OR(NOT(ISERROR(VLOOKUP(E119,'Optional features'!B:E,1,FALSE)=E119)),NOT(ISERROR(VLOOKUP(E119,'HIDDEN calc sheet'!A:C,1,FALSE)=E119)))),MD!$A$3,MD!$A$2)))</f>
        <v>Mandatory test for a mandatory feature</v>
      </c>
      <c r="E119" t="str">
        <f>IF('HIDDEN import'!F118=0,"",'HIDDEN import'!F118)</f>
        <v/>
      </c>
      <c r="F119" t="str">
        <f>IF('HIDDEN import'!G118=0,"",'HIDDEN import'!G118)</f>
        <v/>
      </c>
      <c r="G119" s="39" t="str">
        <f>IFERROR(VLOOKUP($A119,'HIDDEN Testrun Results'!$A:$B,2,FALSE),"")</f>
        <v/>
      </c>
      <c r="H119" s="39" t="b">
        <f t="shared" si="1"/>
        <v>1</v>
      </c>
      <c r="I119" s="39" t="b">
        <f>IF(VLOOKUP(A119&amp;" "&amp;B119,'HIDDEN import'!A:G,5,FALSE)="M",TRUE,IFERROR(VLOOKUP(E119,'Optional features'!B:E,3,FALSE)="Yes",IFERROR(VLOOKUP(E119,'HIDDEN calc sheet'!A:B,2,FALSE),VLOOKUP(E119,'Additional questions'!B:D,3,FALSE)="Yes")))</f>
        <v>1</v>
      </c>
      <c r="J119" t="b">
        <f>IF(VLOOKUP(B119,'Profile selection'!B:C,2,FALSE)="Yes",TRUE,FALSE)</f>
        <v>1</v>
      </c>
      <c r="K119" s="17" t="b">
        <f>IF(AND(D119=MD!$A$1,M119),TRUE,(IF(AND(D119=MD!$A$3,M119),(IF(L119=TRUE,TRUE,FALSE)),(IF(AND(D119=MD!$A$2,M119),(IF(N119=TRUE,TRUE,FALSE)),FALSE)))))</f>
        <v>1</v>
      </c>
      <c r="M119" t="b">
        <f>IF(VLOOKUP(B119,'Profile selection'!B:C,2,FALSE)="Yes",TRUE,FALSE)</f>
        <v>1</v>
      </c>
    </row>
    <row r="120" spans="1:13" x14ac:dyDescent="0.25">
      <c r="A120" t="str">
        <f>'HIDDEN import'!B119</f>
        <v>TC_M_02_CSMS</v>
      </c>
      <c r="B120" t="str">
        <f>'HIDDEN import'!C119</f>
        <v>Core</v>
      </c>
      <c r="C120" t="str">
        <f>'HIDDEN import'!D119</f>
        <v>Install CA certificate - ManufacturerRootCertificate</v>
      </c>
      <c r="D120" t="str">
        <f>IF(VLOOKUP(A120&amp;" "&amp;B120,'HIDDEN import'!A:G,5,FALSE)="M",MD!$A$1,(IF(AND(VLOOKUP(A120,'HIDDEN import'!B:E,4,FALSE)="C",OR(NOT(ISERROR(VLOOKUP(E120,'Optional features'!B:E,1,FALSE)=E120)),NOT(ISERROR(VLOOKUP(E120,'HIDDEN calc sheet'!A:C,1,FALSE)=E120)))),MD!$A$3,MD!$A$2)))</f>
        <v>Mandatory test for a mandatory feature</v>
      </c>
      <c r="E120" t="str">
        <f>IF('HIDDEN import'!F119=0,"",'HIDDEN import'!F119)</f>
        <v/>
      </c>
      <c r="F120" t="str">
        <f>IF('HIDDEN import'!G119=0,"",'HIDDEN import'!G119)</f>
        <v/>
      </c>
      <c r="G120" s="39" t="str">
        <f>IFERROR(VLOOKUP($A120,'HIDDEN Testrun Results'!$A:$B,2,FALSE),"")</f>
        <v/>
      </c>
      <c r="H120" s="39" t="b">
        <f t="shared" si="1"/>
        <v>1</v>
      </c>
      <c r="I120" s="39" t="b">
        <f>IF(VLOOKUP(A120&amp;" "&amp;B120,'HIDDEN import'!A:G,5,FALSE)="M",TRUE,IFERROR(VLOOKUP(E120,'Optional features'!B:E,3,FALSE)="Yes",IFERROR(VLOOKUP(E120,'HIDDEN calc sheet'!A:B,2,FALSE),VLOOKUP(E120,'Additional questions'!B:D,3,FALSE)="Yes")))</f>
        <v>1</v>
      </c>
      <c r="J120" t="b">
        <f>IF(VLOOKUP(B120,'Profile selection'!B:C,2,FALSE)="Yes",TRUE,FALSE)</f>
        <v>1</v>
      </c>
      <c r="K120" s="17" t="b">
        <f>IF(AND(D120=MD!$A$1,M120),TRUE,(IF(AND(D120=MD!$A$3,M120),(IF(L120=TRUE,TRUE,FALSE)),(IF(AND(D120=MD!$A$2,M120),(IF(N120=TRUE,TRUE,FALSE)),FALSE)))))</f>
        <v>1</v>
      </c>
      <c r="M120" t="b">
        <f>IF(VLOOKUP(B120,'Profile selection'!B:C,2,FALSE)="Yes",TRUE,FALSE)</f>
        <v>1</v>
      </c>
    </row>
    <row r="121" spans="1:13" x14ac:dyDescent="0.25">
      <c r="A121" t="str">
        <f>'HIDDEN import'!B120</f>
        <v>TC_M_05_CSMS</v>
      </c>
      <c r="B121" t="str">
        <f>'HIDDEN import'!C120</f>
        <v>Core</v>
      </c>
      <c r="C121" t="str">
        <f>'HIDDEN import'!D120</f>
        <v>Install CA certificate - Failed</v>
      </c>
      <c r="D121" t="str">
        <f>IF(VLOOKUP(A121&amp;" "&amp;B121,'HIDDEN import'!A:G,5,FALSE)="M",MD!$A$1,(IF(AND(VLOOKUP(A121,'HIDDEN import'!B:E,4,FALSE)="C",OR(NOT(ISERROR(VLOOKUP(E121,'Optional features'!B:E,1,FALSE)=E121)),NOT(ISERROR(VLOOKUP(E121,'HIDDEN calc sheet'!A:C,1,FALSE)=E121)))),MD!$A$3,MD!$A$2)))</f>
        <v>Mandatory test for a mandatory feature</v>
      </c>
      <c r="E121" t="str">
        <f>IF('HIDDEN import'!F120=0,"",'HIDDEN import'!F120)</f>
        <v/>
      </c>
      <c r="F121" t="str">
        <f>IF('HIDDEN import'!G120=0,"",'HIDDEN import'!G120)</f>
        <v/>
      </c>
      <c r="G121" s="39" t="str">
        <f>IFERROR(VLOOKUP($A121,'HIDDEN Testrun Results'!$A:$B,2,FALSE),"")</f>
        <v/>
      </c>
      <c r="H121" s="39" t="b">
        <f t="shared" si="1"/>
        <v>1</v>
      </c>
      <c r="I121" s="39" t="b">
        <f>IF(VLOOKUP(A121&amp;" "&amp;B121,'HIDDEN import'!A:G,5,FALSE)="M",TRUE,IFERROR(VLOOKUP(E121,'Optional features'!B:E,3,FALSE)="Yes",IFERROR(VLOOKUP(E121,'HIDDEN calc sheet'!A:B,2,FALSE),VLOOKUP(E121,'Additional questions'!B:D,3,FALSE)="Yes")))</f>
        <v>1</v>
      </c>
      <c r="J121" t="b">
        <f>IF(VLOOKUP(B121,'Profile selection'!B:C,2,FALSE)="Yes",TRUE,FALSE)</f>
        <v>1</v>
      </c>
      <c r="K121" s="17" t="b">
        <f>IF(AND(D121=MD!$A$1,M121),TRUE,(IF(AND(D121=MD!$A$3,M121),(IF(L121=TRUE,TRUE,FALSE)),(IF(AND(D121=MD!$A$2,M121),(IF(N121=TRUE,TRUE,FALSE)),FALSE)))))</f>
        <v>1</v>
      </c>
      <c r="M121" t="b">
        <f>IF(VLOOKUP(B121,'Profile selection'!B:C,2,FALSE)="Yes",TRUE,FALSE)</f>
        <v>1</v>
      </c>
    </row>
    <row r="122" spans="1:13" x14ac:dyDescent="0.25">
      <c r="A122" t="str">
        <f>'HIDDEN import'!B121</f>
        <v>TC_N_25_CSMS</v>
      </c>
      <c r="B122" t="str">
        <f>'HIDDEN import'!C121</f>
        <v>Core</v>
      </c>
      <c r="C122" t="str">
        <f>'HIDDEN import'!D121</f>
        <v>Retrieve Log Information - Diagnostics Log - Success</v>
      </c>
      <c r="D122" t="str">
        <f>IF(VLOOKUP(A122&amp;" "&amp;B122,'HIDDEN import'!A:G,5,FALSE)="M",MD!$A$1,(IF(AND(VLOOKUP(A122,'HIDDEN import'!B:E,4,FALSE)="C",OR(NOT(ISERROR(VLOOKUP(E122,'Optional features'!B:E,1,FALSE)=E122)),NOT(ISERROR(VLOOKUP(E122,'HIDDEN calc sheet'!A:C,1,FALSE)=E122)))),MD!$A$3,MD!$A$2)))</f>
        <v>Mandatory test for a mandatory feature</v>
      </c>
      <c r="E122" t="str">
        <f>IF('HIDDEN import'!F121=0,"",'HIDDEN import'!F121)</f>
        <v/>
      </c>
      <c r="F122" t="str">
        <f>IF('HIDDEN import'!G121=0,"",'HIDDEN import'!G121)</f>
        <v/>
      </c>
      <c r="G122" s="39" t="str">
        <f>IFERROR(VLOOKUP($A122,'HIDDEN Testrun Results'!$A:$B,2,FALSE),"")</f>
        <v/>
      </c>
      <c r="H122" s="39" t="b">
        <f t="shared" si="1"/>
        <v>1</v>
      </c>
      <c r="I122" s="39" t="b">
        <f>IF(VLOOKUP(A122&amp;" "&amp;B122,'HIDDEN import'!A:G,5,FALSE)="M",TRUE,IFERROR(VLOOKUP(E122,'Optional features'!B:E,3,FALSE)="Yes",IFERROR(VLOOKUP(E122,'HIDDEN calc sheet'!A:B,2,FALSE),VLOOKUP(E122,'Additional questions'!B:D,3,FALSE)="Yes")))</f>
        <v>1</v>
      </c>
      <c r="J122" t="b">
        <f>IF(VLOOKUP(B122,'Profile selection'!B:C,2,FALSE)="Yes",TRUE,FALSE)</f>
        <v>1</v>
      </c>
      <c r="K122" s="17" t="b">
        <f>IF(AND(D122=MD!$A$1,M122),TRUE,(IF(AND(D122=MD!$A$3,M122),(IF(L122=TRUE,TRUE,FALSE)),(IF(AND(D122=MD!$A$2,M122),(IF(N122=TRUE,TRUE,FALSE)),FALSE)))))</f>
        <v>1</v>
      </c>
      <c r="M122" t="b">
        <f>IF(VLOOKUP(B122,'Profile selection'!B:C,2,FALSE)="Yes",TRUE,FALSE)</f>
        <v>1</v>
      </c>
    </row>
    <row r="123" spans="1:13" x14ac:dyDescent="0.25">
      <c r="A123" t="str">
        <f>'HIDDEN import'!B122</f>
        <v>TC_N_34_CSMS</v>
      </c>
      <c r="B123" t="str">
        <f>'HIDDEN import'!C122</f>
        <v>Core</v>
      </c>
      <c r="C123" t="str">
        <f>'HIDDEN import'!D122</f>
        <v>Retrieve Log Information - Rejected</v>
      </c>
      <c r="D123" t="str">
        <f>IF(VLOOKUP(A123&amp;" "&amp;B123,'HIDDEN import'!A:G,5,FALSE)="M",MD!$A$1,(IF(AND(VLOOKUP(A123,'HIDDEN import'!B:E,4,FALSE)="C",OR(NOT(ISERROR(VLOOKUP(E123,'Optional features'!B:E,1,FALSE)=E123)),NOT(ISERROR(VLOOKUP(E123,'HIDDEN calc sheet'!A:C,1,FALSE)=E123)))),MD!$A$3,MD!$A$2)))</f>
        <v>Mandatory test for a mandatory feature</v>
      </c>
      <c r="E123" t="str">
        <f>IF('HIDDEN import'!F122=0,"",'HIDDEN import'!F122)</f>
        <v/>
      </c>
      <c r="F123" t="str">
        <f>IF('HIDDEN import'!G122=0,"",'HIDDEN import'!G122)</f>
        <v/>
      </c>
      <c r="G123" s="39" t="str">
        <f>IFERROR(VLOOKUP($A123,'HIDDEN Testrun Results'!$A:$B,2,FALSE),"")</f>
        <v/>
      </c>
      <c r="H123" s="39" t="b">
        <f t="shared" si="1"/>
        <v>1</v>
      </c>
      <c r="I123" s="39" t="b">
        <f>IF(VLOOKUP(A123&amp;" "&amp;B123,'HIDDEN import'!A:G,5,FALSE)="M",TRUE,IFERROR(VLOOKUP(E123,'Optional features'!B:E,3,FALSE)="Yes",IFERROR(VLOOKUP(E123,'HIDDEN calc sheet'!A:B,2,FALSE),VLOOKUP(E123,'Additional questions'!B:D,3,FALSE)="Yes")))</f>
        <v>1</v>
      </c>
      <c r="J123" t="b">
        <f>IF(VLOOKUP(B123,'Profile selection'!B:C,2,FALSE)="Yes",TRUE,FALSE)</f>
        <v>1</v>
      </c>
      <c r="K123" s="17" t="b">
        <f>IF(AND(D123=MD!$A$1,M123),TRUE,(IF(AND(D123=MD!$A$3,M123),(IF(L123=TRUE,TRUE,FALSE)),(IF(AND(D123=MD!$A$2,M123),(IF(N123=TRUE,TRUE,FALSE)),FALSE)))))</f>
        <v>1</v>
      </c>
      <c r="M123" t="b">
        <f>IF(VLOOKUP(B123,'Profile selection'!B:C,2,FALSE)="Yes",TRUE,FALSE)</f>
        <v>1</v>
      </c>
    </row>
    <row r="124" spans="1:13" x14ac:dyDescent="0.25">
      <c r="A124" t="str">
        <f>'HIDDEN import'!B123</f>
        <v>TC_N_35_CSMS</v>
      </c>
      <c r="B124" t="str">
        <f>'HIDDEN import'!C123</f>
        <v>Core</v>
      </c>
      <c r="C124" t="str">
        <f>'HIDDEN import'!D123</f>
        <v>Retrieve Log Information - Security Log - Success</v>
      </c>
      <c r="D124" t="str">
        <f>IF(VLOOKUP(A124&amp;" "&amp;B124,'HIDDEN import'!A:G,5,FALSE)="M",MD!$A$1,(IF(AND(VLOOKUP(A124,'HIDDEN import'!B:E,4,FALSE)="C",OR(NOT(ISERROR(VLOOKUP(E124,'Optional features'!B:E,1,FALSE)=E124)),NOT(ISERROR(VLOOKUP(E124,'HIDDEN calc sheet'!A:C,1,FALSE)=E124)))),MD!$A$3,MD!$A$2)))</f>
        <v>Mandatory test for a mandatory feature</v>
      </c>
      <c r="E124" t="str">
        <f>IF('HIDDEN import'!F123=0,"",'HIDDEN import'!F123)</f>
        <v/>
      </c>
      <c r="F124" t="str">
        <f>IF('HIDDEN import'!G123=0,"",'HIDDEN import'!G123)</f>
        <v/>
      </c>
      <c r="G124" s="39" t="str">
        <f>IFERROR(VLOOKUP($A124,'HIDDEN Testrun Results'!$A:$B,2,FALSE),"")</f>
        <v/>
      </c>
      <c r="H124" s="39" t="b">
        <f t="shared" si="1"/>
        <v>1</v>
      </c>
      <c r="I124" s="39" t="b">
        <f>IF(VLOOKUP(A124&amp;" "&amp;B124,'HIDDEN import'!A:G,5,FALSE)="M",TRUE,IFERROR(VLOOKUP(E124,'Optional features'!B:E,3,FALSE)="Yes",IFERROR(VLOOKUP(E124,'HIDDEN calc sheet'!A:B,2,FALSE),VLOOKUP(E124,'Additional questions'!B:D,3,FALSE)="Yes")))</f>
        <v>1</v>
      </c>
      <c r="J124" t="b">
        <f>IF(VLOOKUP(B124,'Profile selection'!B:C,2,FALSE)="Yes",TRUE,FALSE)</f>
        <v>1</v>
      </c>
      <c r="K124" s="17" t="b">
        <f>IF(AND(D124=MD!$A$1,M124),TRUE,(IF(AND(D124=MD!$A$3,M124),(IF(L124=TRUE,TRUE,FALSE)),(IF(AND(D124=MD!$A$2,M124),(IF(N124=TRUE,TRUE,FALSE)),FALSE)))))</f>
        <v>1</v>
      </c>
      <c r="M124" t="b">
        <f>IF(VLOOKUP(B124,'Profile selection'!B:C,2,FALSE)="Yes",TRUE,FALSE)</f>
        <v>1</v>
      </c>
    </row>
    <row r="125" spans="1:13" x14ac:dyDescent="0.25">
      <c r="A125" t="str">
        <f>'HIDDEN import'!B124</f>
        <v>TC_N_36_CSMS</v>
      </c>
      <c r="B125" t="str">
        <f>'HIDDEN import'!C124</f>
        <v>Core</v>
      </c>
      <c r="C125" t="str">
        <f>'HIDDEN import'!D124</f>
        <v>Retrieve Log Information - Second Request</v>
      </c>
      <c r="D125" t="str">
        <f>IF(VLOOKUP(A125&amp;" "&amp;B125,'HIDDEN import'!A:G,5,FALSE)="M",MD!$A$1,(IF(AND(VLOOKUP(A125,'HIDDEN import'!B:E,4,FALSE)="C",OR(NOT(ISERROR(VLOOKUP(E125,'Optional features'!B:E,1,FALSE)=E125)),NOT(ISERROR(VLOOKUP(E125,'HIDDEN calc sheet'!A:C,1,FALSE)=E125)))),MD!$A$3,MD!$A$2)))</f>
        <v>Mandatory test for a mandatory feature</v>
      </c>
      <c r="E125" t="str">
        <f>IF('HIDDEN import'!F124=0,"",'HIDDEN import'!F124)</f>
        <v>C-57</v>
      </c>
      <c r="F125" t="str">
        <f>IF('HIDDEN import'!G124=0,"",'HIDDEN import'!G124)</f>
        <v/>
      </c>
      <c r="G125" s="39" t="str">
        <f>IFERROR(VLOOKUP($A125,'HIDDEN Testrun Results'!$A:$B,2,FALSE),"")</f>
        <v/>
      </c>
      <c r="H125" s="39" t="b">
        <f t="shared" si="1"/>
        <v>1</v>
      </c>
      <c r="I125" s="39" t="b">
        <f>IF(VLOOKUP(A125&amp;" "&amp;B125,'HIDDEN import'!A:G,5,FALSE)="M",TRUE,IFERROR(VLOOKUP(E125,'Optional features'!B:E,3,FALSE)="Yes",IFERROR(VLOOKUP(E125,'HIDDEN calc sheet'!A:B,2,FALSE),VLOOKUP(E125,'Additional questions'!B:D,3,FALSE)="Yes")))</f>
        <v>1</v>
      </c>
      <c r="J125" t="b">
        <f>IF(VLOOKUP(B125,'Profile selection'!B:C,2,FALSE)="Yes",TRUE,FALSE)</f>
        <v>1</v>
      </c>
      <c r="K125" s="17" t="b">
        <f>IF(AND(D125=MD!$A$1,M125),TRUE,(IF(AND(D125=MD!$A$3,M125),(IF(L125=TRUE,TRUE,FALSE)),(IF(AND(D125=MD!$A$2,M125),(IF(N125=TRUE,TRUE,FALSE)),FALSE)))))</f>
        <v>1</v>
      </c>
      <c r="M125" t="b">
        <f>IF(VLOOKUP(B125,'Profile selection'!B:C,2,FALSE)="Yes",TRUE,FALSE)</f>
        <v>1</v>
      </c>
    </row>
    <row r="126" spans="1:13" x14ac:dyDescent="0.25">
      <c r="A126" t="str">
        <f>'HIDDEN import'!B125</f>
        <v>TC_N_27_CSMS</v>
      </c>
      <c r="B126" t="str">
        <f>'HIDDEN import'!C125</f>
        <v>Core</v>
      </c>
      <c r="C126" t="str">
        <f>'HIDDEN import'!D125</f>
        <v>Get Customer Information - Accepted + data</v>
      </c>
      <c r="D126" t="str">
        <f>IF(VLOOKUP(A126&amp;" "&amp;B126,'HIDDEN import'!A:G,5,FALSE)="M",MD!$A$1,(IF(AND(VLOOKUP(A126,'HIDDEN import'!B:E,4,FALSE)="C",OR(NOT(ISERROR(VLOOKUP(E126,'Optional features'!B:E,1,FALSE)=E126)),NOT(ISERROR(VLOOKUP(E126,'HIDDEN calc sheet'!A:C,1,FALSE)=E126)))),MD!$A$3,MD!$A$2)))</f>
        <v>Mandatory test for a mandatory feature</v>
      </c>
      <c r="E126" t="str">
        <f>IF('HIDDEN import'!F125=0,"",'HIDDEN import'!F125)</f>
        <v>((C-30 and C-70) or (C-31 and C-71)) and (Local Authorization List Management or C-49)</v>
      </c>
      <c r="F126" t="str">
        <f>IF('HIDDEN import'!G125=0,"",'HIDDEN import'!G125)</f>
        <v/>
      </c>
      <c r="G126" s="39" t="str">
        <f>IFERROR(VLOOKUP($A126,'HIDDEN Testrun Results'!$A:$B,2,FALSE),"")</f>
        <v/>
      </c>
      <c r="H126" s="39" t="b">
        <f t="shared" si="1"/>
        <v>1</v>
      </c>
      <c r="I126" s="39" t="b">
        <f>IF(VLOOKUP(A126&amp;" "&amp;B126,'HIDDEN import'!A:G,5,FALSE)="M",TRUE,IFERROR(VLOOKUP(E126,'Optional features'!B:E,3,FALSE)="Yes",IFERROR(VLOOKUP(E126,'HIDDEN calc sheet'!A:B,2,FALSE),VLOOKUP(E126,'Additional questions'!B:D,3,FALSE)="Yes")))</f>
        <v>1</v>
      </c>
      <c r="J126" t="b">
        <f>IF(VLOOKUP(B126,'Profile selection'!B:C,2,FALSE)="Yes",TRUE,FALSE)</f>
        <v>1</v>
      </c>
      <c r="K126" s="17" t="b">
        <f>IF(AND(D126=MD!$A$1,M126),TRUE,(IF(AND(D126=MD!$A$3,M126),(IF(L126=TRUE,TRUE,FALSE)),(IF(AND(D126=MD!$A$2,M126),(IF(N126=TRUE,TRUE,FALSE)),FALSE)))))</f>
        <v>1</v>
      </c>
      <c r="M126" t="b">
        <f>IF(VLOOKUP(B126,'Profile selection'!B:C,2,FALSE)="Yes",TRUE,FALSE)</f>
        <v>1</v>
      </c>
    </row>
    <row r="127" spans="1:13" x14ac:dyDescent="0.25">
      <c r="A127" t="str">
        <f>'HIDDEN import'!B126</f>
        <v>TC_N_28_CSMS</v>
      </c>
      <c r="B127" t="str">
        <f>'HIDDEN import'!C126</f>
        <v>Core</v>
      </c>
      <c r="C127" t="str">
        <f>'HIDDEN import'!D126</f>
        <v>Get Customer Information - Accepted + no data</v>
      </c>
      <c r="D127" t="str">
        <f>IF(VLOOKUP(A127&amp;" "&amp;B127,'HIDDEN import'!A:G,5,FALSE)="M",MD!$A$1,(IF(AND(VLOOKUP(A127,'HIDDEN import'!B:E,4,FALSE)="C",OR(NOT(ISERROR(VLOOKUP(E127,'Optional features'!B:E,1,FALSE)=E127)),NOT(ISERROR(VLOOKUP(E127,'HIDDEN calc sheet'!A:C,1,FALSE)=E127)))),MD!$A$3,MD!$A$2)))</f>
        <v>Mandatory test for a mandatory feature</v>
      </c>
      <c r="E127" t="str">
        <f>IF('HIDDEN import'!F126=0,"",'HIDDEN import'!F126)</f>
        <v>((C-30 and C-70) or (C-31 and C-71)) and (Local Authorization List Management or C-49)</v>
      </c>
      <c r="F127" t="str">
        <f>IF('HIDDEN import'!G126=0,"",'HIDDEN import'!G126)</f>
        <v/>
      </c>
      <c r="G127" s="39" t="str">
        <f>IFERROR(VLOOKUP($A127,'HIDDEN Testrun Results'!$A:$B,2,FALSE),"")</f>
        <v/>
      </c>
      <c r="H127" s="39" t="b">
        <f t="shared" si="1"/>
        <v>1</v>
      </c>
      <c r="I127" s="39" t="b">
        <f>IF(VLOOKUP(A127&amp;" "&amp;B127,'HIDDEN import'!A:G,5,FALSE)="M",TRUE,IFERROR(VLOOKUP(E127,'Optional features'!B:E,3,FALSE)="Yes",IFERROR(VLOOKUP(E127,'HIDDEN calc sheet'!A:B,2,FALSE),VLOOKUP(E127,'Additional questions'!B:D,3,FALSE)="Yes")))</f>
        <v>1</v>
      </c>
      <c r="J127" t="b">
        <f>IF(VLOOKUP(B127,'Profile selection'!B:C,2,FALSE)="Yes",TRUE,FALSE)</f>
        <v>1</v>
      </c>
      <c r="K127" s="17" t="b">
        <f>IF(AND(D127=MD!$A$1,M127),TRUE,(IF(AND(D127=MD!$A$3,M127),(IF(L127=TRUE,TRUE,FALSE)),(IF(AND(D127=MD!$A$2,M127),(IF(N127=TRUE,TRUE,FALSE)),FALSE)))))</f>
        <v>1</v>
      </c>
      <c r="M127" t="b">
        <f>IF(VLOOKUP(B127,'Profile selection'!B:C,2,FALSE)="Yes",TRUE,FALSE)</f>
        <v>1</v>
      </c>
    </row>
    <row r="128" spans="1:13" x14ac:dyDescent="0.25">
      <c r="A128" t="str">
        <f>'HIDDEN import'!B127</f>
        <v>TC_N_29_CSMS</v>
      </c>
      <c r="B128" t="str">
        <f>'HIDDEN import'!C127</f>
        <v>Core</v>
      </c>
      <c r="C128" t="str">
        <f>'HIDDEN import'!D127</f>
        <v>Get Customer Information - Not Accepted</v>
      </c>
      <c r="D128" t="str">
        <f>IF(VLOOKUP(A128&amp;" "&amp;B128,'HIDDEN import'!A:G,5,FALSE)="M",MD!$A$1,(IF(AND(VLOOKUP(A128,'HIDDEN import'!B:E,4,FALSE)="C",OR(NOT(ISERROR(VLOOKUP(E128,'Optional features'!B:E,1,FALSE)=E128)),NOT(ISERROR(VLOOKUP(E128,'HIDDEN calc sheet'!A:C,1,FALSE)=E128)))),MD!$A$3,MD!$A$2)))</f>
        <v>Mandatory test for a mandatory feature</v>
      </c>
      <c r="E128" t="str">
        <f>IF('HIDDEN import'!F127=0,"",'HIDDEN import'!F127)</f>
        <v/>
      </c>
      <c r="F128" t="str">
        <f>IF('HIDDEN import'!G127=0,"",'HIDDEN import'!G127)</f>
        <v/>
      </c>
      <c r="G128" s="39" t="str">
        <f>IFERROR(VLOOKUP($A128,'HIDDEN Testrun Results'!$A:$B,2,FALSE),"")</f>
        <v/>
      </c>
      <c r="H128" s="39" t="b">
        <f t="shared" si="1"/>
        <v>1</v>
      </c>
      <c r="I128" s="39" t="b">
        <f>IF(VLOOKUP(A128&amp;" "&amp;B128,'HIDDEN import'!A:G,5,FALSE)="M",TRUE,IFERROR(VLOOKUP(E128,'Optional features'!B:E,3,FALSE)="Yes",IFERROR(VLOOKUP(E128,'HIDDEN calc sheet'!A:B,2,FALSE),VLOOKUP(E128,'Additional questions'!B:D,3,FALSE)="Yes")))</f>
        <v>1</v>
      </c>
      <c r="J128" t="b">
        <f>IF(VLOOKUP(B128,'Profile selection'!B:C,2,FALSE)="Yes",TRUE,FALSE)</f>
        <v>1</v>
      </c>
      <c r="K128" s="17" t="b">
        <f>IF(AND(D128=MD!$A$1,M128),TRUE,(IF(AND(D128=MD!$A$3,M128),(IF(L128=TRUE,TRUE,FALSE)),(IF(AND(D128=MD!$A$2,M128),(IF(N128=TRUE,TRUE,FALSE)),FALSE)))))</f>
        <v>1</v>
      </c>
      <c r="M128" t="b">
        <f>IF(VLOOKUP(B128,'Profile selection'!B:C,2,FALSE)="Yes",TRUE,FALSE)</f>
        <v>1</v>
      </c>
    </row>
    <row r="129" spans="1:13" x14ac:dyDescent="0.25">
      <c r="A129" t="str">
        <f>'HIDDEN import'!B128</f>
        <v>TC_N_30_CSMS</v>
      </c>
      <c r="B129" t="str">
        <f>'HIDDEN import'!C128</f>
        <v>Core</v>
      </c>
      <c r="C129" t="str">
        <f>'HIDDEN import'!D128</f>
        <v>Clear Customer Information - Clear and report + data</v>
      </c>
      <c r="D129" t="str">
        <f>IF(VLOOKUP(A129&amp;" "&amp;B129,'HIDDEN import'!A:G,5,FALSE)="M",MD!$A$1,(IF(AND(VLOOKUP(A129,'HIDDEN import'!B:E,4,FALSE)="C",OR(NOT(ISERROR(VLOOKUP(E129,'Optional features'!B:E,1,FALSE)=E129)),NOT(ISERROR(VLOOKUP(E129,'HIDDEN calc sheet'!A:C,1,FALSE)=E129)))),MD!$A$3,MD!$A$2)))</f>
        <v>Mandatory test for a mandatory feature</v>
      </c>
      <c r="E129" t="str">
        <f>IF('HIDDEN import'!F128=0,"",'HIDDEN import'!F128)</f>
        <v>((C-30 and C-70) or (C-31 and C-71)) and (Local Authorization List Management or C-49)</v>
      </c>
      <c r="F129" t="str">
        <f>IF('HIDDEN import'!G128=0,"",'HIDDEN import'!G128)</f>
        <v/>
      </c>
      <c r="G129" s="39" t="str">
        <f>IFERROR(VLOOKUP($A129,'HIDDEN Testrun Results'!$A:$B,2,FALSE),"")</f>
        <v/>
      </c>
      <c r="H129" s="39" t="b">
        <f t="shared" si="1"/>
        <v>1</v>
      </c>
      <c r="I129" s="39" t="b">
        <f>IF(VLOOKUP(A129&amp;" "&amp;B129,'HIDDEN import'!A:G,5,FALSE)="M",TRUE,IFERROR(VLOOKUP(E129,'Optional features'!B:E,3,FALSE)="Yes",IFERROR(VLOOKUP(E129,'HIDDEN calc sheet'!A:B,2,FALSE),VLOOKUP(E129,'Additional questions'!B:D,3,FALSE)="Yes")))</f>
        <v>1</v>
      </c>
      <c r="J129" t="b">
        <f>IF(VLOOKUP(B129,'Profile selection'!B:C,2,FALSE)="Yes",TRUE,FALSE)</f>
        <v>1</v>
      </c>
      <c r="K129" s="17" t="b">
        <f>IF(AND(D129=MD!$A$1,M129),TRUE,(IF(AND(D129=MD!$A$3,M129),(IF(L129=TRUE,TRUE,FALSE)),(IF(AND(D129=MD!$A$2,M129),(IF(N129=TRUE,TRUE,FALSE)),FALSE)))))</f>
        <v>1</v>
      </c>
      <c r="M129" t="b">
        <f>IF(VLOOKUP(B129,'Profile selection'!B:C,2,FALSE)="Yes",TRUE,FALSE)</f>
        <v>1</v>
      </c>
    </row>
    <row r="130" spans="1:13" x14ac:dyDescent="0.25">
      <c r="A130" t="str">
        <f>'HIDDEN import'!B129</f>
        <v>TC_N_31_CSMS</v>
      </c>
      <c r="B130" t="str">
        <f>'HIDDEN import'!C129</f>
        <v>Core</v>
      </c>
      <c r="C130" t="str">
        <f>'HIDDEN import'!D129</f>
        <v>Clear Customer Information - Clear and report + no data</v>
      </c>
      <c r="D130" t="str">
        <f>IF(VLOOKUP(A130&amp;" "&amp;B130,'HIDDEN import'!A:G,5,FALSE)="M",MD!$A$1,(IF(AND(VLOOKUP(A130,'HIDDEN import'!B:E,4,FALSE)="C",OR(NOT(ISERROR(VLOOKUP(E130,'Optional features'!B:E,1,FALSE)=E130)),NOT(ISERROR(VLOOKUP(E130,'HIDDEN calc sheet'!A:C,1,FALSE)=E130)))),MD!$A$3,MD!$A$2)))</f>
        <v>Mandatory test for a mandatory feature</v>
      </c>
      <c r="E130" t="str">
        <f>IF('HIDDEN import'!F129=0,"",'HIDDEN import'!F129)</f>
        <v>((C-30 and C-70) or (C-31 and C-71)) and (Local Authorization List Management or C-49)</v>
      </c>
      <c r="F130" t="str">
        <f>IF('HIDDEN import'!G129=0,"",'HIDDEN import'!G129)</f>
        <v/>
      </c>
      <c r="G130" s="39" t="str">
        <f>IFERROR(VLOOKUP($A130,'HIDDEN Testrun Results'!$A:$B,2,FALSE),"")</f>
        <v/>
      </c>
      <c r="H130" s="39" t="b">
        <f t="shared" si="1"/>
        <v>1</v>
      </c>
      <c r="I130" s="39" t="b">
        <f>IF(VLOOKUP(A130&amp;" "&amp;B130,'HIDDEN import'!A:G,5,FALSE)="M",TRUE,IFERROR(VLOOKUP(E130,'Optional features'!B:E,3,FALSE)="Yes",IFERROR(VLOOKUP(E130,'HIDDEN calc sheet'!A:B,2,FALSE),VLOOKUP(E130,'Additional questions'!B:D,3,FALSE)="Yes")))</f>
        <v>1</v>
      </c>
      <c r="J130" t="b">
        <f>IF(VLOOKUP(B130,'Profile selection'!B:C,2,FALSE)="Yes",TRUE,FALSE)</f>
        <v>1</v>
      </c>
      <c r="K130" s="17" t="b">
        <f>IF(AND(D130=MD!$A$1,M130),TRUE,(IF(AND(D130=MD!$A$3,M130),(IF(L130=TRUE,TRUE,FALSE)),(IF(AND(D130=MD!$A$2,M130),(IF(N130=TRUE,TRUE,FALSE)),FALSE)))))</f>
        <v>1</v>
      </c>
      <c r="M130" t="b">
        <f>IF(VLOOKUP(B130,'Profile selection'!B:C,2,FALSE)="Yes",TRUE,FALSE)</f>
        <v>1</v>
      </c>
    </row>
    <row r="131" spans="1:13" x14ac:dyDescent="0.25">
      <c r="A131" t="str">
        <f>'HIDDEN import'!B130</f>
        <v>TC_N_32_CSMS</v>
      </c>
      <c r="B131" t="str">
        <f>'HIDDEN import'!C130</f>
        <v>Core</v>
      </c>
      <c r="C131" t="str">
        <f>'HIDDEN import'!D130</f>
        <v>Clear Customer Information - Clear and no report</v>
      </c>
      <c r="D131" t="str">
        <f>IF(VLOOKUP(A131&amp;" "&amp;B131,'HIDDEN import'!A:G,5,FALSE)="M",MD!$A$1,(IF(AND(VLOOKUP(A131,'HIDDEN import'!B:E,4,FALSE)="C",OR(NOT(ISERROR(VLOOKUP(E131,'Optional features'!B:E,1,FALSE)=E131)),NOT(ISERROR(VLOOKUP(E131,'HIDDEN calc sheet'!A:C,1,FALSE)=E131)))),MD!$A$3,MD!$A$2)))</f>
        <v>Mandatory test for a mandatory feature</v>
      </c>
      <c r="E131" t="str">
        <f>IF('HIDDEN import'!F130=0,"",'HIDDEN import'!F130)</f>
        <v/>
      </c>
      <c r="F131" t="str">
        <f>IF('HIDDEN import'!G130=0,"",'HIDDEN import'!G130)</f>
        <v/>
      </c>
      <c r="G131" s="39" t="str">
        <f>IFERROR(VLOOKUP($A131,'HIDDEN Testrun Results'!$A:$B,2,FALSE),"")</f>
        <v/>
      </c>
      <c r="H131" s="39" t="b">
        <f t="shared" si="1"/>
        <v>1</v>
      </c>
      <c r="I131" s="39" t="b">
        <f>IF(VLOOKUP(A131&amp;" "&amp;B131,'HIDDEN import'!A:G,5,FALSE)="M",TRUE,IFERROR(VLOOKUP(E131,'Optional features'!B:E,3,FALSE)="Yes",IFERROR(VLOOKUP(E131,'HIDDEN calc sheet'!A:B,2,FALSE),VLOOKUP(E131,'Additional questions'!B:D,3,FALSE)="Yes")))</f>
        <v>1</v>
      </c>
      <c r="J131" t="b">
        <f>IF(VLOOKUP(B131,'Profile selection'!B:C,2,FALSE)="Yes",TRUE,FALSE)</f>
        <v>1</v>
      </c>
      <c r="K131" s="17" t="b">
        <f>IF(AND(D131=MD!$A$1,M131),TRUE,(IF(AND(D131=MD!$A$3,M131),(IF(L131=TRUE,TRUE,FALSE)),(IF(AND(D131=MD!$A$2,M131),(IF(N131=TRUE,TRUE,FALSE)),FALSE)))))</f>
        <v>1</v>
      </c>
      <c r="M131" t="b">
        <f>IF(VLOOKUP(B131,'Profile selection'!B:C,2,FALSE)="Yes",TRUE,FALSE)</f>
        <v>1</v>
      </c>
    </row>
    <row r="132" spans="1:13" x14ac:dyDescent="0.25">
      <c r="A132" t="str">
        <f>'HIDDEN import'!B131</f>
        <v>TC_N_62_CSMS</v>
      </c>
      <c r="B132" t="str">
        <f>'HIDDEN import'!C131</f>
        <v>Core</v>
      </c>
      <c r="C132" t="str">
        <f>'HIDDEN import'!D131</f>
        <v>Clear Customer Information - Clear and report - customerIdentifier</v>
      </c>
      <c r="D132" t="str">
        <f>IF(VLOOKUP(A132&amp;" "&amp;B132,'HIDDEN import'!A:G,5,FALSE)="M",MD!$A$1,(IF(AND(VLOOKUP(A132,'HIDDEN import'!B:E,4,FALSE)="C",OR(NOT(ISERROR(VLOOKUP(E132,'Optional features'!B:E,1,FALSE)=E132)),NOT(ISERROR(VLOOKUP(E132,'HIDDEN calc sheet'!A:C,1,FALSE)=E132)))),MD!$A$3,MD!$A$2)))</f>
        <v>Mandatory for optional feature</v>
      </c>
      <c r="E132" t="str">
        <f>IF('HIDDEN import'!F131=0,"",'HIDDEN import'!F131)</f>
        <v>C-14</v>
      </c>
      <c r="F132" t="str">
        <f>IF('HIDDEN import'!G131=0,"",'HIDDEN import'!G131)</f>
        <v/>
      </c>
      <c r="G132" s="39" t="str">
        <f>IFERROR(VLOOKUP($A132,'HIDDEN Testrun Results'!$A:$B,2,FALSE),"")</f>
        <v/>
      </c>
      <c r="H132" s="39" t="b">
        <f t="shared" ref="H132:H195" si="2">IF(NOT(ISLOGICAL(I132)),I132,AND(I132,J132))</f>
        <v>0</v>
      </c>
      <c r="I132" s="39" t="b">
        <f>IF(VLOOKUP(A132&amp;" "&amp;B132,'HIDDEN import'!A:G,5,FALSE)="M",TRUE,IFERROR(VLOOKUP(E132,'Optional features'!B:E,3,FALSE)="Yes",IFERROR(VLOOKUP(E132,'HIDDEN calc sheet'!A:B,2,FALSE),VLOOKUP(E132,'Additional questions'!B:D,3,FALSE)="Yes")))</f>
        <v>0</v>
      </c>
      <c r="J132" t="b">
        <f>IF(VLOOKUP(B132,'Profile selection'!B:C,2,FALSE)="Yes",TRUE,FALSE)</f>
        <v>1</v>
      </c>
      <c r="K132" s="17" t="b">
        <f>IF(AND(D132=MD!$A$1,M132),TRUE,(IF(AND(D132=MD!$A$3,M132),(IF(L132=TRUE,TRUE,FALSE)),(IF(AND(D132=MD!$A$2,M132),(IF(N132=TRUE,TRUE,FALSE)),FALSE)))))</f>
        <v>0</v>
      </c>
      <c r="M132" t="b">
        <f>IF(VLOOKUP(B132,'Profile selection'!B:C,2,FALSE)="Yes",TRUE,FALSE)</f>
        <v>1</v>
      </c>
    </row>
    <row r="133" spans="1:13" x14ac:dyDescent="0.25">
      <c r="A133" t="str">
        <f>'HIDDEN import'!B132</f>
        <v>TC_P_02_CSMS</v>
      </c>
      <c r="B133" t="str">
        <f>'HIDDEN import'!C132</f>
        <v>Core</v>
      </c>
      <c r="C133" t="str">
        <f>'HIDDEN import'!D132</f>
        <v>Data Transfer to the CSMS - Rejected / Unknown VendorId / Unknown MessageId</v>
      </c>
      <c r="D133" t="str">
        <f>IF(VLOOKUP(A133&amp;" "&amp;B133,'HIDDEN import'!A:G,5,FALSE)="M",MD!$A$1,(IF(AND(VLOOKUP(A133,'HIDDEN import'!B:E,4,FALSE)="C",OR(NOT(ISERROR(VLOOKUP(E133,'Optional features'!B:E,1,FALSE)=E133)),NOT(ISERROR(VLOOKUP(E133,'HIDDEN calc sheet'!A:C,1,FALSE)=E133)))),MD!$A$3,MD!$A$2)))</f>
        <v>Mandatory test for a mandatory feature</v>
      </c>
      <c r="E133" t="str">
        <f>IF('HIDDEN import'!F132=0,"",'HIDDEN import'!F132)</f>
        <v/>
      </c>
      <c r="F133" t="str">
        <f>IF('HIDDEN import'!G132=0,"",'HIDDEN import'!G132)</f>
        <v/>
      </c>
      <c r="G133" s="39" t="str">
        <f>IFERROR(VLOOKUP($A133,'HIDDEN Testrun Results'!$A:$B,2,FALSE),"")</f>
        <v/>
      </c>
      <c r="H133" s="39" t="b">
        <f t="shared" si="2"/>
        <v>1</v>
      </c>
      <c r="I133" s="39" t="b">
        <f>IF(VLOOKUP(A133&amp;" "&amp;B133,'HIDDEN import'!A:G,5,FALSE)="M",TRUE,IFERROR(VLOOKUP(E133,'Optional features'!B:E,3,FALSE)="Yes",IFERROR(VLOOKUP(E133,'HIDDEN calc sheet'!A:B,2,FALSE),VLOOKUP(E133,'Additional questions'!B:D,3,FALSE)="Yes")))</f>
        <v>1</v>
      </c>
      <c r="J133" t="b">
        <f>IF(VLOOKUP(B133,'Profile selection'!B:C,2,FALSE)="Yes",TRUE,FALSE)</f>
        <v>1</v>
      </c>
      <c r="K133" s="17" t="b">
        <f>IF(AND(D133=MD!$A$1,M133),TRUE,(IF(AND(D133=MD!$A$3,M133),(IF(L133=TRUE,TRUE,FALSE)),(IF(AND(D133=MD!$A$2,M133),(IF(N133=TRUE,TRUE,FALSE)),FALSE)))))</f>
        <v>1</v>
      </c>
      <c r="M133" t="b">
        <f>IF(VLOOKUP(B133,'Profile selection'!B:C,2,FALSE)="Yes",TRUE,FALSE)</f>
        <v>1</v>
      </c>
    </row>
    <row r="134" spans="1:13" x14ac:dyDescent="0.25">
      <c r="A134" t="str">
        <f>'HIDDEN import'!B133</f>
        <v>TC_P_03_CSMS</v>
      </c>
      <c r="B134" t="str">
        <f>'HIDDEN import'!C133</f>
        <v>Core</v>
      </c>
      <c r="C134" t="str">
        <f>'HIDDEN import'!D133</f>
        <v>CustomData - Receive custom data</v>
      </c>
      <c r="D134" t="str">
        <f>IF(VLOOKUP(A134&amp;" "&amp;B134,'HIDDEN import'!A:G,5,FALSE)="M",MD!$A$1,(IF(AND(VLOOKUP(A134,'HIDDEN import'!B:E,4,FALSE)="C",OR(NOT(ISERROR(VLOOKUP(E134,'Optional features'!B:E,1,FALSE)=E134)),NOT(ISERROR(VLOOKUP(E134,'HIDDEN calc sheet'!A:C,1,FALSE)=E134)))),MD!$A$3,MD!$A$2)))</f>
        <v>Mandatory test for a mandatory feature</v>
      </c>
      <c r="E134" t="str">
        <f>IF('HIDDEN import'!F133=0,"",'HIDDEN import'!F133)</f>
        <v/>
      </c>
      <c r="F134" t="str">
        <f>IF('HIDDEN import'!G133=0,"",'HIDDEN import'!G133)</f>
        <v/>
      </c>
      <c r="G134" s="39" t="str">
        <f>IFERROR(VLOOKUP($A134,'HIDDEN Testrun Results'!$A:$B,2,FALSE),"")</f>
        <v/>
      </c>
      <c r="H134" s="39" t="b">
        <f t="shared" si="2"/>
        <v>1</v>
      </c>
      <c r="I134" s="39" t="b">
        <f>IF(VLOOKUP(A134&amp;" "&amp;B134,'HIDDEN import'!A:G,5,FALSE)="M",TRUE,IFERROR(VLOOKUP(E134,'Optional features'!B:E,3,FALSE)="Yes",IFERROR(VLOOKUP(E134,'HIDDEN calc sheet'!A:B,2,FALSE),VLOOKUP(E134,'Additional questions'!B:D,3,FALSE)="Yes")))</f>
        <v>1</v>
      </c>
      <c r="J134" t="b">
        <f>IF(VLOOKUP(B134,'Profile selection'!B:C,2,FALSE)="Yes",TRUE,FALSE)</f>
        <v>1</v>
      </c>
      <c r="K134" s="17" t="b">
        <f>IF(AND(D134=MD!$A$1,M134),TRUE,(IF(AND(D134=MD!$A$3,M134),(IF(L134=TRUE,TRUE,FALSE)),(IF(AND(D134=MD!$A$2,M134),(IF(N134=TRUE,TRUE,FALSE)),FALSE)))))</f>
        <v>1</v>
      </c>
      <c r="M134" t="b">
        <f>IF(VLOOKUP(B134,'Profile selection'!B:C,2,FALSE)="Yes",TRUE,FALSE)</f>
        <v>1</v>
      </c>
    </row>
    <row r="135" spans="1:13" x14ac:dyDescent="0.25">
      <c r="A135" t="str">
        <f>'HIDDEN import'!B134</f>
        <v>TC_C_40_CSMS</v>
      </c>
      <c r="B135" t="str">
        <f>'HIDDEN import'!C134</f>
        <v>Core</v>
      </c>
      <c r="C135" t="str">
        <f>'HIDDEN import'!D134</f>
        <v>Authorization by GroupId - Success with Local Authorization List</v>
      </c>
      <c r="D135" t="str">
        <f>IF(VLOOKUP(A135&amp;" "&amp;B135,'HIDDEN import'!A:G,5,FALSE)="M",MD!$A$1,(IF(AND(VLOOKUP(A135,'HIDDEN import'!B:E,4,FALSE)="C",OR(NOT(ISERROR(VLOOKUP(E135,'Optional features'!B:E,1,FALSE)=E135)),NOT(ISERROR(VLOOKUP(E135,'HIDDEN calc sheet'!A:C,1,FALSE)=E135)))),MD!$A$3,MD!$A$2)))</f>
        <v>Mandatory for optional feature</v>
      </c>
      <c r="E135" t="str">
        <f>IF('HIDDEN import'!F134=0,"",'HIDDEN import'!F134)</f>
        <v>LA-0</v>
      </c>
      <c r="F135" t="str">
        <f>IF('HIDDEN import'!G134=0,"",'HIDDEN import'!G134)</f>
        <v/>
      </c>
      <c r="G135" s="39" t="str">
        <f>IFERROR(VLOOKUP($A135,'HIDDEN Testrun Results'!$A:$B,2,FALSE),"")</f>
        <v/>
      </c>
      <c r="H135" s="39" t="b">
        <f t="shared" si="2"/>
        <v>0</v>
      </c>
      <c r="I135" s="39" t="b">
        <f>IF(VLOOKUP(A135&amp;" "&amp;B135,'HIDDEN import'!A:G,5,FALSE)="M",TRUE,IFERROR(VLOOKUP(E135,'Optional features'!B:E,3,FALSE)="Yes",IFERROR(VLOOKUP(E135,'HIDDEN calc sheet'!A:B,2,FALSE),VLOOKUP(E135,'Additional questions'!B:D,3,FALSE)="Yes")))</f>
        <v>0</v>
      </c>
      <c r="J135" t="b">
        <f>IF(VLOOKUP(B135,'Profile selection'!B:C,2,FALSE)="Yes",TRUE,FALSE)</f>
        <v>1</v>
      </c>
      <c r="K135" s="17" t="b">
        <f>IF(AND(D135=MD!$A$1,M135),TRUE,(IF(AND(D135=MD!$A$3,M135),(IF(L135=TRUE,TRUE,FALSE)),(IF(AND(D135=MD!$A$2,M135),(IF(N135=TRUE,TRUE,FALSE)),FALSE)))))</f>
        <v>0</v>
      </c>
      <c r="M135" t="b">
        <f>IF(VLOOKUP(B135,'Profile selection'!B:C,2,FALSE)="Yes",TRUE,FALSE)</f>
        <v>1</v>
      </c>
    </row>
    <row r="136" spans="1:13" x14ac:dyDescent="0.25">
      <c r="A136" t="str">
        <f>'HIDDEN import'!B135</f>
        <v>TC_C_43_CSMS</v>
      </c>
      <c r="B136" t="str">
        <f>'HIDDEN import'!C135</f>
        <v>Core</v>
      </c>
      <c r="C136" t="str">
        <f>'HIDDEN import'!D135</f>
        <v>Authorization by GroupId - Invalid status with Local Authorization List</v>
      </c>
      <c r="D136" t="str">
        <f>IF(VLOOKUP(A136&amp;" "&amp;B136,'HIDDEN import'!A:G,5,FALSE)="M",MD!$A$1,(IF(AND(VLOOKUP(A136,'HIDDEN import'!B:E,4,FALSE)="C",OR(NOT(ISERROR(VLOOKUP(E136,'Optional features'!B:E,1,FALSE)=E136)),NOT(ISERROR(VLOOKUP(E136,'HIDDEN calc sheet'!A:C,1,FALSE)=E136)))),MD!$A$3,MD!$A$2)))</f>
        <v>Mandatory for optional feature</v>
      </c>
      <c r="E136" t="str">
        <f>IF('HIDDEN import'!F135=0,"",'HIDDEN import'!F135)</f>
        <v>LA-0</v>
      </c>
      <c r="F136" t="str">
        <f>IF('HIDDEN import'!G135=0,"",'HIDDEN import'!G135)</f>
        <v/>
      </c>
      <c r="G136" s="39" t="str">
        <f>IFERROR(VLOOKUP($A136,'HIDDEN Testrun Results'!$A:$B,2,FALSE),"")</f>
        <v/>
      </c>
      <c r="H136" s="39" t="b">
        <f t="shared" si="2"/>
        <v>0</v>
      </c>
      <c r="I136" s="39" t="b">
        <f>IF(VLOOKUP(A136&amp;" "&amp;B136,'HIDDEN import'!A:G,5,FALSE)="M",TRUE,IFERROR(VLOOKUP(E136,'Optional features'!B:E,3,FALSE)="Yes",IFERROR(VLOOKUP(E136,'HIDDEN calc sheet'!A:B,2,FALSE),VLOOKUP(E136,'Additional questions'!B:D,3,FALSE)="Yes")))</f>
        <v>0</v>
      </c>
      <c r="J136" t="b">
        <f>IF(VLOOKUP(B136,'Profile selection'!B:C,2,FALSE)="Yes",TRUE,FALSE)</f>
        <v>1</v>
      </c>
      <c r="K136" s="17" t="b">
        <f>IF(AND(D136=MD!$A$1,M136),TRUE,(IF(AND(D136=MD!$A$3,M136),(IF(L136=TRUE,TRUE,FALSE)),(IF(AND(D136=MD!$A$2,M136),(IF(N136=TRUE,TRUE,FALSE)),FALSE)))))</f>
        <v>0</v>
      </c>
      <c r="M136" t="b">
        <f>IF(VLOOKUP(B136,'Profile selection'!B:C,2,FALSE)="Yes",TRUE,FALSE)</f>
        <v>1</v>
      </c>
    </row>
    <row r="137" spans="1:13" x14ac:dyDescent="0.25">
      <c r="A137" t="str">
        <f>'HIDDEN import'!B136</f>
        <v>TC_D_01_CSMS</v>
      </c>
      <c r="B137" t="str">
        <f>'HIDDEN import'!C136</f>
        <v>Core</v>
      </c>
      <c r="C137" t="str">
        <f>'HIDDEN import'!D136</f>
        <v>Send Local Authorization List - Full</v>
      </c>
      <c r="D137" t="str">
        <f>IF(VLOOKUP(A137&amp;" "&amp;B137,'HIDDEN import'!A:G,5,FALSE)="M",MD!$A$1,(IF(AND(VLOOKUP(A137,'HIDDEN import'!B:E,4,FALSE)="C",OR(NOT(ISERROR(VLOOKUP(E137,'Optional features'!B:E,1,FALSE)=E137)),NOT(ISERROR(VLOOKUP(E137,'HIDDEN calc sheet'!A:C,1,FALSE)=E137)))),MD!$A$3,MD!$A$2)))</f>
        <v>Mandatory for optional feature</v>
      </c>
      <c r="E137" t="str">
        <f>IF('HIDDEN import'!F136=0,"",'HIDDEN import'!F136)</f>
        <v>LA-0</v>
      </c>
      <c r="F137" t="str">
        <f>IF('HIDDEN import'!G136=0,"",'HIDDEN import'!G136)</f>
        <v/>
      </c>
      <c r="G137" s="39" t="str">
        <f>IFERROR(VLOOKUP($A137,'HIDDEN Testrun Results'!$A:$B,2,FALSE),"")</f>
        <v/>
      </c>
      <c r="H137" s="39" t="b">
        <f t="shared" si="2"/>
        <v>0</v>
      </c>
      <c r="I137" s="39" t="b">
        <f>IF(VLOOKUP(A137&amp;" "&amp;B137,'HIDDEN import'!A:G,5,FALSE)="M",TRUE,IFERROR(VLOOKUP(E137,'Optional features'!B:E,3,FALSE)="Yes",IFERROR(VLOOKUP(E137,'HIDDEN calc sheet'!A:B,2,FALSE),VLOOKUP(E137,'Additional questions'!B:D,3,FALSE)="Yes")))</f>
        <v>0</v>
      </c>
      <c r="J137" t="b">
        <f>IF(VLOOKUP(B137,'Profile selection'!B:C,2,FALSE)="Yes",TRUE,FALSE)</f>
        <v>1</v>
      </c>
      <c r="K137" s="17" t="b">
        <f>IF(AND(D137=MD!$A$1,M137),TRUE,(IF(AND(D137=MD!$A$3,M137),(IF(L137=TRUE,TRUE,FALSE)),(IF(AND(D137=MD!$A$2,M137),(IF(N137=TRUE,TRUE,FALSE)),FALSE)))))</f>
        <v>0</v>
      </c>
      <c r="M137" t="b">
        <f>IF(VLOOKUP(B137,'Profile selection'!B:C,2,FALSE)="Yes",TRUE,FALSE)</f>
        <v>1</v>
      </c>
    </row>
    <row r="138" spans="1:13" x14ac:dyDescent="0.25">
      <c r="A138" t="str">
        <f>'HIDDEN import'!B137</f>
        <v>TC_D_02_CSMS</v>
      </c>
      <c r="B138" t="str">
        <f>'HIDDEN import'!C137</f>
        <v>Core</v>
      </c>
      <c r="C138" t="str">
        <f>'HIDDEN import'!D137</f>
        <v>Send Local Authorization List - Differential Update</v>
      </c>
      <c r="D138" t="str">
        <f>IF(VLOOKUP(A138&amp;" "&amp;B138,'HIDDEN import'!A:G,5,FALSE)="M",MD!$A$1,(IF(AND(VLOOKUP(A138,'HIDDEN import'!B:E,4,FALSE)="C",OR(NOT(ISERROR(VLOOKUP(E138,'Optional features'!B:E,1,FALSE)=E138)),NOT(ISERROR(VLOOKUP(E138,'HIDDEN calc sheet'!A:C,1,FALSE)=E138)))),MD!$A$3,MD!$A$2)))</f>
        <v>Mandatory for optional feature</v>
      </c>
      <c r="E138" t="str">
        <f>IF('HIDDEN import'!F137=0,"",'HIDDEN import'!F137)</f>
        <v>LA-0</v>
      </c>
      <c r="F138" t="str">
        <f>IF('HIDDEN import'!G137=0,"",'HIDDEN import'!G137)</f>
        <v/>
      </c>
      <c r="G138" s="39" t="str">
        <f>IFERROR(VLOOKUP($A138,'HIDDEN Testrun Results'!$A:$B,2,FALSE),"")</f>
        <v/>
      </c>
      <c r="H138" s="39" t="b">
        <f t="shared" si="2"/>
        <v>0</v>
      </c>
      <c r="I138" s="39" t="b">
        <f>IF(VLOOKUP(A138&amp;" "&amp;B138,'HIDDEN import'!A:G,5,FALSE)="M",TRUE,IFERROR(VLOOKUP(E138,'Optional features'!B:E,3,FALSE)="Yes",IFERROR(VLOOKUP(E138,'HIDDEN calc sheet'!A:B,2,FALSE),VLOOKUP(E138,'Additional questions'!B:D,3,FALSE)="Yes")))</f>
        <v>0</v>
      </c>
      <c r="J138" t="b">
        <f>IF(VLOOKUP(B138,'Profile selection'!B:C,2,FALSE)="Yes",TRUE,FALSE)</f>
        <v>1</v>
      </c>
      <c r="K138" s="17" t="b">
        <f>IF(AND(D138=MD!$A$1,M138),TRUE,(IF(AND(D138=MD!$A$3,M138),(IF(L138=TRUE,TRUE,FALSE)),(IF(AND(D138=MD!$A$2,M138),(IF(N138=TRUE,TRUE,FALSE)),FALSE)))))</f>
        <v>0</v>
      </c>
      <c r="M138" t="b">
        <f>IF(VLOOKUP(B138,'Profile selection'!B:C,2,FALSE)="Yes",TRUE,FALSE)</f>
        <v>1</v>
      </c>
    </row>
    <row r="139" spans="1:13" x14ac:dyDescent="0.25">
      <c r="A139" t="str">
        <f>'HIDDEN import'!B138</f>
        <v>TC_D_03_CSMS</v>
      </c>
      <c r="B139" t="str">
        <f>'HIDDEN import'!C138</f>
        <v>Core</v>
      </c>
      <c r="C139" t="str">
        <f>'HIDDEN import'!D138</f>
        <v>Send Local Authorization List - Differential Remove</v>
      </c>
      <c r="D139" t="str">
        <f>IF(VLOOKUP(A139&amp;" "&amp;B139,'HIDDEN import'!A:G,5,FALSE)="M",MD!$A$1,(IF(AND(VLOOKUP(A139,'HIDDEN import'!B:E,4,FALSE)="C",OR(NOT(ISERROR(VLOOKUP(E139,'Optional features'!B:E,1,FALSE)=E139)),NOT(ISERROR(VLOOKUP(E139,'HIDDEN calc sheet'!A:C,1,FALSE)=E139)))),MD!$A$3,MD!$A$2)))</f>
        <v>Mandatory for optional feature</v>
      </c>
      <c r="E139" t="str">
        <f>IF('HIDDEN import'!F138=0,"",'HIDDEN import'!F138)</f>
        <v>LA-0</v>
      </c>
      <c r="F139" t="str">
        <f>IF('HIDDEN import'!G138=0,"",'HIDDEN import'!G138)</f>
        <v/>
      </c>
      <c r="G139" s="39" t="str">
        <f>IFERROR(VLOOKUP($A139,'HIDDEN Testrun Results'!$A:$B,2,FALSE),"")</f>
        <v/>
      </c>
      <c r="H139" s="39" t="b">
        <f t="shared" si="2"/>
        <v>0</v>
      </c>
      <c r="I139" s="39" t="b">
        <f>IF(VLOOKUP(A139&amp;" "&amp;B139,'HIDDEN import'!A:G,5,FALSE)="M",TRUE,IFERROR(VLOOKUP(E139,'Optional features'!B:E,3,FALSE)="Yes",IFERROR(VLOOKUP(E139,'HIDDEN calc sheet'!A:B,2,FALSE),VLOOKUP(E139,'Additional questions'!B:D,3,FALSE)="Yes")))</f>
        <v>0</v>
      </c>
      <c r="J139" t="b">
        <f>IF(VLOOKUP(B139,'Profile selection'!B:C,2,FALSE)="Yes",TRUE,FALSE)</f>
        <v>1</v>
      </c>
      <c r="K139" s="17" t="b">
        <f>IF(AND(D139=MD!$A$1,M139),TRUE,(IF(AND(D139=MD!$A$3,M139),(IF(L139=TRUE,TRUE,FALSE)),(IF(AND(D139=MD!$A$2,M139),(IF(N139=TRUE,TRUE,FALSE)),FALSE)))))</f>
        <v>0</v>
      </c>
      <c r="M139" t="b">
        <f>IF(VLOOKUP(B139,'Profile selection'!B:C,2,FALSE)="Yes",TRUE,FALSE)</f>
        <v>1</v>
      </c>
    </row>
    <row r="140" spans="1:13" x14ac:dyDescent="0.25">
      <c r="A140" t="str">
        <f>'HIDDEN import'!B139</f>
        <v>TC_D_04_CSMS</v>
      </c>
      <c r="B140" t="str">
        <f>'HIDDEN import'!C139</f>
        <v>Core</v>
      </c>
      <c r="C140" t="str">
        <f>'HIDDEN import'!D139</f>
        <v>Send Local Authorization List - Full with empy list</v>
      </c>
      <c r="D140" t="str">
        <f>IF(VLOOKUP(A140&amp;" "&amp;B140,'HIDDEN import'!A:G,5,FALSE)="M",MD!$A$1,(IF(AND(VLOOKUP(A140,'HIDDEN import'!B:E,4,FALSE)="C",OR(NOT(ISERROR(VLOOKUP(E140,'Optional features'!B:E,1,FALSE)=E140)),NOT(ISERROR(VLOOKUP(E140,'HIDDEN calc sheet'!A:C,1,FALSE)=E140)))),MD!$A$3,MD!$A$2)))</f>
        <v>Mandatory for optional feature</v>
      </c>
      <c r="E140" t="str">
        <f>IF('HIDDEN import'!F139=0,"",'HIDDEN import'!F139)</f>
        <v>LA-0</v>
      </c>
      <c r="F140" t="str">
        <f>IF('HIDDEN import'!G139=0,"",'HIDDEN import'!G139)</f>
        <v/>
      </c>
      <c r="G140" s="39" t="str">
        <f>IFERROR(VLOOKUP($A140,'HIDDEN Testrun Results'!$A:$B,2,FALSE),"")</f>
        <v/>
      </c>
      <c r="H140" s="39" t="b">
        <f t="shared" si="2"/>
        <v>0</v>
      </c>
      <c r="I140" s="39" t="b">
        <f>IF(VLOOKUP(A140&amp;" "&amp;B140,'HIDDEN import'!A:G,5,FALSE)="M",TRUE,IFERROR(VLOOKUP(E140,'Optional features'!B:E,3,FALSE)="Yes",IFERROR(VLOOKUP(E140,'HIDDEN calc sheet'!A:B,2,FALSE),VLOOKUP(E140,'Additional questions'!B:D,3,FALSE)="Yes")))</f>
        <v>0</v>
      </c>
      <c r="J140" t="b">
        <f>IF(VLOOKUP(B140,'Profile selection'!B:C,2,FALSE)="Yes",TRUE,FALSE)</f>
        <v>1</v>
      </c>
      <c r="K140" s="17" t="b">
        <f>IF(AND(D140=MD!$A$1,M140),TRUE,(IF(AND(D140=MD!$A$3,M140),(IF(L140=TRUE,TRUE,FALSE)),(IF(AND(D140=MD!$A$2,M140),(IF(N140=TRUE,TRUE,FALSE)),FALSE)))))</f>
        <v>0</v>
      </c>
      <c r="M140" t="b">
        <f>IF(VLOOKUP(B140,'Profile selection'!B:C,2,FALSE)="Yes",TRUE,FALSE)</f>
        <v>1</v>
      </c>
    </row>
    <row r="141" spans="1:13" x14ac:dyDescent="0.25">
      <c r="A141" t="str">
        <f>'HIDDEN import'!B140</f>
        <v>TC_D_08_CSMS</v>
      </c>
      <c r="B141" t="str">
        <f>'HIDDEN import'!C140</f>
        <v>Core</v>
      </c>
      <c r="C141" t="str">
        <f>'HIDDEN import'!D140</f>
        <v>Get Local List Version - Success</v>
      </c>
      <c r="D141" t="str">
        <f>IF(VLOOKUP(A141&amp;" "&amp;B141,'HIDDEN import'!A:G,5,FALSE)="M",MD!$A$1,(IF(AND(VLOOKUP(A141,'HIDDEN import'!B:E,4,FALSE)="C",OR(NOT(ISERROR(VLOOKUP(E141,'Optional features'!B:E,1,FALSE)=E141)),NOT(ISERROR(VLOOKUP(E141,'HIDDEN calc sheet'!A:C,1,FALSE)=E141)))),MD!$A$3,MD!$A$2)))</f>
        <v>Mandatory for optional feature</v>
      </c>
      <c r="E141" t="str">
        <f>IF('HIDDEN import'!F140=0,"",'HIDDEN import'!F140)</f>
        <v>LA-0 and LA-2</v>
      </c>
      <c r="F141" t="str">
        <f>IF('HIDDEN import'!G140=0,"",'HIDDEN import'!G140)</f>
        <v>GetLocalListVersion</v>
      </c>
      <c r="G141" s="39" t="str">
        <f>IFERROR(VLOOKUP($A141,'HIDDEN Testrun Results'!$A:$B,2,FALSE),"")</f>
        <v/>
      </c>
      <c r="H141" s="39" t="b">
        <f t="shared" si="2"/>
        <v>0</v>
      </c>
      <c r="I141" s="39" t="b">
        <f>IF(VLOOKUP(A141&amp;" "&amp;B141,'HIDDEN import'!A:G,5,FALSE)="M",TRUE,IFERROR(VLOOKUP(E141,'Optional features'!B:E,3,FALSE)="Yes",IFERROR(VLOOKUP(E141,'HIDDEN calc sheet'!A:B,2,FALSE),VLOOKUP(E141,'Additional questions'!B:D,3,FALSE)="Yes")))</f>
        <v>0</v>
      </c>
      <c r="J141" t="b">
        <f>IF(VLOOKUP(B141,'Profile selection'!B:C,2,FALSE)="Yes",TRUE,FALSE)</f>
        <v>1</v>
      </c>
      <c r="K141" s="17" t="b">
        <f>IF(AND(D141=MD!$A$1,M141),TRUE,(IF(AND(D141=MD!$A$3,M141),(IF(L141=TRUE,TRUE,FALSE)),(IF(AND(D141=MD!$A$2,M141),(IF(N141=TRUE,TRUE,FALSE)),FALSE)))))</f>
        <v>0</v>
      </c>
      <c r="M141" t="b">
        <f>IF(VLOOKUP(B141,'Profile selection'!B:C,2,FALSE)="Yes",TRUE,FALSE)</f>
        <v>1</v>
      </c>
    </row>
    <row r="142" spans="1:13" x14ac:dyDescent="0.25">
      <c r="A142" t="str">
        <f>'HIDDEN import'!B141</f>
        <v>TC_D_09_CSMS</v>
      </c>
      <c r="B142" t="str">
        <f>'HIDDEN import'!C141</f>
        <v>Core</v>
      </c>
      <c r="C142" t="str">
        <f>'HIDDEN import'!D141</f>
        <v>Get Local List Version - No list available</v>
      </c>
      <c r="D142" t="str">
        <f>IF(VLOOKUP(A142&amp;" "&amp;B142,'HIDDEN import'!A:G,5,FALSE)="M",MD!$A$1,(IF(AND(VLOOKUP(A142,'HIDDEN import'!B:E,4,FALSE)="C",OR(NOT(ISERROR(VLOOKUP(E142,'Optional features'!B:E,1,FALSE)=E142)),NOT(ISERROR(VLOOKUP(E142,'HIDDEN calc sheet'!A:C,1,FALSE)=E142)))),MD!$A$3,MD!$A$2)))</f>
        <v>Mandatory for optional feature</v>
      </c>
      <c r="E142" t="str">
        <f>IF('HIDDEN import'!F141=0,"",'HIDDEN import'!F141)</f>
        <v>LA-0</v>
      </c>
      <c r="F142" t="str">
        <f>IF('HIDDEN import'!G141=0,"",'HIDDEN import'!G141)</f>
        <v/>
      </c>
      <c r="G142" s="39" t="str">
        <f>IFERROR(VLOOKUP($A142,'HIDDEN Testrun Results'!$A:$B,2,FALSE),"")</f>
        <v/>
      </c>
      <c r="H142" s="39" t="b">
        <f t="shared" si="2"/>
        <v>0</v>
      </c>
      <c r="I142" s="39" t="b">
        <f>IF(VLOOKUP(A142&amp;" "&amp;B142,'HIDDEN import'!A:G,5,FALSE)="M",TRUE,IFERROR(VLOOKUP(E142,'Optional features'!B:E,3,FALSE)="Yes",IFERROR(VLOOKUP(E142,'HIDDEN calc sheet'!A:B,2,FALSE),VLOOKUP(E142,'Additional questions'!B:D,3,FALSE)="Yes")))</f>
        <v>0</v>
      </c>
      <c r="J142" t="b">
        <f>IF(VLOOKUP(B142,'Profile selection'!B:C,2,FALSE)="Yes",TRUE,FALSE)</f>
        <v>1</v>
      </c>
      <c r="K142" s="17" t="b">
        <f>IF(AND(D142=MD!$A$1,M142),TRUE,(IF(AND(D142=MD!$A$3,M142),(IF(L142=TRUE,TRUE,FALSE)),(IF(AND(D142=MD!$A$2,M142),(IF(N142=TRUE,TRUE,FALSE)),FALSE)))))</f>
        <v>0</v>
      </c>
      <c r="M142" t="b">
        <f>IF(VLOOKUP(B142,'Profile selection'!B:C,2,FALSE)="Yes",TRUE,FALSE)</f>
        <v>1</v>
      </c>
    </row>
    <row r="143" spans="1:13" x14ac:dyDescent="0.25">
      <c r="A143" t="str">
        <f>'HIDDEN import'!B142</f>
        <v>TC_N_46_CSMS</v>
      </c>
      <c r="B143" t="str">
        <f>'HIDDEN import'!C142</f>
        <v>Core</v>
      </c>
      <c r="C143" t="str">
        <f>'HIDDEN import'!D142</f>
        <v>Clear Customer Information - Update Local Authorization List</v>
      </c>
      <c r="D143" t="str">
        <f>IF(VLOOKUP(A143&amp;" "&amp;B143,'HIDDEN import'!A:G,5,FALSE)="M",MD!$A$1,(IF(AND(VLOOKUP(A143,'HIDDEN import'!B:E,4,FALSE)="C",OR(NOT(ISERROR(VLOOKUP(E143,'Optional features'!B:E,1,FALSE)=E143)),NOT(ISERROR(VLOOKUP(E143,'HIDDEN calc sheet'!A:C,1,FALSE)=E143)))),MD!$A$3,MD!$A$2)))</f>
        <v>Mandatory for optional feature</v>
      </c>
      <c r="E143" t="str">
        <f>IF('HIDDEN import'!F142=0,"",'HIDDEN import'!F142)</f>
        <v>LA-0</v>
      </c>
      <c r="F143" t="str">
        <f>IF('HIDDEN import'!G142=0,"",'HIDDEN import'!G142)</f>
        <v/>
      </c>
      <c r="G143" s="39" t="str">
        <f>IFERROR(VLOOKUP($A143,'HIDDEN Testrun Results'!$A:$B,2,FALSE),"")</f>
        <v/>
      </c>
      <c r="H143" s="39" t="b">
        <f t="shared" si="2"/>
        <v>0</v>
      </c>
      <c r="I143" s="39" t="b">
        <f>IF(VLOOKUP(A143&amp;" "&amp;B143,'HIDDEN import'!A:G,5,FALSE)="M",TRUE,IFERROR(VLOOKUP(E143,'Optional features'!B:E,3,FALSE)="Yes",IFERROR(VLOOKUP(E143,'HIDDEN calc sheet'!A:B,2,FALSE),VLOOKUP(E143,'Additional questions'!B:D,3,FALSE)="Yes")))</f>
        <v>0</v>
      </c>
      <c r="J143" t="b">
        <f>IF(VLOOKUP(B143,'Profile selection'!B:C,2,FALSE)="Yes",TRUE,FALSE)</f>
        <v>1</v>
      </c>
      <c r="K143" s="17" t="b">
        <f>IF(AND(D143=MD!$A$1,M143),TRUE,(IF(AND(D143=MD!$A$3,M143),(IF(L143=TRUE,TRUE,FALSE)),(IF(AND(D143=MD!$A$2,M143),(IF(N143=TRUE,TRUE,FALSE)),FALSE)))))</f>
        <v>0</v>
      </c>
      <c r="M143" t="b">
        <f>IF(VLOOKUP(B143,'Profile selection'!B:C,2,FALSE)="Yes",TRUE,FALSE)</f>
        <v>1</v>
      </c>
    </row>
    <row r="144" spans="1:13" x14ac:dyDescent="0.25">
      <c r="A144" t="str">
        <f>'HIDDEN import'!B143</f>
        <v>TC_H_01_CSMS</v>
      </c>
      <c r="B144" t="str">
        <f>'HIDDEN import'!C143</f>
        <v>Core</v>
      </c>
      <c r="C144" t="str">
        <f>'HIDDEN import'!D143</f>
        <v>Reserve a specific EVSE - Accepted - Valid idToken</v>
      </c>
      <c r="D144" t="str">
        <f>IF(VLOOKUP(A144&amp;" "&amp;B144,'HIDDEN import'!A:G,5,FALSE)="M",MD!$A$1,(IF(AND(VLOOKUP(A144,'HIDDEN import'!B:E,4,FALSE)="C",OR(NOT(ISERROR(VLOOKUP(E144,'Optional features'!B:E,1,FALSE)=E144)),NOT(ISERROR(VLOOKUP(E144,'HIDDEN calc sheet'!A:C,1,FALSE)=E144)))),MD!$A$3,MD!$A$2)))</f>
        <v>Mandatory for optional feature</v>
      </c>
      <c r="E144" t="str">
        <f>IF('HIDDEN import'!F143=0,"",'HIDDEN import'!F143)</f>
        <v>R-0</v>
      </c>
      <c r="F144" t="str">
        <f>IF('HIDDEN import'!G143=0,"",'HIDDEN import'!G143)</f>
        <v/>
      </c>
      <c r="G144" s="39" t="str">
        <f>IFERROR(VLOOKUP($A144,'HIDDEN Testrun Results'!$A:$B,2,FALSE),"")</f>
        <v/>
      </c>
      <c r="H144" s="39" t="b">
        <f t="shared" si="2"/>
        <v>0</v>
      </c>
      <c r="I144" s="39" t="b">
        <f>IF(VLOOKUP(A144&amp;" "&amp;B144,'HIDDEN import'!A:G,5,FALSE)="M",TRUE,IFERROR(VLOOKUP(E144,'Optional features'!B:E,3,FALSE)="Yes",IFERROR(VLOOKUP(E144,'HIDDEN calc sheet'!A:B,2,FALSE),VLOOKUP(E144,'Additional questions'!B:D,3,FALSE)="Yes")))</f>
        <v>0</v>
      </c>
      <c r="J144" t="b">
        <f>IF(VLOOKUP(B144,'Profile selection'!B:C,2,FALSE)="Yes",TRUE,FALSE)</f>
        <v>1</v>
      </c>
      <c r="K144" s="17" t="b">
        <f>IF(AND(D144=MD!$A$1,M144),TRUE,(IF(AND(D144=MD!$A$3,M144),(IF(L144=TRUE,TRUE,FALSE)),(IF(AND(D144=MD!$A$2,M144),(IF(N144=TRUE,TRUE,FALSE)),FALSE)))))</f>
        <v>0</v>
      </c>
      <c r="M144" t="b">
        <f>IF(VLOOKUP(B144,'Profile selection'!B:C,2,FALSE)="Yes",TRUE,FALSE)</f>
        <v>1</v>
      </c>
    </row>
    <row r="145" spans="1:13" x14ac:dyDescent="0.25">
      <c r="A145" t="str">
        <f>'HIDDEN import'!B144</f>
        <v>TC_H_07_CSMS</v>
      </c>
      <c r="B145" t="str">
        <f>'HIDDEN import'!C144</f>
        <v>Core</v>
      </c>
      <c r="C145" t="str">
        <f>'HIDDEN import'!D144</f>
        <v>Reserve a specific EVSE - Reservation Ended / not used</v>
      </c>
      <c r="D145" t="str">
        <f>IF(VLOOKUP(A145&amp;" "&amp;B145,'HIDDEN import'!A:G,5,FALSE)="M",MD!$A$1,(IF(AND(VLOOKUP(A145,'HIDDEN import'!B:E,4,FALSE)="C",OR(NOT(ISERROR(VLOOKUP(E145,'Optional features'!B:E,1,FALSE)=E145)),NOT(ISERROR(VLOOKUP(E145,'HIDDEN calc sheet'!A:C,1,FALSE)=E145)))),MD!$A$3,MD!$A$2)))</f>
        <v>Mandatory for optional feature</v>
      </c>
      <c r="E145" t="str">
        <f>IF('HIDDEN import'!F144=0,"",'HIDDEN import'!F144)</f>
        <v>R-0</v>
      </c>
      <c r="F145" t="str">
        <f>IF('HIDDEN import'!G144=0,"",'HIDDEN import'!G144)</f>
        <v/>
      </c>
      <c r="G145" s="39" t="str">
        <f>IFERROR(VLOOKUP($A145,'HIDDEN Testrun Results'!$A:$B,2,FALSE),"")</f>
        <v/>
      </c>
      <c r="H145" s="39" t="b">
        <f t="shared" si="2"/>
        <v>0</v>
      </c>
      <c r="I145" s="39" t="b">
        <f>IF(VLOOKUP(A145&amp;" "&amp;B145,'HIDDEN import'!A:G,5,FALSE)="M",TRUE,IFERROR(VLOOKUP(E145,'Optional features'!B:E,3,FALSE)="Yes",IFERROR(VLOOKUP(E145,'HIDDEN calc sheet'!A:B,2,FALSE),VLOOKUP(E145,'Additional questions'!B:D,3,FALSE)="Yes")))</f>
        <v>0</v>
      </c>
      <c r="J145" t="b">
        <f>IF(VLOOKUP(B145,'Profile selection'!B:C,2,FALSE)="Yes",TRUE,FALSE)</f>
        <v>1</v>
      </c>
      <c r="K145" s="17" t="b">
        <f>IF(AND(D145=MD!$A$1,M145),TRUE,(IF(AND(D145=MD!$A$3,M145),(IF(L145=TRUE,TRUE,FALSE)),(IF(AND(D145=MD!$A$2,M145),(IF(N145=TRUE,TRUE,FALSE)),FALSE)))))</f>
        <v>0</v>
      </c>
      <c r="M145" t="b">
        <f>IF(VLOOKUP(B145,'Profile selection'!B:C,2,FALSE)="Yes",TRUE,FALSE)</f>
        <v>1</v>
      </c>
    </row>
    <row r="146" spans="1:13" x14ac:dyDescent="0.25">
      <c r="A146" t="str">
        <f>'HIDDEN import'!B145</f>
        <v>TC_H_22_CSMS</v>
      </c>
      <c r="B146" t="str">
        <f>'HIDDEN import'!C145</f>
        <v>Core</v>
      </c>
      <c r="C146" t="str">
        <f>'HIDDEN import'!D145</f>
        <v>Reserve a specific EVSE - Configured to Reject</v>
      </c>
      <c r="D146" t="str">
        <f>IF(VLOOKUP(A146&amp;" "&amp;B146,'HIDDEN import'!A:G,5,FALSE)="M",MD!$A$1,(IF(AND(VLOOKUP(A146,'HIDDEN import'!B:E,4,FALSE)="C",OR(NOT(ISERROR(VLOOKUP(E146,'Optional features'!B:E,1,FALSE)=E146)),NOT(ISERROR(VLOOKUP(E146,'HIDDEN calc sheet'!A:C,1,FALSE)=E146)))),MD!$A$3,MD!$A$2)))</f>
        <v>Mandatory for optional feature</v>
      </c>
      <c r="E146" t="str">
        <f>IF('HIDDEN import'!F145=0,"",'HIDDEN import'!F145)</f>
        <v>R-0</v>
      </c>
      <c r="F146" t="str">
        <f>IF('HIDDEN import'!G145=0,"",'HIDDEN import'!G145)</f>
        <v/>
      </c>
      <c r="G146" s="39" t="str">
        <f>IFERROR(VLOOKUP($A146,'HIDDEN Testrun Results'!$A:$B,2,FALSE),"")</f>
        <v/>
      </c>
      <c r="H146" s="39" t="b">
        <f t="shared" si="2"/>
        <v>0</v>
      </c>
      <c r="I146" s="39" t="b">
        <f>IF(VLOOKUP(A146&amp;" "&amp;B146,'HIDDEN import'!A:G,5,FALSE)="M",TRUE,IFERROR(VLOOKUP(E146,'Optional features'!B:E,3,FALSE)="Yes",IFERROR(VLOOKUP(E146,'HIDDEN calc sheet'!A:B,2,FALSE),VLOOKUP(E146,'Additional questions'!B:D,3,FALSE)="Yes")))</f>
        <v>0</v>
      </c>
      <c r="J146" t="b">
        <f>IF(VLOOKUP(B146,'Profile selection'!B:C,2,FALSE)="Yes",TRUE,FALSE)</f>
        <v>1</v>
      </c>
      <c r="K146" s="17" t="b">
        <f>IF(AND(D146=MD!$A$1,M146),TRUE,(IF(AND(D146=MD!$A$3,M146),(IF(L146=TRUE,TRUE,FALSE)),(IF(AND(D146=MD!$A$2,M146),(IF(N146=TRUE,TRUE,FALSE)),FALSE)))))</f>
        <v>0</v>
      </c>
      <c r="M146" t="b">
        <f>IF(VLOOKUP(B146,'Profile selection'!B:C,2,FALSE)="Yes",TRUE,FALSE)</f>
        <v>1</v>
      </c>
    </row>
    <row r="147" spans="1:13" x14ac:dyDescent="0.25">
      <c r="A147" t="str">
        <f>'HIDDEN import'!B146</f>
        <v>TC_H_19_CSMS</v>
      </c>
      <c r="B147" t="str">
        <f>'HIDDEN import'!C146</f>
        <v>Core</v>
      </c>
      <c r="C147" t="str">
        <f>'HIDDEN import'!D146</f>
        <v>Reserve a specific EVSE - Use a reserved EVSE with GroupId</v>
      </c>
      <c r="D147" t="str">
        <f>IF(VLOOKUP(A147&amp;" "&amp;B147,'HIDDEN import'!A:G,5,FALSE)="M",MD!$A$1,(IF(AND(VLOOKUP(A147,'HIDDEN import'!B:E,4,FALSE)="C",OR(NOT(ISERROR(VLOOKUP(E147,'Optional features'!B:E,1,FALSE)=E147)),NOT(ISERROR(VLOOKUP(E147,'HIDDEN calc sheet'!A:C,1,FALSE)=E147)))),MD!$A$3,MD!$A$2)))</f>
        <v>Mandatory for optional feature</v>
      </c>
      <c r="E147" t="str">
        <f>IF('HIDDEN import'!F146=0,"",'HIDDEN import'!F146)</f>
        <v>R-0</v>
      </c>
      <c r="F147" t="str">
        <f>IF('HIDDEN import'!G146=0,"",'HIDDEN import'!G146)</f>
        <v/>
      </c>
      <c r="G147" s="39" t="str">
        <f>IFERROR(VLOOKUP($A147,'HIDDEN Testrun Results'!$A:$B,2,FALSE),"")</f>
        <v/>
      </c>
      <c r="H147" s="39" t="b">
        <f t="shared" si="2"/>
        <v>0</v>
      </c>
      <c r="I147" s="39" t="b">
        <f>IF(VLOOKUP(A147&amp;" "&amp;B147,'HIDDEN import'!A:G,5,FALSE)="M",TRUE,IFERROR(VLOOKUP(E147,'Optional features'!B:E,3,FALSE)="Yes",IFERROR(VLOOKUP(E147,'HIDDEN calc sheet'!A:B,2,FALSE),VLOOKUP(E147,'Additional questions'!B:D,3,FALSE)="Yes")))</f>
        <v>0</v>
      </c>
      <c r="J147" t="b">
        <f>IF(VLOOKUP(B147,'Profile selection'!B:C,2,FALSE)="Yes",TRUE,FALSE)</f>
        <v>1</v>
      </c>
      <c r="K147" s="17" t="b">
        <f>IF(AND(D147=MD!$A$1,M147),TRUE,(IF(AND(D147=MD!$A$3,M147),(IF(L147=TRUE,TRUE,FALSE)),(IF(AND(D147=MD!$A$2,M147),(IF(N147=TRUE,TRUE,FALSE)),FALSE)))))</f>
        <v>0</v>
      </c>
      <c r="M147" t="b">
        <f>IF(VLOOKUP(B147,'Profile selection'!B:C,2,FALSE)="Yes",TRUE,FALSE)</f>
        <v>1</v>
      </c>
    </row>
    <row r="148" spans="1:13" x14ac:dyDescent="0.25">
      <c r="A148" t="str">
        <f>'HIDDEN import'!B147</f>
        <v>TC_H_08_CSMS</v>
      </c>
      <c r="B148" t="str">
        <f>'HIDDEN import'!C147</f>
        <v>Core</v>
      </c>
      <c r="C148" t="str">
        <f>'HIDDEN import'!D147</f>
        <v>Reserve an unspecified EVSE - Accepted</v>
      </c>
      <c r="D148" t="str">
        <f>IF(VLOOKUP(A148&amp;" "&amp;B148,'HIDDEN import'!A:G,5,FALSE)="M",MD!$A$1,(IF(AND(VLOOKUP(A148,'HIDDEN import'!B:E,4,FALSE)="C",OR(NOT(ISERROR(VLOOKUP(E148,'Optional features'!B:E,1,FALSE)=E148)),NOT(ISERROR(VLOOKUP(E148,'HIDDEN calc sheet'!A:C,1,FALSE)=E148)))),MD!$A$3,MD!$A$2)))</f>
        <v>Mandatory for optional feature</v>
      </c>
      <c r="E148" t="str">
        <f>IF('HIDDEN import'!F147=0,"",'HIDDEN import'!F147)</f>
        <v>R-0 and R-2</v>
      </c>
      <c r="F148" t="str">
        <f>IF('HIDDEN import'!G147=0,"",'HIDDEN import'!G147)</f>
        <v>Support reservations of unspecified EVSE</v>
      </c>
      <c r="G148" s="39" t="str">
        <f>IFERROR(VLOOKUP($A148,'HIDDEN Testrun Results'!$A:$B,2,FALSE),"")</f>
        <v/>
      </c>
      <c r="H148" s="39" t="b">
        <f t="shared" si="2"/>
        <v>0</v>
      </c>
      <c r="I148" s="39" t="b">
        <f>IF(VLOOKUP(A148&amp;" "&amp;B148,'HIDDEN import'!A:G,5,FALSE)="M",TRUE,IFERROR(VLOOKUP(E148,'Optional features'!B:E,3,FALSE)="Yes",IFERROR(VLOOKUP(E148,'HIDDEN calc sheet'!A:B,2,FALSE),VLOOKUP(E148,'Additional questions'!B:D,3,FALSE)="Yes")))</f>
        <v>0</v>
      </c>
      <c r="J148" t="b">
        <f>IF(VLOOKUP(B148,'Profile selection'!B:C,2,FALSE)="Yes",TRUE,FALSE)</f>
        <v>1</v>
      </c>
      <c r="K148" s="17" t="b">
        <f>IF(AND(D148=MD!$A$1,M148),TRUE,(IF(AND(D148=MD!$A$3,M148),(IF(L148=TRUE,TRUE,FALSE)),(IF(AND(D148=MD!$A$2,M148),(IF(N148=TRUE,TRUE,FALSE)),FALSE)))))</f>
        <v>0</v>
      </c>
      <c r="L148" t="b">
        <f>IF(ISNA(VLOOKUP(E148,'Optional features'!B:D,3,FALSE)),FALSE,IF(VLOOKUP(E148,'Optional features'!B:D,3,FALSE)="Yes",TRUE,FALSE))</f>
        <v>0</v>
      </c>
      <c r="M148" t="b">
        <f>IF(VLOOKUP(B148,'Profile selection'!B:C,2,FALSE)="Yes",TRUE,FALSE)</f>
        <v>1</v>
      </c>
    </row>
    <row r="149" spans="1:13" x14ac:dyDescent="0.25">
      <c r="A149" t="str">
        <f>'HIDDEN import'!B148</f>
        <v>TC_H_14_CSMS</v>
      </c>
      <c r="B149" t="str">
        <f>'HIDDEN import'!C148</f>
        <v>Core</v>
      </c>
      <c r="C149" t="str">
        <f>'HIDDEN import'!D148</f>
        <v>Reserve an unspecified EVSE - Amount of EVSEs available equals the amount of reservations</v>
      </c>
      <c r="D149" t="str">
        <f>IF(VLOOKUP(A149&amp;" "&amp;B149,'HIDDEN import'!A:G,5,FALSE)="M",MD!$A$1,(IF(AND(VLOOKUP(A149,'HIDDEN import'!B:E,4,FALSE)="C",OR(NOT(ISERROR(VLOOKUP(E149,'Optional features'!B:E,1,FALSE)=E149)),NOT(ISERROR(VLOOKUP(E149,'HIDDEN calc sheet'!A:C,1,FALSE)=E149)))),MD!$A$3,MD!$A$2)))</f>
        <v>Mandatory for optional feature</v>
      </c>
      <c r="E149" t="str">
        <f>IF('HIDDEN import'!F148=0,"",'HIDDEN import'!F148)</f>
        <v>R-0 and R-2</v>
      </c>
      <c r="F149" t="str">
        <f>IF('HIDDEN import'!G148=0,"",'HIDDEN import'!G148)</f>
        <v>Support reservations of unspecified EVSE</v>
      </c>
      <c r="G149" s="39" t="str">
        <f>IFERROR(VLOOKUP($A149,'HIDDEN Testrun Results'!$A:$B,2,FALSE),"")</f>
        <v/>
      </c>
      <c r="H149" s="39" t="b">
        <f t="shared" si="2"/>
        <v>0</v>
      </c>
      <c r="I149" s="39" t="b">
        <f>IF(VLOOKUP(A149&amp;" "&amp;B149,'HIDDEN import'!A:G,5,FALSE)="M",TRUE,IFERROR(VLOOKUP(E149,'Optional features'!B:E,3,FALSE)="Yes",IFERROR(VLOOKUP(E149,'HIDDEN calc sheet'!A:B,2,FALSE),VLOOKUP(E149,'Additional questions'!B:D,3,FALSE)="Yes")))</f>
        <v>0</v>
      </c>
      <c r="J149" t="b">
        <f>IF(VLOOKUP(B149,'Profile selection'!B:C,2,FALSE)="Yes",TRUE,FALSE)</f>
        <v>1</v>
      </c>
      <c r="K149" s="17" t="b">
        <f>IF(AND(D149=MD!$A$1,M149),TRUE,(IF(AND(D149=MD!$A$3,M149),(IF(L149=TRUE,TRUE,FALSE)),(IF(AND(D149=MD!$A$2,M149),(IF(N149=TRUE,TRUE,FALSE)),FALSE)))))</f>
        <v>0</v>
      </c>
      <c r="M149" t="b">
        <f>IF(VLOOKUP(B149,'Profile selection'!B:C,2,FALSE)="Yes",TRUE,FALSE)</f>
        <v>1</v>
      </c>
    </row>
    <row r="150" spans="1:13" x14ac:dyDescent="0.25">
      <c r="A150" t="str">
        <f>'HIDDEN import'!B149</f>
        <v>TC_H_15_CSMS</v>
      </c>
      <c r="B150" t="str">
        <f>'HIDDEN import'!C149</f>
        <v>Core</v>
      </c>
      <c r="C150" t="str">
        <f>'HIDDEN import'!D149</f>
        <v>Reserve a connector with a specific type - Success</v>
      </c>
      <c r="D150" t="str">
        <f>IF(VLOOKUP(A150&amp;" "&amp;B150,'HIDDEN import'!A:G,5,FALSE)="M",MD!$A$1,(IF(AND(VLOOKUP(A150,'HIDDEN import'!B:E,4,FALSE)="C",OR(NOT(ISERROR(VLOOKUP(E150,'Optional features'!B:E,1,FALSE)=E150)),NOT(ISERROR(VLOOKUP(E150,'HIDDEN calc sheet'!A:C,1,FALSE)=E150)))),MD!$A$3,MD!$A$2)))</f>
        <v>Mandatory for optional feature</v>
      </c>
      <c r="E150" t="str">
        <f>IF('HIDDEN import'!F149=0,"",'HIDDEN import'!F149)</f>
        <v>R-0 and R-1</v>
      </c>
      <c r="F150" t="str">
        <f>IF('HIDDEN import'!G149=0,"",'HIDDEN import'!G149)</f>
        <v>Support reservations of connectorType</v>
      </c>
      <c r="G150" s="39" t="str">
        <f>IFERROR(VLOOKUP($A150,'HIDDEN Testrun Results'!$A:$B,2,FALSE),"")</f>
        <v/>
      </c>
      <c r="H150" s="39" t="b">
        <f t="shared" si="2"/>
        <v>0</v>
      </c>
      <c r="I150" s="39" t="b">
        <f>IF(VLOOKUP(A150&amp;" "&amp;B150,'HIDDEN import'!A:G,5,FALSE)="M",TRUE,IFERROR(VLOOKUP(E150,'Optional features'!B:E,3,FALSE)="Yes",IFERROR(VLOOKUP(E150,'HIDDEN calc sheet'!A:B,2,FALSE),VLOOKUP(E150,'Additional questions'!B:D,3,FALSE)="Yes")))</f>
        <v>0</v>
      </c>
      <c r="J150" t="b">
        <f>IF(VLOOKUP(B150,'Profile selection'!B:C,2,FALSE)="Yes",TRUE,FALSE)</f>
        <v>1</v>
      </c>
      <c r="K150" s="17" t="b">
        <f>IF(AND(D150=MD!$A$1,M150),TRUE,(IF(AND(D150=MD!$A$3,M150),(IF(L150=TRUE,TRUE,FALSE)),(IF(AND(D150=MD!$A$2,M150),(IF(N150=TRUE,TRUE,FALSE)),FALSE)))))</f>
        <v>0</v>
      </c>
      <c r="M150" t="b">
        <f>IF(VLOOKUP(B150,'Profile selection'!B:C,2,FALSE)="Yes",TRUE,FALSE)</f>
        <v>1</v>
      </c>
    </row>
    <row r="151" spans="1:13" x14ac:dyDescent="0.25">
      <c r="A151" t="str">
        <f>'HIDDEN import'!B150</f>
        <v>TC_H_17_CSMS</v>
      </c>
      <c r="B151" t="str">
        <f>'HIDDEN import'!C150</f>
        <v>Core</v>
      </c>
      <c r="C151" t="str">
        <f>'HIDDEN import'!D150</f>
        <v>Cancel reservation of an EVSE - Success</v>
      </c>
      <c r="D151" t="str">
        <f>IF(VLOOKUP(A151&amp;" "&amp;B151,'HIDDEN import'!A:G,5,FALSE)="M",MD!$A$1,(IF(AND(VLOOKUP(A151,'HIDDEN import'!B:E,4,FALSE)="C",OR(NOT(ISERROR(VLOOKUP(E151,'Optional features'!B:E,1,FALSE)=E151)),NOT(ISERROR(VLOOKUP(E151,'HIDDEN calc sheet'!A:C,1,FALSE)=E151)))),MD!$A$3,MD!$A$2)))</f>
        <v>Mandatory for optional feature</v>
      </c>
      <c r="E151" t="str">
        <f>IF('HIDDEN import'!F150=0,"",'HIDDEN import'!F150)</f>
        <v>R-0</v>
      </c>
      <c r="F151" t="str">
        <f>IF('HIDDEN import'!G150=0,"",'HIDDEN import'!G150)</f>
        <v/>
      </c>
      <c r="G151" s="39" t="str">
        <f>IFERROR(VLOOKUP($A151,'HIDDEN Testrun Results'!$A:$B,2,FALSE),"")</f>
        <v/>
      </c>
      <c r="H151" s="39" t="b">
        <f t="shared" si="2"/>
        <v>0</v>
      </c>
      <c r="I151" s="39" t="b">
        <f>IF(VLOOKUP(A151&amp;" "&amp;B151,'HIDDEN import'!A:G,5,FALSE)="M",TRUE,IFERROR(VLOOKUP(E151,'Optional features'!B:E,3,FALSE)="Yes",IFERROR(VLOOKUP(E151,'HIDDEN calc sheet'!A:B,2,FALSE),VLOOKUP(E151,'Additional questions'!B:D,3,FALSE)="Yes")))</f>
        <v>0</v>
      </c>
      <c r="J151" t="b">
        <f>IF(VLOOKUP(B151,'Profile selection'!B:C,2,FALSE)="Yes",TRUE,FALSE)</f>
        <v>1</v>
      </c>
      <c r="K151" s="17" t="b">
        <f>IF(AND(D151=MD!$A$1,M151),TRUE,(IF(AND(D151=MD!$A$3,M151),(IF(L151=TRUE,TRUE,FALSE)),(IF(AND(D151=MD!$A$2,M151),(IF(N151=TRUE,TRUE,FALSE)),FALSE)))))</f>
        <v>0</v>
      </c>
      <c r="M151" t="b">
        <f>IF(VLOOKUP(B151,'Profile selection'!B:C,2,FALSE)="Yes",TRUE,FALSE)</f>
        <v>1</v>
      </c>
    </row>
    <row r="152" spans="1:13" x14ac:dyDescent="0.25">
      <c r="A152" t="str">
        <f>'HIDDEN import'!B151</f>
        <v>TC_H_20_CSMS</v>
      </c>
      <c r="B152" t="str">
        <f>'HIDDEN import'!C151</f>
        <v>Core</v>
      </c>
      <c r="C152" t="str">
        <f>'HIDDEN import'!D151</f>
        <v>Cancel reservation of an EVSE - Charging Station cancels reservation when Faulted</v>
      </c>
      <c r="D152" t="str">
        <f>IF(VLOOKUP(A152&amp;" "&amp;B152,'HIDDEN import'!A:G,5,FALSE)="M",MD!$A$1,(IF(AND(VLOOKUP(A152,'HIDDEN import'!B:E,4,FALSE)="C",OR(NOT(ISERROR(VLOOKUP(E152,'Optional features'!B:E,1,FALSE)=E152)),NOT(ISERROR(VLOOKUP(E152,'HIDDEN calc sheet'!A:C,1,FALSE)=E152)))),MD!$A$3,MD!$A$2)))</f>
        <v>Mandatory for optional feature</v>
      </c>
      <c r="E152" t="str">
        <f>IF('HIDDEN import'!F151=0,"",'HIDDEN import'!F151)</f>
        <v>R-0</v>
      </c>
      <c r="F152" t="str">
        <f>IF('HIDDEN import'!G151=0,"",'HIDDEN import'!G151)</f>
        <v/>
      </c>
      <c r="G152" s="39" t="str">
        <f>IFERROR(VLOOKUP($A152,'HIDDEN Testrun Results'!$A:$B,2,FALSE),"")</f>
        <v/>
      </c>
      <c r="H152" s="39" t="b">
        <f t="shared" si="2"/>
        <v>0</v>
      </c>
      <c r="I152" s="39" t="b">
        <f>IF(VLOOKUP(A152&amp;" "&amp;B152,'HIDDEN import'!A:G,5,FALSE)="M",TRUE,IFERROR(VLOOKUP(E152,'Optional features'!B:E,3,FALSE)="Yes",IFERROR(VLOOKUP(E152,'HIDDEN calc sheet'!A:B,2,FALSE),VLOOKUP(E152,'Additional questions'!B:D,3,FALSE)="Yes")))</f>
        <v>0</v>
      </c>
      <c r="J152" t="b">
        <f>IF(VLOOKUP(B152,'Profile selection'!B:C,2,FALSE)="Yes",TRUE,FALSE)</f>
        <v>1</v>
      </c>
      <c r="K152" s="17" t="b">
        <f>IF(AND(D152=MD!$A$1,M152),TRUE,(IF(AND(D152=MD!$A$3,M152),(IF(L152=TRUE,TRUE,FALSE)),(IF(AND(D152=MD!$A$2,M152),(IF(N152=TRUE,TRUE,FALSE)),FALSE)))))</f>
        <v>0</v>
      </c>
      <c r="M152" t="b">
        <f>IF(VLOOKUP(B152,'Profile selection'!B:C,2,FALSE)="Yes",TRUE,FALSE)</f>
        <v>1</v>
      </c>
    </row>
    <row r="153" spans="1:13" x14ac:dyDescent="0.25">
      <c r="A153" t="str">
        <f>'HIDDEN import'!B152</f>
        <v>TC_B_18_CSMS</v>
      </c>
      <c r="B153" t="str">
        <f>'HIDDEN import'!C152</f>
        <v>Core</v>
      </c>
      <c r="C153" t="str">
        <f>'HIDDEN import'!D152</f>
        <v>Get Custom Report - with componentCriteria and component/variables</v>
      </c>
      <c r="D153" t="str">
        <f>IF(VLOOKUP(A153&amp;" "&amp;B153,'HIDDEN import'!A:G,5,FALSE)="M",MD!$A$1,(IF(AND(VLOOKUP(A153,'HIDDEN import'!B:E,4,FALSE)="C",OR(NOT(ISERROR(VLOOKUP(E153,'Optional features'!B:E,1,FALSE)=E153)),NOT(ISERROR(VLOOKUP(E153,'HIDDEN calc sheet'!A:C,1,FALSE)=E153)))),MD!$A$3,MD!$A$2)))</f>
        <v>Mandatory for optional feature</v>
      </c>
      <c r="E153" t="str">
        <f>IF('HIDDEN import'!F152=0,"",'HIDDEN import'!F152)</f>
        <v>DM-0</v>
      </c>
      <c r="F153" t="str">
        <f>IF('HIDDEN import'!G152=0,"",'HIDDEN import'!G152)</f>
        <v/>
      </c>
      <c r="G153" s="39" t="str">
        <f>IFERROR(VLOOKUP($A153,'HIDDEN Testrun Results'!$A:$B,2,FALSE),"")</f>
        <v/>
      </c>
      <c r="H153" s="39" t="b">
        <f t="shared" si="2"/>
        <v>0</v>
      </c>
      <c r="I153" s="39" t="b">
        <f>IF(VLOOKUP(A153&amp;" "&amp;B153,'HIDDEN import'!A:G,5,FALSE)="M",TRUE,IFERROR(VLOOKUP(E153,'Optional features'!B:E,3,FALSE)="Yes",IFERROR(VLOOKUP(E153,'HIDDEN calc sheet'!A:B,2,FALSE),VLOOKUP(E153,'Additional questions'!B:D,3,FALSE)="Yes")))</f>
        <v>0</v>
      </c>
      <c r="J153" t="b">
        <f>IF(VLOOKUP(B153,'Profile selection'!B:C,2,FALSE)="Yes",TRUE,FALSE)</f>
        <v>1</v>
      </c>
      <c r="K153" s="17" t="b">
        <f>IF(AND(D153=MD!$A$1,M153),TRUE,(IF(AND(D153=MD!$A$3,M153),(IF(L153=TRUE,TRUE,FALSE)),(IF(AND(D153=MD!$A$2,M153),(IF(N153=TRUE,TRUE,FALSE)),FALSE)))))</f>
        <v>0</v>
      </c>
      <c r="M153" t="b">
        <f>IF(VLOOKUP(B153,'Profile selection'!B:C,2,FALSE)="Yes",TRUE,FALSE)</f>
        <v>1</v>
      </c>
    </row>
    <row r="154" spans="1:13" x14ac:dyDescent="0.25">
      <c r="A154" t="str">
        <f>'HIDDEN import'!B153</f>
        <v>TC_N_01_CSMS</v>
      </c>
      <c r="B154" t="str">
        <f>'HIDDEN import'!C153</f>
        <v>Core</v>
      </c>
      <c r="C154" t="str">
        <f>'HIDDEN import'!D153</f>
        <v>Get Monitoring Report - with monitoringCriteria</v>
      </c>
      <c r="D154" t="str">
        <f>IF(VLOOKUP(A154&amp;" "&amp;B154,'HIDDEN import'!A:G,5,FALSE)="M",MD!$A$1,(IF(AND(VLOOKUP(A154,'HIDDEN import'!B:E,4,FALSE)="C",OR(NOT(ISERROR(VLOOKUP(E154,'Optional features'!B:E,1,FALSE)=E154)),NOT(ISERROR(VLOOKUP(E154,'HIDDEN calc sheet'!A:C,1,FALSE)=E154)))),MD!$A$3,MD!$A$2)))</f>
        <v>Mandatory for optional feature</v>
      </c>
      <c r="E154" t="str">
        <f>IF('HIDDEN import'!F153=0,"",'HIDDEN import'!F153)</f>
        <v>DM-0</v>
      </c>
      <c r="F154" t="str">
        <f>IF('HIDDEN import'!G153=0,"",'HIDDEN import'!G153)</f>
        <v/>
      </c>
      <c r="G154" s="39" t="str">
        <f>IFERROR(VLOOKUP($A154,'HIDDEN Testrun Results'!$A:$B,2,FALSE),"")</f>
        <v/>
      </c>
      <c r="H154" s="39" t="b">
        <f t="shared" si="2"/>
        <v>0</v>
      </c>
      <c r="I154" s="39" t="b">
        <f>IF(VLOOKUP(A154&amp;" "&amp;B154,'HIDDEN import'!A:G,5,FALSE)="M",TRUE,IFERROR(VLOOKUP(E154,'Optional features'!B:E,3,FALSE)="Yes",IFERROR(VLOOKUP(E154,'HIDDEN calc sheet'!A:B,2,FALSE),VLOOKUP(E154,'Additional questions'!B:D,3,FALSE)="Yes")))</f>
        <v>0</v>
      </c>
      <c r="J154" t="b">
        <f>IF(VLOOKUP(B154,'Profile selection'!B:C,2,FALSE)="Yes",TRUE,FALSE)</f>
        <v>1</v>
      </c>
      <c r="K154" s="17" t="b">
        <f>IF(AND(D154=MD!$A$1,M154),TRUE,(IF(AND(D154=MD!$A$3,M154),(IF(L154=TRUE,TRUE,FALSE)),(IF(AND(D154=MD!$A$2,M154),(IF(N154=TRUE,TRUE,FALSE)),FALSE)))))</f>
        <v>0</v>
      </c>
      <c r="M154" t="b">
        <f>IF(VLOOKUP(B154,'Profile selection'!B:C,2,FALSE)="Yes",TRUE,FALSE)</f>
        <v>1</v>
      </c>
    </row>
    <row r="155" spans="1:13" x14ac:dyDescent="0.25">
      <c r="A155" t="str">
        <f>'HIDDEN import'!B154</f>
        <v>TC_N_02_CSMS</v>
      </c>
      <c r="B155" t="str">
        <f>'HIDDEN import'!C154</f>
        <v>Core</v>
      </c>
      <c r="C155" t="str">
        <f>'HIDDEN import'!D154</f>
        <v>Get Monitoring Report - with component/variable</v>
      </c>
      <c r="D155" t="str">
        <f>IF(VLOOKUP(A155&amp;" "&amp;B155,'HIDDEN import'!A:G,5,FALSE)="M",MD!$A$1,(IF(AND(VLOOKUP(A155,'HIDDEN import'!B:E,4,FALSE)="C",OR(NOT(ISERROR(VLOOKUP(E155,'Optional features'!B:E,1,FALSE)=E155)),NOT(ISERROR(VLOOKUP(E155,'HIDDEN calc sheet'!A:C,1,FALSE)=E155)))),MD!$A$3,MD!$A$2)))</f>
        <v>Mandatory for optional feature</v>
      </c>
      <c r="E155" t="str">
        <f>IF('HIDDEN import'!F154=0,"",'HIDDEN import'!F154)</f>
        <v>DM-0</v>
      </c>
      <c r="F155" t="str">
        <f>IF('HIDDEN import'!G154=0,"",'HIDDEN import'!G154)</f>
        <v/>
      </c>
      <c r="G155" s="39" t="str">
        <f>IFERROR(VLOOKUP($A155,'HIDDEN Testrun Results'!$A:$B,2,FALSE),"")</f>
        <v/>
      </c>
      <c r="H155" s="39" t="b">
        <f t="shared" si="2"/>
        <v>0</v>
      </c>
      <c r="I155" s="39" t="b">
        <f>IF(VLOOKUP(A155&amp;" "&amp;B155,'HIDDEN import'!A:G,5,FALSE)="M",TRUE,IFERROR(VLOOKUP(E155,'Optional features'!B:E,3,FALSE)="Yes",IFERROR(VLOOKUP(E155,'HIDDEN calc sheet'!A:B,2,FALSE),VLOOKUP(E155,'Additional questions'!B:D,3,FALSE)="Yes")))</f>
        <v>0</v>
      </c>
      <c r="J155" t="b">
        <f>IF(VLOOKUP(B155,'Profile selection'!B:C,2,FALSE)="Yes",TRUE,FALSE)</f>
        <v>1</v>
      </c>
      <c r="K155" s="17" t="b">
        <f>IF(AND(D155=MD!$A$1,M155),TRUE,(IF(AND(D155=MD!$A$3,M155),(IF(L155=TRUE,TRUE,FALSE)),(IF(AND(D155=MD!$A$2,M155),(IF(N155=TRUE,TRUE,FALSE)),FALSE)))))</f>
        <v>0</v>
      </c>
      <c r="M155" t="b">
        <f>IF(VLOOKUP(B155,'Profile selection'!B:C,2,FALSE)="Yes",TRUE,FALSE)</f>
        <v>1</v>
      </c>
    </row>
    <row r="156" spans="1:13" x14ac:dyDescent="0.25">
      <c r="A156" t="str">
        <f>'HIDDEN import'!B155</f>
        <v>TC_N_03_CSMS</v>
      </c>
      <c r="B156" t="str">
        <f>'HIDDEN import'!C155</f>
        <v>Core</v>
      </c>
      <c r="C156" t="str">
        <f>'HIDDEN import'!D155</f>
        <v>Get Monitoring Report - with component criteria and component/variable</v>
      </c>
      <c r="D156" t="str">
        <f>IF(VLOOKUP(A156&amp;" "&amp;B156,'HIDDEN import'!A:G,5,FALSE)="M",MD!$A$1,(IF(AND(VLOOKUP(A156,'HIDDEN import'!B:E,4,FALSE)="C",OR(NOT(ISERROR(VLOOKUP(E156,'Optional features'!B:E,1,FALSE)=E156)),NOT(ISERROR(VLOOKUP(E156,'HIDDEN calc sheet'!A:C,1,FALSE)=E156)))),MD!$A$3,MD!$A$2)))</f>
        <v>Mandatory for optional feature</v>
      </c>
      <c r="E156" t="str">
        <f>IF('HIDDEN import'!F155=0,"",'HIDDEN import'!F155)</f>
        <v>DM-0</v>
      </c>
      <c r="F156" t="str">
        <f>IF('HIDDEN import'!G155=0,"",'HIDDEN import'!G155)</f>
        <v/>
      </c>
      <c r="G156" s="39" t="str">
        <f>IFERROR(VLOOKUP($A156,'HIDDEN Testrun Results'!$A:$B,2,FALSE),"")</f>
        <v/>
      </c>
      <c r="H156" s="39" t="b">
        <f t="shared" si="2"/>
        <v>0</v>
      </c>
      <c r="I156" s="39" t="b">
        <f>IF(VLOOKUP(A156&amp;" "&amp;B156,'HIDDEN import'!A:G,5,FALSE)="M",TRUE,IFERROR(VLOOKUP(E156,'Optional features'!B:E,3,FALSE)="Yes",IFERROR(VLOOKUP(E156,'HIDDEN calc sheet'!A:B,2,FALSE),VLOOKUP(E156,'Additional questions'!B:D,3,FALSE)="Yes")))</f>
        <v>0</v>
      </c>
      <c r="J156" t="b">
        <f>IF(VLOOKUP(B156,'Profile selection'!B:C,2,FALSE)="Yes",TRUE,FALSE)</f>
        <v>1</v>
      </c>
      <c r="K156" s="17" t="b">
        <f>IF(AND(D156=MD!$A$1,M156),TRUE,(IF(AND(D156=MD!$A$3,M156),(IF(L156=TRUE,TRUE,FALSE)),(IF(AND(D156=MD!$A$2,M156),(IF(N156=TRUE,TRUE,FALSE)),FALSE)))))</f>
        <v>0</v>
      </c>
      <c r="M156" t="b">
        <f>IF(VLOOKUP(B156,'Profile selection'!B:C,2,FALSE)="Yes",TRUE,FALSE)</f>
        <v>1</v>
      </c>
    </row>
    <row r="157" spans="1:13" x14ac:dyDescent="0.25">
      <c r="A157" t="str">
        <f>'HIDDEN import'!B156</f>
        <v>TC_N_47_CSMS</v>
      </c>
      <c r="B157" t="str">
        <f>'HIDDEN import'!C156</f>
        <v>Core</v>
      </c>
      <c r="C157" t="str">
        <f>'HIDDEN import'!D156</f>
        <v>Get Monitoring Report - Report all</v>
      </c>
      <c r="D157" t="str">
        <f>IF(VLOOKUP(A157&amp;" "&amp;B157,'HIDDEN import'!A:G,5,FALSE)="M",MD!$A$1,(IF(AND(VLOOKUP(A157,'HIDDEN import'!B:E,4,FALSE)="C",OR(NOT(ISERROR(VLOOKUP(E157,'Optional features'!B:E,1,FALSE)=E157)),NOT(ISERROR(VLOOKUP(E157,'HIDDEN calc sheet'!A:C,1,FALSE)=E157)))),MD!$A$3,MD!$A$2)))</f>
        <v>Mandatory for optional feature</v>
      </c>
      <c r="E157" t="str">
        <f>IF('HIDDEN import'!F156=0,"",'HIDDEN import'!F156)</f>
        <v>DM-0</v>
      </c>
      <c r="F157" t="str">
        <f>IF('HIDDEN import'!G156=0,"",'HIDDEN import'!G156)</f>
        <v/>
      </c>
      <c r="G157" s="39" t="str">
        <f>IFERROR(VLOOKUP($A157,'HIDDEN Testrun Results'!$A:$B,2,FALSE),"")</f>
        <v/>
      </c>
      <c r="H157" s="39" t="b">
        <f t="shared" si="2"/>
        <v>0</v>
      </c>
      <c r="I157" s="39" t="b">
        <f>IF(VLOOKUP(A157&amp;" "&amp;B157,'HIDDEN import'!A:G,5,FALSE)="M",TRUE,IFERROR(VLOOKUP(E157,'Optional features'!B:E,3,FALSE)="Yes",IFERROR(VLOOKUP(E157,'HIDDEN calc sheet'!A:B,2,FALSE),VLOOKUP(E157,'Additional questions'!B:D,3,FALSE)="Yes")))</f>
        <v>0</v>
      </c>
      <c r="J157" t="b">
        <f>IF(VLOOKUP(B157,'Profile selection'!B:C,2,FALSE)="Yes",TRUE,FALSE)</f>
        <v>1</v>
      </c>
      <c r="K157" s="17" t="b">
        <f>IF(AND(D157=MD!$A$1,M157),TRUE,(IF(AND(D157=MD!$A$3,M157),(IF(L157=TRUE,TRUE,FALSE)),(IF(AND(D157=MD!$A$2,M157),(IF(N157=TRUE,TRUE,FALSE)),FALSE)))))</f>
        <v>0</v>
      </c>
      <c r="M157" t="b">
        <f>IF(VLOOKUP(B157,'Profile selection'!B:C,2,FALSE)="Yes",TRUE,FALSE)</f>
        <v>1</v>
      </c>
    </row>
    <row r="158" spans="1:13" x14ac:dyDescent="0.25">
      <c r="A158" t="str">
        <f>'HIDDEN import'!B157</f>
        <v>TC_N_60_CSMS</v>
      </c>
      <c r="B158" t="str">
        <f>'HIDDEN import'!C157</f>
        <v>Core</v>
      </c>
      <c r="C158" t="str">
        <f>'HIDDEN import'!D157</f>
        <v>Get Monitoring Report - with component criteria and list of components/variables</v>
      </c>
      <c r="D158" t="str">
        <f>IF(VLOOKUP(A158&amp;" "&amp;B158,'HIDDEN import'!A:G,5,FALSE)="M",MD!$A$1,(IF(AND(VLOOKUP(A158,'HIDDEN import'!B:E,4,FALSE)="C",OR(NOT(ISERROR(VLOOKUP(E158,'Optional features'!B:E,1,FALSE)=E158)),NOT(ISERROR(VLOOKUP(E158,'HIDDEN calc sheet'!A:C,1,FALSE)=E158)))),MD!$A$3,MD!$A$2)))</f>
        <v>Mandatory for optional feature</v>
      </c>
      <c r="E158" t="str">
        <f>IF('HIDDEN import'!F157=0,"",'HIDDEN import'!F157)</f>
        <v>DM-0</v>
      </c>
      <c r="F158" t="str">
        <f>IF('HIDDEN import'!G157=0,"",'HIDDEN import'!G157)</f>
        <v/>
      </c>
      <c r="G158" s="39" t="str">
        <f>IFERROR(VLOOKUP($A158,'HIDDEN Testrun Results'!$A:$B,2,FALSE),"")</f>
        <v/>
      </c>
      <c r="H158" s="39" t="b">
        <f t="shared" si="2"/>
        <v>0</v>
      </c>
      <c r="I158" s="39" t="b">
        <f>IF(VLOOKUP(A158&amp;" "&amp;B158,'HIDDEN import'!A:G,5,FALSE)="M",TRUE,IFERROR(VLOOKUP(E158,'Optional features'!B:E,3,FALSE)="Yes",IFERROR(VLOOKUP(E158,'HIDDEN calc sheet'!A:B,2,FALSE),VLOOKUP(E158,'Additional questions'!B:D,3,FALSE)="Yes")))</f>
        <v>0</v>
      </c>
      <c r="J158" t="b">
        <f>IF(VLOOKUP(B158,'Profile selection'!B:C,2,FALSE)="Yes",TRUE,FALSE)</f>
        <v>1</v>
      </c>
      <c r="K158" s="17" t="b">
        <f>IF(AND(D158=MD!$A$1,M158),TRUE,(IF(AND(D158=MD!$A$3,M158),(IF(L158=TRUE,TRUE,FALSE)),(IF(AND(D158=MD!$A$2,M158),(IF(N158=TRUE,TRUE,FALSE)),FALSE)))))</f>
        <v>0</v>
      </c>
      <c r="M158" t="b">
        <f>IF(VLOOKUP(B158,'Profile selection'!B:C,2,FALSE)="Yes",TRUE,FALSE)</f>
        <v>1</v>
      </c>
    </row>
    <row r="159" spans="1:13" x14ac:dyDescent="0.25">
      <c r="A159" t="str">
        <f>'HIDDEN import'!B158</f>
        <v>TC_N_05_CSMS</v>
      </c>
      <c r="B159" t="str">
        <f>'HIDDEN import'!C158</f>
        <v>Core</v>
      </c>
      <c r="C159" t="str">
        <f>'HIDDEN import'!D158</f>
        <v>Set Monitoring Base - success</v>
      </c>
      <c r="D159" t="str">
        <f>IF(VLOOKUP(A159&amp;" "&amp;B159,'HIDDEN import'!A:G,5,FALSE)="M",MD!$A$1,(IF(AND(VLOOKUP(A159,'HIDDEN import'!B:E,4,FALSE)="C",OR(NOT(ISERROR(VLOOKUP(E159,'Optional features'!B:E,1,FALSE)=E159)),NOT(ISERROR(VLOOKUP(E159,'HIDDEN calc sheet'!A:C,1,FALSE)=E159)))),MD!$A$3,MD!$A$2)))</f>
        <v>Mandatory for optional feature</v>
      </c>
      <c r="E159" t="str">
        <f>IF('HIDDEN import'!F158=0,"",'HIDDEN import'!F158)</f>
        <v>DM-0</v>
      </c>
      <c r="F159" t="str">
        <f>IF('HIDDEN import'!G158=0,"",'HIDDEN import'!G158)</f>
        <v/>
      </c>
      <c r="G159" s="39" t="str">
        <f>IFERROR(VLOOKUP($A159,'HIDDEN Testrun Results'!$A:$B,2,FALSE),"")</f>
        <v/>
      </c>
      <c r="H159" s="39" t="b">
        <f t="shared" si="2"/>
        <v>0</v>
      </c>
      <c r="I159" s="39" t="b">
        <f>IF(VLOOKUP(A159&amp;" "&amp;B159,'HIDDEN import'!A:G,5,FALSE)="M",TRUE,IFERROR(VLOOKUP(E159,'Optional features'!B:E,3,FALSE)="Yes",IFERROR(VLOOKUP(E159,'HIDDEN calc sheet'!A:B,2,FALSE),VLOOKUP(E159,'Additional questions'!B:D,3,FALSE)="Yes")))</f>
        <v>0</v>
      </c>
      <c r="J159" t="b">
        <f>IF(VLOOKUP(B159,'Profile selection'!B:C,2,FALSE)="Yes",TRUE,FALSE)</f>
        <v>1</v>
      </c>
      <c r="K159" s="17" t="b">
        <f>IF(AND(D159=MD!$A$1,M159),TRUE,(IF(AND(D159=MD!$A$3,M159),(IF(L159=TRUE,TRUE,FALSE)),(IF(AND(D159=MD!$A$2,M159),(IF(N159=TRUE,TRUE,FALSE)),FALSE)))))</f>
        <v>0</v>
      </c>
      <c r="M159" t="b">
        <f>IF(VLOOKUP(B159,'Profile selection'!B:C,2,FALSE)="Yes",TRUE,FALSE)</f>
        <v>1</v>
      </c>
    </row>
    <row r="160" spans="1:13" x14ac:dyDescent="0.25">
      <c r="A160" t="str">
        <f>'HIDDEN import'!B159</f>
        <v>TC_N_08_CSMS</v>
      </c>
      <c r="B160" t="str">
        <f>'HIDDEN import'!C159</f>
        <v>Core</v>
      </c>
      <c r="C160" t="str">
        <f>'HIDDEN import'!D159</f>
        <v>Set Variable Monitoring - One SetMonitoringData element</v>
      </c>
      <c r="D160" t="str">
        <f>IF(VLOOKUP(A160&amp;" "&amp;B160,'HIDDEN import'!A:G,5,FALSE)="M",MD!$A$1,(IF(AND(VLOOKUP(A160,'HIDDEN import'!B:E,4,FALSE)="C",OR(NOT(ISERROR(VLOOKUP(E160,'Optional features'!B:E,1,FALSE)=E160)),NOT(ISERROR(VLOOKUP(E160,'HIDDEN calc sheet'!A:C,1,FALSE)=E160)))),MD!$A$3,MD!$A$2)))</f>
        <v>Mandatory for optional feature</v>
      </c>
      <c r="E160" t="str">
        <f>IF('HIDDEN import'!F159=0,"",'HIDDEN import'!F159)</f>
        <v>DM-0</v>
      </c>
      <c r="F160" t="str">
        <f>IF('HIDDEN import'!G159=0,"",'HIDDEN import'!G159)</f>
        <v/>
      </c>
      <c r="G160" s="39" t="str">
        <f>IFERROR(VLOOKUP($A160,'HIDDEN Testrun Results'!$A:$B,2,FALSE),"")</f>
        <v/>
      </c>
      <c r="H160" s="39" t="b">
        <f t="shared" si="2"/>
        <v>0</v>
      </c>
      <c r="I160" s="39" t="b">
        <f>IF(VLOOKUP(A160&amp;" "&amp;B160,'HIDDEN import'!A:G,5,FALSE)="M",TRUE,IFERROR(VLOOKUP(E160,'Optional features'!B:E,3,FALSE)="Yes",IFERROR(VLOOKUP(E160,'HIDDEN calc sheet'!A:B,2,FALSE),VLOOKUP(E160,'Additional questions'!B:D,3,FALSE)="Yes")))</f>
        <v>0</v>
      </c>
      <c r="J160" t="b">
        <f>IF(VLOOKUP(B160,'Profile selection'!B:C,2,FALSE)="Yes",TRUE,FALSE)</f>
        <v>1</v>
      </c>
      <c r="K160" s="17" t="b">
        <f>IF(AND(D160=MD!$A$1,M160),TRUE,(IF(AND(D160=MD!$A$3,M160),(IF(L160=TRUE,TRUE,FALSE)),(IF(AND(D160=MD!$A$2,M160),(IF(N160=TRUE,TRUE,FALSE)),FALSE)))))</f>
        <v>0</v>
      </c>
      <c r="M160" t="b">
        <f>IF(VLOOKUP(B160,'Profile selection'!B:C,2,FALSE)="Yes",TRUE,FALSE)</f>
        <v>1</v>
      </c>
    </row>
    <row r="161" spans="1:13" x14ac:dyDescent="0.25">
      <c r="A161" t="str">
        <f>'HIDDEN import'!B160</f>
        <v>TC_N_24_CSMS</v>
      </c>
      <c r="B161" t="str">
        <f>'HIDDEN import'!C160</f>
        <v>Core</v>
      </c>
      <c r="C161" t="str">
        <f>'HIDDEN import'!D160</f>
        <v>Set Variable Monitoring - Periodic event</v>
      </c>
      <c r="D161" t="str">
        <f>IF(VLOOKUP(A161&amp;" "&amp;B161,'HIDDEN import'!A:G,5,FALSE)="M",MD!$A$1,(IF(AND(VLOOKUP(A161,'HIDDEN import'!B:E,4,FALSE)="C",OR(NOT(ISERROR(VLOOKUP(E161,'Optional features'!B:E,1,FALSE)=E161)),NOT(ISERROR(VLOOKUP(E161,'HIDDEN calc sheet'!A:C,1,FALSE)=E161)))),MD!$A$3,MD!$A$2)))</f>
        <v>Mandatory for optional feature</v>
      </c>
      <c r="E161" t="str">
        <f>IF('HIDDEN import'!F160=0,"",'HIDDEN import'!F160)</f>
        <v>DM-0</v>
      </c>
      <c r="F161" t="str">
        <f>IF('HIDDEN import'!G160=0,"",'HIDDEN import'!G160)</f>
        <v/>
      </c>
      <c r="G161" s="39" t="str">
        <f>IFERROR(VLOOKUP($A161,'HIDDEN Testrun Results'!$A:$B,2,FALSE),"")</f>
        <v/>
      </c>
      <c r="H161" s="39" t="b">
        <f t="shared" si="2"/>
        <v>0</v>
      </c>
      <c r="I161" s="39" t="b">
        <f>IF(VLOOKUP(A161&amp;" "&amp;B161,'HIDDEN import'!A:G,5,FALSE)="M",TRUE,IFERROR(VLOOKUP(E161,'Optional features'!B:E,3,FALSE)="Yes",IFERROR(VLOOKUP(E161,'HIDDEN calc sheet'!A:B,2,FALSE),VLOOKUP(E161,'Additional questions'!B:D,3,FALSE)="Yes")))</f>
        <v>0</v>
      </c>
      <c r="J161" t="b">
        <f>IF(VLOOKUP(B161,'Profile selection'!B:C,2,FALSE)="Yes",TRUE,FALSE)</f>
        <v>1</v>
      </c>
      <c r="K161" s="17" t="b">
        <f>IF(AND(D161=MD!$A$1,M161),TRUE,(IF(AND(D161=MD!$A$3,M161),(IF(L161=TRUE,TRUE,FALSE)),(IF(AND(D161=MD!$A$2,M161),(IF(N161=TRUE,TRUE,FALSE)),FALSE)))))</f>
        <v>0</v>
      </c>
      <c r="L161" t="b">
        <f>IF(ISNA(VLOOKUP(E161,'Optional features'!B:D,3,FALSE)),FALSE,IF(VLOOKUP(E161,'Optional features'!B:D,3,FALSE)="Yes",TRUE,FALSE))</f>
        <v>0</v>
      </c>
      <c r="M161" t="b">
        <f>IF(VLOOKUP(B161,'Profile selection'!B:C,2,FALSE)="Yes",TRUE,FALSE)</f>
        <v>1</v>
      </c>
    </row>
    <row r="162" spans="1:13" x14ac:dyDescent="0.25">
      <c r="A162" t="str">
        <f>'HIDDEN import'!B161</f>
        <v>TC_N_16_CSMS</v>
      </c>
      <c r="B162" t="str">
        <f>'HIDDEN import'!C161</f>
        <v>Core</v>
      </c>
      <c r="C162" t="str">
        <f>'HIDDEN import'!D161</f>
        <v>Set Monitoring Level - Success</v>
      </c>
      <c r="D162" t="str">
        <f>IF(VLOOKUP(A162&amp;" "&amp;B162,'HIDDEN import'!A:G,5,FALSE)="M",MD!$A$1,(IF(AND(VLOOKUP(A162,'HIDDEN import'!B:E,4,FALSE)="C",OR(NOT(ISERROR(VLOOKUP(E162,'Optional features'!B:E,1,FALSE)=E162)),NOT(ISERROR(VLOOKUP(E162,'HIDDEN calc sheet'!A:C,1,FALSE)=E162)))),MD!$A$3,MD!$A$2)))</f>
        <v>Mandatory for optional feature</v>
      </c>
      <c r="E162" t="str">
        <f>IF('HIDDEN import'!F161=0,"",'HIDDEN import'!F161)</f>
        <v>DM-0</v>
      </c>
      <c r="F162" t="str">
        <f>IF('HIDDEN import'!G161=0,"",'HIDDEN import'!G161)</f>
        <v/>
      </c>
      <c r="G162" s="39" t="str">
        <f>IFERROR(VLOOKUP($A162,'HIDDEN Testrun Results'!$A:$B,2,FALSE),"")</f>
        <v/>
      </c>
      <c r="H162" s="39" t="b">
        <f t="shared" si="2"/>
        <v>0</v>
      </c>
      <c r="I162" s="39" t="b">
        <f>IF(VLOOKUP(A162&amp;" "&amp;B162,'HIDDEN import'!A:G,5,FALSE)="M",TRUE,IFERROR(VLOOKUP(E162,'Optional features'!B:E,3,FALSE)="Yes",IFERROR(VLOOKUP(E162,'HIDDEN calc sheet'!A:B,2,FALSE),VLOOKUP(E162,'Additional questions'!B:D,3,FALSE)="Yes")))</f>
        <v>0</v>
      </c>
      <c r="J162" t="b">
        <f>IF(VLOOKUP(B162,'Profile selection'!B:C,2,FALSE)="Yes",TRUE,FALSE)</f>
        <v>1</v>
      </c>
      <c r="K162" s="17" t="b">
        <f>IF(AND(D162=MD!$A$1,M162),TRUE,(IF(AND(D162=MD!$A$3,M162),(IF(L162=TRUE,TRUE,FALSE)),(IF(AND(D162=MD!$A$2,M162),(IF(N162=TRUE,TRUE,FALSE)),FALSE)))))</f>
        <v>0</v>
      </c>
      <c r="L162" t="b">
        <f>IF(ISNA(VLOOKUP(E162,'Optional features'!B:D,3,FALSE)),FALSE,IF(VLOOKUP(E162,'Optional features'!B:D,3,FALSE)="Yes",TRUE,FALSE))</f>
        <v>0</v>
      </c>
      <c r="M162" t="b">
        <f>IF(VLOOKUP(B162,'Profile selection'!B:C,2,FALSE)="Yes",TRUE,FALSE)</f>
        <v>1</v>
      </c>
    </row>
    <row r="163" spans="1:13" x14ac:dyDescent="0.25">
      <c r="A163" t="str">
        <f>'HIDDEN import'!B162</f>
        <v>TC_N_17_CSMS</v>
      </c>
      <c r="B163" t="str">
        <f>'HIDDEN import'!C162</f>
        <v>Core</v>
      </c>
      <c r="C163" t="str">
        <f>'HIDDEN import'!D162</f>
        <v>Set Monitoring Level - Out of range</v>
      </c>
      <c r="D163" t="str">
        <f>IF(VLOOKUP(A163&amp;" "&amp;B163,'HIDDEN import'!A:G,5,FALSE)="M",MD!$A$1,(IF(AND(VLOOKUP(A163,'HIDDEN import'!B:E,4,FALSE)="C",OR(NOT(ISERROR(VLOOKUP(E163,'Optional features'!B:E,1,FALSE)=E163)),NOT(ISERROR(VLOOKUP(E163,'HIDDEN calc sheet'!A:C,1,FALSE)=E163)))),MD!$A$3,MD!$A$2)))</f>
        <v>Mandatory for optional feature</v>
      </c>
      <c r="E163" t="str">
        <f>IF('HIDDEN import'!F162=0,"",'HIDDEN import'!F162)</f>
        <v>DM-0</v>
      </c>
      <c r="F163" t="str">
        <f>IF('HIDDEN import'!G162=0,"",'HIDDEN import'!G162)</f>
        <v/>
      </c>
      <c r="G163" s="39" t="str">
        <f>IFERROR(VLOOKUP($A163,'HIDDEN Testrun Results'!$A:$B,2,FALSE),"")</f>
        <v/>
      </c>
      <c r="H163" s="39" t="b">
        <f t="shared" si="2"/>
        <v>0</v>
      </c>
      <c r="I163" s="39" t="b">
        <f>IF(VLOOKUP(A163&amp;" "&amp;B163,'HIDDEN import'!A:G,5,FALSE)="M",TRUE,IFERROR(VLOOKUP(E163,'Optional features'!B:E,3,FALSE)="Yes",IFERROR(VLOOKUP(E163,'HIDDEN calc sheet'!A:B,2,FALSE),VLOOKUP(E163,'Additional questions'!B:D,3,FALSE)="Yes")))</f>
        <v>0</v>
      </c>
      <c r="J163" t="b">
        <f>IF(VLOOKUP(B163,'Profile selection'!B:C,2,FALSE)="Yes",TRUE,FALSE)</f>
        <v>1</v>
      </c>
      <c r="K163" s="17" t="b">
        <f>IF(AND(D163=MD!$A$1,M163),TRUE,(IF(AND(D163=MD!$A$3,M163),(IF(L163=TRUE,TRUE,FALSE)),(IF(AND(D163=MD!$A$2,M163),(IF(N163=TRUE,TRUE,FALSE)),FALSE)))))</f>
        <v>0</v>
      </c>
      <c r="L163" t="b">
        <f>IF(ISNA(VLOOKUP(E163,'Optional features'!B:D,3,FALSE)),FALSE,IF(VLOOKUP(E163,'Optional features'!B:D,3,FALSE)="Yes",TRUE,FALSE))</f>
        <v>0</v>
      </c>
      <c r="M163" t="b">
        <f>IF(VLOOKUP(B163,'Profile selection'!B:C,2,FALSE)="Yes",TRUE,FALSE)</f>
        <v>1</v>
      </c>
    </row>
    <row r="164" spans="1:13" x14ac:dyDescent="0.25">
      <c r="A164" t="str">
        <f>'HIDDEN import'!B163</f>
        <v>TC_N_18_CSMS</v>
      </c>
      <c r="B164" t="str">
        <f>'HIDDEN import'!C163</f>
        <v>Core</v>
      </c>
      <c r="C164" t="str">
        <f>'HIDDEN import'!D163</f>
        <v>Clear Monitoring - Success</v>
      </c>
      <c r="D164" t="str">
        <f>IF(VLOOKUP(A164&amp;" "&amp;B164,'HIDDEN import'!A:G,5,FALSE)="M",MD!$A$1,(IF(AND(VLOOKUP(A164,'HIDDEN import'!B:E,4,FALSE)="C",OR(NOT(ISERROR(VLOOKUP(E164,'Optional features'!B:E,1,FALSE)=E164)),NOT(ISERROR(VLOOKUP(E164,'HIDDEN calc sheet'!A:C,1,FALSE)=E164)))),MD!$A$3,MD!$A$2)))</f>
        <v>Mandatory for optional feature</v>
      </c>
      <c r="E164" t="str">
        <f>IF('HIDDEN import'!F163=0,"",'HIDDEN import'!F163)</f>
        <v>DM-0</v>
      </c>
      <c r="F164" t="str">
        <f>IF('HIDDEN import'!G163=0,"",'HIDDEN import'!G163)</f>
        <v/>
      </c>
      <c r="G164" s="39" t="str">
        <f>IFERROR(VLOOKUP($A164,'HIDDEN Testrun Results'!$A:$B,2,FALSE),"")</f>
        <v/>
      </c>
      <c r="H164" s="39" t="b">
        <f t="shared" si="2"/>
        <v>0</v>
      </c>
      <c r="I164" s="39" t="b">
        <f>IF(VLOOKUP(A164&amp;" "&amp;B164,'HIDDEN import'!A:G,5,FALSE)="M",TRUE,IFERROR(VLOOKUP(E164,'Optional features'!B:E,3,FALSE)="Yes",IFERROR(VLOOKUP(E164,'HIDDEN calc sheet'!A:B,2,FALSE),VLOOKUP(E164,'Additional questions'!B:D,3,FALSE)="Yes")))</f>
        <v>0</v>
      </c>
      <c r="J164" t="b">
        <f>IF(VLOOKUP(B164,'Profile selection'!B:C,2,FALSE)="Yes",TRUE,FALSE)</f>
        <v>1</v>
      </c>
      <c r="K164" s="17" t="b">
        <f>IF(AND(D164=MD!$A$1,M164),TRUE,(IF(AND(D164=MD!$A$3,M164),(IF(L164=TRUE,TRUE,FALSE)),(IF(AND(D164=MD!$A$2,M164),(IF(N164=TRUE,TRUE,FALSE)),FALSE)))))</f>
        <v>0</v>
      </c>
      <c r="L164" t="b">
        <f>IF(ISNA(VLOOKUP(E164,'Optional features'!B:D,3,FALSE)),FALSE,IF(VLOOKUP(E164,'Optional features'!B:D,3,FALSE)="Yes",TRUE,FALSE))</f>
        <v>0</v>
      </c>
      <c r="M164" t="b">
        <f>IF(VLOOKUP(B164,'Profile selection'!B:C,2,FALSE)="Yes",TRUE,FALSE)</f>
        <v>1</v>
      </c>
    </row>
    <row r="165" spans="1:13" x14ac:dyDescent="0.25">
      <c r="A165" t="str">
        <f>'HIDDEN import'!B164</f>
        <v>TC_N_44_CSMS</v>
      </c>
      <c r="B165" t="str">
        <f>'HIDDEN import'!C164</f>
        <v>Core</v>
      </c>
      <c r="C165" t="str">
        <f>'HIDDEN import'!D164</f>
        <v>Clear Monitoring - Rejected</v>
      </c>
      <c r="D165" t="str">
        <f>IF(VLOOKUP(A165&amp;" "&amp;B165,'HIDDEN import'!A:G,5,FALSE)="M",MD!$A$1,(IF(AND(VLOOKUP(A165,'HIDDEN import'!B:E,4,FALSE)="C",OR(NOT(ISERROR(VLOOKUP(E165,'Optional features'!B:E,1,FALSE)=E165)),NOT(ISERROR(VLOOKUP(E165,'HIDDEN calc sheet'!A:C,1,FALSE)=E165)))),MD!$A$3,MD!$A$2)))</f>
        <v>Mandatory for optional feature</v>
      </c>
      <c r="E165" t="str">
        <f>IF('HIDDEN import'!F164=0,"",'HIDDEN import'!F164)</f>
        <v>DM-0</v>
      </c>
      <c r="F165" t="str">
        <f>IF('HIDDEN import'!G164=0,"",'HIDDEN import'!G164)</f>
        <v/>
      </c>
      <c r="G165" s="39" t="str">
        <f>IFERROR(VLOOKUP($A165,'HIDDEN Testrun Results'!$A:$B,2,FALSE),"")</f>
        <v/>
      </c>
      <c r="H165" s="39" t="b">
        <f t="shared" si="2"/>
        <v>0</v>
      </c>
      <c r="I165" s="39" t="b">
        <f>IF(VLOOKUP(A165&amp;" "&amp;B165,'HIDDEN import'!A:G,5,FALSE)="M",TRUE,IFERROR(VLOOKUP(E165,'Optional features'!B:E,3,FALSE)="Yes",IFERROR(VLOOKUP(E165,'HIDDEN calc sheet'!A:B,2,FALSE),VLOOKUP(E165,'Additional questions'!B:D,3,FALSE)="Yes")))</f>
        <v>0</v>
      </c>
      <c r="J165" t="b">
        <f>IF(VLOOKUP(B165,'Profile selection'!B:C,2,FALSE)="Yes",TRUE,FALSE)</f>
        <v>1</v>
      </c>
      <c r="K165" s="17" t="b">
        <f>IF(AND(D165=MD!$A$1,M165),TRUE,(IF(AND(D165=MD!$A$3,M165),(IF(L165=TRUE,TRUE,FALSE)),(IF(AND(D165=MD!$A$2,M165),(IF(N165=TRUE,TRUE,FALSE)),FALSE)))))</f>
        <v>0</v>
      </c>
      <c r="L165" t="b">
        <f>IF(ISNA(VLOOKUP(E165,'Optional features'!B:D,3,FALSE)),FALSE,IF(VLOOKUP(E165,'Optional features'!B:D,3,FALSE)="Yes",TRUE,FALSE))</f>
        <v>0</v>
      </c>
      <c r="M165" t="b">
        <f>IF(VLOOKUP(B165,'Profile selection'!B:C,2,FALSE)="Yes",TRUE,FALSE)</f>
        <v>1</v>
      </c>
    </row>
    <row r="166" spans="1:13" x14ac:dyDescent="0.25">
      <c r="A166" t="str">
        <f>'HIDDEN import'!B165</f>
        <v>TC_N_21_CSMS</v>
      </c>
      <c r="B166" t="str">
        <f>'HIDDEN import'!C165</f>
        <v>Core</v>
      </c>
      <c r="C166" t="str">
        <f>'HIDDEN import'!D165</f>
        <v>Alert Event - HardWiredMonitor</v>
      </c>
      <c r="D166" t="str">
        <f>IF(VLOOKUP(A166&amp;" "&amp;B166,'HIDDEN import'!A:G,5,FALSE)="M",MD!$A$1,(IF(AND(VLOOKUP(A166,'HIDDEN import'!B:E,4,FALSE)="C",OR(NOT(ISERROR(VLOOKUP(E166,'Optional features'!B:E,1,FALSE)=E166)),NOT(ISERROR(VLOOKUP(E166,'HIDDEN calc sheet'!A:C,1,FALSE)=E166)))),MD!$A$3,MD!$A$2)))</f>
        <v>Mandatory for optional feature</v>
      </c>
      <c r="E166" t="str">
        <f>IF('HIDDEN import'!F165=0,"",'HIDDEN import'!F165)</f>
        <v>DM-0</v>
      </c>
      <c r="F166" t="str">
        <f>IF('HIDDEN import'!G165=0,"",'HIDDEN import'!G165)</f>
        <v/>
      </c>
      <c r="G166" s="39" t="str">
        <f>IFERROR(VLOOKUP($A166,'HIDDEN Testrun Results'!$A:$B,2,FALSE),"")</f>
        <v/>
      </c>
      <c r="H166" s="39" t="b">
        <f t="shared" si="2"/>
        <v>0</v>
      </c>
      <c r="I166" s="39" t="b">
        <f>IF(VLOOKUP(A166&amp;" "&amp;B166,'HIDDEN import'!A:G,5,FALSE)="M",TRUE,IFERROR(VLOOKUP(E166,'Optional features'!B:E,3,FALSE)="Yes",IFERROR(VLOOKUP(E166,'HIDDEN calc sheet'!A:B,2,FALSE),VLOOKUP(E166,'Additional questions'!B:D,3,FALSE)="Yes")))</f>
        <v>0</v>
      </c>
      <c r="J166" t="b">
        <f>IF(VLOOKUP(B166,'Profile selection'!B:C,2,FALSE)="Yes",TRUE,FALSE)</f>
        <v>1</v>
      </c>
      <c r="K166" s="17" t="b">
        <f>IF(AND(D166=MD!$A$1,M166),TRUE,(IF(AND(D166=MD!$A$3,M166),(IF(L166=TRUE,TRUE,FALSE)),(IF(AND(D166=MD!$A$2,M166),(IF(N166=TRUE,TRUE,FALSE)),FALSE)))))</f>
        <v>0</v>
      </c>
      <c r="L166" t="b">
        <f>IF(ISNA(VLOOKUP(E166,'Optional features'!B:D,3,FALSE)),FALSE,IF(VLOOKUP(E166,'Optional features'!B:D,3,FALSE)="Yes",TRUE,FALSE))</f>
        <v>0</v>
      </c>
      <c r="M166" t="b">
        <f>IF(VLOOKUP(B166,'Profile selection'!B:C,2,FALSE)="Yes",TRUE,FALSE)</f>
        <v>1</v>
      </c>
    </row>
    <row r="167" spans="1:13" x14ac:dyDescent="0.25">
      <c r="A167" t="str">
        <f>'HIDDEN import'!B166</f>
        <v>TC_N_49_CSMS</v>
      </c>
      <c r="B167" t="str">
        <f>'HIDDEN import'!C166</f>
        <v>Core</v>
      </c>
      <c r="C167" t="str">
        <f>'HIDDEN import'!D166</f>
        <v>Alert Event - LowerThreshold/UpperThreshold cleared after reboot</v>
      </c>
      <c r="D167" t="str">
        <f>IF(VLOOKUP(A167&amp;" "&amp;B167,'HIDDEN import'!A:G,5,FALSE)="M",MD!$A$1,(IF(AND(VLOOKUP(A167,'HIDDEN import'!B:E,4,FALSE)="C",OR(NOT(ISERROR(VLOOKUP(E167,'Optional features'!B:E,1,FALSE)=E167)),NOT(ISERROR(VLOOKUP(E167,'HIDDEN calc sheet'!A:C,1,FALSE)=E167)))),MD!$A$3,MD!$A$2)))</f>
        <v>Mandatory for optional feature</v>
      </c>
      <c r="E167" t="str">
        <f>IF('HIDDEN import'!F166=0,"",'HIDDEN import'!F166)</f>
        <v>DM-0</v>
      </c>
      <c r="F167" t="str">
        <f>IF('HIDDEN import'!G166=0,"",'HIDDEN import'!G166)</f>
        <v/>
      </c>
      <c r="G167" s="39" t="str">
        <f>IFERROR(VLOOKUP($A167,'HIDDEN Testrun Results'!$A:$B,2,FALSE),"")</f>
        <v/>
      </c>
      <c r="H167" s="39" t="b">
        <f t="shared" si="2"/>
        <v>0</v>
      </c>
      <c r="I167" s="39" t="b">
        <f>IF(VLOOKUP(A167&amp;" "&amp;B167,'HIDDEN import'!A:G,5,FALSE)="M",TRUE,IFERROR(VLOOKUP(E167,'Optional features'!B:E,3,FALSE)="Yes",IFERROR(VLOOKUP(E167,'HIDDEN calc sheet'!A:B,2,FALSE),VLOOKUP(E167,'Additional questions'!B:D,3,FALSE)="Yes")))</f>
        <v>0</v>
      </c>
      <c r="J167" t="b">
        <f>IF(VLOOKUP(B167,'Profile selection'!B:C,2,FALSE)="Yes",TRUE,FALSE)</f>
        <v>1</v>
      </c>
      <c r="K167" s="17" t="b">
        <f>IF(AND(D167=MD!$A$1,M167),TRUE,(IF(AND(D167=MD!$A$3,M167),(IF(L167=TRUE,TRUE,FALSE)),(IF(AND(D167=MD!$A$2,M167),(IF(N167=TRUE,TRUE,FALSE)),FALSE)))))</f>
        <v>0</v>
      </c>
      <c r="L167" t="b">
        <f>IF(ISNA(VLOOKUP(E167,'Optional features'!B:D,3,FALSE)),FALSE,IF(VLOOKUP(E167,'Optional features'!B:D,3,FALSE)="Yes",TRUE,FALSE))</f>
        <v>0</v>
      </c>
      <c r="M167" t="b">
        <f>IF(VLOOKUP(B167,'Profile selection'!B:C,2,FALSE)="Yes",TRUE,FALSE)</f>
        <v>1</v>
      </c>
    </row>
    <row r="168" spans="1:13" x14ac:dyDescent="0.25">
      <c r="A168" t="str">
        <f>'HIDDEN import'!B167</f>
        <v>TC_N_50_CSMS</v>
      </c>
      <c r="B168" t="str">
        <f>'HIDDEN import'!C167</f>
        <v>Core</v>
      </c>
      <c r="C168" t="str">
        <f>'HIDDEN import'!D167</f>
        <v>Alert Event - Periodic Triggered</v>
      </c>
      <c r="D168" t="str">
        <f>IF(VLOOKUP(A168&amp;" "&amp;B168,'HIDDEN import'!A:G,5,FALSE)="M",MD!$A$1,(IF(AND(VLOOKUP(A168,'HIDDEN import'!B:E,4,FALSE)="C",OR(NOT(ISERROR(VLOOKUP(E168,'Optional features'!B:E,1,FALSE)=E168)),NOT(ISERROR(VLOOKUP(E168,'HIDDEN calc sheet'!A:C,1,FALSE)=E168)))),MD!$A$3,MD!$A$2)))</f>
        <v>Mandatory for optional feature</v>
      </c>
      <c r="E168" t="str">
        <f>IF('HIDDEN import'!F167=0,"",'HIDDEN import'!F167)</f>
        <v>DM-0</v>
      </c>
      <c r="F168" t="str">
        <f>IF('HIDDEN import'!G167=0,"",'HIDDEN import'!G167)</f>
        <v/>
      </c>
      <c r="G168" s="39" t="str">
        <f>IFERROR(VLOOKUP($A168,'HIDDEN Testrun Results'!$A:$B,2,FALSE),"")</f>
        <v/>
      </c>
      <c r="H168" s="39" t="b">
        <f t="shared" si="2"/>
        <v>0</v>
      </c>
      <c r="I168" s="39" t="b">
        <f>IF(VLOOKUP(A168&amp;" "&amp;B168,'HIDDEN import'!A:G,5,FALSE)="M",TRUE,IFERROR(VLOOKUP(E168,'Optional features'!B:E,3,FALSE)="Yes",IFERROR(VLOOKUP(E168,'HIDDEN calc sheet'!A:B,2,FALSE),VLOOKUP(E168,'Additional questions'!B:D,3,FALSE)="Yes")))</f>
        <v>0</v>
      </c>
      <c r="J168" t="b">
        <f>IF(VLOOKUP(B168,'Profile selection'!B:C,2,FALSE)="Yes",TRUE,FALSE)</f>
        <v>1</v>
      </c>
      <c r="K168" s="17" t="b">
        <f>IF(AND(D168=MD!$A$1,M168),TRUE,(IF(AND(D168=MD!$A$3,M168),(IF(L168=TRUE,TRUE,FALSE)),(IF(AND(D168=MD!$A$2,M168),(IF(N168=TRUE,TRUE,FALSE)),FALSE)))))</f>
        <v>0</v>
      </c>
      <c r="L168" t="b">
        <f>IF(ISNA(VLOOKUP(E168,'Optional features'!B:D,3,FALSE)),FALSE,IF(VLOOKUP(E168,'Optional features'!B:D,3,FALSE)="Yes",TRUE,FALSE))</f>
        <v>0</v>
      </c>
      <c r="M168" t="b">
        <f>IF(VLOOKUP(B168,'Profile selection'!B:C,2,FALSE)="Yes",TRUE,FALSE)</f>
        <v>1</v>
      </c>
    </row>
    <row r="169" spans="1:13" x14ac:dyDescent="0.25">
      <c r="A169" t="str">
        <f>'HIDDEN import'!B168</f>
        <v>TC_I_01_CSMS</v>
      </c>
      <c r="B169" t="str">
        <f>'HIDDEN import'!C168</f>
        <v>Core</v>
      </c>
      <c r="C169" t="str">
        <f>'HIDDEN import'!D168</f>
        <v>Show costs to EV Driver - Show EV Driver running total cost during charging</v>
      </c>
      <c r="D169" t="str">
        <f>IF(VLOOKUP(A169&amp;" "&amp;B169,'HIDDEN import'!A:G,5,FALSE)="M",MD!$A$1,(IF(AND(VLOOKUP(A169,'HIDDEN import'!B:E,4,FALSE)="C",OR(NOT(ISERROR(VLOOKUP(E169,'Optional features'!B:E,1,FALSE)=E169)),NOT(ISERROR(VLOOKUP(E169,'HIDDEN calc sheet'!A:C,1,FALSE)=E169)))),MD!$A$3,MD!$A$2)))</f>
        <v>Mandatory for optional feature</v>
      </c>
      <c r="E169" t="str">
        <f>IF('HIDDEN import'!F168=0,"",'HIDDEN import'!F168)</f>
        <v>UI-0</v>
      </c>
      <c r="F169" t="str">
        <f>IF('HIDDEN import'!G168=0,"",'HIDDEN import'!G168)</f>
        <v/>
      </c>
      <c r="G169" s="39" t="str">
        <f>IFERROR(VLOOKUP($A169,'HIDDEN Testrun Results'!$A:$B,2,FALSE),"")</f>
        <v/>
      </c>
      <c r="H169" s="39" t="b">
        <f t="shared" si="2"/>
        <v>0</v>
      </c>
      <c r="I169" s="39" t="b">
        <f>IF(VLOOKUP(A169&amp;" "&amp;B169,'HIDDEN import'!A:G,5,FALSE)="M",TRUE,IFERROR(VLOOKUP(E169,'Optional features'!B:E,3,FALSE)="Yes",IFERROR(VLOOKUP(E169,'HIDDEN calc sheet'!A:B,2,FALSE),VLOOKUP(E169,'Additional questions'!B:D,3,FALSE)="Yes")))</f>
        <v>0</v>
      </c>
      <c r="J169" t="b">
        <f>IF(VLOOKUP(B169,'Profile selection'!B:C,2,FALSE)="Yes",TRUE,FALSE)</f>
        <v>1</v>
      </c>
      <c r="K169" s="17" t="b">
        <f>IF(AND(D169=MD!$A$1,M169),TRUE,(IF(AND(D169=MD!$A$3,M169),(IF(L169=TRUE,TRUE,FALSE)),(IF(AND(D169=MD!$A$2,M169),(IF(N169=TRUE,TRUE,FALSE)),FALSE)))))</f>
        <v>0</v>
      </c>
      <c r="M169" t="b">
        <f>IF(VLOOKUP(B169,'Profile selection'!B:C,2,FALSE)="Yes",TRUE,FALSE)</f>
        <v>1</v>
      </c>
    </row>
    <row r="170" spans="1:13" x14ac:dyDescent="0.25">
      <c r="A170" t="str">
        <f>'HIDDEN import'!B169</f>
        <v>TC_I_02_CSMS</v>
      </c>
      <c r="B170" t="str">
        <f>'HIDDEN import'!C169</f>
        <v>Core</v>
      </c>
      <c r="C170" t="str">
        <f>'HIDDEN import'!D169</f>
        <v>Show costs to EV Driver - Show EV Driver Final Total Cost After Charging</v>
      </c>
      <c r="D170" t="str">
        <f>IF(VLOOKUP(A170&amp;" "&amp;B170,'HIDDEN import'!A:G,5,FALSE)="M",MD!$A$1,(IF(AND(VLOOKUP(A170,'HIDDEN import'!B:E,4,FALSE)="C",OR(NOT(ISERROR(VLOOKUP(E170,'Optional features'!B:E,1,FALSE)=E170)),NOT(ISERROR(VLOOKUP(E170,'HIDDEN calc sheet'!A:C,1,FALSE)=E170)))),MD!$A$3,MD!$A$2)))</f>
        <v>Mandatory for optional feature</v>
      </c>
      <c r="E170" t="str">
        <f>IF('HIDDEN import'!F169=0,"",'HIDDEN import'!F169)</f>
        <v>UI-0</v>
      </c>
      <c r="F170" t="str">
        <f>IF('HIDDEN import'!G169=0,"",'HIDDEN import'!G169)</f>
        <v/>
      </c>
      <c r="G170" s="39" t="str">
        <f>IFERROR(VLOOKUP($A170,'HIDDEN Testrun Results'!$A:$B,2,FALSE),"")</f>
        <v/>
      </c>
      <c r="H170" s="39" t="b">
        <f t="shared" si="2"/>
        <v>0</v>
      </c>
      <c r="I170" s="39" t="b">
        <f>IF(VLOOKUP(A170&amp;" "&amp;B170,'HIDDEN import'!A:G,5,FALSE)="M",TRUE,IFERROR(VLOOKUP(E170,'Optional features'!B:E,3,FALSE)="Yes",IFERROR(VLOOKUP(E170,'HIDDEN calc sheet'!A:B,2,FALSE),VLOOKUP(E170,'Additional questions'!B:D,3,FALSE)="Yes")))</f>
        <v>0</v>
      </c>
      <c r="J170" t="b">
        <f>IF(VLOOKUP(B170,'Profile selection'!B:C,2,FALSE)="Yes",TRUE,FALSE)</f>
        <v>1</v>
      </c>
      <c r="K170" s="17" t="b">
        <f>IF(AND(D170=MD!$A$1,M170),TRUE,(IF(AND(D170=MD!$A$3,M170),(IF(L170=TRUE,TRUE,FALSE)),(IF(AND(D170=MD!$A$2,M170),(IF(N170=TRUE,TRUE,FALSE)),FALSE)))))</f>
        <v>0</v>
      </c>
      <c r="M170" t="b">
        <f>IF(VLOOKUP(B170,'Profile selection'!B:C,2,FALSE)="Yes",TRUE,FALSE)</f>
        <v>1</v>
      </c>
    </row>
    <row r="171" spans="1:13" x14ac:dyDescent="0.25">
      <c r="A171" t="str">
        <f>'HIDDEN import'!B170</f>
        <v>TC_O_01_CSMS</v>
      </c>
      <c r="B171" t="str">
        <f>'HIDDEN import'!C170</f>
        <v>Core</v>
      </c>
      <c r="C171" t="str">
        <f>'HIDDEN import'!D170</f>
        <v>Set Display Message - Success</v>
      </c>
      <c r="D171" t="str">
        <f>IF(VLOOKUP(A171&amp;" "&amp;B171,'HIDDEN import'!A:G,5,FALSE)="M",MD!$A$1,(IF(AND(VLOOKUP(A171,'HIDDEN import'!B:E,4,FALSE)="C",OR(NOT(ISERROR(VLOOKUP(E171,'Optional features'!B:E,1,FALSE)=E171)),NOT(ISERROR(VLOOKUP(E171,'HIDDEN calc sheet'!A:C,1,FALSE)=E171)))),MD!$A$3,MD!$A$2)))</f>
        <v>Mandatory for optional feature</v>
      </c>
      <c r="E171" t="str">
        <f>IF('HIDDEN import'!F170=0,"",'HIDDEN import'!F170)</f>
        <v>UI-0</v>
      </c>
      <c r="F171" t="str">
        <f>IF('HIDDEN import'!G170=0,"",'HIDDEN import'!G170)</f>
        <v>UI-1 and UI-2: Supported MessagePriorities &amp; Supported MessageFormats</v>
      </c>
      <c r="G171" s="39" t="str">
        <f>IFERROR(VLOOKUP($A171,'HIDDEN Testrun Results'!$A:$B,2,FALSE),"")</f>
        <v/>
      </c>
      <c r="H171" s="39" t="b">
        <f t="shared" si="2"/>
        <v>0</v>
      </c>
      <c r="I171" s="39" t="b">
        <f>IF(VLOOKUP(A171&amp;" "&amp;B171,'HIDDEN import'!A:G,5,FALSE)="M",TRUE,IFERROR(VLOOKUP(E171,'Optional features'!B:E,3,FALSE)="Yes",IFERROR(VLOOKUP(E171,'HIDDEN calc sheet'!A:B,2,FALSE),VLOOKUP(E171,'Additional questions'!B:D,3,FALSE)="Yes")))</f>
        <v>0</v>
      </c>
      <c r="J171" t="b">
        <f>IF(VLOOKUP(B171,'Profile selection'!B:C,2,FALSE)="Yes",TRUE,FALSE)</f>
        <v>1</v>
      </c>
      <c r="K171" s="17" t="b">
        <f>IF(AND(D171=MD!$A$1,M171),TRUE,(IF(AND(D171=MD!$A$3,M171),(IF(L171=TRUE,TRUE,FALSE)),(IF(AND(D171=MD!$A$2,M171),(IF(N171=TRUE,TRUE,FALSE)),FALSE)))))</f>
        <v>0</v>
      </c>
      <c r="M171" t="b">
        <f>IF(VLOOKUP(B171,'Profile selection'!B:C,2,FALSE)="Yes",TRUE,FALSE)</f>
        <v>1</v>
      </c>
    </row>
    <row r="172" spans="1:13" x14ac:dyDescent="0.25">
      <c r="A172" t="str">
        <f>'HIDDEN import'!B171</f>
        <v>TC_O_26_CSMS</v>
      </c>
      <c r="B172" t="str">
        <f>'HIDDEN import'!C171</f>
        <v>Core</v>
      </c>
      <c r="C172" t="str">
        <f>'HIDDEN import'!D171</f>
        <v>Set Display Message - Rejected</v>
      </c>
      <c r="D172" t="str">
        <f>IF(VLOOKUP(A172&amp;" "&amp;B172,'HIDDEN import'!A:G,5,FALSE)="M",MD!$A$1,(IF(AND(VLOOKUP(A172,'HIDDEN import'!B:E,4,FALSE)="C",OR(NOT(ISERROR(VLOOKUP(E172,'Optional features'!B:E,1,FALSE)=E172)),NOT(ISERROR(VLOOKUP(E172,'HIDDEN calc sheet'!A:C,1,FALSE)=E172)))),MD!$A$3,MD!$A$2)))</f>
        <v>Mandatory for optional feature</v>
      </c>
      <c r="E172" t="str">
        <f>IF('HIDDEN import'!F171=0,"",'HIDDEN import'!F171)</f>
        <v>UI-0</v>
      </c>
      <c r="F172" t="str">
        <f>IF('HIDDEN import'!G171=0,"",'HIDDEN import'!G171)</f>
        <v/>
      </c>
      <c r="G172" s="39" t="str">
        <f>IFERROR(VLOOKUP($A172,'HIDDEN Testrun Results'!$A:$B,2,FALSE),"")</f>
        <v/>
      </c>
      <c r="H172" s="39" t="b">
        <f t="shared" si="2"/>
        <v>0</v>
      </c>
      <c r="I172" s="39" t="b">
        <f>IF(VLOOKUP(A172&amp;" "&amp;B172,'HIDDEN import'!A:G,5,FALSE)="M",TRUE,IFERROR(VLOOKUP(E172,'Optional features'!B:E,3,FALSE)="Yes",IFERROR(VLOOKUP(E172,'HIDDEN calc sheet'!A:B,2,FALSE),VLOOKUP(E172,'Additional questions'!B:D,3,FALSE)="Yes")))</f>
        <v>0</v>
      </c>
      <c r="J172" t="b">
        <f>IF(VLOOKUP(B172,'Profile selection'!B:C,2,FALSE)="Yes",TRUE,FALSE)</f>
        <v>1</v>
      </c>
      <c r="K172" s="17" t="b">
        <f>IF(AND(D172=MD!$A$1,M172),TRUE,(IF(AND(D172=MD!$A$3,M172),(IF(L172=TRUE,TRUE,FALSE)),(IF(AND(D172=MD!$A$2,M172),(IF(N172=TRUE,TRUE,FALSE)),FALSE)))))</f>
        <v>0</v>
      </c>
      <c r="M172" t="b">
        <f>IF(VLOOKUP(B172,'Profile selection'!B:C,2,FALSE)="Yes",TRUE,FALSE)</f>
        <v>1</v>
      </c>
    </row>
    <row r="173" spans="1:13" x14ac:dyDescent="0.25">
      <c r="A173" t="str">
        <f>'HIDDEN import'!B172</f>
        <v>TC_O_13_CSMS</v>
      </c>
      <c r="B173" t="str">
        <f>'HIDDEN import'!C172</f>
        <v>Core</v>
      </c>
      <c r="C173" t="str">
        <f>'HIDDEN import'!D172</f>
        <v>Set Display Message - Display message at StartTime</v>
      </c>
      <c r="D173" t="str">
        <f>IF(VLOOKUP(A173&amp;" "&amp;B173,'HIDDEN import'!A:G,5,FALSE)="M",MD!$A$1,(IF(AND(VLOOKUP(A173,'HIDDEN import'!B:E,4,FALSE)="C",OR(NOT(ISERROR(VLOOKUP(E173,'Optional features'!B:E,1,FALSE)=E173)),NOT(ISERROR(VLOOKUP(E173,'HIDDEN calc sheet'!A:C,1,FALSE)=E173)))),MD!$A$3,MD!$A$2)))</f>
        <v>Mandatory for optional feature</v>
      </c>
      <c r="E173" t="str">
        <f>IF('HIDDEN import'!F172=0,"",'HIDDEN import'!F172)</f>
        <v>UI-0</v>
      </c>
      <c r="F173" t="str">
        <f>IF('HIDDEN import'!G172=0,"",'HIDDEN import'!G172)</f>
        <v/>
      </c>
      <c r="G173" s="39" t="str">
        <f>IFERROR(VLOOKUP($A173,'HIDDEN Testrun Results'!$A:$B,2,FALSE),"")</f>
        <v/>
      </c>
      <c r="H173" s="39" t="b">
        <f t="shared" si="2"/>
        <v>0</v>
      </c>
      <c r="I173" s="39" t="b">
        <f>IF(VLOOKUP(A173&amp;" "&amp;B173,'HIDDEN import'!A:G,5,FALSE)="M",TRUE,IFERROR(VLOOKUP(E173,'Optional features'!B:E,3,FALSE)="Yes",IFERROR(VLOOKUP(E173,'HIDDEN calc sheet'!A:B,2,FALSE),VLOOKUP(E173,'Additional questions'!B:D,3,FALSE)="Yes")))</f>
        <v>0</v>
      </c>
      <c r="J173" t="b">
        <f>IF(VLOOKUP(B173,'Profile selection'!B:C,2,FALSE)="Yes",TRUE,FALSE)</f>
        <v>1</v>
      </c>
      <c r="K173" s="17" t="b">
        <f>IF(AND(D173=MD!$A$1,M173),TRUE,(IF(AND(D173=MD!$A$3,M173),(IF(L173=TRUE,TRUE,FALSE)),(IF(AND(D173=MD!$A$2,M173),(IF(N173=TRUE,TRUE,FALSE)),FALSE)))))</f>
        <v>0</v>
      </c>
      <c r="M173" t="b">
        <f>IF(VLOOKUP(B173,'Profile selection'!B:C,2,FALSE)="Yes",TRUE,FALSE)</f>
        <v>1</v>
      </c>
    </row>
    <row r="174" spans="1:13" x14ac:dyDescent="0.25">
      <c r="A174" t="str">
        <f>'HIDDEN import'!B173</f>
        <v>TC_O_14_CSMS</v>
      </c>
      <c r="B174" t="str">
        <f>'HIDDEN import'!C173</f>
        <v>Core</v>
      </c>
      <c r="C174" t="str">
        <f>'HIDDEN import'!D173</f>
        <v>Set Display Message - Remove message after EndTime</v>
      </c>
      <c r="D174" t="str">
        <f>IF(VLOOKUP(A174&amp;" "&amp;B174,'HIDDEN import'!A:G,5,FALSE)="M",MD!$A$1,(IF(AND(VLOOKUP(A174,'HIDDEN import'!B:E,4,FALSE)="C",OR(NOT(ISERROR(VLOOKUP(E174,'Optional features'!B:E,1,FALSE)=E174)),NOT(ISERROR(VLOOKUP(E174,'HIDDEN calc sheet'!A:C,1,FALSE)=E174)))),MD!$A$3,MD!$A$2)))</f>
        <v>Mandatory for optional feature</v>
      </c>
      <c r="E174" t="str">
        <f>IF('HIDDEN import'!F173=0,"",'HIDDEN import'!F173)</f>
        <v>UI-0</v>
      </c>
      <c r="F174" t="str">
        <f>IF('HIDDEN import'!G173=0,"",'HIDDEN import'!G173)</f>
        <v/>
      </c>
      <c r="G174" s="39" t="str">
        <f>IFERROR(VLOOKUP($A174,'HIDDEN Testrun Results'!$A:$B,2,FALSE),"")</f>
        <v/>
      </c>
      <c r="H174" s="39" t="b">
        <f t="shared" si="2"/>
        <v>0</v>
      </c>
      <c r="I174" s="39" t="b">
        <f>IF(VLOOKUP(A174&amp;" "&amp;B174,'HIDDEN import'!A:G,5,FALSE)="M",TRUE,IFERROR(VLOOKUP(E174,'Optional features'!B:E,3,FALSE)="Yes",IFERROR(VLOOKUP(E174,'HIDDEN calc sheet'!A:B,2,FALSE),VLOOKUP(E174,'Additional questions'!B:D,3,FALSE)="Yes")))</f>
        <v>0</v>
      </c>
      <c r="J174" t="b">
        <f>IF(VLOOKUP(B174,'Profile selection'!B:C,2,FALSE)="Yes",TRUE,FALSE)</f>
        <v>1</v>
      </c>
      <c r="K174" s="17" t="b">
        <f>IF(AND(D174=MD!$A$1,M174),TRUE,(IF(AND(D174=MD!$A$3,M174),(IF(L174=TRUE,TRUE,FALSE)),(IF(AND(D174=MD!$A$2,M174),(IF(N174=TRUE,TRUE,FALSE)),FALSE)))))</f>
        <v>0</v>
      </c>
      <c r="M174" t="b">
        <f>IF(VLOOKUP(B174,'Profile selection'!B:C,2,FALSE)="Yes",TRUE,FALSE)</f>
        <v>1</v>
      </c>
    </row>
    <row r="175" spans="1:13" x14ac:dyDescent="0.25">
      <c r="A175" t="str">
        <f>'HIDDEN import'!B174</f>
        <v>TC_O_17_CSMS</v>
      </c>
      <c r="B175" t="str">
        <f>'HIDDEN import'!C174</f>
        <v>Core</v>
      </c>
      <c r="C175" t="str">
        <f>'HIDDEN import'!D174</f>
        <v>Set Display Message - NotSupportedPriority</v>
      </c>
      <c r="D175" t="str">
        <f>IF(VLOOKUP(A175&amp;" "&amp;B175,'HIDDEN import'!A:G,5,FALSE)="M",MD!$A$1,(IF(AND(VLOOKUP(A175,'HIDDEN import'!B:E,4,FALSE)="C",OR(NOT(ISERROR(VLOOKUP(E175,'Optional features'!B:E,1,FALSE)=E175)),NOT(ISERROR(VLOOKUP(E175,'HIDDEN calc sheet'!A:C,1,FALSE)=E175)))),MD!$A$3,MD!$A$2)))</f>
        <v>Mandatory for optional feature</v>
      </c>
      <c r="E175" t="str">
        <f>IF('HIDDEN import'!F174=0,"",'HIDDEN import'!F174)</f>
        <v>UI-0</v>
      </c>
      <c r="F175" t="str">
        <f>IF('HIDDEN import'!G174=0,"",'HIDDEN import'!G174)</f>
        <v/>
      </c>
      <c r="G175" s="39" t="str">
        <f>IFERROR(VLOOKUP($A175,'HIDDEN Testrun Results'!$A:$B,2,FALSE),"")</f>
        <v/>
      </c>
      <c r="H175" s="39" t="b">
        <f t="shared" si="2"/>
        <v>0</v>
      </c>
      <c r="I175" s="39" t="b">
        <f>IF(VLOOKUP(A175&amp;" "&amp;B175,'HIDDEN import'!A:G,5,FALSE)="M",TRUE,IFERROR(VLOOKUP(E175,'Optional features'!B:E,3,FALSE)="Yes",IFERROR(VLOOKUP(E175,'HIDDEN calc sheet'!A:B,2,FALSE),VLOOKUP(E175,'Additional questions'!B:D,3,FALSE)="Yes")))</f>
        <v>0</v>
      </c>
      <c r="J175" t="b">
        <f>IF(VLOOKUP(B175,'Profile selection'!B:C,2,FALSE)="Yes",TRUE,FALSE)</f>
        <v>1</v>
      </c>
      <c r="K175" s="17" t="b">
        <f>IF(AND(D175=MD!$A$1,M175),TRUE,(IF(AND(D175=MD!$A$3,M175),(IF(L175=TRUE,TRUE,FALSE)),(IF(AND(D175=MD!$A$2,M175),(IF(N175=TRUE,TRUE,FALSE)),FALSE)))))</f>
        <v>0</v>
      </c>
      <c r="M175" t="b">
        <f>IF(VLOOKUP(B175,'Profile selection'!B:C,2,FALSE)="Yes",TRUE,FALSE)</f>
        <v>1</v>
      </c>
    </row>
    <row r="176" spans="1:13" x14ac:dyDescent="0.25">
      <c r="A176" t="str">
        <f>'HIDDEN import'!B175</f>
        <v>TC_O_18_CSMS</v>
      </c>
      <c r="B176" t="str">
        <f>'HIDDEN import'!C175</f>
        <v>Core</v>
      </c>
      <c r="C176" t="str">
        <f>'HIDDEN import'!D175</f>
        <v>Set Display Message - NotSupportedState</v>
      </c>
      <c r="D176" t="str">
        <f>IF(VLOOKUP(A176&amp;" "&amp;B176,'HIDDEN import'!A:G,5,FALSE)="M",MD!$A$1,(IF(AND(VLOOKUP(A176,'HIDDEN import'!B:E,4,FALSE)="C",OR(NOT(ISERROR(VLOOKUP(E176,'Optional features'!B:E,1,FALSE)=E176)),NOT(ISERROR(VLOOKUP(E176,'HIDDEN calc sheet'!A:C,1,FALSE)=E176)))),MD!$A$3,MD!$A$2)))</f>
        <v>Mandatory for optional feature</v>
      </c>
      <c r="E176" t="str">
        <f>IF('HIDDEN import'!F175=0,"",'HIDDEN import'!F175)</f>
        <v>UI-0</v>
      </c>
      <c r="F176" t="str">
        <f>IF('HIDDEN import'!G175=0,"",'HIDDEN import'!G175)</f>
        <v/>
      </c>
      <c r="G176" s="39" t="str">
        <f>IFERROR(VLOOKUP($A176,'HIDDEN Testrun Results'!$A:$B,2,FALSE),"")</f>
        <v/>
      </c>
      <c r="H176" s="39" t="b">
        <f t="shared" si="2"/>
        <v>0</v>
      </c>
      <c r="I176" s="39" t="b">
        <f>IF(VLOOKUP(A176&amp;" "&amp;B176,'HIDDEN import'!A:G,5,FALSE)="M",TRUE,IFERROR(VLOOKUP(E176,'Optional features'!B:E,3,FALSE)="Yes",IFERROR(VLOOKUP(E176,'HIDDEN calc sheet'!A:B,2,FALSE),VLOOKUP(E176,'Additional questions'!B:D,3,FALSE)="Yes")))</f>
        <v>0</v>
      </c>
      <c r="J176" t="b">
        <f>IF(VLOOKUP(B176,'Profile selection'!B:C,2,FALSE)="Yes",TRUE,FALSE)</f>
        <v>1</v>
      </c>
      <c r="K176" s="17" t="b">
        <f>IF(AND(D176=MD!$A$1,M176),TRUE,(IF(AND(D176=MD!$A$3,M176),(IF(L176=TRUE,TRUE,FALSE)),(IF(AND(D176=MD!$A$2,M176),(IF(N176=TRUE,TRUE,FALSE)),FALSE)))))</f>
        <v>0</v>
      </c>
      <c r="M176" t="b">
        <f>IF(VLOOKUP(B176,'Profile selection'!B:C,2,FALSE)="Yes",TRUE,FALSE)</f>
        <v>1</v>
      </c>
    </row>
    <row r="177" spans="1:13" x14ac:dyDescent="0.25">
      <c r="A177" t="str">
        <f>'HIDDEN import'!B176</f>
        <v>TC_O_19_CSMS</v>
      </c>
      <c r="B177" t="str">
        <f>'HIDDEN import'!C176</f>
        <v>Core</v>
      </c>
      <c r="C177" t="str">
        <f>'HIDDEN import'!D176</f>
        <v>Set Display Message - NotSupportedMessageFormat</v>
      </c>
      <c r="D177" t="str">
        <f>IF(VLOOKUP(A177&amp;" "&amp;B177,'HIDDEN import'!A:G,5,FALSE)="M",MD!$A$1,(IF(AND(VLOOKUP(A177,'HIDDEN import'!B:E,4,FALSE)="C",OR(NOT(ISERROR(VLOOKUP(E177,'Optional features'!B:E,1,FALSE)=E177)),NOT(ISERROR(VLOOKUP(E177,'HIDDEN calc sheet'!A:C,1,FALSE)=E177)))),MD!$A$3,MD!$A$2)))</f>
        <v>Mandatory for optional feature</v>
      </c>
      <c r="E177" t="str">
        <f>IF('HIDDEN import'!F176=0,"",'HIDDEN import'!F176)</f>
        <v>UI-0</v>
      </c>
      <c r="F177" t="str">
        <f>IF('HIDDEN import'!G176=0,"",'HIDDEN import'!G176)</f>
        <v/>
      </c>
      <c r="G177" s="39" t="str">
        <f>IFERROR(VLOOKUP($A177,'HIDDEN Testrun Results'!$A:$B,2,FALSE),"")</f>
        <v/>
      </c>
      <c r="H177" s="39" t="b">
        <f t="shared" si="2"/>
        <v>0</v>
      </c>
      <c r="I177" s="39" t="b">
        <f>IF(VLOOKUP(A177&amp;" "&amp;B177,'HIDDEN import'!A:G,5,FALSE)="M",TRUE,IFERROR(VLOOKUP(E177,'Optional features'!B:E,3,FALSE)="Yes",IFERROR(VLOOKUP(E177,'HIDDEN calc sheet'!A:B,2,FALSE),VLOOKUP(E177,'Additional questions'!B:D,3,FALSE)="Yes")))</f>
        <v>0</v>
      </c>
      <c r="J177" t="b">
        <f>IF(VLOOKUP(B177,'Profile selection'!B:C,2,FALSE)="Yes",TRUE,FALSE)</f>
        <v>1</v>
      </c>
      <c r="K177" s="17" t="b">
        <f>IF(AND(D177=MD!$A$1,M177),TRUE,(IF(AND(D177=MD!$A$3,M177),(IF(L177=TRUE,TRUE,FALSE)),(IF(AND(D177=MD!$A$2,M177),(IF(N177=TRUE,TRUE,FALSE)),FALSE)))))</f>
        <v>0</v>
      </c>
      <c r="M177" t="b">
        <f>IF(VLOOKUP(B177,'Profile selection'!B:C,2,FALSE)="Yes",TRUE,FALSE)</f>
        <v>1</v>
      </c>
    </row>
    <row r="178" spans="1:13" x14ac:dyDescent="0.25">
      <c r="A178" t="str">
        <f>'HIDDEN import'!B177</f>
        <v>TC_O_12_CSMS</v>
      </c>
      <c r="B178" t="str">
        <f>'HIDDEN import'!C177</f>
        <v>Core</v>
      </c>
      <c r="C178" t="str">
        <f>'HIDDEN import'!D177</f>
        <v>Set Display Message - Replace DisplayMessage</v>
      </c>
      <c r="D178" t="str">
        <f>IF(VLOOKUP(A178&amp;" "&amp;B178,'HIDDEN import'!A:G,5,FALSE)="M",MD!$A$1,(IF(AND(VLOOKUP(A178,'HIDDEN import'!B:E,4,FALSE)="C",OR(NOT(ISERROR(VLOOKUP(E178,'Optional features'!B:E,1,FALSE)=E178)),NOT(ISERROR(VLOOKUP(E178,'HIDDEN calc sheet'!A:C,1,FALSE)=E178)))),MD!$A$3,MD!$A$2)))</f>
        <v>Mandatory for optional feature</v>
      </c>
      <c r="E178" t="str">
        <f>IF('HIDDEN import'!F177=0,"",'HIDDEN import'!F177)</f>
        <v>UI-0</v>
      </c>
      <c r="F178" t="str">
        <f>IF('HIDDEN import'!G177=0,"",'HIDDEN import'!G177)</f>
        <v/>
      </c>
      <c r="G178" s="39" t="str">
        <f>IFERROR(VLOOKUP($A178,'HIDDEN Testrun Results'!$A:$B,2,FALSE),"")</f>
        <v/>
      </c>
      <c r="H178" s="39" t="b">
        <f t="shared" si="2"/>
        <v>0</v>
      </c>
      <c r="I178" s="39" t="b">
        <f>IF(VLOOKUP(A178&amp;" "&amp;B178,'HIDDEN import'!A:G,5,FALSE)="M",TRUE,IFERROR(VLOOKUP(E178,'Optional features'!B:E,3,FALSE)="Yes",IFERROR(VLOOKUP(E178,'HIDDEN calc sheet'!A:B,2,FALSE),VLOOKUP(E178,'Additional questions'!B:D,3,FALSE)="Yes")))</f>
        <v>0</v>
      </c>
      <c r="J178" t="b">
        <f>IF(VLOOKUP(B178,'Profile selection'!B:C,2,FALSE)="Yes",TRUE,FALSE)</f>
        <v>1</v>
      </c>
      <c r="K178" s="17" t="b">
        <f>IF(AND(D178=MD!$A$1,M178),TRUE,(IF(AND(D178=MD!$A$3,M178),(IF(L178=TRUE,TRUE,FALSE)),(IF(AND(D178=MD!$A$2,M178),(IF(N178=TRUE,TRUE,FALSE)),FALSE)))))</f>
        <v>0</v>
      </c>
      <c r="M178" t="b">
        <f>IF(VLOOKUP(B178,'Profile selection'!B:C,2,FALSE)="Yes",TRUE,FALSE)</f>
        <v>1</v>
      </c>
    </row>
    <row r="179" spans="1:13" x14ac:dyDescent="0.25">
      <c r="A179" t="str">
        <f>'HIDDEN import'!B178</f>
        <v>TC_O_06_CSMS</v>
      </c>
      <c r="B179" t="str">
        <f>'HIDDEN import'!C178</f>
        <v>Core</v>
      </c>
      <c r="C179" t="str">
        <f>'HIDDEN import'!D178</f>
        <v>Set Display Message - Specific transaction - Success</v>
      </c>
      <c r="D179" t="str">
        <f>IF(VLOOKUP(A179&amp;" "&amp;B179,'HIDDEN import'!A:G,5,FALSE)="M",MD!$A$1,(IF(AND(VLOOKUP(A179,'HIDDEN import'!B:E,4,FALSE)="C",OR(NOT(ISERROR(VLOOKUP(E179,'Optional features'!B:E,1,FALSE)=E179)),NOT(ISERROR(VLOOKUP(E179,'HIDDEN calc sheet'!A:C,1,FALSE)=E179)))),MD!$A$3,MD!$A$2)))</f>
        <v>Mandatory for optional feature</v>
      </c>
      <c r="E179" t="str">
        <f>IF('HIDDEN import'!F178=0,"",'HIDDEN import'!F178)</f>
        <v>UI-0</v>
      </c>
      <c r="F179" t="str">
        <f>IF('HIDDEN import'!G178=0,"",'HIDDEN import'!G178)</f>
        <v/>
      </c>
      <c r="G179" s="39" t="str">
        <f>IFERROR(VLOOKUP($A179,'HIDDEN Testrun Results'!$A:$B,2,FALSE),"")</f>
        <v/>
      </c>
      <c r="H179" s="39" t="b">
        <f t="shared" si="2"/>
        <v>0</v>
      </c>
      <c r="I179" s="39" t="b">
        <f>IF(VLOOKUP(A179&amp;" "&amp;B179,'HIDDEN import'!A:G,5,FALSE)="M",TRUE,IFERROR(VLOOKUP(E179,'Optional features'!B:E,3,FALSE)="Yes",IFERROR(VLOOKUP(E179,'HIDDEN calc sheet'!A:B,2,FALSE),VLOOKUP(E179,'Additional questions'!B:D,3,FALSE)="Yes")))</f>
        <v>0</v>
      </c>
      <c r="J179" t="b">
        <f>IF(VLOOKUP(B179,'Profile selection'!B:C,2,FALSE)="Yes",TRUE,FALSE)</f>
        <v>1</v>
      </c>
      <c r="K179" s="17" t="b">
        <f>IF(AND(D179=MD!$A$1,M179),TRUE,(IF(AND(D179=MD!$A$3,M179),(IF(L179=TRUE,TRUE,FALSE)),(IF(AND(D179=MD!$A$2,M179),(IF(N179=TRUE,TRUE,FALSE)),FALSE)))))</f>
        <v>0</v>
      </c>
      <c r="M179" t="b">
        <f>IF(VLOOKUP(B179,'Profile selection'!B:C,2,FALSE)="Yes",TRUE,FALSE)</f>
        <v>1</v>
      </c>
    </row>
    <row r="180" spans="1:13" x14ac:dyDescent="0.25">
      <c r="A180" t="str">
        <f>'HIDDEN import'!B179</f>
        <v>TC_O_10_CSMS</v>
      </c>
      <c r="B180" t="str">
        <f>'HIDDEN import'!C179</f>
        <v>Core</v>
      </c>
      <c r="C180" t="str">
        <f>'HIDDEN import'!D179</f>
        <v>Set Display Message - Specific transaction - UnknownTransaction</v>
      </c>
      <c r="D180" t="str">
        <f>IF(VLOOKUP(A180&amp;" "&amp;B180,'HIDDEN import'!A:G,5,FALSE)="M",MD!$A$1,(IF(AND(VLOOKUP(A180,'HIDDEN import'!B:E,4,FALSE)="C",OR(NOT(ISERROR(VLOOKUP(E180,'Optional features'!B:E,1,FALSE)=E180)),NOT(ISERROR(VLOOKUP(E180,'HIDDEN calc sheet'!A:C,1,FALSE)=E180)))),MD!$A$3,MD!$A$2)))</f>
        <v>Mandatory for optional feature</v>
      </c>
      <c r="E180" t="str">
        <f>IF('HIDDEN import'!F179=0,"",'HIDDEN import'!F179)</f>
        <v>UI-0</v>
      </c>
      <c r="F180" t="str">
        <f>IF('HIDDEN import'!G179=0,"",'HIDDEN import'!G179)</f>
        <v/>
      </c>
      <c r="G180" s="39" t="str">
        <f>IFERROR(VLOOKUP($A180,'HIDDEN Testrun Results'!$A:$B,2,FALSE),"")</f>
        <v/>
      </c>
      <c r="H180" s="39" t="b">
        <f t="shared" si="2"/>
        <v>0</v>
      </c>
      <c r="I180" s="39" t="b">
        <f>IF(VLOOKUP(A180&amp;" "&amp;B180,'HIDDEN import'!A:G,5,FALSE)="M",TRUE,IFERROR(VLOOKUP(E180,'Optional features'!B:E,3,FALSE)="Yes",IFERROR(VLOOKUP(E180,'HIDDEN calc sheet'!A:B,2,FALSE),VLOOKUP(E180,'Additional questions'!B:D,3,FALSE)="Yes")))</f>
        <v>0</v>
      </c>
      <c r="J180" t="b">
        <f>IF(VLOOKUP(B180,'Profile selection'!B:C,2,FALSE)="Yes",TRUE,FALSE)</f>
        <v>1</v>
      </c>
      <c r="K180" s="17" t="b">
        <f>IF(AND(D180=MD!$A$1,M180),TRUE,(IF(AND(D180=MD!$A$3,M180),(IF(L180=TRUE,TRUE,FALSE)),(IF(AND(D180=MD!$A$2,M180),(IF(N180=TRUE,TRUE,FALSE)),FALSE)))))</f>
        <v>0</v>
      </c>
      <c r="M180" t="b">
        <f>IF(VLOOKUP(B180,'Profile selection'!B:C,2,FALSE)="Yes",TRUE,FALSE)</f>
        <v>1</v>
      </c>
    </row>
    <row r="181" spans="1:13" x14ac:dyDescent="0.25">
      <c r="A181" t="str">
        <f>'HIDDEN import'!B180</f>
        <v>TC_O_27_CSMS</v>
      </c>
      <c r="B181" t="str">
        <f>'HIDDEN import'!C180</f>
        <v>Core</v>
      </c>
      <c r="C181" t="str">
        <f>'HIDDEN import'!D180</f>
        <v>Set Display Message - Specific transaction - Display message at StartTime</v>
      </c>
      <c r="D181" t="str">
        <f>IF(VLOOKUP(A181&amp;" "&amp;B181,'HIDDEN import'!A:G,5,FALSE)="M",MD!$A$1,(IF(AND(VLOOKUP(A181,'HIDDEN import'!B:E,4,FALSE)="C",OR(NOT(ISERROR(VLOOKUP(E181,'Optional features'!B:E,1,FALSE)=E181)),NOT(ISERROR(VLOOKUP(E181,'HIDDEN calc sheet'!A:C,1,FALSE)=E181)))),MD!$A$3,MD!$A$2)))</f>
        <v>Mandatory for optional feature</v>
      </c>
      <c r="E181" t="str">
        <f>IF('HIDDEN import'!F180=0,"",'HIDDEN import'!F180)</f>
        <v>UI-0</v>
      </c>
      <c r="F181" t="str">
        <f>IF('HIDDEN import'!G180=0,"",'HIDDEN import'!G180)</f>
        <v/>
      </c>
      <c r="G181" s="39" t="str">
        <f>IFERROR(VLOOKUP($A181,'HIDDEN Testrun Results'!$A:$B,2,FALSE),"")</f>
        <v/>
      </c>
      <c r="H181" s="39" t="b">
        <f t="shared" si="2"/>
        <v>0</v>
      </c>
      <c r="I181" s="39" t="b">
        <f>IF(VLOOKUP(A181&amp;" "&amp;B181,'HIDDEN import'!A:G,5,FALSE)="M",TRUE,IFERROR(VLOOKUP(E181,'Optional features'!B:E,3,FALSE)="Yes",IFERROR(VLOOKUP(E181,'HIDDEN calc sheet'!A:B,2,FALSE),VLOOKUP(E181,'Additional questions'!B:D,3,FALSE)="Yes")))</f>
        <v>0</v>
      </c>
      <c r="J181" t="b">
        <f>IF(VLOOKUP(B181,'Profile selection'!B:C,2,FALSE)="Yes",TRUE,FALSE)</f>
        <v>1</v>
      </c>
      <c r="K181" s="17" t="b">
        <f>IF(AND(D181=MD!$A$1,M181),TRUE,(IF(AND(D181=MD!$A$3,M181),(IF(L181=TRUE,TRUE,FALSE)),(IF(AND(D181=MD!$A$2,M181),(IF(N181=TRUE,TRUE,FALSE)),FALSE)))))</f>
        <v>0</v>
      </c>
      <c r="M181" t="b">
        <f>IF(VLOOKUP(B181,'Profile selection'!B:C,2,FALSE)="Yes",TRUE,FALSE)</f>
        <v>1</v>
      </c>
    </row>
    <row r="182" spans="1:13" x14ac:dyDescent="0.25">
      <c r="A182" t="str">
        <f>'HIDDEN import'!B181</f>
        <v>TC_O_28_CSMS</v>
      </c>
      <c r="B182" t="str">
        <f>'HIDDEN import'!C181</f>
        <v>Core</v>
      </c>
      <c r="C182" t="str">
        <f>'HIDDEN import'!D181</f>
        <v>Set Display Message - Specific transaction - Remove message after EndTime</v>
      </c>
      <c r="D182" t="str">
        <f>IF(VLOOKUP(A182&amp;" "&amp;B182,'HIDDEN import'!A:G,5,FALSE)="M",MD!$A$1,(IF(AND(VLOOKUP(A182,'HIDDEN import'!B:E,4,FALSE)="C",OR(NOT(ISERROR(VLOOKUP(E182,'Optional features'!B:E,1,FALSE)=E182)),NOT(ISERROR(VLOOKUP(E182,'HIDDEN calc sheet'!A:C,1,FALSE)=E182)))),MD!$A$3,MD!$A$2)))</f>
        <v>Mandatory for optional feature</v>
      </c>
      <c r="E182" t="str">
        <f>IF('HIDDEN import'!F181=0,"",'HIDDEN import'!F181)</f>
        <v>UI-0</v>
      </c>
      <c r="F182" t="str">
        <f>IF('HIDDEN import'!G181=0,"",'HIDDEN import'!G181)</f>
        <v/>
      </c>
      <c r="G182" s="39" t="str">
        <f>IFERROR(VLOOKUP($A182,'HIDDEN Testrun Results'!$A:$B,2,FALSE),"")</f>
        <v/>
      </c>
      <c r="H182" s="39" t="b">
        <f t="shared" si="2"/>
        <v>0</v>
      </c>
      <c r="I182" s="39" t="b">
        <f>IF(VLOOKUP(A182&amp;" "&amp;B182,'HIDDEN import'!A:G,5,FALSE)="M",TRUE,IFERROR(VLOOKUP(E182,'Optional features'!B:E,3,FALSE)="Yes",IFERROR(VLOOKUP(E182,'HIDDEN calc sheet'!A:B,2,FALSE),VLOOKUP(E182,'Additional questions'!B:D,3,FALSE)="Yes")))</f>
        <v>0</v>
      </c>
      <c r="J182" t="b">
        <f>IF(VLOOKUP(B182,'Profile selection'!B:C,2,FALSE)="Yes",TRUE,FALSE)</f>
        <v>1</v>
      </c>
      <c r="K182" s="17" t="b">
        <f>IF(AND(D182=MD!$A$1,M182),TRUE,(IF(AND(D182=MD!$A$3,M182),(IF(L182=TRUE,TRUE,FALSE)),(IF(AND(D182=MD!$A$2,M182),(IF(N182=TRUE,TRUE,FALSE)),FALSE)))))</f>
        <v>0</v>
      </c>
      <c r="M182" t="b">
        <f>IF(VLOOKUP(B182,'Profile selection'!B:C,2,FALSE)="Yes",TRUE,FALSE)</f>
        <v>1</v>
      </c>
    </row>
    <row r="183" spans="1:13" x14ac:dyDescent="0.25">
      <c r="A183" t="str">
        <f>'HIDDEN import'!B182</f>
        <v>TC_O_02_CSMS</v>
      </c>
      <c r="B183" t="str">
        <f>'HIDDEN import'!C182</f>
        <v>Core</v>
      </c>
      <c r="C183" t="str">
        <f>'HIDDEN import'!D182</f>
        <v>Get all Display Messages - Success</v>
      </c>
      <c r="D183" t="str">
        <f>IF(VLOOKUP(A183&amp;" "&amp;B183,'HIDDEN import'!A:G,5,FALSE)="M",MD!$A$1,(IF(AND(VLOOKUP(A183,'HIDDEN import'!B:E,4,FALSE)="C",OR(NOT(ISERROR(VLOOKUP(E183,'Optional features'!B:E,1,FALSE)=E183)),NOT(ISERROR(VLOOKUP(E183,'HIDDEN calc sheet'!A:C,1,FALSE)=E183)))),MD!$A$3,MD!$A$2)))</f>
        <v>Mandatory for optional feature</v>
      </c>
      <c r="E183" t="str">
        <f>IF('HIDDEN import'!F182=0,"",'HIDDEN import'!F182)</f>
        <v>UI-0</v>
      </c>
      <c r="F183" t="str">
        <f>IF('HIDDEN import'!G182=0,"",'HIDDEN import'!G182)</f>
        <v/>
      </c>
      <c r="G183" s="39" t="str">
        <f>IFERROR(VLOOKUP($A183,'HIDDEN Testrun Results'!$A:$B,2,FALSE),"")</f>
        <v/>
      </c>
      <c r="H183" s="39" t="b">
        <f t="shared" si="2"/>
        <v>0</v>
      </c>
      <c r="I183" s="39" t="b">
        <f>IF(VLOOKUP(A183&amp;" "&amp;B183,'HIDDEN import'!A:G,5,FALSE)="M",TRUE,IFERROR(VLOOKUP(E183,'Optional features'!B:E,3,FALSE)="Yes",IFERROR(VLOOKUP(E183,'HIDDEN calc sheet'!A:B,2,FALSE),VLOOKUP(E183,'Additional questions'!B:D,3,FALSE)="Yes")))</f>
        <v>0</v>
      </c>
      <c r="J183" t="b">
        <f>IF(VLOOKUP(B183,'Profile selection'!B:C,2,FALSE)="Yes",TRUE,FALSE)</f>
        <v>1</v>
      </c>
      <c r="K183" s="17" t="b">
        <f>IF(AND(D183=MD!$A$1,M183),TRUE,(IF(AND(D183=MD!$A$3,M183),(IF(L183=TRUE,TRUE,FALSE)),(IF(AND(D183=MD!$A$2,M183),(IF(N183=TRUE,TRUE,FALSE)),FALSE)))))</f>
        <v>0</v>
      </c>
      <c r="M183" t="b">
        <f>IF(VLOOKUP(B183,'Profile selection'!B:C,2,FALSE)="Yes",TRUE,FALSE)</f>
        <v>1</v>
      </c>
    </row>
    <row r="184" spans="1:13" x14ac:dyDescent="0.25">
      <c r="A184" t="str">
        <f>'HIDDEN import'!B183</f>
        <v>TC_O_03_CSMS</v>
      </c>
      <c r="B184" t="str">
        <f>'HIDDEN import'!C183</f>
        <v>Core</v>
      </c>
      <c r="C184" t="str">
        <f>'HIDDEN import'!D183</f>
        <v>Get all Display Messages - No DisplayMessages configured</v>
      </c>
      <c r="D184" t="str">
        <f>IF(VLOOKUP(A184&amp;" "&amp;B184,'HIDDEN import'!A:G,5,FALSE)="M",MD!$A$1,(IF(AND(VLOOKUP(A184,'HIDDEN import'!B:E,4,FALSE)="C",OR(NOT(ISERROR(VLOOKUP(E184,'Optional features'!B:E,1,FALSE)=E184)),NOT(ISERROR(VLOOKUP(E184,'HIDDEN calc sheet'!A:C,1,FALSE)=E184)))),MD!$A$3,MD!$A$2)))</f>
        <v>Mandatory for optional feature</v>
      </c>
      <c r="E184" t="str">
        <f>IF('HIDDEN import'!F183=0,"",'HIDDEN import'!F183)</f>
        <v>UI-0</v>
      </c>
      <c r="F184" t="str">
        <f>IF('HIDDEN import'!G183=0,"",'HIDDEN import'!G183)</f>
        <v/>
      </c>
      <c r="G184" s="39" t="str">
        <f>IFERROR(VLOOKUP($A184,'HIDDEN Testrun Results'!$A:$B,2,FALSE),"")</f>
        <v/>
      </c>
      <c r="H184" s="39" t="b">
        <f t="shared" si="2"/>
        <v>0</v>
      </c>
      <c r="I184" s="39" t="b">
        <f>IF(VLOOKUP(A184&amp;" "&amp;B184,'HIDDEN import'!A:G,5,FALSE)="M",TRUE,IFERROR(VLOOKUP(E184,'Optional features'!B:E,3,FALSE)="Yes",IFERROR(VLOOKUP(E184,'HIDDEN calc sheet'!A:B,2,FALSE),VLOOKUP(E184,'Additional questions'!B:D,3,FALSE)="Yes")))</f>
        <v>0</v>
      </c>
      <c r="J184" t="b">
        <f>IF(VLOOKUP(B184,'Profile selection'!B:C,2,FALSE)="Yes",TRUE,FALSE)</f>
        <v>1</v>
      </c>
      <c r="K184" s="17" t="b">
        <f>IF(AND(D184=MD!$A$1,M184),TRUE,(IF(AND(D184=MD!$A$3,M184),(IF(L184=TRUE,TRUE,FALSE)),(IF(AND(D184=MD!$A$2,M184),(IF(N184=TRUE,TRUE,FALSE)),FALSE)))))</f>
        <v>0</v>
      </c>
      <c r="M184" t="b">
        <f>IF(VLOOKUP(B184,'Profile selection'!B:C,2,FALSE)="Yes",TRUE,FALSE)</f>
        <v>1</v>
      </c>
    </row>
    <row r="185" spans="1:13" x14ac:dyDescent="0.25">
      <c r="A185" t="str">
        <f>'HIDDEN import'!B184</f>
        <v>TC_O_07_CSMS</v>
      </c>
      <c r="B185" t="str">
        <f>'HIDDEN import'!C184</f>
        <v>Core</v>
      </c>
      <c r="C185" t="str">
        <f>'HIDDEN import'!D184</f>
        <v>Get a Specific Display Message - Id</v>
      </c>
      <c r="D185" t="str">
        <f>IF(VLOOKUP(A185&amp;" "&amp;B185,'HIDDEN import'!A:G,5,FALSE)="M",MD!$A$1,(IF(AND(VLOOKUP(A185,'HIDDEN import'!B:E,4,FALSE)="C",OR(NOT(ISERROR(VLOOKUP(E185,'Optional features'!B:E,1,FALSE)=E185)),NOT(ISERROR(VLOOKUP(E185,'HIDDEN calc sheet'!A:C,1,FALSE)=E185)))),MD!$A$3,MD!$A$2)))</f>
        <v>Mandatory for optional feature</v>
      </c>
      <c r="E185" t="str">
        <f>IF('HIDDEN import'!F184=0,"",'HIDDEN import'!F184)</f>
        <v>UI-0</v>
      </c>
      <c r="F185" t="str">
        <f>IF('HIDDEN import'!G184=0,"",'HIDDEN import'!G184)</f>
        <v/>
      </c>
      <c r="G185" s="39" t="str">
        <f>IFERROR(VLOOKUP($A185,'HIDDEN Testrun Results'!$A:$B,2,FALSE),"")</f>
        <v/>
      </c>
      <c r="H185" s="39" t="b">
        <f t="shared" si="2"/>
        <v>0</v>
      </c>
      <c r="I185" s="39" t="b">
        <f>IF(VLOOKUP(A185&amp;" "&amp;B185,'HIDDEN import'!A:G,5,FALSE)="M",TRUE,IFERROR(VLOOKUP(E185,'Optional features'!B:E,3,FALSE)="Yes",IFERROR(VLOOKUP(E185,'HIDDEN calc sheet'!A:B,2,FALSE),VLOOKUP(E185,'Additional questions'!B:D,3,FALSE)="Yes")))</f>
        <v>0</v>
      </c>
      <c r="J185" t="b">
        <f>IF(VLOOKUP(B185,'Profile selection'!B:C,2,FALSE)="Yes",TRUE,FALSE)</f>
        <v>1</v>
      </c>
      <c r="K185" s="17" t="b">
        <f>IF(AND(D185=MD!$A$1,M185),TRUE,(IF(AND(D185=MD!$A$3,M185),(IF(L185=TRUE,TRUE,FALSE)),(IF(AND(D185=MD!$A$2,M185),(IF(N185=TRUE,TRUE,FALSE)),FALSE)))))</f>
        <v>0</v>
      </c>
      <c r="M185" t="b">
        <f>IF(VLOOKUP(B185,'Profile selection'!B:C,2,FALSE)="Yes",TRUE,FALSE)</f>
        <v>1</v>
      </c>
    </row>
    <row r="186" spans="1:13" x14ac:dyDescent="0.25">
      <c r="A186" t="str">
        <f>'HIDDEN import'!B185</f>
        <v>TC_O_08_CSMS</v>
      </c>
      <c r="B186" t="str">
        <f>'HIDDEN import'!C185</f>
        <v>Core</v>
      </c>
      <c r="C186" t="str">
        <f>'HIDDEN import'!D185</f>
        <v>Get a Specific Display Message - Priority</v>
      </c>
      <c r="D186" t="str">
        <f>IF(VLOOKUP(A186&amp;" "&amp;B186,'HIDDEN import'!A:G,5,FALSE)="M",MD!$A$1,(IF(AND(VLOOKUP(A186,'HIDDEN import'!B:E,4,FALSE)="C",OR(NOT(ISERROR(VLOOKUP(E186,'Optional features'!B:E,1,FALSE)=E186)),NOT(ISERROR(VLOOKUP(E186,'HIDDEN calc sheet'!A:C,1,FALSE)=E186)))),MD!$A$3,MD!$A$2)))</f>
        <v>Mandatory for optional feature</v>
      </c>
      <c r="E186" t="str">
        <f>IF('HIDDEN import'!F185=0,"",'HIDDEN import'!F185)</f>
        <v>UI-0</v>
      </c>
      <c r="F186" t="str">
        <f>IF('HIDDEN import'!G185=0,"",'HIDDEN import'!G185)</f>
        <v>UI-1: Supported MessagePriorities</v>
      </c>
      <c r="G186" s="39" t="str">
        <f>IFERROR(VLOOKUP($A186,'HIDDEN Testrun Results'!$A:$B,2,FALSE),"")</f>
        <v/>
      </c>
      <c r="H186" s="39" t="b">
        <f t="shared" si="2"/>
        <v>0</v>
      </c>
      <c r="I186" s="39" t="b">
        <f>IF(VLOOKUP(A186&amp;" "&amp;B186,'HIDDEN import'!A:G,5,FALSE)="M",TRUE,IFERROR(VLOOKUP(E186,'Optional features'!B:E,3,FALSE)="Yes",IFERROR(VLOOKUP(E186,'HIDDEN calc sheet'!A:B,2,FALSE),VLOOKUP(E186,'Additional questions'!B:D,3,FALSE)="Yes")))</f>
        <v>0</v>
      </c>
      <c r="J186" t="b">
        <f>IF(VLOOKUP(B186,'Profile selection'!B:C,2,FALSE)="Yes",TRUE,FALSE)</f>
        <v>1</v>
      </c>
      <c r="K186" s="17" t="b">
        <f>IF(AND(D186=MD!$A$1,M186),TRUE,(IF(AND(D186=MD!$A$3,M186),(IF(L186=TRUE,TRUE,FALSE)),(IF(AND(D186=MD!$A$2,M186),(IF(N186=TRUE,TRUE,FALSE)),FALSE)))))</f>
        <v>0</v>
      </c>
      <c r="M186" t="b">
        <f>IF(VLOOKUP(B186,'Profile selection'!B:C,2,FALSE)="Yes",TRUE,FALSE)</f>
        <v>1</v>
      </c>
    </row>
    <row r="187" spans="1:13" x14ac:dyDescent="0.25">
      <c r="A187" t="str">
        <f>'HIDDEN import'!B186</f>
        <v>TC_O_09_CSMS</v>
      </c>
      <c r="B187" t="str">
        <f>'HIDDEN import'!C186</f>
        <v>Core</v>
      </c>
      <c r="C187" t="str">
        <f>'HIDDEN import'!D186</f>
        <v>Get a Specific Display Message - State</v>
      </c>
      <c r="D187" t="str">
        <f>IF(VLOOKUP(A187&amp;" "&amp;B187,'HIDDEN import'!A:G,5,FALSE)="M",MD!$A$1,(IF(AND(VLOOKUP(A187,'HIDDEN import'!B:E,4,FALSE)="C",OR(NOT(ISERROR(VLOOKUP(E187,'Optional features'!B:E,1,FALSE)=E187)),NOT(ISERROR(VLOOKUP(E187,'HIDDEN calc sheet'!A:C,1,FALSE)=E187)))),MD!$A$3,MD!$A$2)))</f>
        <v>Mandatory for optional feature</v>
      </c>
      <c r="E187" t="str">
        <f>IF('HIDDEN import'!F186=0,"",'HIDDEN import'!F186)</f>
        <v>UI-0</v>
      </c>
      <c r="F187" t="str">
        <f>IF('HIDDEN import'!G186=0,"",'HIDDEN import'!G186)</f>
        <v/>
      </c>
      <c r="G187" s="39" t="str">
        <f>IFERROR(VLOOKUP($A187,'HIDDEN Testrun Results'!$A:$B,2,FALSE),"")</f>
        <v/>
      </c>
      <c r="H187" s="39" t="b">
        <f t="shared" si="2"/>
        <v>0</v>
      </c>
      <c r="I187" s="39" t="b">
        <f>IF(VLOOKUP(A187&amp;" "&amp;B187,'HIDDEN import'!A:G,5,FALSE)="M",TRUE,IFERROR(VLOOKUP(E187,'Optional features'!B:E,3,FALSE)="Yes",IFERROR(VLOOKUP(E187,'HIDDEN calc sheet'!A:B,2,FALSE),VLOOKUP(E187,'Additional questions'!B:D,3,FALSE)="Yes")))</f>
        <v>0</v>
      </c>
      <c r="J187" t="b">
        <f>IF(VLOOKUP(B187,'Profile selection'!B:C,2,FALSE)="Yes",TRUE,FALSE)</f>
        <v>1</v>
      </c>
      <c r="K187" s="17" t="b">
        <f>IF(AND(D187=MD!$A$1,M187),TRUE,(IF(AND(D187=MD!$A$3,M187),(IF(L187=TRUE,TRUE,FALSE)),(IF(AND(D187=MD!$A$2,M187),(IF(N187=TRUE,TRUE,FALSE)),FALSE)))))</f>
        <v>0</v>
      </c>
      <c r="M187" t="b">
        <f>IF(VLOOKUP(B187,'Profile selection'!B:C,2,FALSE)="Yes",TRUE,FALSE)</f>
        <v>1</v>
      </c>
    </row>
    <row r="188" spans="1:13" x14ac:dyDescent="0.25">
      <c r="A188" t="str">
        <f>'HIDDEN import'!B187</f>
        <v>TC_O_04_CSMS</v>
      </c>
      <c r="B188" t="str">
        <f>'HIDDEN import'!C187</f>
        <v>Core</v>
      </c>
      <c r="C188" t="str">
        <f>'HIDDEN import'!D187</f>
        <v>Clear Display Message - Success</v>
      </c>
      <c r="D188" t="str">
        <f>IF(VLOOKUP(A188&amp;" "&amp;B188,'HIDDEN import'!A:G,5,FALSE)="M",MD!$A$1,(IF(AND(VLOOKUP(A188,'HIDDEN import'!B:E,4,FALSE)="C",OR(NOT(ISERROR(VLOOKUP(E188,'Optional features'!B:E,1,FALSE)=E188)),NOT(ISERROR(VLOOKUP(E188,'HIDDEN calc sheet'!A:C,1,FALSE)=E188)))),MD!$A$3,MD!$A$2)))</f>
        <v>Mandatory for optional feature</v>
      </c>
      <c r="E188" t="str">
        <f>IF('HIDDEN import'!F187=0,"",'HIDDEN import'!F187)</f>
        <v>UI-0</v>
      </c>
      <c r="F188" t="str">
        <f>IF('HIDDEN import'!G187=0,"",'HIDDEN import'!G187)</f>
        <v/>
      </c>
      <c r="G188" s="39" t="str">
        <f>IFERROR(VLOOKUP($A188,'HIDDEN Testrun Results'!$A:$B,2,FALSE),"")</f>
        <v/>
      </c>
      <c r="H188" s="39" t="b">
        <f t="shared" si="2"/>
        <v>0</v>
      </c>
      <c r="I188" s="39" t="b">
        <f>IF(VLOOKUP(A188&amp;" "&amp;B188,'HIDDEN import'!A:G,5,FALSE)="M",TRUE,IFERROR(VLOOKUP(E188,'Optional features'!B:E,3,FALSE)="Yes",IFERROR(VLOOKUP(E188,'HIDDEN calc sheet'!A:B,2,FALSE),VLOOKUP(E188,'Additional questions'!B:D,3,FALSE)="Yes")))</f>
        <v>0</v>
      </c>
      <c r="J188" t="b">
        <f>IF(VLOOKUP(B188,'Profile selection'!B:C,2,FALSE)="Yes",TRUE,FALSE)</f>
        <v>1</v>
      </c>
      <c r="K188" s="17" t="b">
        <f>IF(AND(D188=MD!$A$1,M188),TRUE,(IF(AND(D188=MD!$A$3,M188),(IF(L188=TRUE,TRUE,FALSE)),(IF(AND(D188=MD!$A$2,M188),(IF(N188=TRUE,TRUE,FALSE)),FALSE)))))</f>
        <v>0</v>
      </c>
      <c r="M188" t="b">
        <f>IF(VLOOKUP(B188,'Profile selection'!B:C,2,FALSE)="Yes",TRUE,FALSE)</f>
        <v>1</v>
      </c>
    </row>
    <row r="189" spans="1:13" x14ac:dyDescent="0.25">
      <c r="A189" t="str">
        <f>'HIDDEN import'!B188</f>
        <v>TC_O_05_CSMS</v>
      </c>
      <c r="B189" t="str">
        <f>'HIDDEN import'!C188</f>
        <v>Core</v>
      </c>
      <c r="C189" t="str">
        <f>'HIDDEN import'!D188</f>
        <v>Clear Display Message - Unknown Key</v>
      </c>
      <c r="D189" t="str">
        <f>IF(VLOOKUP(A189&amp;" "&amp;B189,'HIDDEN import'!A:G,5,FALSE)="M",MD!$A$1,(IF(AND(VLOOKUP(A189,'HIDDEN import'!B:E,4,FALSE)="C",OR(NOT(ISERROR(VLOOKUP(E189,'Optional features'!B:E,1,FALSE)=E189)),NOT(ISERROR(VLOOKUP(E189,'HIDDEN calc sheet'!A:C,1,FALSE)=E189)))),MD!$A$3,MD!$A$2)))</f>
        <v>Mandatory for optional feature</v>
      </c>
      <c r="E189" t="str">
        <f>IF('HIDDEN import'!F188=0,"",'HIDDEN import'!F188)</f>
        <v>UI-0</v>
      </c>
      <c r="F189" t="str">
        <f>IF('HIDDEN import'!G188=0,"",'HIDDEN import'!G188)</f>
        <v/>
      </c>
      <c r="G189" s="39" t="str">
        <f>IFERROR(VLOOKUP($A189,'HIDDEN Testrun Results'!$A:$B,2,FALSE),"")</f>
        <v/>
      </c>
      <c r="H189" s="39" t="b">
        <f t="shared" si="2"/>
        <v>0</v>
      </c>
      <c r="I189" s="39" t="b">
        <f>IF(VLOOKUP(A189&amp;" "&amp;B189,'HIDDEN import'!A:G,5,FALSE)="M",TRUE,IFERROR(VLOOKUP(E189,'Optional features'!B:E,3,FALSE)="Yes",IFERROR(VLOOKUP(E189,'HIDDEN calc sheet'!A:B,2,FALSE),VLOOKUP(E189,'Additional questions'!B:D,3,FALSE)="Yes")))</f>
        <v>0</v>
      </c>
      <c r="J189" t="b">
        <f>IF(VLOOKUP(B189,'Profile selection'!B:C,2,FALSE)="Yes",TRUE,FALSE)</f>
        <v>1</v>
      </c>
      <c r="K189" s="17" t="b">
        <f>IF(AND(D189=MD!$A$1,M189),TRUE,(IF(AND(D189=MD!$A$3,M189),(IF(L189=TRUE,TRUE,FALSE)),(IF(AND(D189=MD!$A$2,M189),(IF(N189=TRUE,TRUE,FALSE)),FALSE)))))</f>
        <v>0</v>
      </c>
      <c r="M189" t="b">
        <f>IF(VLOOKUP(B189,'Profile selection'!B:C,2,FALSE)="Yes",TRUE,FALSE)</f>
        <v>1</v>
      </c>
    </row>
    <row r="190" spans="1:13" x14ac:dyDescent="0.25">
      <c r="A190" t="str">
        <f>'HIDDEN import'!B189</f>
        <v>TC_A_07_CSMS</v>
      </c>
      <c r="B190" t="str">
        <f>'HIDDEN import'!C189</f>
        <v>Advanced Security</v>
      </c>
      <c r="C190" t="str">
        <f>'HIDDEN import'!D189</f>
        <v>TLS - Client-side certificate - valid certificate</v>
      </c>
      <c r="D190" t="str">
        <f>IF(VLOOKUP(A190&amp;" "&amp;B190,'HIDDEN import'!A:G,5,FALSE)="M",MD!$A$1,(IF(AND(VLOOKUP(A190,'HIDDEN import'!B:E,4,FALSE)="C",OR(NOT(ISERROR(VLOOKUP(E190,'Optional features'!B:E,1,FALSE)=E190)),NOT(ISERROR(VLOOKUP(E190,'HIDDEN calc sheet'!A:C,1,FALSE)=E190)))),MD!$A$3,MD!$A$2)))</f>
        <v>Mandatory test for a mandatory feature</v>
      </c>
      <c r="E190" t="str">
        <f>IF('HIDDEN import'!F189=0,"",'HIDDEN import'!F189)</f>
        <v/>
      </c>
      <c r="F190" t="str">
        <f>IF('HIDDEN import'!G189=0,"",'HIDDEN import'!G189)</f>
        <v/>
      </c>
      <c r="G190" s="39" t="str">
        <f>IFERROR(VLOOKUP($A190,'HIDDEN Testrun Results'!$A:$B,2,FALSE),"")</f>
        <v/>
      </c>
      <c r="H190" s="39" t="b">
        <f t="shared" si="2"/>
        <v>1</v>
      </c>
      <c r="I190" s="39" t="b">
        <f>IF(VLOOKUP(A190&amp;" "&amp;B190,'HIDDEN import'!A:G,5,FALSE)="M",TRUE,IFERROR(VLOOKUP(E190,'Optional features'!B:E,3,FALSE)="Yes",IFERROR(VLOOKUP(E190,'HIDDEN calc sheet'!A:B,2,FALSE),VLOOKUP(E190,'Additional questions'!B:D,3,FALSE)="Yes")))</f>
        <v>1</v>
      </c>
      <c r="J190" t="b">
        <f>IF(VLOOKUP(B190,'Profile selection'!B:C,2,FALSE)="Yes",TRUE,FALSE)</f>
        <v>1</v>
      </c>
      <c r="K190" s="17" t="b">
        <f>IF(AND(D190=MD!$A$1,M190),TRUE,(IF(AND(D190=MD!$A$3,M190),(IF(L190=TRUE,TRUE,FALSE)),(IF(AND(D190=MD!$A$2,M190),(IF(N190=TRUE,TRUE,FALSE)),FALSE)))))</f>
        <v>1</v>
      </c>
      <c r="M190" t="b">
        <f>IF(VLOOKUP(B190,'Profile selection'!B:C,2,FALSE)="Yes",TRUE,FALSE)</f>
        <v>1</v>
      </c>
    </row>
    <row r="191" spans="1:13" x14ac:dyDescent="0.25">
      <c r="A191" t="str">
        <f>'HIDDEN import'!B190</f>
        <v>TC_A_08_CSMS</v>
      </c>
      <c r="B191" t="str">
        <f>'HIDDEN import'!C190</f>
        <v>Advanced Security</v>
      </c>
      <c r="C191" t="str">
        <f>'HIDDEN import'!D190</f>
        <v>TLS - Client-side certificate - Invalid certificate</v>
      </c>
      <c r="D191" t="str">
        <f>IF(VLOOKUP(A191&amp;" "&amp;B191,'HIDDEN import'!A:G,5,FALSE)="M",MD!$A$1,(IF(AND(VLOOKUP(A191,'HIDDEN import'!B:E,4,FALSE)="C",OR(NOT(ISERROR(VLOOKUP(E191,'Optional features'!B:E,1,FALSE)=E191)),NOT(ISERROR(VLOOKUP(E191,'HIDDEN calc sheet'!A:C,1,FALSE)=E191)))),MD!$A$3,MD!$A$2)))</f>
        <v>Mandatory test for a mandatory feature</v>
      </c>
      <c r="E191" t="str">
        <f>IF('HIDDEN import'!F190=0,"",'HIDDEN import'!F190)</f>
        <v/>
      </c>
      <c r="F191" t="str">
        <f>IF('HIDDEN import'!G190=0,"",'HIDDEN import'!G190)</f>
        <v/>
      </c>
      <c r="G191" s="39" t="str">
        <f>IFERROR(VLOOKUP($A191,'HIDDEN Testrun Results'!$A:$B,2,FALSE),"")</f>
        <v/>
      </c>
      <c r="H191" s="39" t="b">
        <f t="shared" si="2"/>
        <v>1</v>
      </c>
      <c r="I191" s="39" t="b">
        <f>IF(VLOOKUP(A191&amp;" "&amp;B191,'HIDDEN import'!A:G,5,FALSE)="M",TRUE,IFERROR(VLOOKUP(E191,'Optional features'!B:E,3,FALSE)="Yes",IFERROR(VLOOKUP(E191,'HIDDEN calc sheet'!A:B,2,FALSE),VLOOKUP(E191,'Additional questions'!B:D,3,FALSE)="Yes")))</f>
        <v>1</v>
      </c>
      <c r="J191" t="b">
        <f>IF(VLOOKUP(B191,'Profile selection'!B:C,2,FALSE)="Yes",TRUE,FALSE)</f>
        <v>1</v>
      </c>
      <c r="K191" s="17" t="b">
        <f>IF(AND(D191=MD!$A$1,M191),TRUE,(IF(AND(D191=MD!$A$3,M191),(IF(L191=TRUE,TRUE,FALSE)),(IF(AND(D191=MD!$A$2,M191),(IF(N191=TRUE,TRUE,FALSE)),FALSE)))))</f>
        <v>1</v>
      </c>
      <c r="M191" t="b">
        <f>IF(VLOOKUP(B191,'Profile selection'!B:C,2,FALSE)="Yes",TRUE,FALSE)</f>
        <v>1</v>
      </c>
    </row>
    <row r="192" spans="1:13" x14ac:dyDescent="0.25">
      <c r="A192" t="str">
        <f>'HIDDEN import'!B191</f>
        <v>TC_A_11_CSMS</v>
      </c>
      <c r="B192" t="str">
        <f>'HIDDEN import'!C191</f>
        <v>Advanced Security</v>
      </c>
      <c r="C192" t="str">
        <f>'HIDDEN import'!D191</f>
        <v>Update Charging Station Certificate by request of CSMS - Success - Charging Station Certificate</v>
      </c>
      <c r="D192" t="str">
        <f>IF(VLOOKUP(A192&amp;" "&amp;B192,'HIDDEN import'!A:G,5,FALSE)="M",MD!$A$1,(IF(AND(VLOOKUP(A192,'HIDDEN import'!B:E,4,FALSE)="C",OR(NOT(ISERROR(VLOOKUP(E192,'Optional features'!B:E,1,FALSE)=E192)),NOT(ISERROR(VLOOKUP(E192,'HIDDEN calc sheet'!A:C,1,FALSE)=E192)))),MD!$A$3,MD!$A$2)))</f>
        <v>Mandatory test for a mandatory feature</v>
      </c>
      <c r="E192" t="str">
        <f>IF('HIDDEN import'!F191=0,"",'HIDDEN import'!F191)</f>
        <v/>
      </c>
      <c r="F192" t="str">
        <f>IF('HIDDEN import'!G191=0,"",'HIDDEN import'!G191)</f>
        <v/>
      </c>
      <c r="G192" s="39" t="str">
        <f>IFERROR(VLOOKUP($A192,'HIDDEN Testrun Results'!$A:$B,2,FALSE),"")</f>
        <v/>
      </c>
      <c r="H192" s="39" t="b">
        <f t="shared" si="2"/>
        <v>1</v>
      </c>
      <c r="I192" s="39" t="b">
        <f>IF(VLOOKUP(A192&amp;" "&amp;B192,'HIDDEN import'!A:G,5,FALSE)="M",TRUE,IFERROR(VLOOKUP(E192,'Optional features'!B:E,3,FALSE)="Yes",IFERROR(VLOOKUP(E192,'HIDDEN calc sheet'!A:B,2,FALSE),VLOOKUP(E192,'Additional questions'!B:D,3,FALSE)="Yes")))</f>
        <v>1</v>
      </c>
      <c r="J192" t="b">
        <f>IF(VLOOKUP(B192,'Profile selection'!B:C,2,FALSE)="Yes",TRUE,FALSE)</f>
        <v>1</v>
      </c>
      <c r="K192" s="17" t="b">
        <f>IF(AND(D192=MD!$A$1,M192),TRUE,(IF(AND(D192=MD!$A$3,M192),(IF(L192=TRUE,TRUE,FALSE)),(IF(AND(D192=MD!$A$2,M192),(IF(N192=TRUE,TRUE,FALSE)),FALSE)))))</f>
        <v>1</v>
      </c>
      <c r="M192" t="b">
        <f>IF(VLOOKUP(B192,'Profile selection'!B:C,2,FALSE)="Yes",TRUE,FALSE)</f>
        <v>1</v>
      </c>
    </row>
    <row r="193" spans="1:13" x14ac:dyDescent="0.25">
      <c r="A193" t="str">
        <f>'HIDDEN import'!B192</f>
        <v>TC_A_14_CSMS</v>
      </c>
      <c r="B193" t="str">
        <f>'HIDDEN import'!C192</f>
        <v>Advanced Security</v>
      </c>
      <c r="C193" t="str">
        <f>'HIDDEN import'!D192</f>
        <v>Update Charging Station Certificate by request of CSMS - Invalid certificate</v>
      </c>
      <c r="D193" t="str">
        <f>IF(VLOOKUP(A193&amp;" "&amp;B193,'HIDDEN import'!A:G,5,FALSE)="M",MD!$A$1,(IF(AND(VLOOKUP(A193,'HIDDEN import'!B:E,4,FALSE)="C",OR(NOT(ISERROR(VLOOKUP(E193,'Optional features'!B:E,1,FALSE)=E193)),NOT(ISERROR(VLOOKUP(E193,'HIDDEN calc sheet'!A:C,1,FALSE)=E193)))),MD!$A$3,MD!$A$2)))</f>
        <v>Mandatory test for a mandatory feature</v>
      </c>
      <c r="E193" t="str">
        <f>IF('HIDDEN import'!F192=0,"",'HIDDEN import'!F192)</f>
        <v/>
      </c>
      <c r="F193" t="str">
        <f>IF('HIDDEN import'!G192=0,"",'HIDDEN import'!G192)</f>
        <v/>
      </c>
      <c r="G193" s="39" t="str">
        <f>IFERROR(VLOOKUP($A193,'HIDDEN Testrun Results'!$A:$B,2,FALSE),"")</f>
        <v/>
      </c>
      <c r="H193" s="39" t="b">
        <f t="shared" si="2"/>
        <v>1</v>
      </c>
      <c r="I193" s="39" t="b">
        <f>IF(VLOOKUP(A193&amp;" "&amp;B193,'HIDDEN import'!A:G,5,FALSE)="M",TRUE,IFERROR(VLOOKUP(E193,'Optional features'!B:E,3,FALSE)="Yes",IFERROR(VLOOKUP(E193,'HIDDEN calc sheet'!A:B,2,FALSE),VLOOKUP(E193,'Additional questions'!B:D,3,FALSE)="Yes")))</f>
        <v>1</v>
      </c>
      <c r="J193" t="b">
        <f>IF(VLOOKUP(B193,'Profile selection'!B:C,2,FALSE)="Yes",TRUE,FALSE)</f>
        <v>1</v>
      </c>
      <c r="K193" s="17" t="b">
        <f>IF(AND(D193=MD!$A$1,M193),TRUE,(IF(AND(D193=MD!$A$3,M193),(IF(L193=TRUE,TRUE,FALSE)),(IF(AND(D193=MD!$A$2,M193),(IF(N193=TRUE,TRUE,FALSE)),FALSE)))))</f>
        <v>1</v>
      </c>
      <c r="L193" t="b">
        <f>IF(ISNA(VLOOKUP(E193,'Optional features'!B:D,3,FALSE)),FALSE,IF(VLOOKUP(E193,'Optional features'!B:D,3,FALSE)="Yes",TRUE,FALSE))</f>
        <v>0</v>
      </c>
      <c r="M193" t="b">
        <f>IF(VLOOKUP(B193,'Profile selection'!B:C,2,FALSE)="Yes",TRUE,FALSE)</f>
        <v>1</v>
      </c>
    </row>
    <row r="194" spans="1:13" x14ac:dyDescent="0.25">
      <c r="A194" t="str">
        <f>'HIDDEN import'!B193</f>
        <v>TC_K_01_CSMS</v>
      </c>
      <c r="B194" t="str">
        <f>'HIDDEN import'!C193</f>
        <v>Smart Charging</v>
      </c>
      <c r="C194" t="str">
        <f>'HIDDEN import'!D193</f>
        <v>Set Charging Profile - TxDefaultProfile - Specific EVSE</v>
      </c>
      <c r="D194" t="str">
        <f>IF(VLOOKUP(A194&amp;" "&amp;B194,'HIDDEN import'!A:G,5,FALSE)="M",MD!$A$1,(IF(AND(VLOOKUP(A194,'HIDDEN import'!B:E,4,FALSE)="C",OR(NOT(ISERROR(VLOOKUP(E194,'Optional features'!B:E,1,FALSE)=E194)),NOT(ISERROR(VLOOKUP(E194,'HIDDEN calc sheet'!A:C,1,FALSE)=E194)))),MD!$A$3,MD!$A$2)))</f>
        <v>Mandatory test for a mandatory feature</v>
      </c>
      <c r="E194" t="str">
        <f>IF('HIDDEN import'!F193=0,"",'HIDDEN import'!F193)</f>
        <v/>
      </c>
      <c r="F194" t="str">
        <f>IF('HIDDEN import'!G193=0,"",'HIDDEN import'!G193)</f>
        <v/>
      </c>
      <c r="G194" s="39" t="str">
        <f>IFERROR(VLOOKUP($A194,'HIDDEN Testrun Results'!$A:$B,2,FALSE),"")</f>
        <v/>
      </c>
      <c r="H194" s="39" t="b">
        <f t="shared" si="2"/>
        <v>0</v>
      </c>
      <c r="I194" s="39" t="b">
        <f>IF(VLOOKUP(A194&amp;" "&amp;B194,'HIDDEN import'!A:G,5,FALSE)="M",TRUE,IFERROR(VLOOKUP(E194,'Optional features'!B:E,3,FALSE)="Yes",IFERROR(VLOOKUP(E194,'HIDDEN calc sheet'!A:B,2,FALSE),VLOOKUP(E194,'Additional questions'!B:D,3,FALSE)="Yes")))</f>
        <v>1</v>
      </c>
      <c r="J194" t="b">
        <f>IF(VLOOKUP(B194,'Profile selection'!B:C,2,FALSE)="Yes",TRUE,FALSE)</f>
        <v>0</v>
      </c>
      <c r="K194" s="17" t="b">
        <f>IF(AND(D194=MD!$A$1,M194),TRUE,(IF(AND(D194=MD!$A$3,M194),(IF(L194=TRUE,TRUE,FALSE)),(IF(AND(D194=MD!$A$2,M194),(IF(N194=TRUE,TRUE,FALSE)),FALSE)))))</f>
        <v>0</v>
      </c>
      <c r="L194" t="b">
        <f>IF(ISNA(VLOOKUP(E194,'Optional features'!B:D,3,FALSE)),FALSE,IF(VLOOKUP(E194,'Optional features'!B:D,3,FALSE)="Yes",TRUE,FALSE))</f>
        <v>0</v>
      </c>
      <c r="M194" t="b">
        <f>IF(VLOOKUP(B194,'Profile selection'!B:C,2,FALSE)="Yes",TRUE,FALSE)</f>
        <v>0</v>
      </c>
    </row>
    <row r="195" spans="1:13" x14ac:dyDescent="0.25">
      <c r="A195" t="str">
        <f>'HIDDEN import'!B194</f>
        <v>TC_K_10_CSMS</v>
      </c>
      <c r="B195" t="str">
        <f>'HIDDEN import'!C194</f>
        <v>Smart Charging</v>
      </c>
      <c r="C195" t="str">
        <f>'HIDDEN import'!D194</f>
        <v>Set Charging Profile - TxDefaultProfile - All EVSE</v>
      </c>
      <c r="D195" t="str">
        <f>IF(VLOOKUP(A195&amp;" "&amp;B195,'HIDDEN import'!A:G,5,FALSE)="M",MD!$A$1,(IF(AND(VLOOKUP(A195,'HIDDEN import'!B:E,4,FALSE)="C",OR(NOT(ISERROR(VLOOKUP(E195,'Optional features'!B:E,1,FALSE)=E195)),NOT(ISERROR(VLOOKUP(E195,'HIDDEN calc sheet'!A:C,1,FALSE)=E195)))),MD!$A$3,MD!$A$2)))</f>
        <v>Mandatory for optional feature</v>
      </c>
      <c r="E195" t="str">
        <f>IF('HIDDEN import'!F194=0,"",'HIDDEN import'!F194)</f>
        <v>SC-4</v>
      </c>
      <c r="F195" t="str">
        <f>IF('HIDDEN import'!G194=0,"",'HIDDEN import'!G194)</f>
        <v>Support for TxDefaultProfile on EVSEID #0</v>
      </c>
      <c r="G195" s="39" t="str">
        <f>IFERROR(VLOOKUP($A195,'HIDDEN Testrun Results'!$A:$B,2,FALSE),"")</f>
        <v/>
      </c>
      <c r="H195" s="39" t="b">
        <f t="shared" si="2"/>
        <v>0</v>
      </c>
      <c r="I195" s="39" t="b">
        <f>IF(VLOOKUP(A195&amp;" "&amp;B195,'HIDDEN import'!A:G,5,FALSE)="M",TRUE,IFERROR(VLOOKUP(E195,'Optional features'!B:E,3,FALSE)="Yes",IFERROR(VLOOKUP(E195,'HIDDEN calc sheet'!A:B,2,FALSE),VLOOKUP(E195,'Additional questions'!B:D,3,FALSE)="Yes")))</f>
        <v>0</v>
      </c>
      <c r="J195" t="b">
        <f>IF(VLOOKUP(B195,'Profile selection'!B:C,2,FALSE)="Yes",TRUE,FALSE)</f>
        <v>0</v>
      </c>
      <c r="K195" s="17" t="b">
        <f>IF(AND(D195=MD!$A$1,M195),TRUE,(IF(AND(D195=MD!$A$3,M195),(IF(L195=TRUE,TRUE,FALSE)),(IF(AND(D195=MD!$A$2,M195),(IF(N195=TRUE,TRUE,FALSE)),FALSE)))))</f>
        <v>0</v>
      </c>
      <c r="L195" t="b">
        <f>IF(ISNA(VLOOKUP(E195,'Optional features'!B:D,3,FALSE)),FALSE,IF(VLOOKUP(E195,'Optional features'!B:D,3,FALSE)="Yes",TRUE,FALSE))</f>
        <v>0</v>
      </c>
      <c r="M195" t="b">
        <f>IF(VLOOKUP(B195,'Profile selection'!B:C,2,FALSE)="Yes",TRUE,FALSE)</f>
        <v>0</v>
      </c>
    </row>
    <row r="196" spans="1:13" x14ac:dyDescent="0.25">
      <c r="A196" t="str">
        <f>'HIDDEN import'!B195</f>
        <v>TC_K_60_CSMS</v>
      </c>
      <c r="B196" t="str">
        <f>'HIDDEN import'!C195</f>
        <v>Smart Charging</v>
      </c>
      <c r="C196" t="str">
        <f>'HIDDEN import'!D195</f>
        <v>Set Charging Profile - TxProfile with ongoing transaction on the specified EVSE</v>
      </c>
      <c r="D196" t="str">
        <f>IF(VLOOKUP(A196&amp;" "&amp;B196,'HIDDEN import'!A:G,5,FALSE)="M",MD!$A$1,(IF(AND(VLOOKUP(A196,'HIDDEN import'!B:E,4,FALSE)="C",OR(NOT(ISERROR(VLOOKUP(E196,'Optional features'!B:E,1,FALSE)=E196)),NOT(ISERROR(VLOOKUP(E196,'HIDDEN calc sheet'!A:C,1,FALSE)=E196)))),MD!$A$3,MD!$A$2)))</f>
        <v>Mandatory test for a mandatory feature</v>
      </c>
      <c r="E196" t="str">
        <f>IF('HIDDEN import'!F195=0,"",'HIDDEN import'!F195)</f>
        <v/>
      </c>
      <c r="F196" t="str">
        <f>IF('HIDDEN import'!G195=0,"",'HIDDEN import'!G195)</f>
        <v/>
      </c>
      <c r="G196" s="39" t="str">
        <f>IFERROR(VLOOKUP($A196,'HIDDEN Testrun Results'!$A:$B,2,FALSE),"")</f>
        <v/>
      </c>
      <c r="H196" s="39" t="b">
        <f t="shared" ref="H196:H252" si="3">IF(NOT(ISLOGICAL(I196)),I196,AND(I196,J196))</f>
        <v>0</v>
      </c>
      <c r="I196" s="39" t="b">
        <f>IF(VLOOKUP(A196&amp;" "&amp;B196,'HIDDEN import'!A:G,5,FALSE)="M",TRUE,IFERROR(VLOOKUP(E196,'Optional features'!B:E,3,FALSE)="Yes",IFERROR(VLOOKUP(E196,'HIDDEN calc sheet'!A:B,2,FALSE),VLOOKUP(E196,'Additional questions'!B:D,3,FALSE)="Yes")))</f>
        <v>1</v>
      </c>
      <c r="J196" t="b">
        <f>IF(VLOOKUP(B196,'Profile selection'!B:C,2,FALSE)="Yes",TRUE,FALSE)</f>
        <v>0</v>
      </c>
      <c r="K196" s="17" t="b">
        <f>IF(AND(D196=MD!$A$1,M196),TRUE,(IF(AND(D196=MD!$A$3,M196),(IF(L196=TRUE,TRUE,FALSE)),(IF(AND(D196=MD!$A$2,M196),(IF(N196=TRUE,TRUE,FALSE)),FALSE)))))</f>
        <v>0</v>
      </c>
      <c r="M196" t="b">
        <f>IF(VLOOKUP(B196,'Profile selection'!B:C,2,FALSE)="Yes",TRUE,FALSE)</f>
        <v>0</v>
      </c>
    </row>
    <row r="197" spans="1:13" x14ac:dyDescent="0.25">
      <c r="A197" t="str">
        <f>'HIDDEN import'!B196</f>
        <v>TC_K_03_CSMS</v>
      </c>
      <c r="B197" t="str">
        <f>'HIDDEN import'!C196</f>
        <v>Smart Charging</v>
      </c>
      <c r="C197" t="str">
        <f>'HIDDEN import'!D196</f>
        <v>Set Charging Profile - ChargingStationMaxProfile</v>
      </c>
      <c r="D197" t="str">
        <f>IF(VLOOKUP(A197&amp;" "&amp;B197,'HIDDEN import'!A:G,5,FALSE)="M",MD!$A$1,(IF(AND(VLOOKUP(A197,'HIDDEN import'!B:E,4,FALSE)="C",OR(NOT(ISERROR(VLOOKUP(E197,'Optional features'!B:E,1,FALSE)=E197)),NOT(ISERROR(VLOOKUP(E197,'HIDDEN calc sheet'!A:C,1,FALSE)=E197)))),MD!$A$3,MD!$A$2)))</f>
        <v>Mandatory test for a mandatory feature</v>
      </c>
      <c r="E197" t="str">
        <f>IF('HIDDEN import'!F196=0,"",'HIDDEN import'!F196)</f>
        <v/>
      </c>
      <c r="F197" t="str">
        <f>IF('HIDDEN import'!G196=0,"",'HIDDEN import'!G196)</f>
        <v/>
      </c>
      <c r="G197" s="39" t="str">
        <f>IFERROR(VLOOKUP($A197,'HIDDEN Testrun Results'!$A:$B,2,FALSE),"")</f>
        <v/>
      </c>
      <c r="H197" s="39" t="b">
        <f t="shared" si="3"/>
        <v>0</v>
      </c>
      <c r="I197" s="39" t="b">
        <f>IF(VLOOKUP(A197&amp;" "&amp;B197,'HIDDEN import'!A:G,5,FALSE)="M",TRUE,IFERROR(VLOOKUP(E197,'Optional features'!B:E,3,FALSE)="Yes",IFERROR(VLOOKUP(E197,'HIDDEN calc sheet'!A:B,2,FALSE),VLOOKUP(E197,'Additional questions'!B:D,3,FALSE)="Yes")))</f>
        <v>1</v>
      </c>
      <c r="J197" t="b">
        <f>IF(VLOOKUP(B197,'Profile selection'!B:C,2,FALSE)="Yes",TRUE,FALSE)</f>
        <v>0</v>
      </c>
      <c r="K197" s="17" t="b">
        <f>IF(AND(D197=MD!$A$1,M197),TRUE,(IF(AND(D197=MD!$A$3,M197),(IF(L197=TRUE,TRUE,FALSE)),(IF(AND(D197=MD!$A$2,M197),(IF(N197=TRUE,TRUE,FALSE)),FALSE)))))</f>
        <v>0</v>
      </c>
      <c r="M197" t="b">
        <f>IF(VLOOKUP(B197,'Profile selection'!B:C,2,FALSE)="Yes",TRUE,FALSE)</f>
        <v>0</v>
      </c>
    </row>
    <row r="198" spans="1:13" x14ac:dyDescent="0.25">
      <c r="A198" t="str">
        <f>'HIDDEN import'!B197</f>
        <v>TC_K_19_CSMS</v>
      </c>
      <c r="B198" t="str">
        <f>'HIDDEN import'!C197</f>
        <v>Smart Charging</v>
      </c>
      <c r="C198" t="str">
        <f>'HIDDEN import'!D197</f>
        <v>Set Charging Profile - ChargingProfileKind is Recurring</v>
      </c>
      <c r="D198" t="str">
        <f>IF(VLOOKUP(A198&amp;" "&amp;B198,'HIDDEN import'!A:G,5,FALSE)="M",MD!$A$1,(IF(AND(VLOOKUP(A198,'HIDDEN import'!B:E,4,FALSE)="C",OR(NOT(ISERROR(VLOOKUP(E198,'Optional features'!B:E,1,FALSE)=E198)),NOT(ISERROR(VLOOKUP(E198,'HIDDEN calc sheet'!A:C,1,FALSE)=E198)))),MD!$A$3,MD!$A$2)))</f>
        <v>Mandatory test for a mandatory feature</v>
      </c>
      <c r="E198" t="str">
        <f>IF('HIDDEN import'!F197=0,"",'HIDDEN import'!F197)</f>
        <v/>
      </c>
      <c r="F198" t="str">
        <f>IF('HIDDEN import'!G197=0,"",'HIDDEN import'!G197)</f>
        <v/>
      </c>
      <c r="G198" s="39" t="str">
        <f>IFERROR(VLOOKUP($A198,'HIDDEN Testrun Results'!$A:$B,2,FALSE),"")</f>
        <v/>
      </c>
      <c r="H198" s="39" t="b">
        <f t="shared" si="3"/>
        <v>0</v>
      </c>
      <c r="I198" s="39" t="b">
        <f>IF(VLOOKUP(A198&amp;" "&amp;B198,'HIDDEN import'!A:G,5,FALSE)="M",TRUE,IFERROR(VLOOKUP(E198,'Optional features'!B:E,3,FALSE)="Yes",IFERROR(VLOOKUP(E198,'HIDDEN calc sheet'!A:B,2,FALSE),VLOOKUP(E198,'Additional questions'!B:D,3,FALSE)="Yes")))</f>
        <v>1</v>
      </c>
      <c r="J198" t="b">
        <f>IF(VLOOKUP(B198,'Profile selection'!B:C,2,FALSE)="Yes",TRUE,FALSE)</f>
        <v>0</v>
      </c>
      <c r="K198" s="17" t="b">
        <f>IF(AND(D198=MD!$A$1,M198),TRUE,(IF(AND(D198=MD!$A$3,M198),(IF(L198=TRUE,TRUE,FALSE)),(IF(AND(D198=MD!$A$2,M198),(IF(N198=TRUE,TRUE,FALSE)),FALSE)))))</f>
        <v>0</v>
      </c>
      <c r="M198" t="b">
        <f>IF(VLOOKUP(B198,'Profile selection'!B:C,2,FALSE)="Yes",TRUE,FALSE)</f>
        <v>0</v>
      </c>
    </row>
    <row r="199" spans="1:13" x14ac:dyDescent="0.25">
      <c r="A199" t="str">
        <f>'HIDDEN import'!B198</f>
        <v>TC_K_15_CSMS</v>
      </c>
      <c r="B199" t="str">
        <f>'HIDDEN import'!C198</f>
        <v>Smart Charging</v>
      </c>
      <c r="C199" t="str">
        <f>'HIDDEN import'!D198</f>
        <v>Set Charging Profile - Not Supported</v>
      </c>
      <c r="D199" t="str">
        <f>IF(VLOOKUP(A199&amp;" "&amp;B199,'HIDDEN import'!A:G,5,FALSE)="M",MD!$A$1,(IF(AND(VLOOKUP(A199,'HIDDEN import'!B:E,4,FALSE)="C",OR(NOT(ISERROR(VLOOKUP(E199,'Optional features'!B:E,1,FALSE)=E199)),NOT(ISERROR(VLOOKUP(E199,'HIDDEN calc sheet'!A:C,1,FALSE)=E199)))),MD!$A$3,MD!$A$2)))</f>
        <v>Mandatory test for a mandatory feature</v>
      </c>
      <c r="E199" t="str">
        <f>IF('HIDDEN import'!F198=0,"",'HIDDEN import'!F198)</f>
        <v/>
      </c>
      <c r="F199" t="str">
        <f>IF('HIDDEN import'!G198=0,"",'HIDDEN import'!G198)</f>
        <v/>
      </c>
      <c r="G199" s="39" t="str">
        <f>IFERROR(VLOOKUP($A199,'HIDDEN Testrun Results'!$A:$B,2,FALSE),"")</f>
        <v/>
      </c>
      <c r="H199" s="39" t="b">
        <f t="shared" si="3"/>
        <v>0</v>
      </c>
      <c r="I199" s="39" t="b">
        <f>IF(VLOOKUP(A199&amp;" "&amp;B199,'HIDDEN import'!A:G,5,FALSE)="M",TRUE,IFERROR(VLOOKUP(E199,'Optional features'!B:E,3,FALSE)="Yes",IFERROR(VLOOKUP(E199,'HIDDEN calc sheet'!A:B,2,FALSE),VLOOKUP(E199,'Additional questions'!B:D,3,FALSE)="Yes")))</f>
        <v>1</v>
      </c>
      <c r="J199" t="b">
        <f>IF(VLOOKUP(B199,'Profile selection'!B:C,2,FALSE)="Yes",TRUE,FALSE)</f>
        <v>0</v>
      </c>
      <c r="K199" s="17" t="b">
        <f>IF(AND(D199=MD!$A$1,M199),TRUE,(IF(AND(D199=MD!$A$3,M199),(IF(L199=TRUE,TRUE,FALSE)),(IF(AND(D199=MD!$A$2,M199),(IF(N199=TRUE,TRUE,FALSE)),FALSE)))))</f>
        <v>0</v>
      </c>
      <c r="M199" t="b">
        <f>IF(VLOOKUP(B199,'Profile selection'!B:C,2,FALSE)="Yes",TRUE,FALSE)</f>
        <v>0</v>
      </c>
    </row>
    <row r="200" spans="1:13" x14ac:dyDescent="0.25">
      <c r="A200" t="str">
        <f>'HIDDEN import'!B199</f>
        <v>TC_K_70_CSMS</v>
      </c>
      <c r="B200" t="str">
        <f>'HIDDEN import'!C199</f>
        <v>Smart Charging</v>
      </c>
      <c r="C200" t="str">
        <f>'HIDDEN import'!D199</f>
        <v>Set Charging Profile - Multiple Profiles</v>
      </c>
      <c r="D200" t="str">
        <f>IF(VLOOKUP(A200&amp;" "&amp;B200,'HIDDEN import'!A:G,5,FALSE)="M",MD!$A$1,(IF(AND(VLOOKUP(A200,'HIDDEN import'!B:E,4,FALSE)="C",OR(NOT(ISERROR(VLOOKUP(E200,'Optional features'!B:E,1,FALSE)=E200)),NOT(ISERROR(VLOOKUP(E200,'HIDDEN calc sheet'!A:C,1,FALSE)=E200)))),MD!$A$3,MD!$A$2)))</f>
        <v>Mandatory test for a mandatory feature</v>
      </c>
      <c r="E200" t="str">
        <f>IF('HIDDEN import'!F199=0,"",'HIDDEN import'!F199)</f>
        <v/>
      </c>
      <c r="F200" t="str">
        <f>IF('HIDDEN import'!G199=0,"",'HIDDEN import'!G199)</f>
        <v/>
      </c>
      <c r="G200" s="39" t="str">
        <f>IFERROR(VLOOKUP($A200,'HIDDEN Testrun Results'!$A:$B,2,FALSE),"")</f>
        <v/>
      </c>
      <c r="H200" s="39" t="b">
        <f t="shared" si="3"/>
        <v>0</v>
      </c>
      <c r="I200" s="39" t="b">
        <f>IF(VLOOKUP(A200&amp;" "&amp;B200,'HIDDEN import'!A:G,5,FALSE)="M",TRUE,IFERROR(VLOOKUP(E200,'Optional features'!B:E,3,FALSE)="Yes",IFERROR(VLOOKUP(E200,'HIDDEN calc sheet'!A:B,2,FALSE),VLOOKUP(E200,'Additional questions'!B:D,3,FALSE)="Yes")))</f>
        <v>1</v>
      </c>
      <c r="J200" t="b">
        <f>IF(VLOOKUP(B200,'Profile selection'!B:C,2,FALSE)="Yes",TRUE,FALSE)</f>
        <v>0</v>
      </c>
      <c r="K200" s="17" t="b">
        <f>IF(AND(D200=MD!$A$1,M200),TRUE,(IF(AND(D200=MD!$A$3,M200),(IF(L200=TRUE,TRUE,FALSE)),(IF(AND(D200=MD!$A$2,M200),(IF(N200=TRUE,TRUE,FALSE)),FALSE)))))</f>
        <v>0</v>
      </c>
      <c r="M200" t="b">
        <f>IF(VLOOKUP(B200,'Profile selection'!B:C,2,FALSE)="Yes",TRUE,FALSE)</f>
        <v>0</v>
      </c>
    </row>
    <row r="201" spans="1:13" x14ac:dyDescent="0.25">
      <c r="A201" t="str">
        <f>'HIDDEN import'!B200</f>
        <v>TC_K_04_CSMS</v>
      </c>
      <c r="B201" t="str">
        <f>'HIDDEN import'!C200</f>
        <v>Smart Charging</v>
      </c>
      <c r="C201" t="str">
        <f>'HIDDEN import'!D200</f>
        <v>Replace charging profile - With chargingProfileId</v>
      </c>
      <c r="D201" t="str">
        <f>IF(VLOOKUP(A201&amp;" "&amp;B201,'HIDDEN import'!A:G,5,FALSE)="M",MD!$A$1,(IF(AND(VLOOKUP(A201,'HIDDEN import'!B:E,4,FALSE)="C",OR(NOT(ISERROR(VLOOKUP(E201,'Optional features'!B:E,1,FALSE)=E201)),NOT(ISERROR(VLOOKUP(E201,'HIDDEN calc sheet'!A:C,1,FALSE)=E201)))),MD!$A$3,MD!$A$2)))</f>
        <v>Mandatory test for a mandatory feature</v>
      </c>
      <c r="E201" t="str">
        <f>IF('HIDDEN import'!F200=0,"",'HIDDEN import'!F200)</f>
        <v/>
      </c>
      <c r="F201" t="str">
        <f>IF('HIDDEN import'!G200=0,"",'HIDDEN import'!G200)</f>
        <v/>
      </c>
      <c r="G201" s="39" t="str">
        <f>IFERROR(VLOOKUP($A201,'HIDDEN Testrun Results'!$A:$B,2,FALSE),"")</f>
        <v/>
      </c>
      <c r="H201" s="39" t="b">
        <f t="shared" si="3"/>
        <v>0</v>
      </c>
      <c r="I201" s="39" t="b">
        <f>IF(VLOOKUP(A201&amp;" "&amp;B201,'HIDDEN import'!A:G,5,FALSE)="M",TRUE,IFERROR(VLOOKUP(E201,'Optional features'!B:E,3,FALSE)="Yes",IFERROR(VLOOKUP(E201,'HIDDEN calc sheet'!A:B,2,FALSE),VLOOKUP(E201,'Additional questions'!B:D,3,FALSE)="Yes")))</f>
        <v>1</v>
      </c>
      <c r="J201" t="b">
        <f>IF(VLOOKUP(B201,'Profile selection'!B:C,2,FALSE)="Yes",TRUE,FALSE)</f>
        <v>0</v>
      </c>
      <c r="K201" s="17" t="b">
        <f>IF(AND(D201=MD!$A$1,M201),TRUE,(IF(AND(D201=MD!$A$3,M201),(IF(L201=TRUE,TRUE,FALSE)),(IF(AND(D201=MD!$A$2,M201),(IF(N201=TRUE,TRUE,FALSE)),FALSE)))))</f>
        <v>0</v>
      </c>
      <c r="M201" t="b">
        <f>IF(VLOOKUP(B201,'Profile selection'!B:C,2,FALSE)="Yes",TRUE,FALSE)</f>
        <v>0</v>
      </c>
    </row>
    <row r="202" spans="1:13" x14ac:dyDescent="0.25">
      <c r="A202" t="str">
        <f>'HIDDEN import'!B201</f>
        <v>TC_K_37_CSMS</v>
      </c>
      <c r="B202" t="str">
        <f>'HIDDEN import'!C201</f>
        <v>Smart Charging</v>
      </c>
      <c r="C202" t="str">
        <f>'HIDDEN import'!D201</f>
        <v>Remote start transaction with charging profile - Success</v>
      </c>
      <c r="D202" t="str">
        <f>IF(VLOOKUP(A202&amp;" "&amp;B202,'HIDDEN import'!A:G,5,FALSE)="M",MD!$A$1,(IF(AND(VLOOKUP(A202,'HIDDEN import'!B:E,4,FALSE)="C",OR(NOT(ISERROR(VLOOKUP(E202,'Optional features'!B:E,1,FALSE)=E202)),NOT(ISERROR(VLOOKUP(E202,'HIDDEN calc sheet'!A:C,1,FALSE)=E202)))),MD!$A$3,MD!$A$2)))</f>
        <v>Mandatory test for a mandatory feature</v>
      </c>
      <c r="E202" t="str">
        <f>IF('HIDDEN import'!F201=0,"",'HIDDEN import'!F201)</f>
        <v/>
      </c>
      <c r="F202" t="str">
        <f>IF('HIDDEN import'!G201=0,"",'HIDDEN import'!G201)</f>
        <v/>
      </c>
      <c r="G202" s="39" t="str">
        <f>IFERROR(VLOOKUP($A202,'HIDDEN Testrun Results'!$A:$B,2,FALSE),"")</f>
        <v/>
      </c>
      <c r="H202" s="39" t="b">
        <f t="shared" si="3"/>
        <v>0</v>
      </c>
      <c r="I202" s="39" t="b">
        <f>IF(VLOOKUP(A202&amp;" "&amp;B202,'HIDDEN import'!A:G,5,FALSE)="M",TRUE,IFERROR(VLOOKUP(E202,'Optional features'!B:E,3,FALSE)="Yes",IFERROR(VLOOKUP(E202,'HIDDEN calc sheet'!A:B,2,FALSE),VLOOKUP(E202,'Additional questions'!B:D,3,FALSE)="Yes")))</f>
        <v>1</v>
      </c>
      <c r="J202" t="b">
        <f>IF(VLOOKUP(B202,'Profile selection'!B:C,2,FALSE)="Yes",TRUE,FALSE)</f>
        <v>0</v>
      </c>
      <c r="K202" s="17" t="b">
        <f>IF(AND(D202=MD!$A$1,M202),TRUE,(IF(AND(D202=MD!$A$3,M202),(IF(L202=TRUE,TRUE,FALSE)),(IF(AND(D202=MD!$A$2,M202),(IF(N202=TRUE,TRUE,FALSE)),FALSE)))))</f>
        <v>0</v>
      </c>
      <c r="M202" t="b">
        <f>IF(VLOOKUP(B202,'Profile selection'!B:C,2,FALSE)="Yes",TRUE,FALSE)</f>
        <v>0</v>
      </c>
    </row>
    <row r="203" spans="1:13" x14ac:dyDescent="0.25">
      <c r="A203" t="str">
        <f>'HIDDEN import'!B202</f>
        <v>TC_K_43_CSMS</v>
      </c>
      <c r="B203" t="str">
        <f>'HIDDEN import'!C202</f>
        <v>Smart Charging</v>
      </c>
      <c r="C203" t="str">
        <f>'HIDDEN import'!D202</f>
        <v>Get Composite Schedule - Specific EVSE</v>
      </c>
      <c r="D203" t="str">
        <f>IF(VLOOKUP(A203&amp;" "&amp;B203,'HIDDEN import'!A:G,5,FALSE)="M",MD!$A$1,(IF(AND(VLOOKUP(A203,'HIDDEN import'!B:E,4,FALSE)="C",OR(NOT(ISERROR(VLOOKUP(E203,'Optional features'!B:E,1,FALSE)=E203)),NOT(ISERROR(VLOOKUP(E203,'HIDDEN calc sheet'!A:C,1,FALSE)=E203)))),MD!$A$3,MD!$A$2)))</f>
        <v>Mandatory test for a mandatory feature</v>
      </c>
      <c r="E203" t="str">
        <f>IF('HIDDEN import'!F202=0,"",'HIDDEN import'!F202)</f>
        <v/>
      </c>
      <c r="F203" t="str">
        <f>IF('HIDDEN import'!G202=0,"",'HIDDEN import'!G202)</f>
        <v/>
      </c>
      <c r="G203" s="39" t="str">
        <f>IFERROR(VLOOKUP($A203,'HIDDEN Testrun Results'!$A:$B,2,FALSE),"")</f>
        <v/>
      </c>
      <c r="H203" s="39" t="b">
        <f t="shared" si="3"/>
        <v>0</v>
      </c>
      <c r="I203" s="39" t="b">
        <f>IF(VLOOKUP(A203&amp;" "&amp;B203,'HIDDEN import'!A:G,5,FALSE)="M",TRUE,IFERROR(VLOOKUP(E203,'Optional features'!B:E,3,FALSE)="Yes",IFERROR(VLOOKUP(E203,'HIDDEN calc sheet'!A:B,2,FALSE),VLOOKUP(E203,'Additional questions'!B:D,3,FALSE)="Yes")))</f>
        <v>1</v>
      </c>
      <c r="J203" t="b">
        <f>IF(VLOOKUP(B203,'Profile selection'!B:C,2,FALSE)="Yes",TRUE,FALSE)</f>
        <v>0</v>
      </c>
      <c r="K203" s="17" t="b">
        <f>IF(AND(D203=MD!$A$1,M203),TRUE,(IF(AND(D203=MD!$A$3,M203),(IF(L203=TRUE,TRUE,FALSE)),(IF(AND(D203=MD!$A$2,M203),(IF(N203=TRUE,TRUE,FALSE)),FALSE)))))</f>
        <v>0</v>
      </c>
      <c r="M203" t="b">
        <f>IF(VLOOKUP(B203,'Profile selection'!B:C,2,FALSE)="Yes",TRUE,FALSE)</f>
        <v>0</v>
      </c>
    </row>
    <row r="204" spans="1:13" x14ac:dyDescent="0.25">
      <c r="A204" t="str">
        <f>'HIDDEN import'!B203</f>
        <v>TC_K_44_CSMS</v>
      </c>
      <c r="B204" t="str">
        <f>'HIDDEN import'!C203</f>
        <v>Smart Charging</v>
      </c>
      <c r="C204" t="str">
        <f>'HIDDEN import'!D203</f>
        <v>Get Composite Schedule - Charging Station</v>
      </c>
      <c r="D204" t="str">
        <f>IF(VLOOKUP(A204&amp;" "&amp;B204,'HIDDEN import'!A:G,5,FALSE)="M",MD!$A$1,(IF(AND(VLOOKUP(A204,'HIDDEN import'!B:E,4,FALSE)="C",OR(NOT(ISERROR(VLOOKUP(E204,'Optional features'!B:E,1,FALSE)=E204)),NOT(ISERROR(VLOOKUP(E204,'HIDDEN calc sheet'!A:C,1,FALSE)=E204)))),MD!$A$3,MD!$A$2)))</f>
        <v>Mandatory test for a mandatory feature</v>
      </c>
      <c r="E204" t="str">
        <f>IF('HIDDEN import'!F203=0,"",'HIDDEN import'!F203)</f>
        <v/>
      </c>
      <c r="F204" t="str">
        <f>IF('HIDDEN import'!G203=0,"",'HIDDEN import'!G203)</f>
        <v/>
      </c>
      <c r="G204" s="39" t="str">
        <f>IFERROR(VLOOKUP($A204,'HIDDEN Testrun Results'!$A:$B,2,FALSE),"")</f>
        <v/>
      </c>
      <c r="H204" s="39" t="b">
        <f t="shared" si="3"/>
        <v>0</v>
      </c>
      <c r="I204" s="39" t="b">
        <f>IF(VLOOKUP(A204&amp;" "&amp;B204,'HIDDEN import'!A:G,5,FALSE)="M",TRUE,IFERROR(VLOOKUP(E204,'Optional features'!B:E,3,FALSE)="Yes",IFERROR(VLOOKUP(E204,'HIDDEN calc sheet'!A:B,2,FALSE),VLOOKUP(E204,'Additional questions'!B:D,3,FALSE)="Yes")))</f>
        <v>1</v>
      </c>
      <c r="J204" t="b">
        <f>IF(VLOOKUP(B204,'Profile selection'!B:C,2,FALSE)="Yes",TRUE,FALSE)</f>
        <v>0</v>
      </c>
      <c r="K204" s="17" t="b">
        <f>IF(AND(D204=MD!$A$1,M204),TRUE,(IF(AND(D204=MD!$A$3,M204),(IF(L204=TRUE,TRUE,FALSE)),(IF(AND(D204=MD!$A$2,M204),(IF(N204=TRUE,TRUE,FALSE)),FALSE)))))</f>
        <v>0</v>
      </c>
      <c r="M204" t="b">
        <f>IF(VLOOKUP(B204,'Profile selection'!B:C,2,FALSE)="Yes",TRUE,FALSE)</f>
        <v>0</v>
      </c>
    </row>
    <row r="205" spans="1:13" x14ac:dyDescent="0.25">
      <c r="A205" t="str">
        <f>'HIDDEN import'!B204</f>
        <v>TC_K_29_CSMS</v>
      </c>
      <c r="B205" t="str">
        <f>'HIDDEN import'!C204</f>
        <v>Smart Charging</v>
      </c>
      <c r="C205" t="str">
        <f>'HIDDEN import'!D204</f>
        <v>Get Charging Profile - EvseId 0</v>
      </c>
      <c r="D205" t="str">
        <f>IF(VLOOKUP(A205&amp;" "&amp;B205,'HIDDEN import'!A:G,5,FALSE)="M",MD!$A$1,(IF(AND(VLOOKUP(A205,'HIDDEN import'!B:E,4,FALSE)="C",OR(NOT(ISERROR(VLOOKUP(E205,'Optional features'!B:E,1,FALSE)=E205)),NOT(ISERROR(VLOOKUP(E205,'HIDDEN calc sheet'!A:C,1,FALSE)=E205)))),MD!$A$3,MD!$A$2)))</f>
        <v>Mandatory test for a mandatory feature</v>
      </c>
      <c r="E205" t="str">
        <f>IF('HIDDEN import'!F204=0,"",'HIDDEN import'!F204)</f>
        <v/>
      </c>
      <c r="F205" t="str">
        <f>IF('HIDDEN import'!G204=0,"",'HIDDEN import'!G204)</f>
        <v/>
      </c>
      <c r="G205" s="39" t="str">
        <f>IFERROR(VLOOKUP($A205,'HIDDEN Testrun Results'!$A:$B,2,FALSE),"")</f>
        <v/>
      </c>
      <c r="H205" s="39" t="b">
        <f t="shared" si="3"/>
        <v>0</v>
      </c>
      <c r="I205" s="39" t="b">
        <f>IF(VLOOKUP(A205&amp;" "&amp;B205,'HIDDEN import'!A:G,5,FALSE)="M",TRUE,IFERROR(VLOOKUP(E205,'Optional features'!B:E,3,FALSE)="Yes",IFERROR(VLOOKUP(E205,'HIDDEN calc sheet'!A:B,2,FALSE),VLOOKUP(E205,'Additional questions'!B:D,3,FALSE)="Yes")))</f>
        <v>1</v>
      </c>
      <c r="J205" t="b">
        <f>IF(VLOOKUP(B205,'Profile selection'!B:C,2,FALSE)="Yes",TRUE,FALSE)</f>
        <v>0</v>
      </c>
      <c r="K205" s="17" t="b">
        <f>IF(AND(D205=MD!$A$1,M205),TRUE,(IF(AND(D205=MD!$A$3,M205),(IF(L205=TRUE,TRUE,FALSE)),(IF(AND(D205=MD!$A$2,M205),(IF(N205=TRUE,TRUE,FALSE)),FALSE)))))</f>
        <v>0</v>
      </c>
      <c r="M205" t="b">
        <f>IF(VLOOKUP(B205,'Profile selection'!B:C,2,FALSE)="Yes",TRUE,FALSE)</f>
        <v>0</v>
      </c>
    </row>
    <row r="206" spans="1:13" x14ac:dyDescent="0.25">
      <c r="A206" t="str">
        <f>'HIDDEN import'!B205</f>
        <v>TC_K_30_CSMS</v>
      </c>
      <c r="B206" t="str">
        <f>'HIDDEN import'!C205</f>
        <v>Smart Charging</v>
      </c>
      <c r="C206" t="str">
        <f>'HIDDEN import'!D205</f>
        <v>Get Charging Profile - EvseId &gt; 0</v>
      </c>
      <c r="D206" t="str">
        <f>IF(VLOOKUP(A206&amp;" "&amp;B206,'HIDDEN import'!A:G,5,FALSE)="M",MD!$A$1,(IF(AND(VLOOKUP(A206,'HIDDEN import'!B:E,4,FALSE)="C",OR(NOT(ISERROR(VLOOKUP(E206,'Optional features'!B:E,1,FALSE)=E206)),NOT(ISERROR(VLOOKUP(E206,'HIDDEN calc sheet'!A:C,1,FALSE)=E206)))),MD!$A$3,MD!$A$2)))</f>
        <v>Mandatory test for a mandatory feature</v>
      </c>
      <c r="E206" t="str">
        <f>IF('HIDDEN import'!F205=0,"",'HIDDEN import'!F205)</f>
        <v/>
      </c>
      <c r="F206" t="str">
        <f>IF('HIDDEN import'!G205=0,"",'HIDDEN import'!G205)</f>
        <v/>
      </c>
      <c r="G206" s="39" t="str">
        <f>IFERROR(VLOOKUP($A206,'HIDDEN Testrun Results'!$A:$B,2,FALSE),"")</f>
        <v/>
      </c>
      <c r="H206" s="39" t="b">
        <f t="shared" si="3"/>
        <v>0</v>
      </c>
      <c r="I206" s="39" t="b">
        <f>IF(VLOOKUP(A206&amp;" "&amp;B206,'HIDDEN import'!A:G,5,FALSE)="M",TRUE,IFERROR(VLOOKUP(E206,'Optional features'!B:E,3,FALSE)="Yes",IFERROR(VLOOKUP(E206,'HIDDEN calc sheet'!A:B,2,FALSE),VLOOKUP(E206,'Additional questions'!B:D,3,FALSE)="Yes")))</f>
        <v>1</v>
      </c>
      <c r="J206" t="b">
        <f>IF(VLOOKUP(B206,'Profile selection'!B:C,2,FALSE)="Yes",TRUE,FALSE)</f>
        <v>0</v>
      </c>
      <c r="K206" s="17" t="b">
        <f>IF(AND(D206=MD!$A$1,M206),TRUE,(IF(AND(D206=MD!$A$3,M206),(IF(L206=TRUE,TRUE,FALSE)),(IF(AND(D206=MD!$A$2,M206),(IF(N206=TRUE,TRUE,FALSE)),FALSE)))))</f>
        <v>0</v>
      </c>
      <c r="M206" t="b">
        <f>IF(VLOOKUP(B206,'Profile selection'!B:C,2,FALSE)="Yes",TRUE,FALSE)</f>
        <v>0</v>
      </c>
    </row>
    <row r="207" spans="1:13" x14ac:dyDescent="0.25">
      <c r="A207" t="str">
        <f>'HIDDEN import'!B206</f>
        <v>TC_K_31_CSMS</v>
      </c>
      <c r="B207" t="str">
        <f>'HIDDEN import'!C206</f>
        <v>Smart Charging</v>
      </c>
      <c r="C207" t="str">
        <f>'HIDDEN import'!D206</f>
        <v>Get Charging Profile - No EvseId</v>
      </c>
      <c r="D207" t="str">
        <f>IF(VLOOKUP(A207&amp;" "&amp;B207,'HIDDEN import'!A:G,5,FALSE)="M",MD!$A$1,(IF(AND(VLOOKUP(A207,'HIDDEN import'!B:E,4,FALSE)="C",OR(NOT(ISERROR(VLOOKUP(E207,'Optional features'!B:E,1,FALSE)=E207)),NOT(ISERROR(VLOOKUP(E207,'HIDDEN calc sheet'!A:C,1,FALSE)=E207)))),MD!$A$3,MD!$A$2)))</f>
        <v>Mandatory test for a mandatory feature</v>
      </c>
      <c r="E207" t="str">
        <f>IF('HIDDEN import'!F206=0,"",'HIDDEN import'!F206)</f>
        <v/>
      </c>
      <c r="F207" t="str">
        <f>IF('HIDDEN import'!G206=0,"",'HIDDEN import'!G206)</f>
        <v/>
      </c>
      <c r="G207" s="39" t="str">
        <f>IFERROR(VLOOKUP($A207,'HIDDEN Testrun Results'!$A:$B,2,FALSE),"")</f>
        <v/>
      </c>
      <c r="H207" s="39" t="b">
        <f t="shared" si="3"/>
        <v>0</v>
      </c>
      <c r="I207" s="39" t="b">
        <f>IF(VLOOKUP(A207&amp;" "&amp;B207,'HIDDEN import'!A:G,5,FALSE)="M",TRUE,IFERROR(VLOOKUP(E207,'Optional features'!B:E,3,FALSE)="Yes",IFERROR(VLOOKUP(E207,'HIDDEN calc sheet'!A:B,2,FALSE),VLOOKUP(E207,'Additional questions'!B:D,3,FALSE)="Yes")))</f>
        <v>1</v>
      </c>
      <c r="J207" t="b">
        <f>IF(VLOOKUP(B207,'Profile selection'!B:C,2,FALSE)="Yes",TRUE,FALSE)</f>
        <v>0</v>
      </c>
      <c r="K207" s="17" t="b">
        <f>IF(AND(D207=MD!$A$1,M207),TRUE,(IF(AND(D207=MD!$A$3,M207),(IF(L207=TRUE,TRUE,FALSE)),(IF(AND(D207=MD!$A$2,M207),(IF(N207=TRUE,TRUE,FALSE)),FALSE)))))</f>
        <v>0</v>
      </c>
      <c r="M207" t="b">
        <f>IF(VLOOKUP(B207,'Profile selection'!B:C,2,FALSE)="Yes",TRUE,FALSE)</f>
        <v>0</v>
      </c>
    </row>
    <row r="208" spans="1:13" x14ac:dyDescent="0.25">
      <c r="A208" t="str">
        <f>'HIDDEN import'!B207</f>
        <v>TC_K_32_CSMS</v>
      </c>
      <c r="B208" t="str">
        <f>'HIDDEN import'!C207</f>
        <v>Smart Charging</v>
      </c>
      <c r="C208" t="str">
        <f>'HIDDEN import'!D207</f>
        <v>Get Charging Profile - chargingProfileId</v>
      </c>
      <c r="D208" t="str">
        <f>IF(VLOOKUP(A208&amp;" "&amp;B208,'HIDDEN import'!A:G,5,FALSE)="M",MD!$A$1,(IF(AND(VLOOKUP(A208,'HIDDEN import'!B:E,4,FALSE)="C",OR(NOT(ISERROR(VLOOKUP(E208,'Optional features'!B:E,1,FALSE)=E208)),NOT(ISERROR(VLOOKUP(E208,'HIDDEN calc sheet'!A:C,1,FALSE)=E208)))),MD!$A$3,MD!$A$2)))</f>
        <v>Mandatory test for a mandatory feature</v>
      </c>
      <c r="E208" t="str">
        <f>IF('HIDDEN import'!F207=0,"",'HIDDEN import'!F207)</f>
        <v/>
      </c>
      <c r="F208" t="str">
        <f>IF('HIDDEN import'!G207=0,"",'HIDDEN import'!G207)</f>
        <v/>
      </c>
      <c r="G208" s="39" t="str">
        <f>IFERROR(VLOOKUP($A208,'HIDDEN Testrun Results'!$A:$B,2,FALSE),"")</f>
        <v/>
      </c>
      <c r="H208" s="39" t="b">
        <f t="shared" si="3"/>
        <v>0</v>
      </c>
      <c r="I208" s="39" t="b">
        <f>IF(VLOOKUP(A208&amp;" "&amp;B208,'HIDDEN import'!A:G,5,FALSE)="M",TRUE,IFERROR(VLOOKUP(E208,'Optional features'!B:E,3,FALSE)="Yes",IFERROR(VLOOKUP(E208,'HIDDEN calc sheet'!A:B,2,FALSE),VLOOKUP(E208,'Additional questions'!B:D,3,FALSE)="Yes")))</f>
        <v>1</v>
      </c>
      <c r="J208" t="b">
        <f>IF(VLOOKUP(B208,'Profile selection'!B:C,2,FALSE)="Yes",TRUE,FALSE)</f>
        <v>0</v>
      </c>
      <c r="K208" s="17" t="b">
        <f>IF(AND(D208=MD!$A$1,M208),TRUE,(IF(AND(D208=MD!$A$3,M208),(IF(L208=TRUE,TRUE,FALSE)),(IF(AND(D208=MD!$A$2,M208),(IF(N208=TRUE,TRUE,FALSE)),FALSE)))))</f>
        <v>0</v>
      </c>
      <c r="M208" t="b">
        <f>IF(VLOOKUP(B208,'Profile selection'!B:C,2,FALSE)="Yes",TRUE,FALSE)</f>
        <v>0</v>
      </c>
    </row>
    <row r="209" spans="1:13" x14ac:dyDescent="0.25">
      <c r="A209" t="str">
        <f>'HIDDEN import'!B208</f>
        <v>TC_K_33_CSMS</v>
      </c>
      <c r="B209" t="str">
        <f>'HIDDEN import'!C208</f>
        <v>Smart Charging</v>
      </c>
      <c r="C209" t="str">
        <f>'HIDDEN import'!D208</f>
        <v>Get Charging Profile - EvseId &gt; 0 + stackLevel</v>
      </c>
      <c r="D209" t="str">
        <f>IF(VLOOKUP(A209&amp;" "&amp;B209,'HIDDEN import'!A:G,5,FALSE)="M",MD!$A$1,(IF(AND(VLOOKUP(A209,'HIDDEN import'!B:E,4,FALSE)="C",OR(NOT(ISERROR(VLOOKUP(E209,'Optional features'!B:E,1,FALSE)=E209)),NOT(ISERROR(VLOOKUP(E209,'HIDDEN calc sheet'!A:C,1,FALSE)=E209)))),MD!$A$3,MD!$A$2)))</f>
        <v>Mandatory test for a mandatory feature</v>
      </c>
      <c r="E209" t="str">
        <f>IF('HIDDEN import'!F208=0,"",'HIDDEN import'!F208)</f>
        <v/>
      </c>
      <c r="F209" t="str">
        <f>IF('HIDDEN import'!G208=0,"",'HIDDEN import'!G208)</f>
        <v/>
      </c>
      <c r="G209" s="39" t="str">
        <f>IFERROR(VLOOKUP($A209,'HIDDEN Testrun Results'!$A:$B,2,FALSE),"")</f>
        <v/>
      </c>
      <c r="H209" s="39" t="b">
        <f t="shared" si="3"/>
        <v>0</v>
      </c>
      <c r="I209" s="39" t="b">
        <f>IF(VLOOKUP(A209&amp;" "&amp;B209,'HIDDEN import'!A:G,5,FALSE)="M",TRUE,IFERROR(VLOOKUP(E209,'Optional features'!B:E,3,FALSE)="Yes",IFERROR(VLOOKUP(E209,'HIDDEN calc sheet'!A:B,2,FALSE),VLOOKUP(E209,'Additional questions'!B:D,3,FALSE)="Yes")))</f>
        <v>1</v>
      </c>
      <c r="J209" t="b">
        <f>IF(VLOOKUP(B209,'Profile selection'!B:C,2,FALSE)="Yes",TRUE,FALSE)</f>
        <v>0</v>
      </c>
      <c r="K209" s="17" t="b">
        <f>IF(AND(D209=MD!$A$1,M209),TRUE,(IF(AND(D209=MD!$A$3,M209),(IF(L209=TRUE,TRUE,FALSE)),(IF(AND(D209=MD!$A$2,M209),(IF(N209=TRUE,TRUE,FALSE)),FALSE)))))</f>
        <v>0</v>
      </c>
      <c r="M209" t="b">
        <f>IF(VLOOKUP(B209,'Profile selection'!B:C,2,FALSE)="Yes",TRUE,FALSE)</f>
        <v>0</v>
      </c>
    </row>
    <row r="210" spans="1:13" x14ac:dyDescent="0.25">
      <c r="A210" t="str">
        <f>'HIDDEN import'!B209</f>
        <v>TC_K_34_CSMS</v>
      </c>
      <c r="B210" t="str">
        <f>'HIDDEN import'!C209</f>
        <v>Smart Charging</v>
      </c>
      <c r="C210" t="str">
        <f>'HIDDEN import'!D209</f>
        <v>Get Charging Profile - EvseId &gt; 0 + chargingLimitSource</v>
      </c>
      <c r="D210" t="str">
        <f>IF(VLOOKUP(A210&amp;" "&amp;B210,'HIDDEN import'!A:G,5,FALSE)="M",MD!$A$1,(IF(AND(VLOOKUP(A210,'HIDDEN import'!B:E,4,FALSE)="C",OR(NOT(ISERROR(VLOOKUP(E210,'Optional features'!B:E,1,FALSE)=E210)),NOT(ISERROR(VLOOKUP(E210,'HIDDEN calc sheet'!A:C,1,FALSE)=E210)))),MD!$A$3,MD!$A$2)))</f>
        <v>Mandatory test for a mandatory feature</v>
      </c>
      <c r="E210" t="str">
        <f>IF('HIDDEN import'!F209=0,"",'HIDDEN import'!F209)</f>
        <v/>
      </c>
      <c r="F210" t="str">
        <f>IF('HIDDEN import'!G209=0,"",'HIDDEN import'!G209)</f>
        <v/>
      </c>
      <c r="G210" s="39" t="str">
        <f>IFERROR(VLOOKUP($A210,'HIDDEN Testrun Results'!$A:$B,2,FALSE),"")</f>
        <v/>
      </c>
      <c r="H210" s="39" t="b">
        <f t="shared" si="3"/>
        <v>0</v>
      </c>
      <c r="I210" s="39" t="b">
        <f>IF(VLOOKUP(A210&amp;" "&amp;B210,'HIDDEN import'!A:G,5,FALSE)="M",TRUE,IFERROR(VLOOKUP(E210,'Optional features'!B:E,3,FALSE)="Yes",IFERROR(VLOOKUP(E210,'HIDDEN calc sheet'!A:B,2,FALSE),VLOOKUP(E210,'Additional questions'!B:D,3,FALSE)="Yes")))</f>
        <v>1</v>
      </c>
      <c r="J210" t="b">
        <f>IF(VLOOKUP(B210,'Profile selection'!B:C,2,FALSE)="Yes",TRUE,FALSE)</f>
        <v>0</v>
      </c>
      <c r="K210" s="17" t="b">
        <f>IF(AND(D210=MD!$A$1,M210),TRUE,(IF(AND(D210=MD!$A$3,M210),(IF(L210=TRUE,TRUE,FALSE)),(IF(AND(D210=MD!$A$2,M210),(IF(N210=TRUE,TRUE,FALSE)),FALSE)))))</f>
        <v>0</v>
      </c>
      <c r="M210" t="b">
        <f>IF(VLOOKUP(B210,'Profile selection'!B:C,2,FALSE)="Yes",TRUE,FALSE)</f>
        <v>0</v>
      </c>
    </row>
    <row r="211" spans="1:13" x14ac:dyDescent="0.25">
      <c r="A211" t="str">
        <f>'HIDDEN import'!B210</f>
        <v>TC_K_35_CSMS</v>
      </c>
      <c r="B211" t="str">
        <f>'HIDDEN import'!C210</f>
        <v>Smart Charging</v>
      </c>
      <c r="C211" t="str">
        <f>'HIDDEN import'!D210</f>
        <v>Get Charging Profile - EvseId &gt; 0 + chargingProfilePurpose</v>
      </c>
      <c r="D211" t="str">
        <f>IF(VLOOKUP(A211&amp;" "&amp;B211,'HIDDEN import'!A:G,5,FALSE)="M",MD!$A$1,(IF(AND(VLOOKUP(A211,'HIDDEN import'!B:E,4,FALSE)="C",OR(NOT(ISERROR(VLOOKUP(E211,'Optional features'!B:E,1,FALSE)=E211)),NOT(ISERROR(VLOOKUP(E211,'HIDDEN calc sheet'!A:C,1,FALSE)=E211)))),MD!$A$3,MD!$A$2)))</f>
        <v>Mandatory test for a mandatory feature</v>
      </c>
      <c r="E211" t="str">
        <f>IF('HIDDEN import'!F210=0,"",'HIDDEN import'!F210)</f>
        <v/>
      </c>
      <c r="F211" t="str">
        <f>IF('HIDDEN import'!G210=0,"",'HIDDEN import'!G210)</f>
        <v/>
      </c>
      <c r="G211" s="39" t="str">
        <f>IFERROR(VLOOKUP($A211,'HIDDEN Testrun Results'!$A:$B,2,FALSE),"")</f>
        <v/>
      </c>
      <c r="H211" s="39" t="b">
        <f t="shared" si="3"/>
        <v>0</v>
      </c>
      <c r="I211" s="39" t="b">
        <f>IF(VLOOKUP(A211&amp;" "&amp;B211,'HIDDEN import'!A:G,5,FALSE)="M",TRUE,IFERROR(VLOOKUP(E211,'Optional features'!B:E,3,FALSE)="Yes",IFERROR(VLOOKUP(E211,'HIDDEN calc sheet'!A:B,2,FALSE),VLOOKUP(E211,'Additional questions'!B:D,3,FALSE)="Yes")))</f>
        <v>1</v>
      </c>
      <c r="J211" t="b">
        <f>IF(VLOOKUP(B211,'Profile selection'!B:C,2,FALSE)="Yes",TRUE,FALSE)</f>
        <v>0</v>
      </c>
      <c r="K211" s="17" t="b">
        <f>IF(AND(D211=MD!$A$1,M211),TRUE,(IF(AND(D211=MD!$A$3,M211),(IF(L211=TRUE,TRUE,FALSE)),(IF(AND(D211=MD!$A$2,M211),(IF(N211=TRUE,TRUE,FALSE)),FALSE)))))</f>
        <v>0</v>
      </c>
      <c r="M211" t="b">
        <f>IF(VLOOKUP(B211,'Profile selection'!B:C,2,FALSE)="Yes",TRUE,FALSE)</f>
        <v>0</v>
      </c>
    </row>
    <row r="212" spans="1:13" x14ac:dyDescent="0.25">
      <c r="A212" t="str">
        <f>'HIDDEN import'!B211</f>
        <v>TC_K_36_CSMS</v>
      </c>
      <c r="B212" t="str">
        <f>'HIDDEN import'!C211</f>
        <v>Smart Charging</v>
      </c>
      <c r="C212" t="str">
        <f>'HIDDEN import'!D211</f>
        <v>Get Charging Profile - EvseId &gt; 0 + chargingProfilePurpose + stackLevel</v>
      </c>
      <c r="D212" t="str">
        <f>IF(VLOOKUP(A212&amp;" "&amp;B212,'HIDDEN import'!A:G,5,FALSE)="M",MD!$A$1,(IF(AND(VLOOKUP(A212,'HIDDEN import'!B:E,4,FALSE)="C",OR(NOT(ISERROR(VLOOKUP(E212,'Optional features'!B:E,1,FALSE)=E212)),NOT(ISERROR(VLOOKUP(E212,'HIDDEN calc sheet'!A:C,1,FALSE)=E212)))),MD!$A$3,MD!$A$2)))</f>
        <v>Mandatory test for a mandatory feature</v>
      </c>
      <c r="E212" t="str">
        <f>IF('HIDDEN import'!F211=0,"",'HIDDEN import'!F211)</f>
        <v/>
      </c>
      <c r="F212" t="str">
        <f>IF('HIDDEN import'!G211=0,"",'HIDDEN import'!G211)</f>
        <v/>
      </c>
      <c r="G212" s="39" t="str">
        <f>IFERROR(VLOOKUP($A212,'HIDDEN Testrun Results'!$A:$B,2,FALSE),"")</f>
        <v/>
      </c>
      <c r="H212" s="39" t="b">
        <f t="shared" si="3"/>
        <v>0</v>
      </c>
      <c r="I212" s="39" t="b">
        <f>IF(VLOOKUP(A212&amp;" "&amp;B212,'HIDDEN import'!A:G,5,FALSE)="M",TRUE,IFERROR(VLOOKUP(E212,'Optional features'!B:E,3,FALSE)="Yes",IFERROR(VLOOKUP(E212,'HIDDEN calc sheet'!A:B,2,FALSE),VLOOKUP(E212,'Additional questions'!B:D,3,FALSE)="Yes")))</f>
        <v>1</v>
      </c>
      <c r="J212" t="b">
        <f>IF(VLOOKUP(B212,'Profile selection'!B:C,2,FALSE)="Yes",TRUE,FALSE)</f>
        <v>0</v>
      </c>
      <c r="K212" s="17" t="b">
        <f>IF(AND(D212=MD!$A$1,M212),TRUE,(IF(AND(D212=MD!$A$3,M212),(IF(L212=TRUE,TRUE,FALSE)),(IF(AND(D212=MD!$A$2,M212),(IF(N212=TRUE,TRUE,FALSE)),FALSE)))))</f>
        <v>0</v>
      </c>
      <c r="M212" t="b">
        <f>IF(VLOOKUP(B212,'Profile selection'!B:C,2,FALSE)="Yes",TRUE,FALSE)</f>
        <v>0</v>
      </c>
    </row>
    <row r="213" spans="1:13" x14ac:dyDescent="0.25">
      <c r="A213" t="str">
        <f>'HIDDEN import'!B212</f>
        <v>TC_K_05_CSMS</v>
      </c>
      <c r="B213" t="str">
        <f>'HIDDEN import'!C212</f>
        <v>Smart Charging</v>
      </c>
      <c r="C213" t="str">
        <f>'HIDDEN import'!D212</f>
        <v>Clear Charging Profile - With chargingProfileId</v>
      </c>
      <c r="D213" t="str">
        <f>IF(VLOOKUP(A213&amp;" "&amp;B213,'HIDDEN import'!A:G,5,FALSE)="M",MD!$A$1,(IF(AND(VLOOKUP(A213,'HIDDEN import'!B:E,4,FALSE)="C",OR(NOT(ISERROR(VLOOKUP(E213,'Optional features'!B:E,1,FALSE)=E213)),NOT(ISERROR(VLOOKUP(E213,'HIDDEN calc sheet'!A:C,1,FALSE)=E213)))),MD!$A$3,MD!$A$2)))</f>
        <v>Mandatory test for a mandatory feature</v>
      </c>
      <c r="E213" t="str">
        <f>IF('HIDDEN import'!F212=0,"",'HIDDEN import'!F212)</f>
        <v/>
      </c>
      <c r="F213" t="str">
        <f>IF('HIDDEN import'!G212=0,"",'HIDDEN import'!G212)</f>
        <v/>
      </c>
      <c r="G213" s="39" t="str">
        <f>IFERROR(VLOOKUP($A213,'HIDDEN Testrun Results'!$A:$B,2,FALSE),"")</f>
        <v/>
      </c>
      <c r="H213" s="39" t="b">
        <f t="shared" si="3"/>
        <v>0</v>
      </c>
      <c r="I213" s="39" t="b">
        <f>IF(VLOOKUP(A213&amp;" "&amp;B213,'HIDDEN import'!A:G,5,FALSE)="M",TRUE,IFERROR(VLOOKUP(E213,'Optional features'!B:E,3,FALSE)="Yes",IFERROR(VLOOKUP(E213,'HIDDEN calc sheet'!A:B,2,FALSE),VLOOKUP(E213,'Additional questions'!B:D,3,FALSE)="Yes")))</f>
        <v>1</v>
      </c>
      <c r="J213" t="b">
        <f>IF(VLOOKUP(B213,'Profile selection'!B:C,2,FALSE)="Yes",TRUE,FALSE)</f>
        <v>0</v>
      </c>
      <c r="K213" s="17" t="b">
        <f>IF(AND(D213=MD!$A$1,M213),TRUE,(IF(AND(D213=MD!$A$3,M213),(IF(L213=TRUE,TRUE,FALSE)),(IF(AND(D213=MD!$A$2,M213),(IF(N213=TRUE,TRUE,FALSE)),FALSE)))))</f>
        <v>0</v>
      </c>
      <c r="M213" t="b">
        <f>IF(VLOOKUP(B213,'Profile selection'!B:C,2,FALSE)="Yes",TRUE,FALSE)</f>
        <v>0</v>
      </c>
    </row>
    <row r="214" spans="1:13" x14ac:dyDescent="0.25">
      <c r="A214" t="str">
        <f>'HIDDEN import'!B213</f>
        <v>TC_K_06_CSMS</v>
      </c>
      <c r="B214" t="str">
        <f>'HIDDEN import'!C213</f>
        <v>Smart Charging</v>
      </c>
      <c r="C214" t="str">
        <f>'HIDDEN import'!D213</f>
        <v>Clear Charging Profile - With stackLevel/purpose combination for one profile</v>
      </c>
      <c r="D214" t="str">
        <f>IF(VLOOKUP(A214&amp;" "&amp;B214,'HIDDEN import'!A:G,5,FALSE)="M",MD!$A$1,(IF(AND(VLOOKUP(A214,'HIDDEN import'!B:E,4,FALSE)="C",OR(NOT(ISERROR(VLOOKUP(E214,'Optional features'!B:E,1,FALSE)=E214)),NOT(ISERROR(VLOOKUP(E214,'HIDDEN calc sheet'!A:C,1,FALSE)=E214)))),MD!$A$3,MD!$A$2)))</f>
        <v>Mandatory test for a mandatory feature</v>
      </c>
      <c r="E214" t="str">
        <f>IF('HIDDEN import'!F213=0,"",'HIDDEN import'!F213)</f>
        <v/>
      </c>
      <c r="F214" t="str">
        <f>IF('HIDDEN import'!G213=0,"",'HIDDEN import'!G213)</f>
        <v/>
      </c>
      <c r="G214" s="39" t="str">
        <f>IFERROR(VLOOKUP($A214,'HIDDEN Testrun Results'!$A:$B,2,FALSE),"")</f>
        <v/>
      </c>
      <c r="H214" s="39" t="b">
        <f t="shared" si="3"/>
        <v>0</v>
      </c>
      <c r="I214" s="39" t="b">
        <f>IF(VLOOKUP(A214&amp;" "&amp;B214,'HIDDEN import'!A:G,5,FALSE)="M",TRUE,IFERROR(VLOOKUP(E214,'Optional features'!B:E,3,FALSE)="Yes",IFERROR(VLOOKUP(E214,'HIDDEN calc sheet'!A:B,2,FALSE),VLOOKUP(E214,'Additional questions'!B:D,3,FALSE)="Yes")))</f>
        <v>1</v>
      </c>
      <c r="J214" t="b">
        <f>IF(VLOOKUP(B214,'Profile selection'!B:C,2,FALSE)="Yes",TRUE,FALSE)</f>
        <v>0</v>
      </c>
      <c r="K214" s="17" t="b">
        <f>IF(AND(D214=MD!$A$1,M214),TRUE,(IF(AND(D214=MD!$A$3,M214),(IF(L214=TRUE,TRUE,FALSE)),(IF(AND(D214=MD!$A$2,M214),(IF(N214=TRUE,TRUE,FALSE)),FALSE)))))</f>
        <v>0</v>
      </c>
      <c r="M214" t="b">
        <f>IF(VLOOKUP(B214,'Profile selection'!B:C,2,FALSE)="Yes",TRUE,FALSE)</f>
        <v>0</v>
      </c>
    </row>
    <row r="215" spans="1:13" x14ac:dyDescent="0.25">
      <c r="A215" t="str">
        <f>'HIDDEN import'!B214</f>
        <v>TC_K_08_CSMS</v>
      </c>
      <c r="B215" t="str">
        <f>'HIDDEN import'!C214</f>
        <v>Smart Charging</v>
      </c>
      <c r="C215" t="str">
        <f>'HIDDEN import'!D214</f>
        <v>Clear Charging Profile - Without previous charging profile</v>
      </c>
      <c r="D215" t="str">
        <f>IF(VLOOKUP(A215&amp;" "&amp;B215,'HIDDEN import'!A:G,5,FALSE)="M",MD!$A$1,(IF(AND(VLOOKUP(A215,'HIDDEN import'!B:E,4,FALSE)="C",OR(NOT(ISERROR(VLOOKUP(E215,'Optional features'!B:E,1,FALSE)=E215)),NOT(ISERROR(VLOOKUP(E215,'HIDDEN calc sheet'!A:C,1,FALSE)=E215)))),MD!$A$3,MD!$A$2)))</f>
        <v>Mandatory test for a mandatory feature</v>
      </c>
      <c r="E215" t="str">
        <f>IF('HIDDEN import'!F214=0,"",'HIDDEN import'!F214)</f>
        <v/>
      </c>
      <c r="F215" t="str">
        <f>IF('HIDDEN import'!G214=0,"",'HIDDEN import'!G214)</f>
        <v/>
      </c>
      <c r="G215" s="39" t="str">
        <f>IFERROR(VLOOKUP($A215,'HIDDEN Testrun Results'!$A:$B,2,FALSE),"")</f>
        <v/>
      </c>
      <c r="H215" s="39" t="b">
        <f t="shared" si="3"/>
        <v>0</v>
      </c>
      <c r="I215" s="39" t="b">
        <f>IF(VLOOKUP(A215&amp;" "&amp;B215,'HIDDEN import'!A:G,5,FALSE)="M",TRUE,IFERROR(VLOOKUP(E215,'Optional features'!B:E,3,FALSE)="Yes",IFERROR(VLOOKUP(E215,'HIDDEN calc sheet'!A:B,2,FALSE),VLOOKUP(E215,'Additional questions'!B:D,3,FALSE)="Yes")))</f>
        <v>1</v>
      </c>
      <c r="J215" t="b">
        <f>IF(VLOOKUP(B215,'Profile selection'!B:C,2,FALSE)="Yes",TRUE,FALSE)</f>
        <v>0</v>
      </c>
      <c r="K215" s="17" t="b">
        <f>IF(AND(D215=MD!$A$1,M215),TRUE,(IF(AND(D215=MD!$A$3,M215),(IF(L215=TRUE,TRUE,FALSE)),(IF(AND(D215=MD!$A$2,M215),(IF(N215=TRUE,TRUE,FALSE)),FALSE)))))</f>
        <v>0</v>
      </c>
      <c r="M215" t="b">
        <f>IF(VLOOKUP(B215,'Profile selection'!B:C,2,FALSE)="Yes",TRUE,FALSE)</f>
        <v>0</v>
      </c>
    </row>
    <row r="216" spans="1:13" x14ac:dyDescent="0.25">
      <c r="A216" t="str">
        <f>'HIDDEN import'!B215</f>
        <v>TC_A_12_CSMS</v>
      </c>
      <c r="B216" t="str">
        <f>'HIDDEN import'!C215</f>
        <v>ISO 15118 Support</v>
      </c>
      <c r="C216" t="str">
        <f>'HIDDEN import'!D215</f>
        <v>Update Charging Station Certificate by request of CSMS - Success - V2G Certificate</v>
      </c>
      <c r="D216" t="str">
        <f>IF(VLOOKUP(A216&amp;" "&amp;B216,'HIDDEN import'!A:G,5,FALSE)="M",MD!$A$1,(IF(AND(VLOOKUP(A216,'HIDDEN import'!B:E,4,FALSE)="C",OR(NOT(ISERROR(VLOOKUP(E216,'Optional features'!B:E,1,FALSE)=E216)),NOT(ISERROR(VLOOKUP(E216,'HIDDEN calc sheet'!A:C,1,FALSE)=E216)))),MD!$A$3,MD!$A$2)))</f>
        <v>Mandatory test for a mandatory feature</v>
      </c>
      <c r="E216" t="str">
        <f>IF('HIDDEN import'!F215=0,"",'HIDDEN import'!F215)</f>
        <v/>
      </c>
      <c r="F216" t="str">
        <f>IF('HIDDEN import'!G215=0,"",'HIDDEN import'!G215)</f>
        <v/>
      </c>
      <c r="G216" s="39" t="str">
        <f>IFERROR(VLOOKUP($A216,'HIDDEN Testrun Results'!$A:$B,2,FALSE),"")</f>
        <v/>
      </c>
      <c r="H216" s="39" t="b">
        <f t="shared" si="3"/>
        <v>0</v>
      </c>
      <c r="I216" s="39" t="b">
        <f>IF(VLOOKUP(A216&amp;" "&amp;B216,'HIDDEN import'!A:G,5,FALSE)="M",TRUE,IFERROR(VLOOKUP(E216,'Optional features'!B:E,3,FALSE)="Yes",IFERROR(VLOOKUP(E216,'HIDDEN calc sheet'!A:B,2,FALSE),VLOOKUP(E216,'Additional questions'!B:D,3,FALSE)="Yes")))</f>
        <v>1</v>
      </c>
      <c r="J216" t="b">
        <f>IF(VLOOKUP(B216,'Profile selection'!B:C,2,FALSE)="Yes",TRUE,FALSE)</f>
        <v>0</v>
      </c>
      <c r="K216" s="17" t="b">
        <f>IF(AND(D216=MD!$A$1,M216),TRUE,(IF(AND(D216=MD!$A$3,M216),(IF(L216=TRUE,TRUE,FALSE)),(IF(AND(D216=MD!$A$2,M216),(IF(N216=TRUE,TRUE,FALSE)),FALSE)))))</f>
        <v>0</v>
      </c>
      <c r="M216" t="b">
        <f>IF(VLOOKUP(B216,'Profile selection'!B:C,2,FALSE)="Yes",TRUE,FALSE)</f>
        <v>0</v>
      </c>
    </row>
    <row r="217" spans="1:13" x14ac:dyDescent="0.25">
      <c r="A217" t="str">
        <f>'HIDDEN import'!B216</f>
        <v>TC_C_50_CSMS</v>
      </c>
      <c r="B217" t="str">
        <f>'HIDDEN import'!C216</f>
        <v>ISO 15118 Support</v>
      </c>
      <c r="C217" t="str">
        <f>'HIDDEN import'!D216</f>
        <v>Authorization using Contract Certificates 15118 - Online - Local contract certificate validation - Accepted</v>
      </c>
      <c r="D217" t="str">
        <f>IF(VLOOKUP(A217&amp;" "&amp;B217,'HIDDEN import'!A:G,5,FALSE)="M",MD!$A$1,(IF(AND(VLOOKUP(A217,'HIDDEN import'!B:E,4,FALSE)="C",OR(NOT(ISERROR(VLOOKUP(E217,'Optional features'!B:E,1,FALSE)=E217)),NOT(ISERROR(VLOOKUP(E217,'HIDDEN calc sheet'!A:C,1,FALSE)=E217)))),MD!$A$3,MD!$A$2)))</f>
        <v>Mandatory test for a mandatory feature</v>
      </c>
      <c r="E217" t="str">
        <f>IF('HIDDEN import'!F216=0,"",'HIDDEN import'!F216)</f>
        <v/>
      </c>
      <c r="F217" t="str">
        <f>IF('HIDDEN import'!G216=0,"",'HIDDEN import'!G216)</f>
        <v/>
      </c>
      <c r="G217" s="39" t="str">
        <f>IFERROR(VLOOKUP($A217,'HIDDEN Testrun Results'!$A:$B,2,FALSE),"")</f>
        <v/>
      </c>
      <c r="H217" s="39" t="b">
        <f t="shared" si="3"/>
        <v>0</v>
      </c>
      <c r="I217" s="39" t="b">
        <f>IF(VLOOKUP(A217&amp;" "&amp;B217,'HIDDEN import'!A:G,5,FALSE)="M",TRUE,IFERROR(VLOOKUP(E217,'Optional features'!B:E,3,FALSE)="Yes",IFERROR(VLOOKUP(E217,'HIDDEN calc sheet'!A:B,2,FALSE),VLOOKUP(E217,'Additional questions'!B:D,3,FALSE)="Yes")))</f>
        <v>1</v>
      </c>
      <c r="J217" t="b">
        <f>IF(VLOOKUP(B217,'Profile selection'!B:C,2,FALSE)="Yes",TRUE,FALSE)</f>
        <v>0</v>
      </c>
      <c r="K217" s="17" t="b">
        <f>IF(AND(D217=MD!$A$1,M217),TRUE,(IF(AND(D217=MD!$A$3,M217),(IF(L217=TRUE,TRUE,FALSE)),(IF(AND(D217=MD!$A$2,M217),(IF(N217=TRUE,TRUE,FALSE)),FALSE)))))</f>
        <v>0</v>
      </c>
      <c r="M217" t="b">
        <f>IF(VLOOKUP(B217,'Profile selection'!B:C,2,FALSE)="Yes",TRUE,FALSE)</f>
        <v>0</v>
      </c>
    </row>
    <row r="218" spans="1:13" x14ac:dyDescent="0.25">
      <c r="A218" t="str">
        <f>'HIDDEN import'!B217</f>
        <v>TC_C_51_CSMS</v>
      </c>
      <c r="B218" t="str">
        <f>'HIDDEN import'!C217</f>
        <v>ISO 15118 Support</v>
      </c>
      <c r="C218" t="str">
        <f>'HIDDEN import'!D217</f>
        <v>Authorization using Contract Certificates 15118 - Online - Local contract certificate validation - Rejected</v>
      </c>
      <c r="D218" t="str">
        <f>IF(VLOOKUP(A218&amp;" "&amp;B218,'HIDDEN import'!A:G,5,FALSE)="M",MD!$A$1,(IF(AND(VLOOKUP(A218,'HIDDEN import'!B:E,4,FALSE)="C",OR(NOT(ISERROR(VLOOKUP(E218,'Optional features'!B:E,1,FALSE)=E218)),NOT(ISERROR(VLOOKUP(E218,'HIDDEN calc sheet'!A:C,1,FALSE)=E218)))),MD!$A$3,MD!$A$2)))</f>
        <v>Mandatory test for a mandatory feature</v>
      </c>
      <c r="E218" t="str">
        <f>IF('HIDDEN import'!F217=0,"",'HIDDEN import'!F217)</f>
        <v/>
      </c>
      <c r="F218" t="str">
        <f>IF('HIDDEN import'!G217=0,"",'HIDDEN import'!G217)</f>
        <v/>
      </c>
      <c r="G218" s="39" t="str">
        <f>IFERROR(VLOOKUP($A218,'HIDDEN Testrun Results'!$A:$B,2,FALSE),"")</f>
        <v/>
      </c>
      <c r="H218" s="39" t="b">
        <f t="shared" si="3"/>
        <v>0</v>
      </c>
      <c r="I218" s="39" t="b">
        <f>IF(VLOOKUP(A218&amp;" "&amp;B218,'HIDDEN import'!A:G,5,FALSE)="M",TRUE,IFERROR(VLOOKUP(E218,'Optional features'!B:E,3,FALSE)="Yes",IFERROR(VLOOKUP(E218,'HIDDEN calc sheet'!A:B,2,FALSE),VLOOKUP(E218,'Additional questions'!B:D,3,FALSE)="Yes")))</f>
        <v>1</v>
      </c>
      <c r="J218" t="b">
        <f>IF(VLOOKUP(B218,'Profile selection'!B:C,2,FALSE)="Yes",TRUE,FALSE)</f>
        <v>0</v>
      </c>
      <c r="K218" s="17" t="b">
        <f>IF(AND(D218=MD!$A$1,M218),TRUE,(IF(AND(D218=MD!$A$3,M218),(IF(L218=TRUE,TRUE,FALSE)),(IF(AND(D218=MD!$A$2,M218),(IF(N218=TRUE,TRUE,FALSE)),FALSE)))))</f>
        <v>0</v>
      </c>
      <c r="M218" t="b">
        <f>IF(VLOOKUP(B218,'Profile selection'!B:C,2,FALSE)="Yes",TRUE,FALSE)</f>
        <v>0</v>
      </c>
    </row>
    <row r="219" spans="1:13" x14ac:dyDescent="0.25">
      <c r="A219" t="str">
        <f>'HIDDEN import'!B218</f>
        <v>TC_C_52_CSMS</v>
      </c>
      <c r="B219" t="str">
        <f>'HIDDEN import'!C218</f>
        <v>ISO 15118 Support</v>
      </c>
      <c r="C219" t="str">
        <f>'HIDDEN import'!D218</f>
        <v>Authorization using Contract Certificates 15118 - Online - Central contract certificate validation - Accepted</v>
      </c>
      <c r="D219" t="str">
        <f>IF(VLOOKUP(A219&amp;" "&amp;B219,'HIDDEN import'!A:G,5,FALSE)="M",MD!$A$1,(IF(AND(VLOOKUP(A219,'HIDDEN import'!B:E,4,FALSE)="C",OR(NOT(ISERROR(VLOOKUP(E219,'Optional features'!B:E,1,FALSE)=E219)),NOT(ISERROR(VLOOKUP(E219,'HIDDEN calc sheet'!A:C,1,FALSE)=E219)))),MD!$A$3,MD!$A$2)))</f>
        <v>Mandatory test for a mandatory feature</v>
      </c>
      <c r="E219" t="str">
        <f>IF('HIDDEN import'!F218=0,"",'HIDDEN import'!F218)</f>
        <v>ISO-5</v>
      </c>
      <c r="F219" t="str">
        <f>IF('HIDDEN import'!G218=0,"",'HIDDEN import'!G218)</f>
        <v/>
      </c>
      <c r="G219" s="39" t="str">
        <f>IFERROR(VLOOKUP($A219,'HIDDEN Testrun Results'!$A:$B,2,FALSE),"")</f>
        <v/>
      </c>
      <c r="H219" s="39" t="b">
        <f t="shared" si="3"/>
        <v>0</v>
      </c>
      <c r="I219" s="39" t="b">
        <f>IF(VLOOKUP(A219&amp;" "&amp;B219,'HIDDEN import'!A:G,5,FALSE)="M",TRUE,IFERROR(VLOOKUP(E219,'Optional features'!B:E,3,FALSE)="Yes",IFERROR(VLOOKUP(E219,'HIDDEN calc sheet'!A:B,2,FALSE),VLOOKUP(E219,'Additional questions'!B:D,3,FALSE)="Yes")))</f>
        <v>1</v>
      </c>
      <c r="J219" t="b">
        <f>IF(VLOOKUP(B219,'Profile selection'!B:C,2,FALSE)="Yes",TRUE,FALSE)</f>
        <v>0</v>
      </c>
      <c r="K219" s="17" t="b">
        <f>IF(AND(D219=MD!$A$1,M219),TRUE,(IF(AND(D219=MD!$A$3,M219),(IF(L219=TRUE,TRUE,FALSE)),(IF(AND(D219=MD!$A$2,M219),(IF(N219=TRUE,TRUE,FALSE)),FALSE)))))</f>
        <v>0</v>
      </c>
      <c r="M219" t="b">
        <f>IF(VLOOKUP(B219,'Profile selection'!B:C,2,FALSE)="Yes",TRUE,FALSE)</f>
        <v>0</v>
      </c>
    </row>
    <row r="220" spans="1:13" x14ac:dyDescent="0.25">
      <c r="A220" t="str">
        <f>'HIDDEN import'!B219</f>
        <v>TC_K_01_CSMS</v>
      </c>
      <c r="B220" t="str">
        <f>'HIDDEN import'!C219</f>
        <v>ISO 15118 Support</v>
      </c>
      <c r="C220" t="str">
        <f>'HIDDEN import'!D219</f>
        <v>Set Charging Profile - TxDefaultProfile - Specific EVSE</v>
      </c>
      <c r="D220" t="str">
        <f>IF(VLOOKUP(A220&amp;" "&amp;B220,'HIDDEN import'!A:G,5,FALSE)="M",MD!$A$1,(IF(AND(VLOOKUP(A220,'HIDDEN import'!B:E,4,FALSE)="C",OR(NOT(ISERROR(VLOOKUP(E220,'Optional features'!B:E,1,FALSE)=E220)),NOT(ISERROR(VLOOKUP(E220,'HIDDEN calc sheet'!A:C,1,FALSE)=E220)))),MD!$A$3,MD!$A$2)))</f>
        <v>Mandatory test for a mandatory feature</v>
      </c>
      <c r="E220" t="str">
        <f>IF('HIDDEN import'!F219=0,"",'HIDDEN import'!F219)</f>
        <v/>
      </c>
      <c r="F220" t="str">
        <f>IF('HIDDEN import'!G219=0,"",'HIDDEN import'!G219)</f>
        <v/>
      </c>
      <c r="G220" s="39" t="str">
        <f>IFERROR(VLOOKUP($A220,'HIDDEN Testrun Results'!$A:$B,2,FALSE),"")</f>
        <v/>
      </c>
      <c r="H220" s="39" t="b">
        <f t="shared" si="3"/>
        <v>0</v>
      </c>
      <c r="I220" s="39" t="b">
        <f>IF(VLOOKUP(A220&amp;" "&amp;B220,'HIDDEN import'!A:G,5,FALSE)="M",TRUE,IFERROR(VLOOKUP(E220,'Optional features'!B:E,3,FALSE)="Yes",IFERROR(VLOOKUP(E220,'HIDDEN calc sheet'!A:B,2,FALSE),VLOOKUP(E220,'Additional questions'!B:D,3,FALSE)="Yes")))</f>
        <v>1</v>
      </c>
      <c r="J220" t="b">
        <f>IF(VLOOKUP(B220,'Profile selection'!B:C,2,FALSE)="Yes",TRUE,FALSE)</f>
        <v>0</v>
      </c>
      <c r="K220" s="17" t="b">
        <f>IF(AND(D220=MD!$A$1,M220),TRUE,(IF(AND(D220=MD!$A$3,M220),(IF(L220=TRUE,TRUE,FALSE)),(IF(AND(D220=MD!$A$2,M220),(IF(N220=TRUE,TRUE,FALSE)),FALSE)))))</f>
        <v>0</v>
      </c>
      <c r="M220" t="b">
        <f>IF(VLOOKUP(B220,'Profile selection'!B:C,2,FALSE)="Yes",TRUE,FALSE)</f>
        <v>0</v>
      </c>
    </row>
    <row r="221" spans="1:13" x14ac:dyDescent="0.25">
      <c r="A221" t="str">
        <f>'HIDDEN import'!B220</f>
        <v>TC_K_10_CSMS</v>
      </c>
      <c r="B221" t="str">
        <f>'HIDDEN import'!C220</f>
        <v>ISO 15118 Support</v>
      </c>
      <c r="C221" t="str">
        <f>'HIDDEN import'!D220</f>
        <v>Set Charging Profile - TxDefaultProfile - All EVSE</v>
      </c>
      <c r="D221" t="str">
        <f>IF(VLOOKUP(A221&amp;" "&amp;B221,'HIDDEN import'!A:G,5,FALSE)="M",MD!$A$1,(IF(AND(VLOOKUP(A221,'HIDDEN import'!B:E,4,FALSE)="C",OR(NOT(ISERROR(VLOOKUP(E221,'Optional features'!B:E,1,FALSE)=E221)),NOT(ISERROR(VLOOKUP(E221,'HIDDEN calc sheet'!A:C,1,FALSE)=E221)))),MD!$A$3,MD!$A$2)))</f>
        <v>Mandatory test for a mandatory feature</v>
      </c>
      <c r="E221" t="str">
        <f>IF('HIDDEN import'!F220=0,"",'HIDDEN import'!F220)</f>
        <v/>
      </c>
      <c r="F221" t="str">
        <f>IF('HIDDEN import'!G220=0,"",'HIDDEN import'!G220)</f>
        <v/>
      </c>
      <c r="G221" s="39" t="str">
        <f>IFERROR(VLOOKUP($A221,'HIDDEN Testrun Results'!$A:$B,2,FALSE),"")</f>
        <v/>
      </c>
      <c r="H221" s="39" t="b">
        <f t="shared" si="3"/>
        <v>0</v>
      </c>
      <c r="I221" s="39" t="b">
        <f>IF(VLOOKUP(A221&amp;" "&amp;B221,'HIDDEN import'!A:G,5,FALSE)="M",TRUE,IFERROR(VLOOKUP(E221,'Optional features'!B:E,3,FALSE)="Yes",IFERROR(VLOOKUP(E221,'HIDDEN calc sheet'!A:B,2,FALSE),VLOOKUP(E221,'Additional questions'!B:D,3,FALSE)="Yes")))</f>
        <v>1</v>
      </c>
      <c r="J221" t="b">
        <f>IF(VLOOKUP(B221,'Profile selection'!B:C,2,FALSE)="Yes",TRUE,FALSE)</f>
        <v>0</v>
      </c>
      <c r="K221" s="17" t="b">
        <f>IF(AND(D221=MD!$A$1,M221),TRUE,(IF(AND(D221=MD!$A$3,M221),(IF(L221=TRUE,TRUE,FALSE)),(IF(AND(D221=MD!$A$2,M221),(IF(N221=TRUE,TRUE,FALSE)),FALSE)))))</f>
        <v>0</v>
      </c>
      <c r="L221" t="b">
        <f>IF(ISNA(VLOOKUP(E221,'Optional features'!B:D,3,FALSE)),FALSE,IF(VLOOKUP(E221,'Optional features'!B:D,3,FALSE)="Yes",TRUE,FALSE))</f>
        <v>0</v>
      </c>
      <c r="M221" t="b">
        <f>IF(VLOOKUP(B221,'Profile selection'!B:C,2,FALSE)="Yes",TRUE,FALSE)</f>
        <v>0</v>
      </c>
    </row>
    <row r="222" spans="1:13" x14ac:dyDescent="0.25">
      <c r="A222" t="str">
        <f>'HIDDEN import'!B221</f>
        <v>TC_K_60_CSMS</v>
      </c>
      <c r="B222" t="str">
        <f>'HIDDEN import'!C221</f>
        <v>ISO 15118 Support</v>
      </c>
      <c r="C222" t="str">
        <f>'HIDDEN import'!D221</f>
        <v>Set Charging Profile - TxProfile with ongoing transaction on the specified EVSE</v>
      </c>
      <c r="D222" t="str">
        <f>IF(VLOOKUP(A222&amp;" "&amp;B222,'HIDDEN import'!A:G,5,FALSE)="M",MD!$A$1,(IF(AND(VLOOKUP(A222,'HIDDEN import'!B:E,4,FALSE)="C",OR(NOT(ISERROR(VLOOKUP(E222,'Optional features'!B:E,1,FALSE)=E222)),NOT(ISERROR(VLOOKUP(E222,'HIDDEN calc sheet'!A:C,1,FALSE)=E222)))),MD!$A$3,MD!$A$2)))</f>
        <v>Mandatory test for a mandatory feature</v>
      </c>
      <c r="E222" t="str">
        <f>IF('HIDDEN import'!F221=0,"",'HIDDEN import'!F221)</f>
        <v/>
      </c>
      <c r="F222" t="str">
        <f>IF('HIDDEN import'!G221=0,"",'HIDDEN import'!G221)</f>
        <v/>
      </c>
      <c r="G222" s="39" t="str">
        <f>IFERROR(VLOOKUP($A222,'HIDDEN Testrun Results'!$A:$B,2,FALSE),"")</f>
        <v/>
      </c>
      <c r="H222" s="39" t="b">
        <f t="shared" si="3"/>
        <v>0</v>
      </c>
      <c r="I222" s="39" t="b">
        <f>IF(VLOOKUP(A222&amp;" "&amp;B222,'HIDDEN import'!A:G,5,FALSE)="M",TRUE,IFERROR(VLOOKUP(E222,'Optional features'!B:E,3,FALSE)="Yes",IFERROR(VLOOKUP(E222,'HIDDEN calc sheet'!A:B,2,FALSE),VLOOKUP(E222,'Additional questions'!B:D,3,FALSE)="Yes")))</f>
        <v>1</v>
      </c>
      <c r="J222" t="b">
        <f>IF(VLOOKUP(B222,'Profile selection'!B:C,2,FALSE)="Yes",TRUE,FALSE)</f>
        <v>0</v>
      </c>
      <c r="K222" s="17" t="b">
        <f>IF(AND(D222=MD!$A$1,M222),TRUE,(IF(AND(D222=MD!$A$3,M222),(IF(L222=TRUE,TRUE,FALSE)),(IF(AND(D222=MD!$A$2,M222),(IF(N222=TRUE,TRUE,FALSE)),FALSE)))))</f>
        <v>0</v>
      </c>
      <c r="M222" t="b">
        <f>IF(VLOOKUP(B222,'Profile selection'!B:C,2,FALSE)="Yes",TRUE,FALSE)</f>
        <v>0</v>
      </c>
    </row>
    <row r="223" spans="1:13" x14ac:dyDescent="0.25">
      <c r="A223" t="str">
        <f>'HIDDEN import'!B222</f>
        <v>TC_K_03_CSMS</v>
      </c>
      <c r="B223" t="str">
        <f>'HIDDEN import'!C222</f>
        <v>ISO 15118 Support</v>
      </c>
      <c r="C223" t="str">
        <f>'HIDDEN import'!D222</f>
        <v>Set Charging Profile - ChargingStationMaxProfile</v>
      </c>
      <c r="D223" t="str">
        <f>IF(VLOOKUP(A223&amp;" "&amp;B223,'HIDDEN import'!A:G,5,FALSE)="M",MD!$A$1,(IF(AND(VLOOKUP(A223,'HIDDEN import'!B:E,4,FALSE)="C",OR(NOT(ISERROR(VLOOKUP(E223,'Optional features'!B:E,1,FALSE)=E223)),NOT(ISERROR(VLOOKUP(E223,'HIDDEN calc sheet'!A:C,1,FALSE)=E223)))),MD!$A$3,MD!$A$2)))</f>
        <v>Mandatory test for a mandatory feature</v>
      </c>
      <c r="E223" t="str">
        <f>IF('HIDDEN import'!F222=0,"",'HIDDEN import'!F222)</f>
        <v/>
      </c>
      <c r="F223" t="str">
        <f>IF('HIDDEN import'!G222=0,"",'HIDDEN import'!G222)</f>
        <v/>
      </c>
      <c r="G223" s="39" t="str">
        <f>IFERROR(VLOOKUP($A223,'HIDDEN Testrun Results'!$A:$B,2,FALSE),"")</f>
        <v/>
      </c>
      <c r="H223" s="39" t="b">
        <f t="shared" si="3"/>
        <v>0</v>
      </c>
      <c r="I223" s="39" t="b">
        <f>IF(VLOOKUP(A223&amp;" "&amp;B223,'HIDDEN import'!A:G,5,FALSE)="M",TRUE,IFERROR(VLOOKUP(E223,'Optional features'!B:E,3,FALSE)="Yes",IFERROR(VLOOKUP(E223,'HIDDEN calc sheet'!A:B,2,FALSE),VLOOKUP(E223,'Additional questions'!B:D,3,FALSE)="Yes")))</f>
        <v>1</v>
      </c>
      <c r="J223" t="b">
        <f>IF(VLOOKUP(B223,'Profile selection'!B:C,2,FALSE)="Yes",TRUE,FALSE)</f>
        <v>0</v>
      </c>
      <c r="K223" s="17" t="b">
        <f>IF(AND(D223=MD!$A$1,M223),TRUE,(IF(AND(D223=MD!$A$3,M223),(IF(L223=TRUE,TRUE,FALSE)),(IF(AND(D223=MD!$A$2,M223),(IF(N223=TRUE,TRUE,FALSE)),FALSE)))))</f>
        <v>0</v>
      </c>
      <c r="M223" t="b">
        <f>IF(VLOOKUP(B223,'Profile selection'!B:C,2,FALSE)="Yes",TRUE,FALSE)</f>
        <v>0</v>
      </c>
    </row>
    <row r="224" spans="1:13" x14ac:dyDescent="0.25">
      <c r="A224" t="str">
        <f>'HIDDEN import'!B223</f>
        <v>TC_K_19_CSMS</v>
      </c>
      <c r="B224" t="str">
        <f>'HIDDEN import'!C223</f>
        <v>ISO 15118 Support</v>
      </c>
      <c r="C224" t="str">
        <f>'HIDDEN import'!D223</f>
        <v>Set Charging Profile - ChargingProfileKind is Recurring</v>
      </c>
      <c r="D224" t="str">
        <f>IF(VLOOKUP(A224&amp;" "&amp;B224,'HIDDEN import'!A:G,5,FALSE)="M",MD!$A$1,(IF(AND(VLOOKUP(A224,'HIDDEN import'!B:E,4,FALSE)="C",OR(NOT(ISERROR(VLOOKUP(E224,'Optional features'!B:E,1,FALSE)=E224)),NOT(ISERROR(VLOOKUP(E224,'HIDDEN calc sheet'!A:C,1,FALSE)=E224)))),MD!$A$3,MD!$A$2)))</f>
        <v>Mandatory test for a mandatory feature</v>
      </c>
      <c r="E224" t="str">
        <f>IF('HIDDEN import'!F223=0,"",'HIDDEN import'!F223)</f>
        <v/>
      </c>
      <c r="F224" t="str">
        <f>IF('HIDDEN import'!G223=0,"",'HIDDEN import'!G223)</f>
        <v/>
      </c>
      <c r="G224" s="39" t="str">
        <f>IFERROR(VLOOKUP($A224,'HIDDEN Testrun Results'!$A:$B,2,FALSE),"")</f>
        <v/>
      </c>
      <c r="H224" s="39" t="b">
        <f t="shared" si="3"/>
        <v>0</v>
      </c>
      <c r="I224" s="39" t="b">
        <f>IF(VLOOKUP(A224&amp;" "&amp;B224,'HIDDEN import'!A:G,5,FALSE)="M",TRUE,IFERROR(VLOOKUP(E224,'Optional features'!B:E,3,FALSE)="Yes",IFERROR(VLOOKUP(E224,'HIDDEN calc sheet'!A:B,2,FALSE),VLOOKUP(E224,'Additional questions'!B:D,3,FALSE)="Yes")))</f>
        <v>1</v>
      </c>
      <c r="J224" t="b">
        <f>IF(VLOOKUP(B224,'Profile selection'!B:C,2,FALSE)="Yes",TRUE,FALSE)</f>
        <v>0</v>
      </c>
      <c r="K224" s="17" t="b">
        <f>IF(AND(D224=MD!$A$1,M224),TRUE,(IF(AND(D224=MD!$A$3,M224),(IF(L224=TRUE,TRUE,FALSE)),(IF(AND(D224=MD!$A$2,M224),(IF(N224=TRUE,TRUE,FALSE)),FALSE)))))</f>
        <v>0</v>
      </c>
      <c r="M224" t="b">
        <f>IF(VLOOKUP(B224,'Profile selection'!B:C,2,FALSE)="Yes",TRUE,FALSE)</f>
        <v>0</v>
      </c>
    </row>
    <row r="225" spans="1:13" x14ac:dyDescent="0.25">
      <c r="A225" t="str">
        <f>'HIDDEN import'!B224</f>
        <v>TC_K_04_CSMS</v>
      </c>
      <c r="B225" t="str">
        <f>'HIDDEN import'!C224</f>
        <v>ISO 15118 Support</v>
      </c>
      <c r="C225" t="str">
        <f>'HIDDEN import'!D224</f>
        <v>Replace charging profile - With chargingProfileId</v>
      </c>
      <c r="D225" t="str">
        <f>IF(VLOOKUP(A225&amp;" "&amp;B225,'HIDDEN import'!A:G,5,FALSE)="M",MD!$A$1,(IF(AND(VLOOKUP(A225,'HIDDEN import'!B:E,4,FALSE)="C",OR(NOT(ISERROR(VLOOKUP(E225,'Optional features'!B:E,1,FALSE)=E225)),NOT(ISERROR(VLOOKUP(E225,'HIDDEN calc sheet'!A:C,1,FALSE)=E225)))),MD!$A$3,MD!$A$2)))</f>
        <v>Mandatory test for a mandatory feature</v>
      </c>
      <c r="E225" t="str">
        <f>IF('HIDDEN import'!F224=0,"",'HIDDEN import'!F224)</f>
        <v/>
      </c>
      <c r="F225" t="str">
        <f>IF('HIDDEN import'!G224=0,"",'HIDDEN import'!G224)</f>
        <v/>
      </c>
      <c r="G225" s="39" t="str">
        <f>IFERROR(VLOOKUP($A225,'HIDDEN Testrun Results'!$A:$B,2,FALSE),"")</f>
        <v/>
      </c>
      <c r="H225" s="39" t="b">
        <f t="shared" si="3"/>
        <v>0</v>
      </c>
      <c r="I225" s="39" t="b">
        <f>IF(VLOOKUP(A225&amp;" "&amp;B225,'HIDDEN import'!A:G,5,FALSE)="M",TRUE,IFERROR(VLOOKUP(E225,'Optional features'!B:E,3,FALSE)="Yes",IFERROR(VLOOKUP(E225,'HIDDEN calc sheet'!A:B,2,FALSE),VLOOKUP(E225,'Additional questions'!B:D,3,FALSE)="Yes")))</f>
        <v>1</v>
      </c>
      <c r="J225" t="b">
        <f>IF(VLOOKUP(B225,'Profile selection'!B:C,2,FALSE)="Yes",TRUE,FALSE)</f>
        <v>0</v>
      </c>
      <c r="K225" s="17" t="b">
        <f>IF(AND(D225=MD!$A$1,M225),TRUE,(IF(AND(D225=MD!$A$3,M225),(IF(L225=TRUE,TRUE,FALSE)),(IF(AND(D225=MD!$A$2,M225),(IF(N225=TRUE,TRUE,FALSE)),FALSE)))))</f>
        <v>0</v>
      </c>
      <c r="M225" t="b">
        <f>IF(VLOOKUP(B225,'Profile selection'!B:C,2,FALSE)="Yes",TRUE,FALSE)</f>
        <v>0</v>
      </c>
    </row>
    <row r="226" spans="1:13" x14ac:dyDescent="0.25">
      <c r="A226" t="str">
        <f>'HIDDEN import'!B225</f>
        <v>TC_K_43_CSMS</v>
      </c>
      <c r="B226" t="str">
        <f>'HIDDEN import'!C225</f>
        <v>ISO 15118 Support</v>
      </c>
      <c r="C226" t="str">
        <f>'HIDDEN import'!D225</f>
        <v>Get Composite Schedule - Specific EVSE</v>
      </c>
      <c r="D226" t="str">
        <f>IF(VLOOKUP(A226&amp;" "&amp;B226,'HIDDEN import'!A:G,5,FALSE)="M",MD!$A$1,(IF(AND(VLOOKUP(A226,'HIDDEN import'!B:E,4,FALSE)="C",OR(NOT(ISERROR(VLOOKUP(E226,'Optional features'!B:E,1,FALSE)=E226)),NOT(ISERROR(VLOOKUP(E226,'HIDDEN calc sheet'!A:C,1,FALSE)=E226)))),MD!$A$3,MD!$A$2)))</f>
        <v>Mandatory test for a mandatory feature</v>
      </c>
      <c r="E226" t="str">
        <f>IF('HIDDEN import'!F225=0,"",'HIDDEN import'!F225)</f>
        <v/>
      </c>
      <c r="F226" t="str">
        <f>IF('HIDDEN import'!G225=0,"",'HIDDEN import'!G225)</f>
        <v/>
      </c>
      <c r="G226" s="39" t="str">
        <f>IFERROR(VLOOKUP($A226,'HIDDEN Testrun Results'!$A:$B,2,FALSE),"")</f>
        <v/>
      </c>
      <c r="H226" s="39" t="b">
        <f t="shared" si="3"/>
        <v>0</v>
      </c>
      <c r="I226" s="39" t="b">
        <f>IF(VLOOKUP(A226&amp;" "&amp;B226,'HIDDEN import'!A:G,5,FALSE)="M",TRUE,IFERROR(VLOOKUP(E226,'Optional features'!B:E,3,FALSE)="Yes",IFERROR(VLOOKUP(E226,'HIDDEN calc sheet'!A:B,2,FALSE),VLOOKUP(E226,'Additional questions'!B:D,3,FALSE)="Yes")))</f>
        <v>1</v>
      </c>
      <c r="J226" t="b">
        <f>IF(VLOOKUP(B226,'Profile selection'!B:C,2,FALSE)="Yes",TRUE,FALSE)</f>
        <v>0</v>
      </c>
      <c r="K226" s="17" t="b">
        <f>IF(AND(D226=MD!$A$1,M226),TRUE,(IF(AND(D226=MD!$A$3,M226),(IF(L226=TRUE,TRUE,FALSE)),(IF(AND(D226=MD!$A$2,M226),(IF(N226=TRUE,TRUE,FALSE)),FALSE)))))</f>
        <v>0</v>
      </c>
      <c r="M226" t="b">
        <f>IF(VLOOKUP(B226,'Profile selection'!B:C,2,FALSE)="Yes",TRUE,FALSE)</f>
        <v>0</v>
      </c>
    </row>
    <row r="227" spans="1:13" x14ac:dyDescent="0.25">
      <c r="A227" t="str">
        <f>'HIDDEN import'!B226</f>
        <v>TC_K_44_CSMS</v>
      </c>
      <c r="B227" t="str">
        <f>'HIDDEN import'!C226</f>
        <v>ISO 15118 Support</v>
      </c>
      <c r="C227" t="str">
        <f>'HIDDEN import'!D226</f>
        <v>Get Composite Schedule - Charging Station</v>
      </c>
      <c r="D227" t="str">
        <f>IF(VLOOKUP(A227&amp;" "&amp;B227,'HIDDEN import'!A:G,5,FALSE)="M",MD!$A$1,(IF(AND(VLOOKUP(A227,'HIDDEN import'!B:E,4,FALSE)="C",OR(NOT(ISERROR(VLOOKUP(E227,'Optional features'!B:E,1,FALSE)=E227)),NOT(ISERROR(VLOOKUP(E227,'HIDDEN calc sheet'!A:C,1,FALSE)=E227)))),MD!$A$3,MD!$A$2)))</f>
        <v>Mandatory test for a mandatory feature</v>
      </c>
      <c r="E227" t="str">
        <f>IF('HIDDEN import'!F226=0,"",'HIDDEN import'!F226)</f>
        <v/>
      </c>
      <c r="F227" t="str">
        <f>IF('HIDDEN import'!G226=0,"",'HIDDEN import'!G226)</f>
        <v/>
      </c>
      <c r="G227" s="39" t="str">
        <f>IFERROR(VLOOKUP($A227,'HIDDEN Testrun Results'!$A:$B,2,FALSE),"")</f>
        <v/>
      </c>
      <c r="H227" s="39" t="b">
        <f t="shared" si="3"/>
        <v>0</v>
      </c>
      <c r="I227" s="39" t="b">
        <f>IF(VLOOKUP(A227&amp;" "&amp;B227,'HIDDEN import'!A:G,5,FALSE)="M",TRUE,IFERROR(VLOOKUP(E227,'Optional features'!B:E,3,FALSE)="Yes",IFERROR(VLOOKUP(E227,'HIDDEN calc sheet'!A:B,2,FALSE),VLOOKUP(E227,'Additional questions'!B:D,3,FALSE)="Yes")))</f>
        <v>1</v>
      </c>
      <c r="J227" t="b">
        <f>IF(VLOOKUP(B227,'Profile selection'!B:C,2,FALSE)="Yes",TRUE,FALSE)</f>
        <v>0</v>
      </c>
      <c r="K227" s="17" t="b">
        <f>IF(AND(D227=MD!$A$1,M227),TRUE,(IF(AND(D227=MD!$A$3,M227),(IF(L227=TRUE,TRUE,FALSE)),(IF(AND(D227=MD!$A$2,M227),(IF(N227=TRUE,TRUE,FALSE)),FALSE)))))</f>
        <v>0</v>
      </c>
      <c r="M227" t="b">
        <f>IF(VLOOKUP(B227,'Profile selection'!B:C,2,FALSE)="Yes",TRUE,FALSE)</f>
        <v>0</v>
      </c>
    </row>
    <row r="228" spans="1:13" x14ac:dyDescent="0.25">
      <c r="A228" t="str">
        <f>'HIDDEN import'!B227</f>
        <v>TC_K_29_CSMS</v>
      </c>
      <c r="B228" t="str">
        <f>'HIDDEN import'!C227</f>
        <v>ISO 15118 Support</v>
      </c>
      <c r="C228" t="str">
        <f>'HIDDEN import'!D227</f>
        <v>Get Charging Profile - EvseId 0</v>
      </c>
      <c r="D228" t="str">
        <f>IF(VLOOKUP(A228&amp;" "&amp;B228,'HIDDEN import'!A:G,5,FALSE)="M",MD!$A$1,(IF(AND(VLOOKUP(A228,'HIDDEN import'!B:E,4,FALSE)="C",OR(NOT(ISERROR(VLOOKUP(E228,'Optional features'!B:E,1,FALSE)=E228)),NOT(ISERROR(VLOOKUP(E228,'HIDDEN calc sheet'!A:C,1,FALSE)=E228)))),MD!$A$3,MD!$A$2)))</f>
        <v>Mandatory test for a mandatory feature</v>
      </c>
      <c r="E228" t="str">
        <f>IF('HIDDEN import'!F227=0,"",'HIDDEN import'!F227)</f>
        <v/>
      </c>
      <c r="F228" t="str">
        <f>IF('HIDDEN import'!G227=0,"",'HIDDEN import'!G227)</f>
        <v/>
      </c>
      <c r="G228" s="39" t="str">
        <f>IFERROR(VLOOKUP($A228,'HIDDEN Testrun Results'!$A:$B,2,FALSE),"")</f>
        <v/>
      </c>
      <c r="H228" s="39" t="b">
        <f t="shared" si="3"/>
        <v>0</v>
      </c>
      <c r="I228" s="39" t="b">
        <f>IF(VLOOKUP(A228&amp;" "&amp;B228,'HIDDEN import'!A:G,5,FALSE)="M",TRUE,IFERROR(VLOOKUP(E228,'Optional features'!B:E,3,FALSE)="Yes",IFERROR(VLOOKUP(E228,'HIDDEN calc sheet'!A:B,2,FALSE),VLOOKUP(E228,'Additional questions'!B:D,3,FALSE)="Yes")))</f>
        <v>1</v>
      </c>
      <c r="J228" t="b">
        <f>IF(VLOOKUP(B228,'Profile selection'!B:C,2,FALSE)="Yes",TRUE,FALSE)</f>
        <v>0</v>
      </c>
      <c r="K228" s="17" t="b">
        <f>IF(AND(D228=MD!$A$1,M228),TRUE,(IF(AND(D228=MD!$A$3,M228),(IF(L228=TRUE,TRUE,FALSE)),(IF(AND(D228=MD!$A$2,M228),(IF(N228=TRUE,TRUE,FALSE)),FALSE)))))</f>
        <v>0</v>
      </c>
      <c r="M228" t="b">
        <f>IF(VLOOKUP(B228,'Profile selection'!B:C,2,FALSE)="Yes",TRUE,FALSE)</f>
        <v>0</v>
      </c>
    </row>
    <row r="229" spans="1:13" x14ac:dyDescent="0.25">
      <c r="A229" t="str">
        <f>'HIDDEN import'!B228</f>
        <v>TC_K_30_CSMS</v>
      </c>
      <c r="B229" t="str">
        <f>'HIDDEN import'!C228</f>
        <v>ISO 15118 Support</v>
      </c>
      <c r="C229" t="str">
        <f>'HIDDEN import'!D228</f>
        <v>Get Charging Profile - EvseId &gt; 0</v>
      </c>
      <c r="D229" t="str">
        <f>IF(VLOOKUP(A229&amp;" "&amp;B229,'HIDDEN import'!A:G,5,FALSE)="M",MD!$A$1,(IF(AND(VLOOKUP(A229,'HIDDEN import'!B:E,4,FALSE)="C",OR(NOT(ISERROR(VLOOKUP(E229,'Optional features'!B:E,1,FALSE)=E229)),NOT(ISERROR(VLOOKUP(E229,'HIDDEN calc sheet'!A:C,1,FALSE)=E229)))),MD!$A$3,MD!$A$2)))</f>
        <v>Mandatory test for a mandatory feature</v>
      </c>
      <c r="E229" t="str">
        <f>IF('HIDDEN import'!F228=0,"",'HIDDEN import'!F228)</f>
        <v/>
      </c>
      <c r="F229" t="str">
        <f>IF('HIDDEN import'!G228=0,"",'HIDDEN import'!G228)</f>
        <v/>
      </c>
      <c r="G229" s="39" t="str">
        <f>IFERROR(VLOOKUP($A229,'HIDDEN Testrun Results'!$A:$B,2,FALSE),"")</f>
        <v/>
      </c>
      <c r="H229" s="39" t="b">
        <f t="shared" si="3"/>
        <v>0</v>
      </c>
      <c r="I229" s="39" t="b">
        <f>IF(VLOOKUP(A229&amp;" "&amp;B229,'HIDDEN import'!A:G,5,FALSE)="M",TRUE,IFERROR(VLOOKUP(E229,'Optional features'!B:E,3,FALSE)="Yes",IFERROR(VLOOKUP(E229,'HIDDEN calc sheet'!A:B,2,FALSE),VLOOKUP(E229,'Additional questions'!B:D,3,FALSE)="Yes")))</f>
        <v>1</v>
      </c>
      <c r="J229" t="b">
        <f>IF(VLOOKUP(B229,'Profile selection'!B:C,2,FALSE)="Yes",TRUE,FALSE)</f>
        <v>0</v>
      </c>
      <c r="K229" s="17" t="b">
        <f>IF(AND(D229=MD!$A$1,M229),TRUE,(IF(AND(D229=MD!$A$3,M229),(IF(L229=TRUE,TRUE,FALSE)),(IF(AND(D229=MD!$A$2,M229),(IF(N229=TRUE,TRUE,FALSE)),FALSE)))))</f>
        <v>0</v>
      </c>
      <c r="M229" t="b">
        <f>IF(VLOOKUP(B229,'Profile selection'!B:C,2,FALSE)="Yes",TRUE,FALSE)</f>
        <v>0</v>
      </c>
    </row>
    <row r="230" spans="1:13" x14ac:dyDescent="0.25">
      <c r="A230" t="str">
        <f>'HIDDEN import'!B229</f>
        <v>TC_K_31_CSMS</v>
      </c>
      <c r="B230" t="str">
        <f>'HIDDEN import'!C229</f>
        <v>ISO 15118 Support</v>
      </c>
      <c r="C230" t="str">
        <f>'HIDDEN import'!D229</f>
        <v>Get Charging Profile - No EvseId</v>
      </c>
      <c r="D230" t="str">
        <f>IF(VLOOKUP(A230&amp;" "&amp;B230,'HIDDEN import'!A:G,5,FALSE)="M",MD!$A$1,(IF(AND(VLOOKUP(A230,'HIDDEN import'!B:E,4,FALSE)="C",OR(NOT(ISERROR(VLOOKUP(E230,'Optional features'!B:E,1,FALSE)=E230)),NOT(ISERROR(VLOOKUP(E230,'HIDDEN calc sheet'!A:C,1,FALSE)=E230)))),MD!$A$3,MD!$A$2)))</f>
        <v>Mandatory test for a mandatory feature</v>
      </c>
      <c r="E230" t="str">
        <f>IF('HIDDEN import'!F229=0,"",'HIDDEN import'!F229)</f>
        <v/>
      </c>
      <c r="F230" t="str">
        <f>IF('HIDDEN import'!G229=0,"",'HIDDEN import'!G229)</f>
        <v/>
      </c>
      <c r="G230" s="39" t="str">
        <f>IFERROR(VLOOKUP($A230,'HIDDEN Testrun Results'!$A:$B,2,FALSE),"")</f>
        <v/>
      </c>
      <c r="H230" s="39" t="b">
        <f t="shared" si="3"/>
        <v>0</v>
      </c>
      <c r="I230" s="39" t="b">
        <f>IF(VLOOKUP(A230&amp;" "&amp;B230,'HIDDEN import'!A:G,5,FALSE)="M",TRUE,IFERROR(VLOOKUP(E230,'Optional features'!B:E,3,FALSE)="Yes",IFERROR(VLOOKUP(E230,'HIDDEN calc sheet'!A:B,2,FALSE),VLOOKUP(E230,'Additional questions'!B:D,3,FALSE)="Yes")))</f>
        <v>1</v>
      </c>
      <c r="J230" t="b">
        <f>IF(VLOOKUP(B230,'Profile selection'!B:C,2,FALSE)="Yes",TRUE,FALSE)</f>
        <v>0</v>
      </c>
      <c r="K230" s="17" t="b">
        <f>IF(AND(D230=MD!$A$1,M230),TRUE,(IF(AND(D230=MD!$A$3,M230),(IF(L230=TRUE,TRUE,FALSE)),(IF(AND(D230=MD!$A$2,M230),(IF(N230=TRUE,TRUE,FALSE)),FALSE)))))</f>
        <v>0</v>
      </c>
      <c r="M230" t="b">
        <f>IF(VLOOKUP(B230,'Profile selection'!B:C,2,FALSE)="Yes",TRUE,FALSE)</f>
        <v>0</v>
      </c>
    </row>
    <row r="231" spans="1:13" x14ac:dyDescent="0.25">
      <c r="A231" t="str">
        <f>'HIDDEN import'!B230</f>
        <v>TC_K_32_CSMS</v>
      </c>
      <c r="B231" t="str">
        <f>'HIDDEN import'!C230</f>
        <v>ISO 15118 Support</v>
      </c>
      <c r="C231" t="str">
        <f>'HIDDEN import'!D230</f>
        <v>Get Charging Profile - chargingProfileId</v>
      </c>
      <c r="D231" t="str">
        <f>IF(VLOOKUP(A231&amp;" "&amp;B231,'HIDDEN import'!A:G,5,FALSE)="M",MD!$A$1,(IF(AND(VLOOKUP(A231,'HIDDEN import'!B:E,4,FALSE)="C",OR(NOT(ISERROR(VLOOKUP(E231,'Optional features'!B:E,1,FALSE)=E231)),NOT(ISERROR(VLOOKUP(E231,'HIDDEN calc sheet'!A:C,1,FALSE)=E231)))),MD!$A$3,MD!$A$2)))</f>
        <v>Mandatory test for a mandatory feature</v>
      </c>
      <c r="E231" t="str">
        <f>IF('HIDDEN import'!F230=0,"",'HIDDEN import'!F230)</f>
        <v/>
      </c>
      <c r="F231" t="str">
        <f>IF('HIDDEN import'!G230=0,"",'HIDDEN import'!G230)</f>
        <v/>
      </c>
      <c r="G231" s="39" t="str">
        <f>IFERROR(VLOOKUP($A231,'HIDDEN Testrun Results'!$A:$B,2,FALSE),"")</f>
        <v/>
      </c>
      <c r="H231" s="39" t="b">
        <f t="shared" si="3"/>
        <v>0</v>
      </c>
      <c r="I231" s="39" t="b">
        <f>IF(VLOOKUP(A231&amp;" "&amp;B231,'HIDDEN import'!A:G,5,FALSE)="M",TRUE,IFERROR(VLOOKUP(E231,'Optional features'!B:E,3,FALSE)="Yes",IFERROR(VLOOKUP(E231,'HIDDEN calc sheet'!A:B,2,FALSE),VLOOKUP(E231,'Additional questions'!B:D,3,FALSE)="Yes")))</f>
        <v>1</v>
      </c>
      <c r="J231" t="b">
        <f>IF(VLOOKUP(B231,'Profile selection'!B:C,2,FALSE)="Yes",TRUE,FALSE)</f>
        <v>0</v>
      </c>
      <c r="K231" s="17" t="b">
        <f>IF(AND(D231=MD!$A$1,M231),TRUE,(IF(AND(D231=MD!$A$3,M231),(IF(L231=TRUE,TRUE,FALSE)),(IF(AND(D231=MD!$A$2,M231),(IF(N231=TRUE,TRUE,FALSE)),FALSE)))))</f>
        <v>0</v>
      </c>
      <c r="M231" t="b">
        <f>IF(VLOOKUP(B231,'Profile selection'!B:C,2,FALSE)="Yes",TRUE,FALSE)</f>
        <v>0</v>
      </c>
    </row>
    <row r="232" spans="1:13" x14ac:dyDescent="0.25">
      <c r="A232" t="str">
        <f>'HIDDEN import'!B231</f>
        <v>TC_K_33_CSMS</v>
      </c>
      <c r="B232" t="str">
        <f>'HIDDEN import'!C231</f>
        <v>ISO 15118 Support</v>
      </c>
      <c r="C232" t="str">
        <f>'HIDDEN import'!D231</f>
        <v>Get Charging Profile - EvseId &gt; 0 + stackLevel</v>
      </c>
      <c r="D232" t="str">
        <f>IF(VLOOKUP(A232&amp;" "&amp;B232,'HIDDEN import'!A:G,5,FALSE)="M",MD!$A$1,(IF(AND(VLOOKUP(A232,'HIDDEN import'!B:E,4,FALSE)="C",OR(NOT(ISERROR(VLOOKUP(E232,'Optional features'!B:E,1,FALSE)=E232)),NOT(ISERROR(VLOOKUP(E232,'HIDDEN calc sheet'!A:C,1,FALSE)=E232)))),MD!$A$3,MD!$A$2)))</f>
        <v>Mandatory test for a mandatory feature</v>
      </c>
      <c r="E232" t="str">
        <f>IF('HIDDEN import'!F231=0,"",'HIDDEN import'!F231)</f>
        <v/>
      </c>
      <c r="F232" t="str">
        <f>IF('HIDDEN import'!G231=0,"",'HIDDEN import'!G231)</f>
        <v/>
      </c>
      <c r="G232" s="39" t="str">
        <f>IFERROR(VLOOKUP($A232,'HIDDEN Testrun Results'!$A:$B,2,FALSE),"")</f>
        <v/>
      </c>
      <c r="H232" s="39" t="b">
        <f t="shared" si="3"/>
        <v>0</v>
      </c>
      <c r="I232" s="39" t="b">
        <f>IF(VLOOKUP(A232&amp;" "&amp;B232,'HIDDEN import'!A:G,5,FALSE)="M",TRUE,IFERROR(VLOOKUP(E232,'Optional features'!B:E,3,FALSE)="Yes",IFERROR(VLOOKUP(E232,'HIDDEN calc sheet'!A:B,2,FALSE),VLOOKUP(E232,'Additional questions'!B:D,3,FALSE)="Yes")))</f>
        <v>1</v>
      </c>
      <c r="J232" t="b">
        <f>IF(VLOOKUP(B232,'Profile selection'!B:C,2,FALSE)="Yes",TRUE,FALSE)</f>
        <v>0</v>
      </c>
      <c r="K232" s="17" t="b">
        <f>IF(AND(D232=MD!$A$1,M232),TRUE,(IF(AND(D232=MD!$A$3,M232),(IF(L232=TRUE,TRUE,FALSE)),(IF(AND(D232=MD!$A$2,M232),(IF(N232=TRUE,TRUE,FALSE)),FALSE)))))</f>
        <v>0</v>
      </c>
      <c r="M232" t="b">
        <f>IF(VLOOKUP(B232,'Profile selection'!B:C,2,FALSE)="Yes",TRUE,FALSE)</f>
        <v>0</v>
      </c>
    </row>
    <row r="233" spans="1:13" x14ac:dyDescent="0.25">
      <c r="A233" t="str">
        <f>'HIDDEN import'!B232</f>
        <v>TC_K_34_CSMS</v>
      </c>
      <c r="B233" t="str">
        <f>'HIDDEN import'!C232</f>
        <v>ISO 15118 Support</v>
      </c>
      <c r="C233" t="str">
        <f>'HIDDEN import'!D232</f>
        <v>Get Charging Profile - EvseId &gt; 0 + chargingLimitSource</v>
      </c>
      <c r="D233" t="str">
        <f>IF(VLOOKUP(A233&amp;" "&amp;B233,'HIDDEN import'!A:G,5,FALSE)="M",MD!$A$1,(IF(AND(VLOOKUP(A233,'HIDDEN import'!B:E,4,FALSE)="C",OR(NOT(ISERROR(VLOOKUP(E233,'Optional features'!B:E,1,FALSE)=E233)),NOT(ISERROR(VLOOKUP(E233,'HIDDEN calc sheet'!A:C,1,FALSE)=E233)))),MD!$A$3,MD!$A$2)))</f>
        <v>Mandatory test for a mandatory feature</v>
      </c>
      <c r="E233" t="str">
        <f>IF('HIDDEN import'!F232=0,"",'HIDDEN import'!F232)</f>
        <v/>
      </c>
      <c r="F233" t="str">
        <f>IF('HIDDEN import'!G232=0,"",'HIDDEN import'!G232)</f>
        <v/>
      </c>
      <c r="G233" s="39" t="str">
        <f>IFERROR(VLOOKUP($A233,'HIDDEN Testrun Results'!$A:$B,2,FALSE),"")</f>
        <v/>
      </c>
      <c r="H233" s="39" t="b">
        <f t="shared" si="3"/>
        <v>0</v>
      </c>
      <c r="I233" s="39" t="b">
        <f>IF(VLOOKUP(A233&amp;" "&amp;B233,'HIDDEN import'!A:G,5,FALSE)="M",TRUE,IFERROR(VLOOKUP(E233,'Optional features'!B:E,3,FALSE)="Yes",IFERROR(VLOOKUP(E233,'HIDDEN calc sheet'!A:B,2,FALSE),VLOOKUP(E233,'Additional questions'!B:D,3,FALSE)="Yes")))</f>
        <v>1</v>
      </c>
      <c r="J233" t="b">
        <f>IF(VLOOKUP(B233,'Profile selection'!B:C,2,FALSE)="Yes",TRUE,FALSE)</f>
        <v>0</v>
      </c>
      <c r="K233" s="17" t="b">
        <f>IF(AND(D233=MD!$A$1,M233),TRUE,(IF(AND(D233=MD!$A$3,M233),(IF(L233=TRUE,TRUE,FALSE)),(IF(AND(D233=MD!$A$2,M233),(IF(N233=TRUE,TRUE,FALSE)),FALSE)))))</f>
        <v>0</v>
      </c>
      <c r="M233" t="b">
        <f>IF(VLOOKUP(B233,'Profile selection'!B:C,2,FALSE)="Yes",TRUE,FALSE)</f>
        <v>0</v>
      </c>
    </row>
    <row r="234" spans="1:13" x14ac:dyDescent="0.25">
      <c r="A234" t="str">
        <f>'HIDDEN import'!B233</f>
        <v>TC_K_35_CSMS</v>
      </c>
      <c r="B234" t="str">
        <f>'HIDDEN import'!C233</f>
        <v>ISO 15118 Support</v>
      </c>
      <c r="C234" t="str">
        <f>'HIDDEN import'!D233</f>
        <v>Get Charging Profile - EvseId &gt; 0 + chargingProfilePurpose</v>
      </c>
      <c r="D234" t="str">
        <f>IF(VLOOKUP(A234&amp;" "&amp;B234,'HIDDEN import'!A:G,5,FALSE)="M",MD!$A$1,(IF(AND(VLOOKUP(A234,'HIDDEN import'!B:E,4,FALSE)="C",OR(NOT(ISERROR(VLOOKUP(E234,'Optional features'!B:E,1,FALSE)=E234)),NOT(ISERROR(VLOOKUP(E234,'HIDDEN calc sheet'!A:C,1,FALSE)=E234)))),MD!$A$3,MD!$A$2)))</f>
        <v>Mandatory test for a mandatory feature</v>
      </c>
      <c r="E234" t="str">
        <f>IF('HIDDEN import'!F233=0,"",'HIDDEN import'!F233)</f>
        <v/>
      </c>
      <c r="F234" t="str">
        <f>IF('HIDDEN import'!G233=0,"",'HIDDEN import'!G233)</f>
        <v/>
      </c>
      <c r="G234" s="39" t="str">
        <f>IFERROR(VLOOKUP($A234,'HIDDEN Testrun Results'!$A:$B,2,FALSE),"")</f>
        <v/>
      </c>
      <c r="H234" s="39" t="b">
        <f t="shared" si="3"/>
        <v>0</v>
      </c>
      <c r="I234" s="39" t="b">
        <f>IF(VLOOKUP(A234&amp;" "&amp;B234,'HIDDEN import'!A:G,5,FALSE)="M",TRUE,IFERROR(VLOOKUP(E234,'Optional features'!B:E,3,FALSE)="Yes",IFERROR(VLOOKUP(E234,'HIDDEN calc sheet'!A:B,2,FALSE),VLOOKUP(E234,'Additional questions'!B:D,3,FALSE)="Yes")))</f>
        <v>1</v>
      </c>
      <c r="J234" t="b">
        <f>IF(VLOOKUP(B234,'Profile selection'!B:C,2,FALSE)="Yes",TRUE,FALSE)</f>
        <v>0</v>
      </c>
      <c r="K234" s="17" t="b">
        <f>IF(AND(D234=MD!$A$1,M234),TRUE,(IF(AND(D234=MD!$A$3,M234),(IF(L234=TRUE,TRUE,FALSE)),(IF(AND(D234=MD!$A$2,M234),(IF(N234=TRUE,TRUE,FALSE)),FALSE)))))</f>
        <v>0</v>
      </c>
      <c r="L234" t="b">
        <f>IF(ISNA(VLOOKUP(E234,'Optional features'!B:D,3,FALSE)),FALSE,IF(VLOOKUP(E234,'Optional features'!B:D,3,FALSE)="Yes",TRUE,FALSE))</f>
        <v>0</v>
      </c>
      <c r="M234" t="b">
        <f>IF(VLOOKUP(B234,'Profile selection'!B:C,2,FALSE)="Yes",TRUE,FALSE)</f>
        <v>0</v>
      </c>
    </row>
    <row r="235" spans="1:13" x14ac:dyDescent="0.25">
      <c r="A235" t="str">
        <f>'HIDDEN import'!B234</f>
        <v>TC_K_36_CSMS</v>
      </c>
      <c r="B235" t="str">
        <f>'HIDDEN import'!C234</f>
        <v>ISO 15118 Support</v>
      </c>
      <c r="C235" t="str">
        <f>'HIDDEN import'!D234</f>
        <v>Get Charging Profile - EvseId &gt; 0 + chargingProfilePurpose + stackLevel</v>
      </c>
      <c r="D235" t="str">
        <f>IF(VLOOKUP(A235&amp;" "&amp;B235,'HIDDEN import'!A:G,5,FALSE)="M",MD!$A$1,(IF(AND(VLOOKUP(A235,'HIDDEN import'!B:E,4,FALSE)="C",OR(NOT(ISERROR(VLOOKUP(E235,'Optional features'!B:E,1,FALSE)=E235)),NOT(ISERROR(VLOOKUP(E235,'HIDDEN calc sheet'!A:C,1,FALSE)=E235)))),MD!$A$3,MD!$A$2)))</f>
        <v>Mandatory test for a mandatory feature</v>
      </c>
      <c r="E235" t="str">
        <f>IF('HIDDEN import'!F234=0,"",'HIDDEN import'!F234)</f>
        <v/>
      </c>
      <c r="F235" t="str">
        <f>IF('HIDDEN import'!G234=0,"",'HIDDEN import'!G234)</f>
        <v/>
      </c>
      <c r="G235" s="39" t="str">
        <f>IFERROR(VLOOKUP($A235,'HIDDEN Testrun Results'!$A:$B,2,FALSE),"")</f>
        <v/>
      </c>
      <c r="H235" s="39" t="b">
        <f t="shared" si="3"/>
        <v>0</v>
      </c>
      <c r="I235" s="39" t="b">
        <f>IF(VLOOKUP(A235&amp;" "&amp;B235,'HIDDEN import'!A:G,5,FALSE)="M",TRUE,IFERROR(VLOOKUP(E235,'Optional features'!B:E,3,FALSE)="Yes",IFERROR(VLOOKUP(E235,'HIDDEN calc sheet'!A:B,2,FALSE),VLOOKUP(E235,'Additional questions'!B:D,3,FALSE)="Yes")))</f>
        <v>1</v>
      </c>
      <c r="J235" t="b">
        <f>IF(VLOOKUP(B235,'Profile selection'!B:C,2,FALSE)="Yes",TRUE,FALSE)</f>
        <v>0</v>
      </c>
      <c r="K235" s="17" t="b">
        <f>IF(AND(D235=MD!$A$1,M235),TRUE,(IF(AND(D235=MD!$A$3,M235),(IF(L235=TRUE,TRUE,FALSE)),(IF(AND(D235=MD!$A$2,M235),(IF(N235=TRUE,TRUE,FALSE)),FALSE)))))</f>
        <v>0</v>
      </c>
      <c r="L235" t="b">
        <f>IF(ISNA(VLOOKUP(E235,'Optional features'!B:D,3,FALSE)),FALSE,IF(VLOOKUP(E235,'Optional features'!B:D,3,FALSE)="Yes",TRUE,FALSE))</f>
        <v>0</v>
      </c>
      <c r="M235" t="b">
        <f>IF(VLOOKUP(B235,'Profile selection'!B:C,2,FALSE)="Yes",TRUE,FALSE)</f>
        <v>0</v>
      </c>
    </row>
    <row r="236" spans="1:13" x14ac:dyDescent="0.25">
      <c r="A236" t="str">
        <f>'HIDDEN import'!B235</f>
        <v>TC_K_05_CSMS</v>
      </c>
      <c r="B236" t="str">
        <f>'HIDDEN import'!C235</f>
        <v>ISO 15118 Support</v>
      </c>
      <c r="C236" t="str">
        <f>'HIDDEN import'!D235</f>
        <v>Clear Charging Profile - With chargingProfileId</v>
      </c>
      <c r="D236" t="str">
        <f>IF(VLOOKUP(A236&amp;" "&amp;B236,'HIDDEN import'!A:G,5,FALSE)="M",MD!$A$1,(IF(AND(VLOOKUP(A236,'HIDDEN import'!B:E,4,FALSE)="C",OR(NOT(ISERROR(VLOOKUP(E236,'Optional features'!B:E,1,FALSE)=E236)),NOT(ISERROR(VLOOKUP(E236,'HIDDEN calc sheet'!A:C,1,FALSE)=E236)))),MD!$A$3,MD!$A$2)))</f>
        <v>Mandatory test for a mandatory feature</v>
      </c>
      <c r="E236" t="str">
        <f>IF('HIDDEN import'!F235=0,"",'HIDDEN import'!F235)</f>
        <v/>
      </c>
      <c r="F236" t="str">
        <f>IF('HIDDEN import'!G235=0,"",'HIDDEN import'!G235)</f>
        <v/>
      </c>
      <c r="G236" s="39" t="str">
        <f>IFERROR(VLOOKUP($A236,'HIDDEN Testrun Results'!$A:$B,2,FALSE),"")</f>
        <v/>
      </c>
      <c r="H236" s="39" t="b">
        <f t="shared" si="3"/>
        <v>0</v>
      </c>
      <c r="I236" s="39" t="b">
        <f>IF(VLOOKUP(A236&amp;" "&amp;B236,'HIDDEN import'!A:G,5,FALSE)="M",TRUE,IFERROR(VLOOKUP(E236,'Optional features'!B:E,3,FALSE)="Yes",IFERROR(VLOOKUP(E236,'HIDDEN calc sheet'!A:B,2,FALSE),VLOOKUP(E236,'Additional questions'!B:D,3,FALSE)="Yes")))</f>
        <v>1</v>
      </c>
      <c r="J236" t="b">
        <f>IF(VLOOKUP(B236,'Profile selection'!B:C,2,FALSE)="Yes",TRUE,FALSE)</f>
        <v>0</v>
      </c>
      <c r="K236" s="17" t="b">
        <f>IF(AND(D236=MD!$A$1,M236),TRUE,(IF(AND(D236=MD!$A$3,M236),(IF(L236=TRUE,TRUE,FALSE)),(IF(AND(D236=MD!$A$2,M236),(IF(N236=TRUE,TRUE,FALSE)),FALSE)))))</f>
        <v>0</v>
      </c>
      <c r="L236" t="b">
        <f>IF(ISNA(VLOOKUP(E236,'Optional features'!B:D,3,FALSE)),FALSE,IF(VLOOKUP(E236,'Optional features'!B:D,3,FALSE)="Yes",TRUE,FALSE))</f>
        <v>0</v>
      </c>
      <c r="M236" t="b">
        <f>IF(VLOOKUP(B236,'Profile selection'!B:C,2,FALSE)="Yes",TRUE,FALSE)</f>
        <v>0</v>
      </c>
    </row>
    <row r="237" spans="1:13" x14ac:dyDescent="0.25">
      <c r="A237" t="str">
        <f>'HIDDEN import'!B236</f>
        <v>TC_K_06_CSMS</v>
      </c>
      <c r="B237" t="str">
        <f>'HIDDEN import'!C236</f>
        <v>ISO 15118 Support</v>
      </c>
      <c r="C237" t="str">
        <f>'HIDDEN import'!D236</f>
        <v>Clear Charging Profile - With stackLevel/purpose combination for one profile</v>
      </c>
      <c r="D237" t="str">
        <f>IF(VLOOKUP(A237&amp;" "&amp;B237,'HIDDEN import'!A:G,5,FALSE)="M",MD!$A$1,(IF(AND(VLOOKUP(A237,'HIDDEN import'!B:E,4,FALSE)="C",OR(NOT(ISERROR(VLOOKUP(E237,'Optional features'!B:E,1,FALSE)=E237)),NOT(ISERROR(VLOOKUP(E237,'HIDDEN calc sheet'!A:C,1,FALSE)=E237)))),MD!$A$3,MD!$A$2)))</f>
        <v>Mandatory test for a mandatory feature</v>
      </c>
      <c r="E237" t="str">
        <f>IF('HIDDEN import'!F236=0,"",'HIDDEN import'!F236)</f>
        <v/>
      </c>
      <c r="F237" t="str">
        <f>IF('HIDDEN import'!G236=0,"",'HIDDEN import'!G236)</f>
        <v/>
      </c>
      <c r="G237" s="39" t="str">
        <f>IFERROR(VLOOKUP($A237,'HIDDEN Testrun Results'!$A:$B,2,FALSE),"")</f>
        <v/>
      </c>
      <c r="H237" s="39" t="b">
        <f t="shared" si="3"/>
        <v>0</v>
      </c>
      <c r="I237" s="39" t="b">
        <f>IF(VLOOKUP(A237&amp;" "&amp;B237,'HIDDEN import'!A:G,5,FALSE)="M",TRUE,IFERROR(VLOOKUP(E237,'Optional features'!B:E,3,FALSE)="Yes",IFERROR(VLOOKUP(E237,'HIDDEN calc sheet'!A:B,2,FALSE),VLOOKUP(E237,'Additional questions'!B:D,3,FALSE)="Yes")))</f>
        <v>1</v>
      </c>
      <c r="J237" t="b">
        <f>IF(VLOOKUP(B237,'Profile selection'!B:C,2,FALSE)="Yes",TRUE,FALSE)</f>
        <v>0</v>
      </c>
      <c r="K237" s="17" t="b">
        <f>IF(AND(D237=MD!$A$1,M237),TRUE,(IF(AND(D237=MD!$A$3,M237),(IF(L237=TRUE,TRUE,FALSE)),(IF(AND(D237=MD!$A$2,M237),(IF(N237=TRUE,TRUE,FALSE)),FALSE)))))</f>
        <v>0</v>
      </c>
      <c r="L237" t="b">
        <f>IF(ISNA(VLOOKUP(E237,'Optional features'!B:D,3,FALSE)),FALSE,IF(VLOOKUP(E237,'Optional features'!B:D,3,FALSE)="Yes",TRUE,FALSE))</f>
        <v>0</v>
      </c>
      <c r="M237" t="b">
        <f>IF(VLOOKUP(B237,'Profile selection'!B:C,2,FALSE)="Yes",TRUE,FALSE)</f>
        <v>0</v>
      </c>
    </row>
    <row r="238" spans="1:13" x14ac:dyDescent="0.25">
      <c r="A238" t="str">
        <f>'HIDDEN import'!B237</f>
        <v>TC_K_08_CSMS</v>
      </c>
      <c r="B238" t="str">
        <f>'HIDDEN import'!C237</f>
        <v>ISO 15118 Support</v>
      </c>
      <c r="C238" t="str">
        <f>'HIDDEN import'!D237</f>
        <v>Clear Charging Profile - Without previous charging profile</v>
      </c>
      <c r="D238" t="str">
        <f>IF(VLOOKUP(A238&amp;" "&amp;B238,'HIDDEN import'!A:G,5,FALSE)="M",MD!$A$1,(IF(AND(VLOOKUP(A238,'HIDDEN import'!B:E,4,FALSE)="C",OR(NOT(ISERROR(VLOOKUP(E238,'Optional features'!B:E,1,FALSE)=E238)),NOT(ISERROR(VLOOKUP(E238,'HIDDEN calc sheet'!A:C,1,FALSE)=E238)))),MD!$A$3,MD!$A$2)))</f>
        <v>Mandatory test for a mandatory feature</v>
      </c>
      <c r="E238" t="str">
        <f>IF('HIDDEN import'!F237=0,"",'HIDDEN import'!F237)</f>
        <v/>
      </c>
      <c r="F238" t="str">
        <f>IF('HIDDEN import'!G237=0,"",'HIDDEN import'!G237)</f>
        <v/>
      </c>
      <c r="G238" s="39" t="str">
        <f>IFERROR(VLOOKUP($A238,'HIDDEN Testrun Results'!$A:$B,2,FALSE),"")</f>
        <v/>
      </c>
      <c r="H238" s="39" t="b">
        <f t="shared" si="3"/>
        <v>0</v>
      </c>
      <c r="I238" s="39" t="b">
        <f>IF(VLOOKUP(A238&amp;" "&amp;B238,'HIDDEN import'!A:G,5,FALSE)="M",TRUE,IFERROR(VLOOKUP(E238,'Optional features'!B:E,3,FALSE)="Yes",IFERROR(VLOOKUP(E238,'HIDDEN calc sheet'!A:B,2,FALSE),VLOOKUP(E238,'Additional questions'!B:D,3,FALSE)="Yes")))</f>
        <v>1</v>
      </c>
      <c r="J238" t="b">
        <f>IF(VLOOKUP(B238,'Profile selection'!B:C,2,FALSE)="Yes",TRUE,FALSE)</f>
        <v>0</v>
      </c>
      <c r="K238" s="17" t="b">
        <f>IF(AND(D238=MD!$A$1,M238),TRUE,(IF(AND(D238=MD!$A$3,M238),(IF(L238=TRUE,TRUE,FALSE)),(IF(AND(D238=MD!$A$2,M238),(IF(N238=TRUE,TRUE,FALSE)),FALSE)))))</f>
        <v>0</v>
      </c>
      <c r="L238" t="b">
        <f>IF(ISNA(VLOOKUP(E238,'Optional features'!B:D,3,FALSE)),FALSE,IF(VLOOKUP(E238,'Optional features'!B:D,3,FALSE)="Yes",TRUE,FALSE))</f>
        <v>0</v>
      </c>
      <c r="M238" t="b">
        <f>IF(VLOOKUP(B238,'Profile selection'!B:C,2,FALSE)="Yes",TRUE,FALSE)</f>
        <v>0</v>
      </c>
    </row>
    <row r="239" spans="1:13" x14ac:dyDescent="0.25">
      <c r="A239" t="str">
        <f>'HIDDEN import'!B238</f>
        <v>TC_K_53_CSMS</v>
      </c>
      <c r="B239" t="str">
        <f>'HIDDEN import'!C238</f>
        <v>ISO 15118 Support</v>
      </c>
      <c r="C239" t="str">
        <f>'HIDDEN import'!D238</f>
        <v>Charging with load leveling based on High Level Communication - Success</v>
      </c>
      <c r="D239" t="str">
        <f>IF(VLOOKUP(A239&amp;" "&amp;B239,'HIDDEN import'!A:G,5,FALSE)="M",MD!$A$1,(IF(AND(VLOOKUP(A239,'HIDDEN import'!B:E,4,FALSE)="C",OR(NOT(ISERROR(VLOOKUP(E239,'Optional features'!B:E,1,FALSE)=E239)),NOT(ISERROR(VLOOKUP(E239,'HIDDEN calc sheet'!A:C,1,FALSE)=E239)))),MD!$A$3,MD!$A$2)))</f>
        <v>Mandatory test for a mandatory feature</v>
      </c>
      <c r="E239" t="str">
        <f>IF('HIDDEN import'!F238=0,"",'HIDDEN import'!F238)</f>
        <v/>
      </c>
      <c r="F239" t="str">
        <f>IF('HIDDEN import'!G238=0,"",'HIDDEN import'!G238)</f>
        <v/>
      </c>
      <c r="G239" s="39" t="str">
        <f>IFERROR(VLOOKUP($A239,'HIDDEN Testrun Results'!$A:$B,2,FALSE),"")</f>
        <v/>
      </c>
      <c r="H239" s="39" t="b">
        <f t="shared" si="3"/>
        <v>0</v>
      </c>
      <c r="I239" s="39" t="b">
        <f>IF(VLOOKUP(A239&amp;" "&amp;B239,'HIDDEN import'!A:G,5,FALSE)="M",TRUE,IFERROR(VLOOKUP(E239,'Optional features'!B:E,3,FALSE)="Yes",IFERROR(VLOOKUP(E239,'HIDDEN calc sheet'!A:B,2,FALSE),VLOOKUP(E239,'Additional questions'!B:D,3,FALSE)="Yes")))</f>
        <v>1</v>
      </c>
      <c r="J239" t="b">
        <f>IF(VLOOKUP(B239,'Profile selection'!B:C,2,FALSE)="Yes",TRUE,FALSE)</f>
        <v>0</v>
      </c>
      <c r="K239" s="17" t="b">
        <f>IF(AND(D239=MD!$A$1,M239),TRUE,(IF(AND(D239=MD!$A$3,M239),(IF(L239=TRUE,TRUE,FALSE)),(IF(AND(D239=MD!$A$2,M239),(IF(N239=TRUE,TRUE,FALSE)),FALSE)))))</f>
        <v>0</v>
      </c>
      <c r="L239" t="b">
        <f>IF(ISNA(VLOOKUP(E239,'Optional features'!B:D,3,FALSE)),FALSE,IF(VLOOKUP(E239,'Optional features'!B:D,3,FALSE)="Yes",TRUE,FALSE))</f>
        <v>0</v>
      </c>
      <c r="M239" t="b">
        <f>IF(VLOOKUP(B239,'Profile selection'!B:C,2,FALSE)="Yes",TRUE,FALSE)</f>
        <v>0</v>
      </c>
    </row>
    <row r="240" spans="1:13" x14ac:dyDescent="0.25">
      <c r="A240" t="str">
        <f>'HIDDEN import'!B239</f>
        <v>TC_K_55_CSMS</v>
      </c>
      <c r="B240" t="str">
        <f>'HIDDEN import'!C239</f>
        <v>ISO 15118 Support</v>
      </c>
      <c r="C240" t="str">
        <f>'HIDDEN import'!D239</f>
        <v>Charging with load leveling based on High Level Communication - EV charging profile exceeds limits</v>
      </c>
      <c r="D240" t="str">
        <f>IF(VLOOKUP(A240&amp;" "&amp;B240,'HIDDEN import'!A:G,5,FALSE)="M",MD!$A$1,(IF(AND(VLOOKUP(A240,'HIDDEN import'!B:E,4,FALSE)="C",OR(NOT(ISERROR(VLOOKUP(E240,'Optional features'!B:E,1,FALSE)=E240)),NOT(ISERROR(VLOOKUP(E240,'HIDDEN calc sheet'!A:C,1,FALSE)=E240)))),MD!$A$3,MD!$A$2)))</f>
        <v>Mandatory test for a mandatory feature</v>
      </c>
      <c r="E240" t="str">
        <f>IF('HIDDEN import'!F239=0,"",'HIDDEN import'!F239)</f>
        <v/>
      </c>
      <c r="F240" t="str">
        <f>IF('HIDDEN import'!G239=0,"",'HIDDEN import'!G239)</f>
        <v/>
      </c>
      <c r="G240" s="39" t="str">
        <f>IFERROR(VLOOKUP($A240,'HIDDEN Testrun Results'!$A:$B,2,FALSE),"")</f>
        <v/>
      </c>
      <c r="H240" s="39" t="b">
        <f t="shared" si="3"/>
        <v>0</v>
      </c>
      <c r="I240" s="39" t="b">
        <f>IF(VLOOKUP(A240&amp;" "&amp;B240,'HIDDEN import'!A:G,5,FALSE)="M",TRUE,IFERROR(VLOOKUP(E240,'Optional features'!B:E,3,FALSE)="Yes",IFERROR(VLOOKUP(E240,'HIDDEN calc sheet'!A:B,2,FALSE),VLOOKUP(E240,'Additional questions'!B:D,3,FALSE)="Yes")))</f>
        <v>1</v>
      </c>
      <c r="J240" t="b">
        <f>IF(VLOOKUP(B240,'Profile selection'!B:C,2,FALSE)="Yes",TRUE,FALSE)</f>
        <v>0</v>
      </c>
      <c r="K240" s="17" t="b">
        <f>IF(AND(D240=MD!$A$1,M240),TRUE,(IF(AND(D240=MD!$A$3,M240),(IF(L240=TRUE,TRUE,FALSE)),(IF(AND(D240=MD!$A$2,M240),(IF(N240=TRUE,TRUE,FALSE)),FALSE)))))</f>
        <v>0</v>
      </c>
      <c r="L240" t="b">
        <f>IF(ISNA(VLOOKUP(E240,'Optional features'!B:D,3,FALSE)),FALSE,IF(VLOOKUP(E240,'Optional features'!B:D,3,FALSE)="Yes",TRUE,FALSE))</f>
        <v>0</v>
      </c>
      <c r="M240" t="b">
        <f>IF(VLOOKUP(B240,'Profile selection'!B:C,2,FALSE)="Yes",TRUE,FALSE)</f>
        <v>0</v>
      </c>
    </row>
    <row r="241" spans="1:13" x14ac:dyDescent="0.25">
      <c r="A241" t="str">
        <f>'HIDDEN import'!B240</f>
        <v>TC_K_57_CSMS</v>
      </c>
      <c r="B241" t="str">
        <f>'HIDDEN import'!C240</f>
        <v>ISO 15118 Support</v>
      </c>
      <c r="C241" t="str">
        <f>'HIDDEN import'!D240</f>
        <v>Renegotiating a Charging Schedule - Initiated by EV</v>
      </c>
      <c r="D241" t="str">
        <f>IF(VLOOKUP(A241&amp;" "&amp;B241,'HIDDEN import'!A:G,5,FALSE)="M",MD!$A$1,(IF(AND(VLOOKUP(A241,'HIDDEN import'!B:E,4,FALSE)="C",OR(NOT(ISERROR(VLOOKUP(E241,'Optional features'!B:E,1,FALSE)=E241)),NOT(ISERROR(VLOOKUP(E241,'HIDDEN calc sheet'!A:C,1,FALSE)=E241)))),MD!$A$3,MD!$A$2)))</f>
        <v>Mandatory test for a mandatory feature</v>
      </c>
      <c r="E241" t="str">
        <f>IF('HIDDEN import'!F240=0,"",'HIDDEN import'!F240)</f>
        <v/>
      </c>
      <c r="F241" t="str">
        <f>IF('HIDDEN import'!G240=0,"",'HIDDEN import'!G240)</f>
        <v/>
      </c>
      <c r="G241" s="39" t="str">
        <f>IFERROR(VLOOKUP($A241,'HIDDEN Testrun Results'!$A:$B,2,FALSE),"")</f>
        <v/>
      </c>
      <c r="H241" s="39" t="b">
        <f t="shared" si="3"/>
        <v>0</v>
      </c>
      <c r="I241" s="39" t="b">
        <f>IF(VLOOKUP(A241&amp;" "&amp;B241,'HIDDEN import'!A:G,5,FALSE)="M",TRUE,IFERROR(VLOOKUP(E241,'Optional features'!B:E,3,FALSE)="Yes",IFERROR(VLOOKUP(E241,'HIDDEN calc sheet'!A:B,2,FALSE),VLOOKUP(E241,'Additional questions'!B:D,3,FALSE)="Yes")))</f>
        <v>1</v>
      </c>
      <c r="J241" t="b">
        <f>IF(VLOOKUP(B241,'Profile selection'!B:C,2,FALSE)="Yes",TRUE,FALSE)</f>
        <v>0</v>
      </c>
      <c r="K241" s="17" t="b">
        <f>IF(AND(D241=MD!$A$1,M241),TRUE,(IF(AND(D241=MD!$A$3,M241),(IF(L241=TRUE,TRUE,FALSE)),(IF(AND(D241=MD!$A$2,M241),(IF(N241=TRUE,TRUE,FALSE)),FALSE)))))</f>
        <v>0</v>
      </c>
      <c r="L241" t="b">
        <f>IF(ISNA(VLOOKUP(E241,'Optional features'!B:D,3,FALSE)),FALSE,IF(VLOOKUP(E241,'Optional features'!B:D,3,FALSE)="Yes",TRUE,FALSE))</f>
        <v>0</v>
      </c>
      <c r="M241" t="b">
        <f>IF(VLOOKUP(B241,'Profile selection'!B:C,2,FALSE)="Yes",TRUE,FALSE)</f>
        <v>0</v>
      </c>
    </row>
    <row r="242" spans="1:13" x14ac:dyDescent="0.25">
      <c r="A242" t="str">
        <f>'HIDDEN import'!B241</f>
        <v>TC_K_58_CSMS</v>
      </c>
      <c r="B242" t="str">
        <f>'HIDDEN import'!C241</f>
        <v>ISO 15118 Support</v>
      </c>
      <c r="C242" t="str">
        <f>'HIDDEN import'!D241</f>
        <v>Renegotiating a Charging Schedule - Initiated by CSMS</v>
      </c>
      <c r="D242" t="str">
        <f>IF(VLOOKUP(A242&amp;" "&amp;B242,'HIDDEN import'!A:G,5,FALSE)="M",MD!$A$1,(IF(AND(VLOOKUP(A242,'HIDDEN import'!B:E,4,FALSE)="C",OR(NOT(ISERROR(VLOOKUP(E242,'Optional features'!B:E,1,FALSE)=E242)),NOT(ISERROR(VLOOKUP(E242,'HIDDEN calc sheet'!A:C,1,FALSE)=E242)))),MD!$A$3,MD!$A$2)))</f>
        <v>Mandatory test for a mandatory feature</v>
      </c>
      <c r="E242" t="str">
        <f>IF('HIDDEN import'!F241=0,"",'HIDDEN import'!F241)</f>
        <v/>
      </c>
      <c r="F242" t="str">
        <f>IF('HIDDEN import'!G241=0,"",'HIDDEN import'!G241)</f>
        <v/>
      </c>
      <c r="G242" s="39" t="str">
        <f>IFERROR(VLOOKUP($A242,'HIDDEN Testrun Results'!$A:$B,2,FALSE),"")</f>
        <v/>
      </c>
      <c r="H242" s="39" t="b">
        <f t="shared" si="3"/>
        <v>0</v>
      </c>
      <c r="I242" s="39" t="b">
        <f>IF(VLOOKUP(A242&amp;" "&amp;B242,'HIDDEN import'!A:G,5,FALSE)="M",TRUE,IFERROR(VLOOKUP(E242,'Optional features'!B:E,3,FALSE)="Yes",IFERROR(VLOOKUP(E242,'HIDDEN calc sheet'!A:B,2,FALSE),VLOOKUP(E242,'Additional questions'!B:D,3,FALSE)="Yes")))</f>
        <v>1</v>
      </c>
      <c r="J242" t="b">
        <f>IF(VLOOKUP(B242,'Profile selection'!B:C,2,FALSE)="Yes",TRUE,FALSE)</f>
        <v>0</v>
      </c>
      <c r="K242" s="17" t="b">
        <f>IF(AND(D242=MD!$A$1,M242),TRUE,(IF(AND(D242=MD!$A$3,M242),(IF(L242=TRUE,TRUE,FALSE)),(IF(AND(D242=MD!$A$2,M242),(IF(N242=TRUE,TRUE,FALSE)),FALSE)))))</f>
        <v>0</v>
      </c>
      <c r="M242" t="b">
        <f>IF(VLOOKUP(B242,'Profile selection'!B:C,2,FALSE)="Yes",TRUE,FALSE)</f>
        <v>0</v>
      </c>
    </row>
    <row r="243" spans="1:13" x14ac:dyDescent="0.25">
      <c r="A243" t="str">
        <f>'HIDDEN import'!B242</f>
        <v>TC_K_59_CSMS</v>
      </c>
      <c r="B243" t="str">
        <f>'HIDDEN import'!C242</f>
        <v>ISO 15118 Support</v>
      </c>
      <c r="C243" t="str">
        <f>'HIDDEN import'!D242</f>
        <v>Renegotiating a Charging Schedule - Initiated by CSMS - Send NotifyEVChargingNeeds</v>
      </c>
      <c r="D243" t="str">
        <f>IF(VLOOKUP(A243&amp;" "&amp;B243,'HIDDEN import'!A:G,5,FALSE)="M",MD!$A$1,(IF(AND(VLOOKUP(A243,'HIDDEN import'!B:E,4,FALSE)="C",OR(NOT(ISERROR(VLOOKUP(E243,'Optional features'!B:E,1,FALSE)=E243)),NOT(ISERROR(VLOOKUP(E243,'HIDDEN calc sheet'!A:C,1,FALSE)=E243)))),MD!$A$3,MD!$A$2)))</f>
        <v>Mandatory test for a mandatory feature</v>
      </c>
      <c r="E243" t="str">
        <f>IF('HIDDEN import'!F242=0,"",'HIDDEN import'!F242)</f>
        <v/>
      </c>
      <c r="F243" t="str">
        <f>IF('HIDDEN import'!G242=0,"",'HIDDEN import'!G242)</f>
        <v/>
      </c>
      <c r="G243" s="39" t="str">
        <f>IFERROR(VLOOKUP($A243,'HIDDEN Testrun Results'!$A:$B,2,FALSE),"")</f>
        <v/>
      </c>
      <c r="H243" s="39" t="b">
        <f t="shared" si="3"/>
        <v>0</v>
      </c>
      <c r="I243" s="39" t="b">
        <f>IF(VLOOKUP(A243&amp;" "&amp;B243,'HIDDEN import'!A:G,5,FALSE)="M",TRUE,IFERROR(VLOOKUP(E243,'Optional features'!B:E,3,FALSE)="Yes",IFERROR(VLOOKUP(E243,'HIDDEN calc sheet'!A:B,2,FALSE),VLOOKUP(E243,'Additional questions'!B:D,3,FALSE)="Yes")))</f>
        <v>1</v>
      </c>
      <c r="J243" t="b">
        <f>IF(VLOOKUP(B243,'Profile selection'!B:C,2,FALSE)="Yes",TRUE,FALSE)</f>
        <v>0</v>
      </c>
      <c r="K243" s="17" t="b">
        <f>IF(AND(D243=MD!$A$1,M243),TRUE,(IF(AND(D243=MD!$A$3,M243),(IF(L243=TRUE,TRUE,FALSE)),(IF(AND(D243=MD!$A$2,M243),(IF(N243=TRUE,TRUE,FALSE)),FALSE)))))</f>
        <v>0</v>
      </c>
      <c r="M243" t="b">
        <f>IF(VLOOKUP(B243,'Profile selection'!B:C,2,FALSE)="Yes",TRUE,FALSE)</f>
        <v>0</v>
      </c>
    </row>
    <row r="244" spans="1:13" x14ac:dyDescent="0.25">
      <c r="A244" t="str">
        <f>'HIDDEN import'!B243</f>
        <v>TC_M_26_CSMS</v>
      </c>
      <c r="B244" t="str">
        <f>'HIDDEN import'!C243</f>
        <v>ISO 15118 Support</v>
      </c>
      <c r="C244" t="str">
        <f>'HIDDEN import'!D243</f>
        <v>Certificate Installation EV - Success</v>
      </c>
      <c r="D244" t="str">
        <f>IF(VLOOKUP(A244&amp;" "&amp;B244,'HIDDEN import'!A:G,5,FALSE)="M",MD!$A$1,(IF(AND(VLOOKUP(A244,'HIDDEN import'!B:E,4,FALSE)="C",OR(NOT(ISERROR(VLOOKUP(E244,'Optional features'!B:E,1,FALSE)=E244)),NOT(ISERROR(VLOOKUP(E244,'HIDDEN calc sheet'!A:C,1,FALSE)=E244)))),MD!$A$3,MD!$A$2)))</f>
        <v>Mandatory test for a mandatory feature</v>
      </c>
      <c r="E244" t="str">
        <f>IF('HIDDEN import'!F243=0,"",'HIDDEN import'!F243)</f>
        <v/>
      </c>
      <c r="F244" t="str">
        <f>IF('HIDDEN import'!G243=0,"",'HIDDEN import'!G243)</f>
        <v/>
      </c>
      <c r="G244" s="39" t="str">
        <f>IFERROR(VLOOKUP($A244,'HIDDEN Testrun Results'!$A:$B,2,FALSE),"")</f>
        <v/>
      </c>
      <c r="H244" s="39" t="b">
        <f t="shared" si="3"/>
        <v>0</v>
      </c>
      <c r="I244" s="39" t="b">
        <f>IF(VLOOKUP(A244&amp;" "&amp;B244,'HIDDEN import'!A:G,5,FALSE)="M",TRUE,IFERROR(VLOOKUP(E244,'Optional features'!B:E,3,FALSE)="Yes",IFERROR(VLOOKUP(E244,'HIDDEN calc sheet'!A:B,2,FALSE),VLOOKUP(E244,'Additional questions'!B:D,3,FALSE)="Yes")))</f>
        <v>1</v>
      </c>
      <c r="J244" t="b">
        <f>IF(VLOOKUP(B244,'Profile selection'!B:C,2,FALSE)="Yes",TRUE,FALSE)</f>
        <v>0</v>
      </c>
      <c r="K244" s="17" t="b">
        <f>IF(AND(D244=MD!$A$1,M244),TRUE,(IF(AND(D244=MD!$A$3,M244),(IF(L244=TRUE,TRUE,FALSE)),(IF(AND(D244=MD!$A$2,M244),(IF(N244=TRUE,TRUE,FALSE)),FALSE)))))</f>
        <v>0</v>
      </c>
      <c r="M244" t="b">
        <f>IF(VLOOKUP(B244,'Profile selection'!B:C,2,FALSE)="Yes",TRUE,FALSE)</f>
        <v>0</v>
      </c>
    </row>
    <row r="245" spans="1:13" x14ac:dyDescent="0.25">
      <c r="A245" t="str">
        <f>'HIDDEN import'!B244</f>
        <v>TC_M_28_CSMS</v>
      </c>
      <c r="B245" t="str">
        <f>'HIDDEN import'!C244</f>
        <v>ISO 15118 Support</v>
      </c>
      <c r="C245" t="str">
        <f>'HIDDEN import'!D244</f>
        <v>Certificate Update EV - Success</v>
      </c>
      <c r="D245" t="str">
        <f>IF(VLOOKUP(A245&amp;" "&amp;B245,'HIDDEN import'!A:G,5,FALSE)="M",MD!$A$1,(IF(AND(VLOOKUP(A245,'HIDDEN import'!B:E,4,FALSE)="C",OR(NOT(ISERROR(VLOOKUP(E245,'Optional features'!B:E,1,FALSE)=E245)),NOT(ISERROR(VLOOKUP(E245,'HIDDEN calc sheet'!A:C,1,FALSE)=E245)))),MD!$A$3,MD!$A$2)))</f>
        <v>Mandatory test for a mandatory feature</v>
      </c>
      <c r="E245" t="str">
        <f>IF('HIDDEN import'!F244=0,"",'HIDDEN import'!F244)</f>
        <v/>
      </c>
      <c r="F245" t="str">
        <f>IF('HIDDEN import'!G244=0,"",'HIDDEN import'!G244)</f>
        <v/>
      </c>
      <c r="G245" s="39" t="str">
        <f>IFERROR(VLOOKUP($A245,'HIDDEN Testrun Results'!$A:$B,2,FALSE),"")</f>
        <v/>
      </c>
      <c r="H245" s="39" t="b">
        <f t="shared" si="3"/>
        <v>0</v>
      </c>
      <c r="I245" s="39" t="b">
        <f>IF(VLOOKUP(A245&amp;" "&amp;B245,'HIDDEN import'!A:G,5,FALSE)="M",TRUE,IFERROR(VLOOKUP(E245,'Optional features'!B:E,3,FALSE)="Yes",IFERROR(VLOOKUP(E245,'HIDDEN calc sheet'!A:B,2,FALSE),VLOOKUP(E245,'Additional questions'!B:D,3,FALSE)="Yes")))</f>
        <v>1</v>
      </c>
      <c r="J245" t="b">
        <f>IF(VLOOKUP(B245,'Profile selection'!B:C,2,FALSE)="Yes",TRUE,FALSE)</f>
        <v>0</v>
      </c>
      <c r="K245" s="17" t="b">
        <f>IF(AND(D245=MD!$A$1,M245),TRUE,(IF(AND(D245=MD!$A$3,M245),(IF(L245=TRUE,TRUE,FALSE)),(IF(AND(D245=MD!$A$2,M245),(IF(N245=TRUE,TRUE,FALSE)),FALSE)))))</f>
        <v>0</v>
      </c>
      <c r="M245" t="b">
        <f>IF(VLOOKUP(B245,'Profile selection'!B:C,2,FALSE)="Yes",TRUE,FALSE)</f>
        <v>0</v>
      </c>
    </row>
    <row r="246" spans="1:13" x14ac:dyDescent="0.25">
      <c r="A246" t="str">
        <f>'HIDDEN import'!B245</f>
        <v>TC_M_14_CSMS</v>
      </c>
      <c r="B246" t="str">
        <f>'HIDDEN import'!C245</f>
        <v>ISO 15118 Support</v>
      </c>
      <c r="C246" t="str">
        <f>'HIDDEN import'!D245</f>
        <v>Retrieve certificates from Charging Station - V2GRootCertificate</v>
      </c>
      <c r="D246" t="str">
        <f>IF(VLOOKUP(A246&amp;" "&amp;B246,'HIDDEN import'!A:G,5,FALSE)="M",MD!$A$1,(IF(AND(VLOOKUP(A246,'HIDDEN import'!B:E,4,FALSE)="C",OR(NOT(ISERROR(VLOOKUP(E246,'Optional features'!B:E,1,FALSE)=E246)),NOT(ISERROR(VLOOKUP(E246,'HIDDEN calc sheet'!A:C,1,FALSE)=E246)))),MD!$A$3,MD!$A$2)))</f>
        <v>Mandatory test for a mandatory feature</v>
      </c>
      <c r="E246" t="str">
        <f>IF('HIDDEN import'!F245=0,"",'HIDDEN import'!F245)</f>
        <v/>
      </c>
      <c r="F246" t="str">
        <f>IF('HIDDEN import'!G245=0,"",'HIDDEN import'!G245)</f>
        <v/>
      </c>
      <c r="G246" s="39" t="str">
        <f>IFERROR(VLOOKUP($A246,'HIDDEN Testrun Results'!$A:$B,2,FALSE),"")</f>
        <v/>
      </c>
      <c r="H246" s="39" t="b">
        <f t="shared" si="3"/>
        <v>0</v>
      </c>
      <c r="I246" s="39" t="b">
        <f>IF(VLOOKUP(A246&amp;" "&amp;B246,'HIDDEN import'!A:G,5,FALSE)="M",TRUE,IFERROR(VLOOKUP(E246,'Optional features'!B:E,3,FALSE)="Yes",IFERROR(VLOOKUP(E246,'HIDDEN calc sheet'!A:B,2,FALSE),VLOOKUP(E246,'Additional questions'!B:D,3,FALSE)="Yes")))</f>
        <v>1</v>
      </c>
      <c r="J246" t="b">
        <f>IF(VLOOKUP(B246,'Profile selection'!B:C,2,FALSE)="Yes",TRUE,FALSE)</f>
        <v>0</v>
      </c>
      <c r="K246" s="17" t="b">
        <f>IF(AND(D246=MD!$A$1,M246),TRUE,(IF(AND(D246=MD!$A$3,M246),(IF(L246=TRUE,TRUE,FALSE)),(IF(AND(D246=MD!$A$2,M246),(IF(N246=TRUE,TRUE,FALSE)),FALSE)))))</f>
        <v>0</v>
      </c>
      <c r="M246" t="b">
        <f>IF(VLOOKUP(B246,'Profile selection'!B:C,2,FALSE)="Yes",TRUE,FALSE)</f>
        <v>0</v>
      </c>
    </row>
    <row r="247" spans="1:13" x14ac:dyDescent="0.25">
      <c r="A247" t="str">
        <f>'HIDDEN import'!B246</f>
        <v>TC_M_15_CSMS</v>
      </c>
      <c r="B247" t="str">
        <f>'HIDDEN import'!C246</f>
        <v>ISO 15118 Support</v>
      </c>
      <c r="C247" t="str">
        <f>'HIDDEN import'!D246</f>
        <v>Retrieve certificates from Charging Station - V2GCertificateChain</v>
      </c>
      <c r="D247" t="str">
        <f>IF(VLOOKUP(A247&amp;" "&amp;B247,'HIDDEN import'!A:G,5,FALSE)="M",MD!$A$1,(IF(AND(VLOOKUP(A247,'HIDDEN import'!B:E,4,FALSE)="C",OR(NOT(ISERROR(VLOOKUP(E247,'Optional features'!B:E,1,FALSE)=E247)),NOT(ISERROR(VLOOKUP(E247,'HIDDEN calc sheet'!A:C,1,FALSE)=E247)))),MD!$A$3,MD!$A$2)))</f>
        <v>Mandatory test for a mandatory feature</v>
      </c>
      <c r="E247" t="str">
        <f>IF('HIDDEN import'!F246=0,"",'HIDDEN import'!F246)</f>
        <v/>
      </c>
      <c r="F247" t="str">
        <f>IF('HIDDEN import'!G246=0,"",'HIDDEN import'!G246)</f>
        <v/>
      </c>
      <c r="G247" s="39" t="str">
        <f>IFERROR(VLOOKUP($A247,'HIDDEN Testrun Results'!$A:$B,2,FALSE),"")</f>
        <v/>
      </c>
      <c r="H247" s="39" t="b">
        <f t="shared" si="3"/>
        <v>0</v>
      </c>
      <c r="I247" s="39" t="b">
        <f>IF(VLOOKUP(A247&amp;" "&amp;B247,'HIDDEN import'!A:G,5,FALSE)="M",TRUE,IFERROR(VLOOKUP(E247,'Optional features'!B:E,3,FALSE)="Yes",IFERROR(VLOOKUP(E247,'HIDDEN calc sheet'!A:B,2,FALSE),VLOOKUP(E247,'Additional questions'!B:D,3,FALSE)="Yes")))</f>
        <v>1</v>
      </c>
      <c r="J247" t="b">
        <f>IF(VLOOKUP(B247,'Profile selection'!B:C,2,FALSE)="Yes",TRUE,FALSE)</f>
        <v>0</v>
      </c>
      <c r="K247" s="17" t="b">
        <f>IF(AND(D247=MD!$A$1,M247),TRUE,(IF(AND(D247=MD!$A$3,M247),(IF(L247=TRUE,TRUE,FALSE)),(IF(AND(D247=MD!$A$2,M247),(IF(N247=TRUE,TRUE,FALSE)),FALSE)))))</f>
        <v>0</v>
      </c>
      <c r="M247" t="b">
        <f>IF(VLOOKUP(B247,'Profile selection'!B:C,2,FALSE)="Yes",TRUE,FALSE)</f>
        <v>0</v>
      </c>
    </row>
    <row r="248" spans="1:13" x14ac:dyDescent="0.25">
      <c r="A248" t="str">
        <f>'HIDDEN import'!B247</f>
        <v>TC_M_16_CSMS</v>
      </c>
      <c r="B248" t="str">
        <f>'HIDDEN import'!C247</f>
        <v>ISO 15118 Support</v>
      </c>
      <c r="C248" t="str">
        <f>'HIDDEN import'!D247</f>
        <v>Retrieve certificates from Charging Station - MORootCertificate</v>
      </c>
      <c r="D248" t="str">
        <f>IF(VLOOKUP(A248&amp;" "&amp;B248,'HIDDEN import'!A:G,5,FALSE)="M",MD!$A$1,(IF(AND(VLOOKUP(A248,'HIDDEN import'!B:E,4,FALSE)="C",OR(NOT(ISERROR(VLOOKUP(E248,'Optional features'!B:E,1,FALSE)=E248)),NOT(ISERROR(VLOOKUP(E248,'HIDDEN calc sheet'!A:C,1,FALSE)=E248)))),MD!$A$3,MD!$A$2)))</f>
        <v>Mandatory test for a mandatory feature</v>
      </c>
      <c r="E248" t="str">
        <f>IF('HIDDEN import'!F247=0,"",'HIDDEN import'!F247)</f>
        <v/>
      </c>
      <c r="F248" t="str">
        <f>IF('HIDDEN import'!G247=0,"",'HIDDEN import'!G247)</f>
        <v/>
      </c>
      <c r="G248" s="39" t="str">
        <f>IFERROR(VLOOKUP($A248,'HIDDEN Testrun Results'!$A:$B,2,FALSE),"")</f>
        <v/>
      </c>
      <c r="H248" s="39" t="b">
        <f t="shared" si="3"/>
        <v>0</v>
      </c>
      <c r="I248" s="39" t="b">
        <f>IF(VLOOKUP(A248&amp;" "&amp;B248,'HIDDEN import'!A:G,5,FALSE)="M",TRUE,IFERROR(VLOOKUP(E248,'Optional features'!B:E,3,FALSE)="Yes",IFERROR(VLOOKUP(E248,'HIDDEN calc sheet'!A:B,2,FALSE),VLOOKUP(E248,'Additional questions'!B:D,3,FALSE)="Yes")))</f>
        <v>1</v>
      </c>
      <c r="J248" t="b">
        <f>IF(VLOOKUP(B248,'Profile selection'!B:C,2,FALSE)="Yes",TRUE,FALSE)</f>
        <v>0</v>
      </c>
      <c r="K248" s="17" t="b">
        <f>IF(AND(D248=MD!$A$1,M248),TRUE,(IF(AND(D248=MD!$A$3,M248),(IF(L248=TRUE,TRUE,FALSE)),(IF(AND(D248=MD!$A$2,M248),(IF(N248=TRUE,TRUE,FALSE)),FALSE)))))</f>
        <v>0</v>
      </c>
      <c r="M248" t="b">
        <f>IF(VLOOKUP(B248,'Profile selection'!B:C,2,FALSE)="Yes",TRUE,FALSE)</f>
        <v>0</v>
      </c>
    </row>
    <row r="249" spans="1:13" x14ac:dyDescent="0.25">
      <c r="A249" t="str">
        <f>'HIDDEN import'!B248</f>
        <v>TC_M_03_CSMS</v>
      </c>
      <c r="B249" t="str">
        <f>'HIDDEN import'!C248</f>
        <v>ISO 15118 Support</v>
      </c>
      <c r="C249" t="str">
        <f>'HIDDEN import'!D248</f>
        <v>Install CA certificate - V2GRootCertificate</v>
      </c>
      <c r="D249" t="str">
        <f>IF(VLOOKUP(A249&amp;" "&amp;B249,'HIDDEN import'!A:G,5,FALSE)="M",MD!$A$1,(IF(AND(VLOOKUP(A249,'HIDDEN import'!B:E,4,FALSE)="C",OR(NOT(ISERROR(VLOOKUP(E249,'Optional features'!B:E,1,FALSE)=E249)),NOT(ISERROR(VLOOKUP(E249,'HIDDEN calc sheet'!A:C,1,FALSE)=E249)))),MD!$A$3,MD!$A$2)))</f>
        <v>Mandatory test for a mandatory feature</v>
      </c>
      <c r="E249" t="str">
        <f>IF('HIDDEN import'!F248=0,"",'HIDDEN import'!F248)</f>
        <v/>
      </c>
      <c r="F249" t="str">
        <f>IF('HIDDEN import'!G248=0,"",'HIDDEN import'!G248)</f>
        <v/>
      </c>
      <c r="G249" s="39" t="str">
        <f>IFERROR(VLOOKUP($A249,'HIDDEN Testrun Results'!$A:$B,2,FALSE),"")</f>
        <v/>
      </c>
      <c r="H249" s="39" t="b">
        <f t="shared" si="3"/>
        <v>0</v>
      </c>
      <c r="I249" s="39" t="b">
        <f>IF(VLOOKUP(A249&amp;" "&amp;B249,'HIDDEN import'!A:G,5,FALSE)="M",TRUE,IFERROR(VLOOKUP(E249,'Optional features'!B:E,3,FALSE)="Yes",IFERROR(VLOOKUP(E249,'HIDDEN calc sheet'!A:B,2,FALSE),VLOOKUP(E249,'Additional questions'!B:D,3,FALSE)="Yes")))</f>
        <v>1</v>
      </c>
      <c r="J249" t="b">
        <f>IF(VLOOKUP(B249,'Profile selection'!B:C,2,FALSE)="Yes",TRUE,FALSE)</f>
        <v>0</v>
      </c>
      <c r="K249" s="17" t="b">
        <f>IF(AND(D249=MD!$A$1,M249),TRUE,(IF(AND(D249=MD!$A$3,M249),(IF(L249=TRUE,TRUE,FALSE)),(IF(AND(D249=MD!$A$2,M249),(IF(N249=TRUE,TRUE,FALSE)),FALSE)))))</f>
        <v>0</v>
      </c>
      <c r="M249" t="b">
        <f>IF(VLOOKUP(B249,'Profile selection'!B:C,2,FALSE)="Yes",TRUE,FALSE)</f>
        <v>0</v>
      </c>
    </row>
    <row r="250" spans="1:13" x14ac:dyDescent="0.25">
      <c r="A250" t="str">
        <f>'HIDDEN import'!B249</f>
        <v>TC_M_04_CSMS</v>
      </c>
      <c r="B250" t="str">
        <f>'HIDDEN import'!C249</f>
        <v>ISO 15118 Support</v>
      </c>
      <c r="C250" t="str">
        <f>'HIDDEN import'!D249</f>
        <v>Install CA certificate - MORootCertificate</v>
      </c>
      <c r="D250" t="str">
        <f>IF(VLOOKUP(A250&amp;" "&amp;B250,'HIDDEN import'!A:G,5,FALSE)="M",MD!$A$1,(IF(AND(VLOOKUP(A250,'HIDDEN import'!B:E,4,FALSE)="C",OR(NOT(ISERROR(VLOOKUP(E250,'Optional features'!B:E,1,FALSE)=E250)),NOT(ISERROR(VLOOKUP(E250,'HIDDEN calc sheet'!A:C,1,FALSE)=E250)))),MD!$A$3,MD!$A$2)))</f>
        <v>Mandatory test for a mandatory feature</v>
      </c>
      <c r="E250" t="str">
        <f>IF('HIDDEN import'!F249=0,"",'HIDDEN import'!F249)</f>
        <v/>
      </c>
      <c r="F250" t="str">
        <f>IF('HIDDEN import'!G249=0,"",'HIDDEN import'!G249)</f>
        <v/>
      </c>
      <c r="G250" s="39" t="str">
        <f>IFERROR(VLOOKUP($A250,'HIDDEN Testrun Results'!$A:$B,2,FALSE),"")</f>
        <v/>
      </c>
      <c r="H250" s="39" t="b">
        <f t="shared" si="3"/>
        <v>0</v>
      </c>
      <c r="I250" s="39" t="b">
        <f>IF(VLOOKUP(A250&amp;" "&amp;B250,'HIDDEN import'!A:G,5,FALSE)="M",TRUE,IFERROR(VLOOKUP(E250,'Optional features'!B:E,3,FALSE)="Yes",IFERROR(VLOOKUP(E250,'HIDDEN calc sheet'!A:B,2,FALSE),VLOOKUP(E250,'Additional questions'!B:D,3,FALSE)="Yes")))</f>
        <v>1</v>
      </c>
      <c r="J250" t="b">
        <f>IF(VLOOKUP(B250,'Profile selection'!B:C,2,FALSE)="Yes",TRUE,FALSE)</f>
        <v>0</v>
      </c>
      <c r="K250" s="17" t="b">
        <f>IF(AND(D250=MD!$A$1,M250),TRUE,(IF(AND(D250=MD!$A$3,M250),(IF(L250=TRUE,TRUE,FALSE)),(IF(AND(D250=MD!$A$2,M250),(IF(N250=TRUE,TRUE,FALSE)),FALSE)))))</f>
        <v>0</v>
      </c>
      <c r="M250" t="b">
        <f>IF(VLOOKUP(B250,'Profile selection'!B:C,2,FALSE)="Yes",TRUE,FALSE)</f>
        <v>0</v>
      </c>
    </row>
    <row r="251" spans="1:13" x14ac:dyDescent="0.25">
      <c r="A251" t="str">
        <f>'HIDDEN import'!B250</f>
        <v>TC_M_24_CSMS</v>
      </c>
      <c r="B251" t="str">
        <f>'HIDDEN import'!C250</f>
        <v>ISO 15118 Support</v>
      </c>
      <c r="C251" t="str">
        <f>'HIDDEN import'!D250</f>
        <v>Get Charging Station Certificate status - Success</v>
      </c>
      <c r="D251" t="str">
        <f>IF(VLOOKUP(A251&amp;" "&amp;B251,'HIDDEN import'!A:G,5,FALSE)="M",MD!$A$1,(IF(AND(VLOOKUP(A251,'HIDDEN import'!B:E,4,FALSE)="C",OR(NOT(ISERROR(VLOOKUP(E251,'Optional features'!B:E,1,FALSE)=E251)),NOT(ISERROR(VLOOKUP(E251,'HIDDEN calc sheet'!A:C,1,FALSE)=E251)))),MD!$A$3,MD!$A$2)))</f>
        <v>Mandatory test for a mandatory feature</v>
      </c>
      <c r="E251" t="str">
        <f>IF('HIDDEN import'!F250=0,"",'HIDDEN import'!F250)</f>
        <v/>
      </c>
      <c r="F251" t="str">
        <f>IF('HIDDEN import'!G250=0,"",'HIDDEN import'!G250)</f>
        <v/>
      </c>
      <c r="G251" s="39" t="str">
        <f>IFERROR(VLOOKUP($A251,'HIDDEN Testrun Results'!$A:$B,2,FALSE),"")</f>
        <v/>
      </c>
      <c r="H251" s="39" t="b">
        <f t="shared" si="3"/>
        <v>0</v>
      </c>
      <c r="I251" s="39" t="b">
        <f>IF(VLOOKUP(A251&amp;" "&amp;B251,'HIDDEN import'!A:G,5,FALSE)="M",TRUE,IFERROR(VLOOKUP(E251,'Optional features'!B:E,3,FALSE)="Yes",IFERROR(VLOOKUP(E251,'HIDDEN calc sheet'!A:B,2,FALSE),VLOOKUP(E251,'Additional questions'!B:D,3,FALSE)="Yes")))</f>
        <v>1</v>
      </c>
      <c r="J251" t="b">
        <f>IF(VLOOKUP(B251,'Profile selection'!B:C,2,FALSE)="Yes",TRUE,FALSE)</f>
        <v>0</v>
      </c>
      <c r="K251" s="17" t="b">
        <f>IF(AND(D251=MD!$A$1,M251),TRUE,(IF(AND(D251=MD!$A$3,M251),(IF(L251=TRUE,TRUE,FALSE)),(IF(AND(D251=MD!$A$2,M251),(IF(N251=TRUE,TRUE,FALSE)),FALSE)))))</f>
        <v>0</v>
      </c>
      <c r="M251" t="b">
        <f>IF(VLOOKUP(B251,'Profile selection'!B:C,2,FALSE)="Yes",TRUE,FALSE)</f>
        <v>0</v>
      </c>
    </row>
    <row r="252" spans="1:13" x14ac:dyDescent="0.25">
      <c r="A252" t="str">
        <f>'HIDDEN import'!B251</f>
        <v>TC_N_63_CSMS</v>
      </c>
      <c r="B252" t="str">
        <f>'HIDDEN import'!C251</f>
        <v>ISO 15118 Support</v>
      </c>
      <c r="C252" t="str">
        <f>'HIDDEN import'!D251</f>
        <v>Clear Customer Information - Clear and report - customerCertificate</v>
      </c>
      <c r="D252" t="str">
        <f>IF(VLOOKUP(A252&amp;" "&amp;B252,'HIDDEN import'!A:G,5,FALSE)="M",MD!$A$1,(IF(AND(VLOOKUP(A252,'HIDDEN import'!B:E,4,FALSE)="C",OR(NOT(ISERROR(VLOOKUP(E252,'Optional features'!B:E,1,FALSE)=E252)),NOT(ISERROR(VLOOKUP(E252,'HIDDEN calc sheet'!A:C,1,FALSE)=E252)))),MD!$A$3,MD!$A$2)))</f>
        <v>Mandatory for optional feature</v>
      </c>
      <c r="E252" t="str">
        <f>IF('HIDDEN import'!F251=0,"",'HIDDEN import'!F251)</f>
        <v>ISO-4</v>
      </c>
      <c r="F252" t="str">
        <f>IF('HIDDEN import'!G251=0,"",'HIDDEN import'!G251)</f>
        <v/>
      </c>
      <c r="G252" s="39" t="str">
        <f>IFERROR(VLOOKUP($A252,'HIDDEN Testrun Results'!$A:$B,2,FALSE),"")</f>
        <v/>
      </c>
      <c r="H252" s="39" t="b">
        <f t="shared" si="3"/>
        <v>0</v>
      </c>
      <c r="I252" s="39" t="b">
        <f>IF(VLOOKUP(A252&amp;" "&amp;B252,'HIDDEN import'!A:G,5,FALSE)="M",TRUE,IFERROR(VLOOKUP(E252,'Optional features'!B:E,3,FALSE)="Yes",IFERROR(VLOOKUP(E252,'HIDDEN calc sheet'!A:B,2,FALSE),VLOOKUP(E252,'Additional questions'!B:D,3,FALSE)="Yes")))</f>
        <v>0</v>
      </c>
      <c r="J252" t="b">
        <f>IF(VLOOKUP(B252,'Profile selection'!B:C,2,FALSE)="Yes",TRUE,FALSE)</f>
        <v>0</v>
      </c>
      <c r="K252" s="17" t="b">
        <f>IF(AND(D252=MD!$A$1,M252),TRUE,(IF(AND(D252=MD!$A$3,M252),(IF(L252=TRUE,TRUE,FALSE)),(IF(AND(D252=MD!$A$2,M252),(IF(N252=TRUE,TRUE,FALSE)),FALSE)))))</f>
        <v>0</v>
      </c>
      <c r="M252" t="b">
        <f>IF(VLOOKUP(B252,'Profile selection'!B:C,2,FALSE)="Yes",TRUE,FALSE)</f>
        <v>0</v>
      </c>
    </row>
  </sheetData>
  <sheetProtection algorithmName="SHA-512" hashValue="KfEE20TkXs5abM+s2FWU3JyFnhrUgGReGT7MV3a7ntKS5fRm8r6arf/4t6Io2Ci+brzUdMuuzXJV4nWTe0gm3g==" saltValue="EQ+be25UW40B8KoJaOaURw==" spinCount="100000" sheet="1" formatColumns="0" autoFilter="0"/>
  <autoFilter ref="A2:O252" xr:uid="{A2FAF7F4-22BB-4C7A-8725-B2823D94C6A6}"/>
  <mergeCells count="1">
    <mergeCell ref="A1:C1"/>
  </mergeCells>
  <pageMargins left="0.7" right="0.7" top="0.75" bottom="0.75" header="0.3" footer="0.3"/>
  <pageSetup paperSize="9" orientation="portrait" verticalDpi="0"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03D641-1115-4A27-B4E3-8AA5499130A4}">
  <ds:schemaRefs>
    <ds:schemaRef ds:uri="4d8613b4-e81d-4525-b3bf-245aa758d498"/>
    <ds:schemaRef ds:uri="http://schemas.openxmlformats.org/package/2006/metadata/core-properties"/>
    <ds:schemaRef ds:uri="http://schemas.microsoft.com/office/2006/documentManagement/types"/>
    <ds:schemaRef ds:uri="http://purl.org/dc/terms/"/>
    <ds:schemaRef ds:uri="http://www.w3.org/XML/1998/namespace"/>
    <ds:schemaRef ds:uri="http://schemas.microsoft.com/office/2006/metadata/properties"/>
    <ds:schemaRef ds:uri="http://purl.org/dc/elements/1.1/"/>
    <ds:schemaRef ds:uri="http://schemas.microsoft.com/office/infopath/2007/PartnerControls"/>
    <ds:schemaRef ds:uri="4c0df782-0713-43be-b8d1-e2ff849827a7"/>
    <ds:schemaRef ds:uri="http://purl.org/dc/dcmitype/"/>
  </ds:schemaRefs>
</ds:datastoreItem>
</file>

<file path=customXml/itemProps2.xml><?xml version="1.0" encoding="utf-8"?>
<ds:datastoreItem xmlns:ds="http://schemas.openxmlformats.org/officeDocument/2006/customXml" ds:itemID="{03486B9E-AE68-4201-847E-B912AB74C59F}">
  <ds:schemaRefs>
    <ds:schemaRef ds:uri="http://schemas.microsoft.com/sharepoint/v3/contenttype/forms"/>
  </ds:schemaRefs>
</ds:datastoreItem>
</file>

<file path=customXml/itemProps3.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38</vt:i4>
      </vt:variant>
    </vt:vector>
  </HeadingPairs>
  <TitlesOfParts>
    <vt:vector size="52"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features</vt:lpstr>
      <vt:lpstr>HIDDEN import</vt:lpstr>
      <vt:lpstr>HIDDEN calc sheet</vt:lpstr>
      <vt:lpstr>MD</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Authorization_options_for_remote_start</vt:lpstr>
      <vt:lpstr>Communication_technology</vt:lpstr>
      <vt:lpstr>CP_Advanced_Security</vt:lpstr>
      <vt:lpstr>CP_CORE</vt:lpstr>
      <vt:lpstr>CP_CORE_2</vt:lpstr>
      <vt:lpstr>CP_ISO15118_Support</vt:lpstr>
      <vt:lpstr>CP_Smart_Charging</vt:lpstr>
      <vt:lpstr>'HIDDEN import'!CSMS_testcases_2025_06_18</vt:lpstr>
      <vt:lpstr>Device_info</vt:lpstr>
      <vt:lpstr>DUT_photo</vt:lpstr>
      <vt:lpstr>Local_Authorization_List_Management</vt:lpstr>
      <vt:lpstr>Measured_performance</vt:lpstr>
      <vt:lpstr>OCPP_201_Certification</vt:lpstr>
      <vt:lpstr>Optional_Features_description</vt:lpstr>
      <vt:lpstr>Performance_measurement</vt:lpstr>
      <vt:lpstr>Performance_measurement_description</vt:lpstr>
      <vt:lpstr>Performed_On</vt:lpstr>
      <vt:lpstr>PICS_Id</vt:lpstr>
      <vt:lpstr>Profile_Selection</vt:lpstr>
      <vt:lpstr>Reservations</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Klapwijk, Paul</cp:lastModifiedBy>
  <cp:revision/>
  <dcterms:created xsi:type="dcterms:W3CDTF">2023-01-12T22:55:44Z</dcterms:created>
  <dcterms:modified xsi:type="dcterms:W3CDTF">2026-07-06T10:10:53Z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