
<file path=[Content_Types].xml><?xml version="1.0" encoding="utf-8"?>
<Types xmlns="http://schemas.openxmlformats.org/package/2006/content-type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klapwijkp\Desktop\pics\"/>
    </mc:Choice>
  </mc:AlternateContent>
  <xr:revisionPtr revIDLastSave="0" documentId="13_ncr:1_{A36E2F9B-ADDB-498D-8303-1D88059E366B}" xr6:coauthVersionLast="47" xr6:coauthVersionMax="47" xr10:uidLastSave="{00000000-0000-0000-0000-000000000000}"/>
  <workbookProtection workbookAlgorithmName="SHA-512" workbookHashValue="5o2ytWuWA8L6Xo7XLoq/bYAsPDMAIWuFkelpa+X/idrCZ9ilOfoV56/bn/ntZ1FQFOYYpZvKI9nuFCBhONHdWA==" workbookSaltValue="fO7Kwbr7s2W7ih1z16EJow==" workbookSpinCount="100000" lockStructure="1"/>
  <bookViews>
    <workbookView xWindow="-120" yWindow="-120" windowWidth="29040" windowHeight="17520" tabRatio="908" xr2:uid="{00000000-000D-0000-FFFF-FFFF00000000}"/>
  </bookViews>
  <sheets>
    <sheet name="Explanation" sheetId="1" r:id="rId1"/>
    <sheet name="Hardware Feature set" sheetId="2" r:id="rId2"/>
    <sheet name="Profile selection" sheetId="3" r:id="rId3"/>
    <sheet name="Optional features" sheetId="4" r:id="rId4"/>
    <sheet name="Additional questions" sheetId="5" r:id="rId5"/>
    <sheet name="Other relevant settings" sheetId="6" r:id="rId6"/>
    <sheet name="Vendor Specific Settings" sheetId="7" r:id="rId7"/>
    <sheet name="Performance Measurement" sheetId="8" r:id="rId8"/>
    <sheet name="Charging Station Testcases" sheetId="9" r:id="rId9"/>
    <sheet name="Statement of Approval" sheetId="10" r:id="rId10"/>
    <sheet name="Certification product summary" sheetId="17" r:id="rId11"/>
    <sheet name="OCPP family members" sheetId="11" r:id="rId12"/>
    <sheet name="HIDDEN Testrun Results" sheetId="12" state="hidden" r:id="rId13"/>
    <sheet name="HIDDEN calc sheet" sheetId="13" state="hidden" r:id="rId14"/>
    <sheet name="HIDDEN features" sheetId="14" state="hidden" r:id="rId15"/>
    <sheet name="HIDDEN import" sheetId="15" state="hidden" r:id="rId16"/>
    <sheet name="MD" sheetId="16" state="hidden" r:id="rId17"/>
  </sheets>
  <definedNames>
    <definedName name="_xlnm._FilterDatabase" localSheetId="8" hidden="1">'Charging Station Testcases'!$A$2:$J$890</definedName>
    <definedName name="_xlnm._FilterDatabase" localSheetId="13" hidden="1">'HIDDEN calc sheet'!$A$1:$F$131</definedName>
    <definedName name="_xlnm._FilterDatabase" localSheetId="15" hidden="1">'HIDDEN import'!$A$1:$G$444</definedName>
    <definedName name="Additional_DUT_information">'Statement of Approval'!$B$6:$C$7</definedName>
    <definedName name="Additional_Network_Communication_Ports">'Statement of Approval'!$B$10:$G$14</definedName>
    <definedName name="Additional_questions">'Additional questions'!$B$4:$D$22</definedName>
    <definedName name="Additional_questions_description">'Additional questions'!$C$2</definedName>
    <definedName name="Additional_Test_information">'Statement of Approval'!$B$37:$C$39</definedName>
    <definedName name="Advanced_Device_Management">'Optional features'!$B$139:$D$141</definedName>
    <definedName name="Advanced_User_Interface">'Optional features'!$B$159:$D$170</definedName>
    <definedName name="AQ_Subset" comment="Additional questions subset">'Additional questions'!$B$5:$D$20</definedName>
    <definedName name="AQ_Validation" comment="AQ validation column">'Additional questions'!$E$5:$E$20</definedName>
    <definedName name="Authorization_options_for_local_start">'Optional features'!$B$48:$E$54</definedName>
    <definedName name="Authorization_options_for_local_stop">'Optional features'!$B$57:$E$61</definedName>
    <definedName name="Authorization_options_for_remote_start">'Optional features'!$B$64:$E$68</definedName>
    <definedName name="CalculateConfigID">_xlfn.LAMBDA(_xlpm.v,     _xlfn.MAP(         _xlpm.v,         _xlfn.LAMBDA(_xlpm.x,             _xlfn.LET(                 _xlpm.y, _xlfn.VALUETOTEXT(_xlpm.x,0),                 _xlpm.l, LEN(_xlpm.y),                 _xlfn.REDUCE(                     5381,                     _xlfn.SEQUENCE(_xlpm.l),                     _xlfn.LAMBDA(_xlpm.a,_xlpm.j,                         _xlfn.LET(                             _xlpm.z, CODE(MID(_xlpm.y, _xlpm.j, 1)),                             MOD(_xlpm.a * 33 + _xlpm.z, 2 ^ 32)                         )                     )                 )             )         )     ) )</definedName>
    <definedName name="certificate_photo">'Statement of Approval'!$I$7:$M$14</definedName>
    <definedName name="Cipher_Suites">'Optional features'!$B$82:$D$83</definedName>
    <definedName name="Communication_technology">'Performance Measurement'!$B$17:$C$17</definedName>
    <definedName name="ConfigID">_xlfn.LAMBDA(_xlpm.v,     _xlfn.MAP(         _xlpm.v,         _xlfn.LAMBDA(_xlpm.x,             _xlfn.LET(                 _xlpm.y, _xlfn.VALUETOTEXT(_xlpm.x,0),                 _xlpm.l, LEN(_xlpm.y),                 _xlfn.REDUCE(                     5381,                     _xlfn.SEQUENCE(_xlpm.l),                     _xlfn.LAMBDA(_xlpm.a,_xlpm.j,                         _xlfn.LET(                             _xlpm.z, CODE(MID(_xlpm.y, _xlpm.j, 1)),                             MOD(_xlpm.a * 33 + _xlpm.z, 2 ^ 32)                         )                     )                 )             )         )     ) )</definedName>
    <definedName name="ConfigID_value">'HIDDEN calc sheet'!$G$3</definedName>
    <definedName name="CP_Advanced_Security">'Optional features'!$B$124:$D$129</definedName>
    <definedName name="CP_Bidirectional">'Optional features'!$B$183:$D$187</definedName>
    <definedName name="CP_CORE">'Optional features'!$B$4:$D$45</definedName>
    <definedName name="CP_CORE_2">'Optional features'!$B$86:$D$107</definedName>
    <definedName name="CP_ISO15118_Support">'Optional features'!$B$144:$D$150</definedName>
    <definedName name="CP_Payment">'Optional features'!$B$173:$D$180</definedName>
    <definedName name="CP_Smart_Charging">'Optional features'!$B$110:$D$121</definedName>
    <definedName name="Device_info">'Hardware Feature set'!$C$4:$D$9</definedName>
    <definedName name="DUT_photo">'Statement of Approval'!$B$43:$F$85</definedName>
    <definedName name="EVSE_ConnectorTypes" comment="Connector types column">'Hardware Feature set'!$K$6:$K$42</definedName>
    <definedName name="EVSE_list">'Hardware Feature set'!$G$5:$L$42</definedName>
    <definedName name="Hardware_feature_set">'Hardware Feature set'!$B$12:$D$28</definedName>
    <definedName name="Hardware_feature_set_description">'Hardware Feature set'!$C$2</definedName>
    <definedName name="Hash_AdditionalQuestions">'Additional questions'!$D$5:$D$20</definedName>
    <definedName name="Hash_AdditionalQuestions_Scope">'Additional questions'!$F$5:$F$20</definedName>
    <definedName name="Hash_FamilyMembers_A">'OCPP family members'!$F$7:$L$8</definedName>
    <definedName name="Hash_FamilyMembers_B">'OCPP family members'!$F$10:$L$41</definedName>
    <definedName name="Hash_HardwareFeatureSet">'Hardware Feature set'!$D$4:$D$25</definedName>
    <definedName name="Hash_HardwareFeatureSet_Scope">'Hardware Feature set'!$F$4:$F$25</definedName>
    <definedName name="Hash_OptionalFeatures_Main_A">'Optional features'!$D$4:$D$71</definedName>
    <definedName name="Hash_OptionalFeatures_Main_A_Scope">'Optional features'!$H$4:$H$71</definedName>
    <definedName name="Hash_OptionalFeatures_Main_B">'Optional features'!$D$78:$D$265</definedName>
    <definedName name="Hash_OptionalFeatures_Main_B_Scope">'Optional features'!$H$78:$H$265</definedName>
    <definedName name="Hash_OptionalFeatures_Measurands">'Optional features'!$D$73:$D$77</definedName>
    <definedName name="Hash_OptionalFeatures_Measurands_Scope">'Optional features'!$H$73:$H$77</definedName>
    <definedName name="Hash_OtherRelevantSettings">'Other relevant settings'!$D$5:$D$62</definedName>
    <definedName name="Hash_OtherRelevantSettings_Scope">'Other relevant settings'!$F$5:$F$62</definedName>
    <definedName name="Hash_PerformanceMeasurement">'Performance Measurement'!$C$5:$C$8</definedName>
    <definedName name="Hash_PerformanceMeasurement_Scope">'Performance Measurement'!$F$5:$F$8</definedName>
    <definedName name="Hash_ProfileSelection">'Profile selection'!$C$4:$C$9</definedName>
    <definedName name="Hash_ProfileSelection_Scope">'Profile selection'!$F$4:$F$9</definedName>
    <definedName name="Hash_VendorSpecificSettings">'Vendor Specific Settings'!$C$6:$C$28</definedName>
    <definedName name="Local_Authorization_List_Management">'Optional features'!$B$153:$D$156</definedName>
    <definedName name="MasterValidity">'Statement of Approval'!$O$2</definedName>
    <definedName name="MD_ConnectorTypes" comment="MD connector type dropdown">MD!$Q$1:$Q$34</definedName>
    <definedName name="MD_CurrentTypes" comment="MD current types (AC/DC/AC&amp;DC)">MD!$E$1:$E$3</definedName>
    <definedName name="MD_RFIDOptions" comment="MD RFID reader options">MD!$S$1:$S$3</definedName>
    <definedName name="Measured_performance">'Performance Measurement'!$B$11:$F$15</definedName>
    <definedName name="Metervalues">'Optional features'!$B$71:$E$77</definedName>
    <definedName name="OCPP_21_Certification">Explanation!$C$6:$D$10</definedName>
    <definedName name="OF_AuthLocalStop" comment="C-70 through C-75 (Auth local stop)">'Optional features'!$B$58:$D$61</definedName>
    <definedName name="OF_LocalStart_Values" comment="Auth local start values (D col)">'Optional features'!$D$49:$D$54</definedName>
    <definedName name="OF_Measurands" comment="C-40 through C-40.5 (Measurands)">'Optional features'!$B$72:$D$77</definedName>
    <definedName name="OF_RemoteStart_Values" comment="Auth remote start values (D col)">'Optional features'!$D$65:$D$68</definedName>
    <definedName name="OF_TimeAndLocalStart" comment="C-28 through C-35 (Time settings + Auth local start)">'Optional features'!$B$37:$D$54</definedName>
    <definedName name="OF_UIFormats_Values" comment="UI formats values">'Optional features'!$D$166:$D$169</definedName>
    <definedName name="OF_UIPriorities_Values" comment="UI priorities values">'Optional features'!$D$162:$D$164</definedName>
    <definedName name="OF_Validation_AuthMeter" comment="Auth + Metervalues validation col F">'Optional features'!$F$48:$F$77</definedName>
    <definedName name="OF_Validation_Bidirectional">'Optional features'!$E$184:$E$187</definedName>
    <definedName name="OF_Validation_Core" comment="Core features validation col E">'Optional features'!$E$6:$E$45</definedName>
    <definedName name="OF_Validation_Core2" comment="Core part 2 + SC + AS validation">'Optional features'!$E$86:$E$132</definedName>
    <definedName name="OF_Validation_Payment">'Optional features'!$E$174:$E$180</definedName>
    <definedName name="OF_Validation_Profiles" comment="ISO + DM + LA + UI validation">'Optional features'!$E$133:$E$170</definedName>
    <definedName name="Optional_Features_description">'Optional features'!$C$2</definedName>
    <definedName name="ORS_Validation" comment="validations">'Other relevant settings'!$E$4:$E$63</definedName>
    <definedName name="ORS_Values" comment="Settings values">'Other relevant settings'!$D$4:$D$63</definedName>
    <definedName name="Other_relevant_settings">'Other relevant settings'!$B$4:$D$63</definedName>
    <definedName name="Other_relevant_settings_description">'Other relevant settings'!$C$2</definedName>
    <definedName name="Perf_validation">'Performance Measurement'!$H$4:$H$8</definedName>
    <definedName name="Perf_Values" comment="Vendor performance value">'Performance Measurement'!$C$5:$C$8</definedName>
    <definedName name="Performance_measurement">'Performance Measurement'!$B$4:$E$8</definedName>
    <definedName name="Performance_measurement_description">'Performance Measurement'!$B$2</definedName>
    <definedName name="Performed_On">'Statement of Approval'!$B$26:$C$26</definedName>
    <definedName name="PICS_Id">Explanation!$D$38</definedName>
    <definedName name="Product_Family_Distinct_Features">'OCPP family members'!$B$7:$C$41</definedName>
    <definedName name="Product_Family_Member_1">'OCPP family members'!$F$7:$F$44</definedName>
    <definedName name="Product_Family_Member_2">'OCPP family members'!$G$7:$G$44</definedName>
    <definedName name="Product_Family_Member_3">'OCPP family members'!$H$7:$H$44</definedName>
    <definedName name="Product_Family_Member_4">'OCPP family members'!$I$7:$I$44</definedName>
    <definedName name="Product_Family_Member_5">'OCPP family members'!$J$7:$J$44</definedName>
    <definedName name="Product_Family_Member_6">'OCPP family members'!$K$7:$K$44</definedName>
    <definedName name="Product_Family_Member_7">'OCPP family members'!$L$7:$L$44</definedName>
    <definedName name="Profile_Selection" localSheetId="11">#REF!</definedName>
    <definedName name="Profile_Selection">'Profile selection'!$B$3:$D$9</definedName>
    <definedName name="Profile_Selection_Validation">'Profile selection'!$E$4:$E$9</definedName>
    <definedName name="Reservations">'Optional features'!$B$132:$D$136</definedName>
    <definedName name="SoA_TestLab_DateValidation">'Statement of Approval'!$N$26:$O$34</definedName>
    <definedName name="SoA_TestLab_FieldValidation" comment="test-lab field checks (current extent, now named)">'Statement of Approval'!$D$26:$E$34</definedName>
    <definedName name="SoA_Vendor_DateValidation" comment="Vendor signature-date check only ">'Statement of Approval'!$N$18:$N$22</definedName>
    <definedName name="SoA_Vendor_FieldValidation" comment="Vendor field checks only (mirrors Vendor = B18:C22)">'Statement of Approval'!$D$18:$E$22</definedName>
    <definedName name="Test_laboratory">'Statement of Approval'!$B$29:$C$34</definedName>
    <definedName name="Test_laboratory_signature">'Statement of Approval'!$I$26:$J$27</definedName>
    <definedName name="Test_laboratory_signature_image">'Statement of Approval'!$I$26:$M$35</definedName>
    <definedName name="Test_Location">'Statement of Approval'!$B$27:$C$27</definedName>
    <definedName name="Test_Report_Reference">'Statement of Approval'!$B$28:$C$28</definedName>
    <definedName name="Testcase_List">'Charging Station Testcases'!$A$2:$L$10001</definedName>
    <definedName name="Testcase_List_description">'Charging Station Testcases'!$A$1</definedName>
    <definedName name="testresults" localSheetId="12">'HIDDEN Testrun Results'!$A$1:$B$1</definedName>
    <definedName name="Vendor">'Statement of Approval'!$B$18:$C$22</definedName>
    <definedName name="Vendor_Family_Members">'OCPP family members'!$B$50:$C$54</definedName>
    <definedName name="Vendor_signature">'Statement of Approval'!$I$18:$M$22</definedName>
    <definedName name="Vendor_signature_Family_Members">'OCPP family members'!$D$49:$F$50</definedName>
    <definedName name="Vendor_signature_image">'Statement of Approval'!$I$17:$M$23</definedName>
    <definedName name="vendor_signature_image_Family_Members">'OCPP family members'!$A$49:$H$55</definedName>
    <definedName name="Vendor_Specific_Settings">'Vendor Specific Settings'!$B$5:$D$28</definedName>
    <definedName name="Vendor_Specific_Settings_description">'Vendor Specific Settings'!$B$3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98" i="9" l="1"/>
  <c r="D598" i="9"/>
  <c r="E598" i="9"/>
  <c r="F598" i="9"/>
  <c r="G598" i="9"/>
  <c r="I598" i="9"/>
  <c r="J598" i="9"/>
  <c r="H598" i="9" s="1"/>
  <c r="B598" i="9"/>
  <c r="A598" i="9"/>
  <c r="A597" i="15"/>
  <c r="G9" i="11"/>
  <c r="H9" i="11"/>
  <c r="I9" i="11"/>
  <c r="J9" i="11"/>
  <c r="K9" i="11"/>
  <c r="L9" i="11"/>
  <c r="F9" i="11"/>
  <c r="C23" i="11"/>
  <c r="C20" i="11"/>
  <c r="D20" i="11"/>
  <c r="D23" i="11"/>
  <c r="C22" i="17"/>
  <c r="C23" i="17"/>
  <c r="C21" i="17"/>
  <c r="C20" i="17"/>
  <c r="C19" i="17"/>
  <c r="C18" i="17"/>
  <c r="C16" i="17"/>
  <c r="C15" i="17"/>
  <c r="C14" i="17"/>
  <c r="G5" i="17"/>
  <c r="H5" i="17"/>
  <c r="I5" i="17"/>
  <c r="J5" i="17"/>
  <c r="G6" i="17"/>
  <c r="H6" i="17"/>
  <c r="I6" i="17"/>
  <c r="J6" i="17"/>
  <c r="G7" i="17"/>
  <c r="H7" i="17"/>
  <c r="I7" i="17"/>
  <c r="J7" i="17"/>
  <c r="K7" i="17"/>
  <c r="G8" i="17"/>
  <c r="H8" i="17"/>
  <c r="I8" i="17"/>
  <c r="J8" i="17"/>
  <c r="K8" i="17"/>
  <c r="G9" i="17"/>
  <c r="H9" i="17"/>
  <c r="I9" i="17"/>
  <c r="J9" i="17"/>
  <c r="K9" i="17"/>
  <c r="G10" i="17"/>
  <c r="H10" i="17"/>
  <c r="I10" i="17"/>
  <c r="J10" i="17"/>
  <c r="K10" i="17"/>
  <c r="G11" i="17"/>
  <c r="H11" i="17"/>
  <c r="I11" i="17"/>
  <c r="J11" i="17"/>
  <c r="K11" i="17"/>
  <c r="G12" i="17"/>
  <c r="H12" i="17"/>
  <c r="I12" i="17"/>
  <c r="J12" i="17"/>
  <c r="K12" i="17"/>
  <c r="G13" i="17"/>
  <c r="H13" i="17"/>
  <c r="I13" i="17"/>
  <c r="J13" i="17"/>
  <c r="K13" i="17"/>
  <c r="G14" i="17"/>
  <c r="H14" i="17"/>
  <c r="I14" i="17"/>
  <c r="J14" i="17"/>
  <c r="K14" i="17"/>
  <c r="G15" i="17"/>
  <c r="H15" i="17"/>
  <c r="I15" i="17"/>
  <c r="J15" i="17"/>
  <c r="K15" i="17"/>
  <c r="G16" i="17"/>
  <c r="H16" i="17"/>
  <c r="I16" i="17"/>
  <c r="J16" i="17"/>
  <c r="K16" i="17"/>
  <c r="G17" i="17"/>
  <c r="H17" i="17"/>
  <c r="I17" i="17"/>
  <c r="J17" i="17"/>
  <c r="K17" i="17"/>
  <c r="G18" i="17"/>
  <c r="H18" i="17"/>
  <c r="I18" i="17"/>
  <c r="J18" i="17"/>
  <c r="K18" i="17"/>
  <c r="G19" i="17"/>
  <c r="H19" i="17"/>
  <c r="I19" i="17"/>
  <c r="J19" i="17"/>
  <c r="K19" i="17"/>
  <c r="G20" i="17"/>
  <c r="H20" i="17"/>
  <c r="I20" i="17"/>
  <c r="J20" i="17"/>
  <c r="K20" i="17"/>
  <c r="G21" i="17"/>
  <c r="H21" i="17"/>
  <c r="I21" i="17"/>
  <c r="J21" i="17"/>
  <c r="K21" i="17"/>
  <c r="G22" i="17"/>
  <c r="H22" i="17"/>
  <c r="I22" i="17"/>
  <c r="J22" i="17"/>
  <c r="K22" i="17"/>
  <c r="G23" i="17"/>
  <c r="H23" i="17"/>
  <c r="I23" i="17"/>
  <c r="J23" i="17"/>
  <c r="K23" i="17"/>
  <c r="G24" i="17"/>
  <c r="H24" i="17"/>
  <c r="I24" i="17"/>
  <c r="J24" i="17"/>
  <c r="K24" i="17"/>
  <c r="G25" i="17"/>
  <c r="H25" i="17"/>
  <c r="I25" i="17"/>
  <c r="J25" i="17"/>
  <c r="K25" i="17"/>
  <c r="G26" i="17"/>
  <c r="H26" i="17"/>
  <c r="I26" i="17"/>
  <c r="J26" i="17"/>
  <c r="K26" i="17"/>
  <c r="G27" i="17"/>
  <c r="H27" i="17"/>
  <c r="I27" i="17"/>
  <c r="J27" i="17"/>
  <c r="K27" i="17"/>
  <c r="G28" i="17"/>
  <c r="H28" i="17"/>
  <c r="I28" i="17"/>
  <c r="J28" i="17"/>
  <c r="K28" i="17"/>
  <c r="G29" i="17"/>
  <c r="H29" i="17"/>
  <c r="I29" i="17"/>
  <c r="J29" i="17"/>
  <c r="K29" i="17"/>
  <c r="G30" i="17"/>
  <c r="H30" i="17"/>
  <c r="I30" i="17"/>
  <c r="J30" i="17"/>
  <c r="K30" i="17"/>
  <c r="G31" i="17"/>
  <c r="H31" i="17"/>
  <c r="I31" i="17"/>
  <c r="J31" i="17"/>
  <c r="K31" i="17"/>
  <c r="G32" i="17"/>
  <c r="H32" i="17"/>
  <c r="I32" i="17"/>
  <c r="J32" i="17"/>
  <c r="K32" i="17"/>
  <c r="G33" i="17"/>
  <c r="H33" i="17"/>
  <c r="I33" i="17"/>
  <c r="J33" i="17"/>
  <c r="K33" i="17"/>
  <c r="G34" i="17"/>
  <c r="H34" i="17"/>
  <c r="I34" i="17"/>
  <c r="J34" i="17"/>
  <c r="K34" i="17"/>
  <c r="G35" i="17"/>
  <c r="H35" i="17"/>
  <c r="I35" i="17"/>
  <c r="J35" i="17"/>
  <c r="K35" i="17"/>
  <c r="G36" i="17"/>
  <c r="H36" i="17"/>
  <c r="I36" i="17"/>
  <c r="J36" i="17"/>
  <c r="K36" i="17"/>
  <c r="G37" i="17"/>
  <c r="H37" i="17"/>
  <c r="I37" i="17"/>
  <c r="J37" i="17"/>
  <c r="K37" i="17"/>
  <c r="G38" i="17"/>
  <c r="H38" i="17"/>
  <c r="I38" i="17"/>
  <c r="J38" i="17"/>
  <c r="K38" i="17"/>
  <c r="G39" i="17"/>
  <c r="H39" i="17"/>
  <c r="I39" i="17"/>
  <c r="J39" i="17"/>
  <c r="K39" i="17"/>
  <c r="G40" i="17"/>
  <c r="H40" i="17"/>
  <c r="I40" i="17"/>
  <c r="J40" i="17"/>
  <c r="K40" i="17"/>
  <c r="F6" i="17"/>
  <c r="F7" i="17"/>
  <c r="F8" i="17"/>
  <c r="F9" i="17"/>
  <c r="F10" i="17"/>
  <c r="F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7" i="17"/>
  <c r="F38" i="17"/>
  <c r="F39" i="17"/>
  <c r="F40" i="17"/>
  <c r="F5" i="17"/>
  <c r="C5" i="17"/>
  <c r="C6" i="17"/>
  <c r="C7" i="17"/>
  <c r="C8" i="17"/>
  <c r="C9" i="17"/>
  <c r="C4" i="17"/>
  <c r="E100" i="4"/>
  <c r="B204" i="13"/>
  <c r="B202" i="13"/>
  <c r="B201" i="13"/>
  <c r="E185" i="4"/>
  <c r="E186" i="4"/>
  <c r="E187" i="4"/>
  <c r="C186" i="4"/>
  <c r="C187" i="4"/>
  <c r="B203" i="13"/>
  <c r="B200" i="13"/>
  <c r="L1" i="11" l="1"/>
  <c r="F48" i="4"/>
  <c r="E114" i="4"/>
  <c r="I18" i="13" a="1"/>
  <c r="H18" i="13" a="1"/>
  <c r="F54" i="4"/>
  <c r="F53" i="4"/>
  <c r="F52" i="4"/>
  <c r="F51" i="4"/>
  <c r="F50" i="4"/>
  <c r="F49" i="4"/>
  <c r="E184" i="4" l="1"/>
  <c r="E150" i="4"/>
  <c r="E149" i="4"/>
  <c r="E148" i="4" l="1"/>
  <c r="E146" i="4"/>
  <c r="E147" i="4"/>
  <c r="E126" i="4"/>
  <c r="E121" i="4"/>
  <c r="E118" i="4"/>
  <c r="E119" i="4"/>
  <c r="E120" i="4"/>
  <c r="E117" i="4"/>
  <c r="E116" i="4"/>
  <c r="L7" i="2" l="1"/>
  <c r="K6" i="17" s="1"/>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6" i="2"/>
  <c r="K5" i="17" s="1"/>
  <c r="B188" i="13" l="1"/>
  <c r="N26" i="10"/>
  <c r="B197" i="13" l="1"/>
  <c r="B196" i="13"/>
  <c r="B195" i="13"/>
  <c r="B194" i="13"/>
  <c r="B192" i="13"/>
  <c r="B193" i="13"/>
  <c r="B191" i="13"/>
  <c r="B187" i="13"/>
  <c r="B190" i="13"/>
  <c r="B189" i="13"/>
  <c r="B182" i="13"/>
  <c r="B181" i="13"/>
  <c r="B183" i="13"/>
  <c r="B180" i="13"/>
  <c r="B186" i="13"/>
  <c r="B185" i="13"/>
  <c r="B184" i="13"/>
  <c r="B178" i="13"/>
  <c r="B176" i="13"/>
  <c r="B175" i="13"/>
  <c r="B179" i="13"/>
  <c r="B177" i="13"/>
  <c r="C107" i="4" l="1"/>
  <c r="E127" i="4"/>
  <c r="E129" i="4"/>
  <c r="E128" i="4"/>
  <c r="C127" i="4"/>
  <c r="C128" i="4"/>
  <c r="C129" i="4"/>
  <c r="A596" i="15" l="1"/>
  <c r="A595" i="15"/>
  <c r="A594" i="15"/>
  <c r="A593" i="15"/>
  <c r="A592" i="15"/>
  <c r="A591" i="15"/>
  <c r="A590" i="15"/>
  <c r="A589" i="15"/>
  <c r="A588" i="15"/>
  <c r="A587" i="15"/>
  <c r="A586" i="15"/>
  <c r="A585" i="15"/>
  <c r="A584" i="15"/>
  <c r="A583" i="15"/>
  <c r="A582" i="15"/>
  <c r="A581" i="15"/>
  <c r="A580" i="15"/>
  <c r="A579" i="15"/>
  <c r="A578" i="15"/>
  <c r="A577" i="15"/>
  <c r="A576" i="15"/>
  <c r="A575" i="15"/>
  <c r="A574" i="15"/>
  <c r="A573" i="15"/>
  <c r="A572" i="15"/>
  <c r="A571" i="15"/>
  <c r="A570" i="15"/>
  <c r="A569" i="15"/>
  <c r="A568" i="15"/>
  <c r="A567" i="15"/>
  <c r="A566" i="15"/>
  <c r="A565" i="15"/>
  <c r="A564" i="15"/>
  <c r="A563" i="15"/>
  <c r="A562" i="15"/>
  <c r="A561" i="15"/>
  <c r="A560" i="15"/>
  <c r="A559" i="15"/>
  <c r="A558" i="15"/>
  <c r="A557" i="15"/>
  <c r="A556" i="15"/>
  <c r="A555" i="15"/>
  <c r="A554" i="15"/>
  <c r="A553" i="15"/>
  <c r="A552" i="15"/>
  <c r="A551" i="15"/>
  <c r="A550" i="15"/>
  <c r="A549" i="15"/>
  <c r="A548" i="15"/>
  <c r="A547" i="15"/>
  <c r="A546" i="15"/>
  <c r="A545" i="15"/>
  <c r="A544" i="15"/>
  <c r="A543" i="15"/>
  <c r="A542" i="15"/>
  <c r="A541" i="15"/>
  <c r="A540" i="15"/>
  <c r="A539" i="15"/>
  <c r="A538" i="15"/>
  <c r="A537" i="15"/>
  <c r="A536" i="15"/>
  <c r="A535" i="15"/>
  <c r="A534" i="15"/>
  <c r="A533" i="15"/>
  <c r="A532" i="15"/>
  <c r="A531" i="15"/>
  <c r="A530" i="15"/>
  <c r="A529" i="15"/>
  <c r="A528" i="15"/>
  <c r="A527" i="15"/>
  <c r="A526" i="15"/>
  <c r="A525" i="15"/>
  <c r="A524" i="15"/>
  <c r="A523" i="15"/>
  <c r="A522" i="15"/>
  <c r="A521" i="15"/>
  <c r="A520" i="15"/>
  <c r="A519" i="15"/>
  <c r="A518" i="15"/>
  <c r="A517" i="15"/>
  <c r="A516" i="15"/>
  <c r="A515" i="15"/>
  <c r="A514" i="15"/>
  <c r="A513" i="15"/>
  <c r="A512" i="15"/>
  <c r="A511" i="15"/>
  <c r="A510" i="15"/>
  <c r="A509" i="15"/>
  <c r="A508" i="15"/>
  <c r="A507" i="15"/>
  <c r="A506" i="15"/>
  <c r="A505" i="15"/>
  <c r="A504" i="15"/>
  <c r="A503" i="15"/>
  <c r="A502" i="15"/>
  <c r="A501" i="15"/>
  <c r="A500" i="15"/>
  <c r="A499" i="15"/>
  <c r="A498" i="15"/>
  <c r="A497" i="15"/>
  <c r="A496" i="15"/>
  <c r="A495" i="15"/>
  <c r="A494" i="15"/>
  <c r="A493" i="15"/>
  <c r="A492" i="15"/>
  <c r="A491" i="15"/>
  <c r="A490" i="15"/>
  <c r="A489" i="15"/>
  <c r="A488" i="15"/>
  <c r="A487" i="15"/>
  <c r="A486" i="15"/>
  <c r="A485" i="15"/>
  <c r="A484" i="15"/>
  <c r="A483" i="15"/>
  <c r="A482" i="15"/>
  <c r="A481" i="15"/>
  <c r="A480" i="15"/>
  <c r="A479" i="15"/>
  <c r="A478" i="15"/>
  <c r="A477" i="15"/>
  <c r="A476" i="15"/>
  <c r="A475" i="15"/>
  <c r="A474" i="15"/>
  <c r="A473" i="15"/>
  <c r="A472" i="15"/>
  <c r="A471" i="15"/>
  <c r="A470" i="15"/>
  <c r="A469" i="15"/>
  <c r="A468" i="15"/>
  <c r="A467" i="15"/>
  <c r="A466" i="15"/>
  <c r="A465" i="15"/>
  <c r="A464" i="15"/>
  <c r="A463" i="15"/>
  <c r="A462" i="15"/>
  <c r="A461" i="15"/>
  <c r="A460" i="15"/>
  <c r="A459" i="15"/>
  <c r="A458" i="15"/>
  <c r="A457" i="15"/>
  <c r="A456" i="15"/>
  <c r="A455" i="15"/>
  <c r="A454" i="15"/>
  <c r="A453" i="15"/>
  <c r="A452" i="15"/>
  <c r="A451" i="15"/>
  <c r="A450" i="15"/>
  <c r="A449" i="15"/>
  <c r="A448" i="15"/>
  <c r="A447" i="15"/>
  <c r="A446" i="15"/>
  <c r="A445" i="15"/>
  <c r="A444" i="15"/>
  <c r="A443" i="15"/>
  <c r="A442" i="15"/>
  <c r="A441" i="15"/>
  <c r="A440" i="15"/>
  <c r="A439" i="15"/>
  <c r="A438" i="15"/>
  <c r="A437" i="15"/>
  <c r="A436" i="15"/>
  <c r="A435" i="15"/>
  <c r="A434" i="15"/>
  <c r="A433" i="15"/>
  <c r="A432" i="15"/>
  <c r="A431" i="15"/>
  <c r="A430" i="15"/>
  <c r="A429" i="15"/>
  <c r="A428" i="15"/>
  <c r="A427" i="15"/>
  <c r="A426" i="15"/>
  <c r="A425" i="15"/>
  <c r="A424" i="15"/>
  <c r="A423" i="15"/>
  <c r="A422" i="15"/>
  <c r="A421" i="15"/>
  <c r="A420" i="15"/>
  <c r="A419" i="15"/>
  <c r="A418" i="15"/>
  <c r="A417" i="15"/>
  <c r="A416" i="15"/>
  <c r="A415" i="15"/>
  <c r="A414" i="15"/>
  <c r="A413" i="15"/>
  <c r="A412" i="15"/>
  <c r="A411" i="15"/>
  <c r="A410" i="15"/>
  <c r="A409" i="15"/>
  <c r="A408" i="15"/>
  <c r="A407" i="15"/>
  <c r="A406" i="15"/>
  <c r="A405" i="15"/>
  <c r="A404" i="15"/>
  <c r="A403" i="15"/>
  <c r="A402" i="15"/>
  <c r="A401" i="15"/>
  <c r="A400" i="15"/>
  <c r="A399" i="15"/>
  <c r="A398" i="15"/>
  <c r="A397" i="15"/>
  <c r="A396" i="15"/>
  <c r="A395" i="15"/>
  <c r="A394" i="15"/>
  <c r="A393" i="15"/>
  <c r="A392" i="15"/>
  <c r="A391" i="15"/>
  <c r="A390" i="15"/>
  <c r="A389" i="15"/>
  <c r="A388" i="15"/>
  <c r="A387" i="15"/>
  <c r="A386" i="15"/>
  <c r="A385" i="15"/>
  <c r="A384" i="15"/>
  <c r="A383" i="15"/>
  <c r="A382" i="15"/>
  <c r="A381" i="15"/>
  <c r="A380" i="15"/>
  <c r="A379" i="15"/>
  <c r="A378" i="15"/>
  <c r="A377" i="15"/>
  <c r="A376" i="15"/>
  <c r="A375" i="15"/>
  <c r="A374" i="15"/>
  <c r="A373" i="15"/>
  <c r="A372" i="15"/>
  <c r="A371" i="15"/>
  <c r="A370" i="15"/>
  <c r="A369" i="15"/>
  <c r="A368" i="15"/>
  <c r="A367" i="15"/>
  <c r="A366" i="15"/>
  <c r="A365" i="15"/>
  <c r="A364" i="15"/>
  <c r="A363" i="15"/>
  <c r="A362" i="15"/>
  <c r="A361" i="15"/>
  <c r="A360" i="15"/>
  <c r="A359" i="15"/>
  <c r="A358" i="15"/>
  <c r="A357" i="15"/>
  <c r="A356" i="15"/>
  <c r="A355" i="15"/>
  <c r="A354" i="15"/>
  <c r="A353" i="15"/>
  <c r="A352" i="15"/>
  <c r="A351" i="15"/>
  <c r="A350" i="15"/>
  <c r="A349" i="15"/>
  <c r="A348" i="15"/>
  <c r="A347" i="15"/>
  <c r="A346" i="15"/>
  <c r="A345" i="15"/>
  <c r="A344" i="15"/>
  <c r="A343" i="15"/>
  <c r="A342" i="15"/>
  <c r="A341" i="15"/>
  <c r="A340" i="15"/>
  <c r="A339" i="15"/>
  <c r="A338" i="15"/>
  <c r="A337" i="15"/>
  <c r="A336" i="15"/>
  <c r="A335" i="15"/>
  <c r="A334" i="15"/>
  <c r="A333" i="15"/>
  <c r="A332" i="15"/>
  <c r="A331" i="15"/>
  <c r="A330" i="15"/>
  <c r="A329" i="15"/>
  <c r="A328" i="15"/>
  <c r="A327" i="15"/>
  <c r="A326" i="15"/>
  <c r="A325" i="15"/>
  <c r="A324" i="15"/>
  <c r="A323" i="15"/>
  <c r="A322" i="15"/>
  <c r="A321" i="15"/>
  <c r="A320" i="15"/>
  <c r="A319" i="15"/>
  <c r="A318" i="15"/>
  <c r="A317" i="15"/>
  <c r="A316" i="15"/>
  <c r="A315" i="15"/>
  <c r="A314" i="15"/>
  <c r="A313" i="15"/>
  <c r="A312" i="15"/>
  <c r="A311" i="15"/>
  <c r="A310" i="15"/>
  <c r="A309" i="15"/>
  <c r="A308" i="15"/>
  <c r="A307" i="15"/>
  <c r="A306" i="15"/>
  <c r="A305" i="15"/>
  <c r="A304" i="15"/>
  <c r="A303" i="15"/>
  <c r="A302" i="15"/>
  <c r="A301" i="15"/>
  <c r="A300" i="15"/>
  <c r="A299" i="15"/>
  <c r="A298" i="15"/>
  <c r="A297" i="15"/>
  <c r="A296" i="15"/>
  <c r="A295" i="15"/>
  <c r="A294" i="15"/>
  <c r="A293" i="15"/>
  <c r="A292" i="15"/>
  <c r="A291" i="15"/>
  <c r="A290" i="15"/>
  <c r="A289" i="15"/>
  <c r="A288" i="15"/>
  <c r="A287" i="15"/>
  <c r="A286" i="15"/>
  <c r="A285" i="15"/>
  <c r="A284" i="15"/>
  <c r="A283" i="15"/>
  <c r="A282" i="15"/>
  <c r="A281" i="15"/>
  <c r="A280" i="15"/>
  <c r="A279" i="15"/>
  <c r="A278" i="15"/>
  <c r="A277" i="15"/>
  <c r="A276" i="15"/>
  <c r="A275" i="15"/>
  <c r="A274" i="15"/>
  <c r="A273" i="15"/>
  <c r="A272" i="15"/>
  <c r="A271" i="15"/>
  <c r="A270" i="15"/>
  <c r="A269" i="15"/>
  <c r="A268" i="15"/>
  <c r="A267" i="15"/>
  <c r="A266" i="15"/>
  <c r="A265" i="15"/>
  <c r="A264" i="15"/>
  <c r="A263" i="15"/>
  <c r="A262" i="15"/>
  <c r="A261" i="15"/>
  <c r="A260" i="15"/>
  <c r="A259" i="15"/>
  <c r="A258" i="15"/>
  <c r="A257" i="15"/>
  <c r="A256" i="15"/>
  <c r="A255" i="15"/>
  <c r="A254" i="15"/>
  <c r="A253" i="15"/>
  <c r="A252" i="15"/>
  <c r="A251" i="15"/>
  <c r="A250" i="15"/>
  <c r="A249" i="15"/>
  <c r="A248" i="15"/>
  <c r="A247" i="15"/>
  <c r="A246" i="15"/>
  <c r="A245" i="15"/>
  <c r="A244" i="15"/>
  <c r="A243" i="15"/>
  <c r="A242" i="15"/>
  <c r="A241" i="15"/>
  <c r="A240" i="15"/>
  <c r="A239" i="15"/>
  <c r="A238" i="15"/>
  <c r="A237" i="15"/>
  <c r="A236" i="15"/>
  <c r="A235" i="15"/>
  <c r="A234" i="15"/>
  <c r="A233" i="15"/>
  <c r="A232" i="15"/>
  <c r="A231" i="15"/>
  <c r="A230" i="15"/>
  <c r="A229" i="15"/>
  <c r="A228" i="15"/>
  <c r="A227" i="15"/>
  <c r="A226" i="15"/>
  <c r="A225" i="15"/>
  <c r="A224" i="15"/>
  <c r="A223" i="15"/>
  <c r="A222" i="15"/>
  <c r="A221" i="15"/>
  <c r="A220" i="15"/>
  <c r="A219" i="15"/>
  <c r="A218" i="15"/>
  <c r="A217" i="15"/>
  <c r="A216" i="15"/>
  <c r="A215" i="15"/>
  <c r="A214" i="15"/>
  <c r="A213" i="15"/>
  <c r="A212" i="15"/>
  <c r="A211" i="15"/>
  <c r="A210" i="15"/>
  <c r="A209" i="15"/>
  <c r="A208" i="15"/>
  <c r="A207" i="15"/>
  <c r="A206" i="15"/>
  <c r="A205" i="15"/>
  <c r="A204" i="15"/>
  <c r="A203" i="15"/>
  <c r="A202" i="15"/>
  <c r="A201" i="15"/>
  <c r="A200" i="15"/>
  <c r="A199" i="15"/>
  <c r="A198" i="15"/>
  <c r="A197" i="15"/>
  <c r="A196" i="15"/>
  <c r="A195" i="15"/>
  <c r="A194" i="15"/>
  <c r="A193" i="15"/>
  <c r="A192" i="15"/>
  <c r="A191" i="15"/>
  <c r="A190" i="15"/>
  <c r="A189" i="15"/>
  <c r="A188" i="15"/>
  <c r="A187" i="15"/>
  <c r="A186" i="15"/>
  <c r="A185" i="15"/>
  <c r="A184" i="15"/>
  <c r="A183" i="15"/>
  <c r="A182" i="15"/>
  <c r="A181" i="15"/>
  <c r="A180" i="15"/>
  <c r="A179" i="15"/>
  <c r="A178" i="15"/>
  <c r="A177" i="15"/>
  <c r="A176" i="15"/>
  <c r="A175" i="15"/>
  <c r="A174" i="15"/>
  <c r="A173" i="15"/>
  <c r="A172" i="15"/>
  <c r="A171" i="15"/>
  <c r="A170" i="15"/>
  <c r="A169" i="15"/>
  <c r="A168" i="15"/>
  <c r="A167" i="15"/>
  <c r="A166" i="15"/>
  <c r="A165" i="15"/>
  <c r="A164" i="15"/>
  <c r="A163" i="15"/>
  <c r="A162" i="15"/>
  <c r="A161" i="15"/>
  <c r="A160" i="15"/>
  <c r="A159" i="15"/>
  <c r="A158" i="15"/>
  <c r="A157" i="15"/>
  <c r="A156" i="15"/>
  <c r="A155" i="15"/>
  <c r="A154" i="15"/>
  <c r="A153" i="15"/>
  <c r="A152" i="15"/>
  <c r="A151" i="15"/>
  <c r="A150" i="15"/>
  <c r="A149" i="15"/>
  <c r="A148" i="15"/>
  <c r="A147" i="15"/>
  <c r="A146" i="15"/>
  <c r="A145" i="15"/>
  <c r="A144" i="15"/>
  <c r="A143" i="15"/>
  <c r="A142" i="15"/>
  <c r="A141" i="15"/>
  <c r="A140" i="15"/>
  <c r="A139" i="15"/>
  <c r="A138" i="15"/>
  <c r="A137" i="15"/>
  <c r="A136" i="15"/>
  <c r="A135" i="15"/>
  <c r="A134" i="15"/>
  <c r="A133" i="15"/>
  <c r="A132" i="15"/>
  <c r="A131" i="15"/>
  <c r="A130" i="15"/>
  <c r="A129" i="15"/>
  <c r="A128" i="15"/>
  <c r="A127" i="15"/>
  <c r="A126" i="15"/>
  <c r="A125" i="15"/>
  <c r="A124" i="15"/>
  <c r="A123" i="15"/>
  <c r="A122" i="15"/>
  <c r="A121" i="15"/>
  <c r="A120" i="15"/>
  <c r="A119" i="15"/>
  <c r="A118" i="15"/>
  <c r="A117" i="15"/>
  <c r="A116" i="15"/>
  <c r="A115" i="15"/>
  <c r="A114" i="15"/>
  <c r="A113" i="15"/>
  <c r="A112" i="15"/>
  <c r="A111" i="15"/>
  <c r="A110" i="15"/>
  <c r="A109" i="15"/>
  <c r="A108" i="15"/>
  <c r="A107" i="15"/>
  <c r="A106" i="15"/>
  <c r="A105" i="15"/>
  <c r="A104" i="15"/>
  <c r="A103" i="15"/>
  <c r="A102" i="15"/>
  <c r="A101" i="15"/>
  <c r="A100" i="15"/>
  <c r="A99" i="15"/>
  <c r="A98" i="15"/>
  <c r="A97" i="15"/>
  <c r="A96" i="15"/>
  <c r="A95" i="15"/>
  <c r="A94" i="15"/>
  <c r="A93" i="15"/>
  <c r="A92" i="15"/>
  <c r="A91" i="15"/>
  <c r="A90" i="15"/>
  <c r="A89" i="15"/>
  <c r="A88" i="15"/>
  <c r="A87" i="15"/>
  <c r="A86" i="15"/>
  <c r="A85" i="15"/>
  <c r="A84" i="15"/>
  <c r="A83" i="15"/>
  <c r="A82" i="15"/>
  <c r="A81" i="15"/>
  <c r="A80" i="15"/>
  <c r="A79" i="15"/>
  <c r="A78" i="15"/>
  <c r="A77" i="15"/>
  <c r="A76" i="15"/>
  <c r="A75" i="15"/>
  <c r="A74" i="15"/>
  <c r="A73" i="15"/>
  <c r="A72" i="15"/>
  <c r="A71" i="15"/>
  <c r="A70" i="15"/>
  <c r="A69" i="15"/>
  <c r="A68" i="15"/>
  <c r="A67" i="15"/>
  <c r="A66" i="15"/>
  <c r="A65" i="15"/>
  <c r="A64" i="15"/>
  <c r="A63" i="15"/>
  <c r="A62" i="15"/>
  <c r="A61" i="15"/>
  <c r="A60" i="15"/>
  <c r="A59" i="15"/>
  <c r="A58" i="15"/>
  <c r="A57" i="15"/>
  <c r="A56" i="15"/>
  <c r="A55" i="15"/>
  <c r="A54" i="15"/>
  <c r="A53" i="15"/>
  <c r="A52" i="15"/>
  <c r="A51" i="15"/>
  <c r="A50" i="15"/>
  <c r="A49" i="15"/>
  <c r="A48" i="15"/>
  <c r="A47" i="15"/>
  <c r="A46" i="15"/>
  <c r="A45" i="15"/>
  <c r="A44" i="15"/>
  <c r="A43" i="15"/>
  <c r="A42" i="15"/>
  <c r="A41" i="15"/>
  <c r="A40" i="15"/>
  <c r="A39" i="15"/>
  <c r="A38" i="15"/>
  <c r="A37" i="15"/>
  <c r="A36" i="15"/>
  <c r="A35" i="15"/>
  <c r="A34" i="15"/>
  <c r="A33" i="15"/>
  <c r="A32" i="15"/>
  <c r="A31" i="15"/>
  <c r="A30" i="15"/>
  <c r="A29" i="15"/>
  <c r="A28" i="15"/>
  <c r="A27" i="15"/>
  <c r="A26" i="15"/>
  <c r="A25" i="15"/>
  <c r="A24" i="15"/>
  <c r="A23" i="15"/>
  <c r="A22" i="15"/>
  <c r="A21" i="15"/>
  <c r="A20" i="15"/>
  <c r="A19" i="15"/>
  <c r="A18" i="15"/>
  <c r="A17" i="15"/>
  <c r="A16" i="15"/>
  <c r="A15" i="15"/>
  <c r="A14" i="15"/>
  <c r="A13" i="15"/>
  <c r="A12" i="15"/>
  <c r="A11" i="15"/>
  <c r="A10" i="15"/>
  <c r="A9" i="15"/>
  <c r="A8" i="15"/>
  <c r="A7" i="15"/>
  <c r="A6" i="15"/>
  <c r="A5" i="15"/>
  <c r="A4" i="15"/>
  <c r="A3" i="15"/>
  <c r="A2" i="15"/>
  <c r="B166" i="13"/>
  <c r="B165" i="13"/>
  <c r="B164" i="13"/>
  <c r="B163" i="13"/>
  <c r="B162" i="13"/>
  <c r="B161" i="13"/>
  <c r="B160" i="13"/>
  <c r="B159" i="13"/>
  <c r="B158" i="13"/>
  <c r="B157" i="13"/>
  <c r="B156" i="13"/>
  <c r="B154" i="13"/>
  <c r="B153" i="13"/>
  <c r="B152" i="13"/>
  <c r="B151" i="13"/>
  <c r="B150" i="13"/>
  <c r="B149" i="13"/>
  <c r="B148" i="13"/>
  <c r="B147" i="13"/>
  <c r="B146" i="13"/>
  <c r="B145" i="13"/>
  <c r="B144" i="13"/>
  <c r="B143" i="13"/>
  <c r="B142" i="13"/>
  <c r="B141" i="13"/>
  <c r="B140" i="13"/>
  <c r="B139" i="13"/>
  <c r="B138" i="13"/>
  <c r="B137" i="13"/>
  <c r="B136" i="13"/>
  <c r="B134" i="13"/>
  <c r="B133" i="13"/>
  <c r="B132" i="13"/>
  <c r="B131" i="13"/>
  <c r="B130" i="13"/>
  <c r="B129" i="13"/>
  <c r="B128" i="13"/>
  <c r="B127" i="13"/>
  <c r="B126" i="13"/>
  <c r="B125" i="13"/>
  <c r="B124" i="13"/>
  <c r="B123" i="13"/>
  <c r="B122" i="13"/>
  <c r="B121" i="13"/>
  <c r="B120" i="13"/>
  <c r="B119" i="13"/>
  <c r="R124" i="13" a="1"/>
  <c r="R124" i="13" s="1"/>
  <c r="R123" i="13" a="1"/>
  <c r="R123" i="13" s="1"/>
  <c r="R122" i="13" a="1"/>
  <c r="R122" i="13" s="1"/>
  <c r="R121" i="13" a="1"/>
  <c r="R121" i="13" s="1"/>
  <c r="R120" i="13" a="1"/>
  <c r="R120" i="13" s="1"/>
  <c r="R119" i="13" a="1"/>
  <c r="R119" i="13" s="1"/>
  <c r="R118" i="13" a="1"/>
  <c r="R118" i="13" s="1"/>
  <c r="B118" i="13"/>
  <c r="B117" i="13"/>
  <c r="B116" i="13"/>
  <c r="B115" i="13"/>
  <c r="B114" i="13"/>
  <c r="B113" i="13"/>
  <c r="B112" i="13"/>
  <c r="B111" i="13"/>
  <c r="B110" i="13"/>
  <c r="B109" i="13"/>
  <c r="B108" i="13"/>
  <c r="B107" i="13"/>
  <c r="B106" i="13"/>
  <c r="B105" i="13"/>
  <c r="B104" i="13"/>
  <c r="B103" i="13"/>
  <c r="B100" i="13"/>
  <c r="B99" i="13"/>
  <c r="B98" i="13"/>
  <c r="B97" i="13"/>
  <c r="B95" i="13"/>
  <c r="B94" i="13"/>
  <c r="B92" i="13"/>
  <c r="B89" i="13"/>
  <c r="B85" i="13"/>
  <c r="B80" i="13"/>
  <c r="B79" i="13"/>
  <c r="B77" i="13"/>
  <c r="B75" i="13"/>
  <c r="B74" i="13"/>
  <c r="B72" i="13"/>
  <c r="B71" i="13"/>
  <c r="B70" i="13"/>
  <c r="B69" i="13"/>
  <c r="B68" i="13"/>
  <c r="B67" i="13"/>
  <c r="B66" i="13"/>
  <c r="B65" i="13"/>
  <c r="B64" i="13"/>
  <c r="B63" i="13"/>
  <c r="B62" i="13"/>
  <c r="B61" i="13"/>
  <c r="B60" i="13"/>
  <c r="B59" i="13"/>
  <c r="B58" i="13"/>
  <c r="B57" i="13"/>
  <c r="B56" i="13"/>
  <c r="B55" i="13"/>
  <c r="B54" i="13"/>
  <c r="B53" i="13"/>
  <c r="B52" i="13"/>
  <c r="B51" i="13"/>
  <c r="B49" i="13"/>
  <c r="B47" i="13"/>
  <c r="B46" i="13"/>
  <c r="B45" i="13"/>
  <c r="B44" i="13"/>
  <c r="B43" i="13"/>
  <c r="B42" i="13"/>
  <c r="B41" i="13"/>
  <c r="B39" i="13"/>
  <c r="B38" i="13"/>
  <c r="B37" i="13"/>
  <c r="B34" i="13"/>
  <c r="B33" i="13"/>
  <c r="B31" i="13"/>
  <c r="B30" i="13"/>
  <c r="B29" i="13"/>
  <c r="B28" i="13"/>
  <c r="B27" i="13"/>
  <c r="B26" i="13"/>
  <c r="B25" i="13"/>
  <c r="B23" i="13"/>
  <c r="B22" i="13"/>
  <c r="B20" i="13"/>
  <c r="B19" i="13"/>
  <c r="B18" i="13"/>
  <c r="B17" i="13"/>
  <c r="B16" i="13"/>
  <c r="B15" i="13"/>
  <c r="B14" i="13"/>
  <c r="B13" i="13"/>
  <c r="B12" i="13"/>
  <c r="B11" i="13"/>
  <c r="B10" i="13"/>
  <c r="B9" i="13"/>
  <c r="B8" i="13"/>
  <c r="B7" i="13"/>
  <c r="B6" i="13"/>
  <c r="B5" i="13"/>
  <c r="B4" i="13"/>
  <c r="B3" i="13"/>
  <c r="B2" i="13"/>
  <c r="H54" i="11"/>
  <c r="H53" i="11"/>
  <c r="H52" i="11"/>
  <c r="H50" i="11"/>
  <c r="H49" i="11"/>
  <c r="M41" i="11"/>
  <c r="D41" i="11"/>
  <c r="M40" i="11"/>
  <c r="D40" i="11"/>
  <c r="M37" i="11"/>
  <c r="D37" i="11"/>
  <c r="M36" i="11"/>
  <c r="D36" i="11"/>
  <c r="M20" i="11"/>
  <c r="B17" i="11"/>
  <c r="C17" i="11" s="1"/>
  <c r="B16" i="11"/>
  <c r="D16" i="11" s="1"/>
  <c r="M16" i="11" s="1"/>
  <c r="B15" i="11"/>
  <c r="D15" i="11" s="1"/>
  <c r="M15" i="11" s="1"/>
  <c r="B14" i="11"/>
  <c r="C14" i="11" s="1"/>
  <c r="B13" i="11"/>
  <c r="D7" i="11"/>
  <c r="C38" i="10"/>
  <c r="C37" i="10"/>
  <c r="D34" i="10"/>
  <c r="D33" i="10"/>
  <c r="D32" i="10"/>
  <c r="D31" i="10"/>
  <c r="D30" i="10"/>
  <c r="D29" i="10"/>
  <c r="D28" i="10"/>
  <c r="D27" i="10"/>
  <c r="D26" i="10"/>
  <c r="D22" i="10"/>
  <c r="D21" i="10"/>
  <c r="D20" i="10"/>
  <c r="C19" i="10"/>
  <c r="C51" i="11" s="1"/>
  <c r="H51" i="11" s="1"/>
  <c r="D18" i="10"/>
  <c r="N18" i="10"/>
  <c r="C7" i="10"/>
  <c r="C6" i="10"/>
  <c r="H6" i="10" s="1"/>
  <c r="F597" i="9"/>
  <c r="E597" i="9"/>
  <c r="C597" i="9"/>
  <c r="B597" i="9"/>
  <c r="J597" i="9" s="1"/>
  <c r="H597" i="9" s="1"/>
  <c r="A597" i="9"/>
  <c r="G597" i="9" s="1"/>
  <c r="F596" i="9"/>
  <c r="E596" i="9"/>
  <c r="C596" i="9"/>
  <c r="B596" i="9"/>
  <c r="J596" i="9" s="1"/>
  <c r="H596" i="9" s="1"/>
  <c r="A596" i="9"/>
  <c r="F595" i="9"/>
  <c r="E595" i="9"/>
  <c r="C595" i="9"/>
  <c r="B595" i="9"/>
  <c r="J595" i="9" s="1"/>
  <c r="H595" i="9" s="1"/>
  <c r="A595" i="9"/>
  <c r="G595" i="9" s="1"/>
  <c r="F594" i="9"/>
  <c r="E594" i="9"/>
  <c r="C594" i="9"/>
  <c r="B594" i="9"/>
  <c r="J594" i="9" s="1"/>
  <c r="H594" i="9" s="1"/>
  <c r="A594" i="9"/>
  <c r="F593" i="9"/>
  <c r="E593" i="9"/>
  <c r="C593" i="9"/>
  <c r="B593" i="9"/>
  <c r="J593" i="9" s="1"/>
  <c r="H593" i="9" s="1"/>
  <c r="A593" i="9"/>
  <c r="G593" i="9" s="1"/>
  <c r="F592" i="9"/>
  <c r="E592" i="9"/>
  <c r="C592" i="9"/>
  <c r="B592" i="9"/>
  <c r="J592" i="9" s="1"/>
  <c r="H592" i="9" s="1"/>
  <c r="A592" i="9"/>
  <c r="F591" i="9"/>
  <c r="E591" i="9"/>
  <c r="C591" i="9"/>
  <c r="B591" i="9"/>
  <c r="A591" i="9"/>
  <c r="G591" i="9" s="1"/>
  <c r="F590" i="9"/>
  <c r="E590" i="9"/>
  <c r="C590" i="9"/>
  <c r="B590" i="9"/>
  <c r="A590" i="9"/>
  <c r="F589" i="9"/>
  <c r="E589" i="9"/>
  <c r="C589" i="9"/>
  <c r="B589" i="9"/>
  <c r="J589" i="9" s="1"/>
  <c r="A589" i="9"/>
  <c r="F588" i="9"/>
  <c r="E588" i="9"/>
  <c r="C588" i="9"/>
  <c r="B588" i="9"/>
  <c r="J588" i="9" s="1"/>
  <c r="A588" i="9"/>
  <c r="F587" i="9"/>
  <c r="E587" i="9"/>
  <c r="C587" i="9"/>
  <c r="B587" i="9"/>
  <c r="J587" i="9" s="1"/>
  <c r="A587" i="9"/>
  <c r="G587" i="9" s="1"/>
  <c r="F586" i="9"/>
  <c r="E586" i="9"/>
  <c r="C586" i="9"/>
  <c r="B586" i="9"/>
  <c r="J586" i="9" s="1"/>
  <c r="A586" i="9"/>
  <c r="G586" i="9" s="1"/>
  <c r="F585" i="9"/>
  <c r="E585" i="9"/>
  <c r="C585" i="9"/>
  <c r="B585" i="9"/>
  <c r="J585" i="9" s="1"/>
  <c r="A585" i="9"/>
  <c r="F584" i="9"/>
  <c r="E584" i="9"/>
  <c r="C584" i="9"/>
  <c r="B584" i="9"/>
  <c r="J584" i="9" s="1"/>
  <c r="A584" i="9"/>
  <c r="F583" i="9"/>
  <c r="E583" i="9"/>
  <c r="C583" i="9"/>
  <c r="B583" i="9"/>
  <c r="J583" i="9" s="1"/>
  <c r="A583" i="9"/>
  <c r="F582" i="9"/>
  <c r="E582" i="9"/>
  <c r="C582" i="9"/>
  <c r="B582" i="9"/>
  <c r="J582" i="9" s="1"/>
  <c r="A582" i="9"/>
  <c r="F581" i="9"/>
  <c r="E581" i="9"/>
  <c r="C581" i="9"/>
  <c r="B581" i="9"/>
  <c r="J581" i="9" s="1"/>
  <c r="A581" i="9"/>
  <c r="F580" i="9"/>
  <c r="E580" i="9"/>
  <c r="C580" i="9"/>
  <c r="B580" i="9"/>
  <c r="J580" i="9" s="1"/>
  <c r="A580" i="9"/>
  <c r="F579" i="9"/>
  <c r="E579" i="9"/>
  <c r="C579" i="9"/>
  <c r="B579" i="9"/>
  <c r="J579" i="9" s="1"/>
  <c r="A579" i="9"/>
  <c r="G579" i="9" s="1"/>
  <c r="F578" i="9"/>
  <c r="E578" i="9"/>
  <c r="C578" i="9"/>
  <c r="B578" i="9"/>
  <c r="J578" i="9" s="1"/>
  <c r="A578" i="9"/>
  <c r="F577" i="9"/>
  <c r="E577" i="9"/>
  <c r="C577" i="9"/>
  <c r="B577" i="9"/>
  <c r="A577" i="9"/>
  <c r="F576" i="9"/>
  <c r="E576" i="9"/>
  <c r="C576" i="9"/>
  <c r="B576" i="9"/>
  <c r="J576" i="9" s="1"/>
  <c r="A576" i="9"/>
  <c r="F575" i="9"/>
  <c r="E575" i="9"/>
  <c r="C575" i="9"/>
  <c r="B575" i="9"/>
  <c r="J575" i="9" s="1"/>
  <c r="A575" i="9"/>
  <c r="F574" i="9"/>
  <c r="E574" i="9"/>
  <c r="C574" i="9"/>
  <c r="B574" i="9"/>
  <c r="J574" i="9" s="1"/>
  <c r="A574" i="9"/>
  <c r="F573" i="9"/>
  <c r="E573" i="9"/>
  <c r="C573" i="9"/>
  <c r="B573" i="9"/>
  <c r="J573" i="9" s="1"/>
  <c r="A573" i="9"/>
  <c r="F572" i="9"/>
  <c r="E572" i="9"/>
  <c r="C572" i="9"/>
  <c r="B572" i="9"/>
  <c r="J572" i="9" s="1"/>
  <c r="A572" i="9"/>
  <c r="F571" i="9"/>
  <c r="E571" i="9"/>
  <c r="C571" i="9"/>
  <c r="B571" i="9"/>
  <c r="J571" i="9" s="1"/>
  <c r="A571" i="9"/>
  <c r="F570" i="9"/>
  <c r="E570" i="9"/>
  <c r="C570" i="9"/>
  <c r="B570" i="9"/>
  <c r="A570" i="9"/>
  <c r="G570" i="9" s="1"/>
  <c r="F569" i="9"/>
  <c r="E569" i="9"/>
  <c r="C569" i="9"/>
  <c r="B569" i="9"/>
  <c r="J569" i="9" s="1"/>
  <c r="A569" i="9"/>
  <c r="F568" i="9"/>
  <c r="E568" i="9"/>
  <c r="C568" i="9"/>
  <c r="B568" i="9"/>
  <c r="J568" i="9" s="1"/>
  <c r="A568" i="9"/>
  <c r="F567" i="9"/>
  <c r="E567" i="9"/>
  <c r="C567" i="9"/>
  <c r="B567" i="9"/>
  <c r="J567" i="9" s="1"/>
  <c r="A567" i="9"/>
  <c r="F566" i="9"/>
  <c r="E566" i="9"/>
  <c r="C566" i="9"/>
  <c r="B566" i="9"/>
  <c r="J566" i="9" s="1"/>
  <c r="A566" i="9"/>
  <c r="F565" i="9"/>
  <c r="E565" i="9"/>
  <c r="C565" i="9"/>
  <c r="B565" i="9"/>
  <c r="J565" i="9" s="1"/>
  <c r="A565" i="9"/>
  <c r="G565" i="9" s="1"/>
  <c r="F564" i="9"/>
  <c r="E564" i="9"/>
  <c r="C564" i="9"/>
  <c r="B564" i="9"/>
  <c r="J564" i="9" s="1"/>
  <c r="H564" i="9" s="1"/>
  <c r="A564" i="9"/>
  <c r="G564" i="9" s="1"/>
  <c r="F563" i="9"/>
  <c r="E563" i="9"/>
  <c r="C563" i="9"/>
  <c r="B563" i="9"/>
  <c r="J563" i="9" s="1"/>
  <c r="H563" i="9" s="1"/>
  <c r="A563" i="9"/>
  <c r="G563" i="9" s="1"/>
  <c r="F562" i="9"/>
  <c r="E562" i="9"/>
  <c r="C562" i="9"/>
  <c r="B562" i="9"/>
  <c r="J562" i="9" s="1"/>
  <c r="H562" i="9" s="1"/>
  <c r="A562" i="9"/>
  <c r="F561" i="9"/>
  <c r="E561" i="9"/>
  <c r="C561" i="9"/>
  <c r="B561" i="9"/>
  <c r="J561" i="9" s="1"/>
  <c r="H561" i="9" s="1"/>
  <c r="A561" i="9"/>
  <c r="F560" i="9"/>
  <c r="E560" i="9"/>
  <c r="C560" i="9"/>
  <c r="B560" i="9"/>
  <c r="J560" i="9" s="1"/>
  <c r="H560" i="9" s="1"/>
  <c r="A560" i="9"/>
  <c r="F559" i="9"/>
  <c r="E559" i="9"/>
  <c r="C559" i="9"/>
  <c r="B559" i="9"/>
  <c r="J559" i="9" s="1"/>
  <c r="H559" i="9" s="1"/>
  <c r="A559" i="9"/>
  <c r="F558" i="9"/>
  <c r="E558" i="9"/>
  <c r="C558" i="9"/>
  <c r="B558" i="9"/>
  <c r="J558" i="9" s="1"/>
  <c r="H558" i="9" s="1"/>
  <c r="A558" i="9"/>
  <c r="F557" i="9"/>
  <c r="E557" i="9"/>
  <c r="C557" i="9"/>
  <c r="B557" i="9"/>
  <c r="J557" i="9" s="1"/>
  <c r="H557" i="9" s="1"/>
  <c r="A557" i="9"/>
  <c r="F556" i="9"/>
  <c r="E556" i="9"/>
  <c r="C556" i="9"/>
  <c r="B556" i="9"/>
  <c r="J556" i="9" s="1"/>
  <c r="H556" i="9" s="1"/>
  <c r="A556" i="9"/>
  <c r="F555" i="9"/>
  <c r="E555" i="9"/>
  <c r="C555" i="9"/>
  <c r="B555" i="9"/>
  <c r="J555" i="9" s="1"/>
  <c r="H555" i="9" s="1"/>
  <c r="A555" i="9"/>
  <c r="F554" i="9"/>
  <c r="E554" i="9"/>
  <c r="C554" i="9"/>
  <c r="B554" i="9"/>
  <c r="J554" i="9" s="1"/>
  <c r="H554" i="9" s="1"/>
  <c r="A554" i="9"/>
  <c r="F553" i="9"/>
  <c r="E553" i="9"/>
  <c r="C553" i="9"/>
  <c r="B553" i="9"/>
  <c r="J553" i="9" s="1"/>
  <c r="H553" i="9" s="1"/>
  <c r="A553" i="9"/>
  <c r="F552" i="9"/>
  <c r="E552" i="9"/>
  <c r="C552" i="9"/>
  <c r="B552" i="9"/>
  <c r="J552" i="9" s="1"/>
  <c r="H552" i="9" s="1"/>
  <c r="A552" i="9"/>
  <c r="F551" i="9"/>
  <c r="E551" i="9"/>
  <c r="C551" i="9"/>
  <c r="B551" i="9"/>
  <c r="A551" i="9"/>
  <c r="G551" i="9" s="1"/>
  <c r="F550" i="9"/>
  <c r="E550" i="9"/>
  <c r="C550" i="9"/>
  <c r="B550" i="9"/>
  <c r="J550" i="9" s="1"/>
  <c r="H550" i="9" s="1"/>
  <c r="A550" i="9"/>
  <c r="F549" i="9"/>
  <c r="E549" i="9"/>
  <c r="C549" i="9"/>
  <c r="B549" i="9"/>
  <c r="J549" i="9" s="1"/>
  <c r="H549" i="9" s="1"/>
  <c r="A549" i="9"/>
  <c r="G549" i="9" s="1"/>
  <c r="F548" i="9"/>
  <c r="E548" i="9"/>
  <c r="C548" i="9"/>
  <c r="B548" i="9"/>
  <c r="A548" i="9"/>
  <c r="G548" i="9" s="1"/>
  <c r="F547" i="9"/>
  <c r="E547" i="9"/>
  <c r="C547" i="9"/>
  <c r="B547" i="9"/>
  <c r="J547" i="9" s="1"/>
  <c r="H547" i="9" s="1"/>
  <c r="A547" i="9"/>
  <c r="F546" i="9"/>
  <c r="E546" i="9"/>
  <c r="C546" i="9"/>
  <c r="B546" i="9"/>
  <c r="J546" i="9" s="1"/>
  <c r="H546" i="9" s="1"/>
  <c r="A546" i="9"/>
  <c r="F545" i="9"/>
  <c r="E545" i="9"/>
  <c r="C545" i="9"/>
  <c r="B545" i="9"/>
  <c r="J545" i="9" s="1"/>
  <c r="H545" i="9" s="1"/>
  <c r="A545" i="9"/>
  <c r="F544" i="9"/>
  <c r="E544" i="9"/>
  <c r="C544" i="9"/>
  <c r="B544" i="9"/>
  <c r="J544" i="9" s="1"/>
  <c r="H544" i="9" s="1"/>
  <c r="A544" i="9"/>
  <c r="F543" i="9"/>
  <c r="E543" i="9"/>
  <c r="C543" i="9"/>
  <c r="B543" i="9"/>
  <c r="A543" i="9"/>
  <c r="G543" i="9" s="1"/>
  <c r="F542" i="9"/>
  <c r="E542" i="9"/>
  <c r="C542" i="9"/>
  <c r="B542" i="9"/>
  <c r="J542" i="9" s="1"/>
  <c r="H542" i="9" s="1"/>
  <c r="A542" i="9"/>
  <c r="F541" i="9"/>
  <c r="E541" i="9"/>
  <c r="C541" i="9"/>
  <c r="B541" i="9"/>
  <c r="J541" i="9" s="1"/>
  <c r="H541" i="9" s="1"/>
  <c r="A541" i="9"/>
  <c r="F540" i="9"/>
  <c r="E540" i="9"/>
  <c r="C540" i="9"/>
  <c r="B540" i="9"/>
  <c r="J540" i="9" s="1"/>
  <c r="H540" i="9" s="1"/>
  <c r="A540" i="9"/>
  <c r="F539" i="9"/>
  <c r="E539" i="9"/>
  <c r="C539" i="9"/>
  <c r="B539" i="9"/>
  <c r="J539" i="9" s="1"/>
  <c r="H539" i="9" s="1"/>
  <c r="A539" i="9"/>
  <c r="F538" i="9"/>
  <c r="E538" i="9"/>
  <c r="C538" i="9"/>
  <c r="B538" i="9"/>
  <c r="J538" i="9" s="1"/>
  <c r="H538" i="9" s="1"/>
  <c r="A538" i="9"/>
  <c r="F537" i="9"/>
  <c r="E537" i="9"/>
  <c r="C537" i="9"/>
  <c r="B537" i="9"/>
  <c r="J537" i="9" s="1"/>
  <c r="H537" i="9" s="1"/>
  <c r="A537" i="9"/>
  <c r="F536" i="9"/>
  <c r="E536" i="9"/>
  <c r="C536" i="9"/>
  <c r="B536" i="9"/>
  <c r="J536" i="9" s="1"/>
  <c r="H536" i="9" s="1"/>
  <c r="A536" i="9"/>
  <c r="F535" i="9"/>
  <c r="E535" i="9"/>
  <c r="C535" i="9"/>
  <c r="B535" i="9"/>
  <c r="J535" i="9" s="1"/>
  <c r="H535" i="9" s="1"/>
  <c r="A535" i="9"/>
  <c r="F534" i="9"/>
  <c r="E534" i="9"/>
  <c r="C534" i="9"/>
  <c r="B534" i="9"/>
  <c r="A534" i="9"/>
  <c r="G534" i="9" s="1"/>
  <c r="F533" i="9"/>
  <c r="E533" i="9"/>
  <c r="C533" i="9"/>
  <c r="B533" i="9"/>
  <c r="J533" i="9" s="1"/>
  <c r="H533" i="9" s="1"/>
  <c r="A533" i="9"/>
  <c r="G533" i="9" s="1"/>
  <c r="F532" i="9"/>
  <c r="E532" i="9"/>
  <c r="C532" i="9"/>
  <c r="B532" i="9"/>
  <c r="J532" i="9" s="1"/>
  <c r="H532" i="9" s="1"/>
  <c r="A532" i="9"/>
  <c r="F531" i="9"/>
  <c r="E531" i="9"/>
  <c r="C531" i="9"/>
  <c r="B531" i="9"/>
  <c r="J531" i="9" s="1"/>
  <c r="H531" i="9" s="1"/>
  <c r="A531" i="9"/>
  <c r="F530" i="9"/>
  <c r="E530" i="9"/>
  <c r="C530" i="9"/>
  <c r="B530" i="9"/>
  <c r="J530" i="9" s="1"/>
  <c r="H530" i="9" s="1"/>
  <c r="A530" i="9"/>
  <c r="F529" i="9"/>
  <c r="E529" i="9"/>
  <c r="C529" i="9"/>
  <c r="B529" i="9"/>
  <c r="J529" i="9" s="1"/>
  <c r="H529" i="9" s="1"/>
  <c r="A529" i="9"/>
  <c r="G529" i="9" s="1"/>
  <c r="F528" i="9"/>
  <c r="E528" i="9"/>
  <c r="C528" i="9"/>
  <c r="B528" i="9"/>
  <c r="J528" i="9" s="1"/>
  <c r="H528" i="9" s="1"/>
  <c r="A528" i="9"/>
  <c r="F527" i="9"/>
  <c r="E527" i="9"/>
  <c r="C527" i="9"/>
  <c r="B527" i="9"/>
  <c r="J527" i="9" s="1"/>
  <c r="H527" i="9" s="1"/>
  <c r="A527" i="9"/>
  <c r="F526" i="9"/>
  <c r="E526" i="9"/>
  <c r="C526" i="9"/>
  <c r="B526" i="9"/>
  <c r="A526" i="9"/>
  <c r="F525" i="9"/>
  <c r="E525" i="9"/>
  <c r="C525" i="9"/>
  <c r="B525" i="9"/>
  <c r="J525" i="9" s="1"/>
  <c r="H525" i="9" s="1"/>
  <c r="A525" i="9"/>
  <c r="F524" i="9"/>
  <c r="E524" i="9"/>
  <c r="C524" i="9"/>
  <c r="B524" i="9"/>
  <c r="J524" i="9" s="1"/>
  <c r="H524" i="9" s="1"/>
  <c r="A524" i="9"/>
  <c r="F523" i="9"/>
  <c r="E523" i="9"/>
  <c r="C523" i="9"/>
  <c r="B523" i="9"/>
  <c r="J523" i="9" s="1"/>
  <c r="H523" i="9" s="1"/>
  <c r="A523" i="9"/>
  <c r="F522" i="9"/>
  <c r="E522" i="9"/>
  <c r="C522" i="9"/>
  <c r="B522" i="9"/>
  <c r="J522" i="9" s="1"/>
  <c r="H522" i="9" s="1"/>
  <c r="A522" i="9"/>
  <c r="F521" i="9"/>
  <c r="E521" i="9"/>
  <c r="C521" i="9"/>
  <c r="B521" i="9"/>
  <c r="J521" i="9" s="1"/>
  <c r="H521" i="9" s="1"/>
  <c r="A521" i="9"/>
  <c r="F520" i="9"/>
  <c r="E520" i="9"/>
  <c r="C520" i="9"/>
  <c r="B520" i="9"/>
  <c r="A520" i="9"/>
  <c r="F519" i="9"/>
  <c r="E519" i="9"/>
  <c r="C519" i="9"/>
  <c r="B519" i="9"/>
  <c r="J519" i="9" s="1"/>
  <c r="H519" i="9" s="1"/>
  <c r="A519" i="9"/>
  <c r="F518" i="9"/>
  <c r="E518" i="9"/>
  <c r="C518" i="9"/>
  <c r="B518" i="9"/>
  <c r="A518" i="9"/>
  <c r="G518" i="9" s="1"/>
  <c r="F517" i="9"/>
  <c r="E517" i="9"/>
  <c r="C517" i="9"/>
  <c r="B517" i="9"/>
  <c r="J517" i="9" s="1"/>
  <c r="H517" i="9" s="1"/>
  <c r="A517" i="9"/>
  <c r="F516" i="9"/>
  <c r="E516" i="9"/>
  <c r="C516" i="9"/>
  <c r="B516" i="9"/>
  <c r="A516" i="9"/>
  <c r="F515" i="9"/>
  <c r="E515" i="9"/>
  <c r="C515" i="9"/>
  <c r="B515" i="9"/>
  <c r="J515" i="9" s="1"/>
  <c r="H515" i="9" s="1"/>
  <c r="A515" i="9"/>
  <c r="G515" i="9" s="1"/>
  <c r="F514" i="9"/>
  <c r="E514" i="9"/>
  <c r="C514" i="9"/>
  <c r="B514" i="9"/>
  <c r="J514" i="9" s="1"/>
  <c r="H514" i="9" s="1"/>
  <c r="A514" i="9"/>
  <c r="F513" i="9"/>
  <c r="E513" i="9"/>
  <c r="C513" i="9"/>
  <c r="B513" i="9"/>
  <c r="J513" i="9" s="1"/>
  <c r="H513" i="9" s="1"/>
  <c r="A513" i="9"/>
  <c r="F512" i="9"/>
  <c r="E512" i="9"/>
  <c r="C512" i="9"/>
  <c r="B512" i="9"/>
  <c r="J512" i="9" s="1"/>
  <c r="H512" i="9" s="1"/>
  <c r="A512" i="9"/>
  <c r="F511" i="9"/>
  <c r="E511" i="9"/>
  <c r="C511" i="9"/>
  <c r="B511" i="9"/>
  <c r="J511" i="9" s="1"/>
  <c r="H511" i="9" s="1"/>
  <c r="A511" i="9"/>
  <c r="F510" i="9"/>
  <c r="E510" i="9"/>
  <c r="C510" i="9"/>
  <c r="B510" i="9"/>
  <c r="J510" i="9" s="1"/>
  <c r="H510" i="9" s="1"/>
  <c r="A510" i="9"/>
  <c r="G510" i="9" s="1"/>
  <c r="F509" i="9"/>
  <c r="E509" i="9"/>
  <c r="C509" i="9"/>
  <c r="B509" i="9"/>
  <c r="J509" i="9" s="1"/>
  <c r="H509" i="9" s="1"/>
  <c r="A509" i="9"/>
  <c r="F508" i="9"/>
  <c r="E508" i="9"/>
  <c r="C508" i="9"/>
  <c r="B508" i="9"/>
  <c r="J508" i="9" s="1"/>
  <c r="H508" i="9" s="1"/>
  <c r="A508" i="9"/>
  <c r="F507" i="9"/>
  <c r="E507" i="9"/>
  <c r="C507" i="9"/>
  <c r="B507" i="9"/>
  <c r="J507" i="9" s="1"/>
  <c r="A507" i="9"/>
  <c r="G507" i="9" s="1"/>
  <c r="F506" i="9"/>
  <c r="E506" i="9"/>
  <c r="C506" i="9"/>
  <c r="B506" i="9"/>
  <c r="J506" i="9" s="1"/>
  <c r="A506" i="9"/>
  <c r="G506" i="9" s="1"/>
  <c r="F505" i="9"/>
  <c r="E505" i="9"/>
  <c r="C505" i="9"/>
  <c r="B505" i="9"/>
  <c r="J505" i="9" s="1"/>
  <c r="A505" i="9"/>
  <c r="F504" i="9"/>
  <c r="E504" i="9"/>
  <c r="C504" i="9"/>
  <c r="B504" i="9"/>
  <c r="J504" i="9" s="1"/>
  <c r="A504" i="9"/>
  <c r="G504" i="9" s="1"/>
  <c r="F503" i="9"/>
  <c r="E503" i="9"/>
  <c r="C503" i="9"/>
  <c r="B503" i="9"/>
  <c r="J503" i="9" s="1"/>
  <c r="A503" i="9"/>
  <c r="G503" i="9" s="1"/>
  <c r="F502" i="9"/>
  <c r="E502" i="9"/>
  <c r="C502" i="9"/>
  <c r="B502" i="9"/>
  <c r="J502" i="9" s="1"/>
  <c r="A502" i="9"/>
  <c r="G502" i="9" s="1"/>
  <c r="F501" i="9"/>
  <c r="E501" i="9"/>
  <c r="C501" i="9"/>
  <c r="B501" i="9"/>
  <c r="A501" i="9"/>
  <c r="G501" i="9" s="1"/>
  <c r="F500" i="9"/>
  <c r="E500" i="9"/>
  <c r="C500" i="9"/>
  <c r="B500" i="9"/>
  <c r="J500" i="9" s="1"/>
  <c r="A500" i="9"/>
  <c r="F499" i="9"/>
  <c r="E499" i="9"/>
  <c r="C499" i="9"/>
  <c r="B499" i="9"/>
  <c r="J499" i="9" s="1"/>
  <c r="A499" i="9"/>
  <c r="F498" i="9"/>
  <c r="E498" i="9"/>
  <c r="C498" i="9"/>
  <c r="B498" i="9"/>
  <c r="J498" i="9" s="1"/>
  <c r="A498" i="9"/>
  <c r="F497" i="9"/>
  <c r="E497" i="9"/>
  <c r="C497" i="9"/>
  <c r="B497" i="9"/>
  <c r="J497" i="9" s="1"/>
  <c r="A497" i="9"/>
  <c r="F496" i="9"/>
  <c r="E496" i="9"/>
  <c r="C496" i="9"/>
  <c r="B496" i="9"/>
  <c r="J496" i="9" s="1"/>
  <c r="A496" i="9"/>
  <c r="F495" i="9"/>
  <c r="E495" i="9"/>
  <c r="C495" i="9"/>
  <c r="B495" i="9"/>
  <c r="J495" i="9" s="1"/>
  <c r="A495" i="9"/>
  <c r="F494" i="9"/>
  <c r="E494" i="9"/>
  <c r="C494" i="9"/>
  <c r="B494" i="9"/>
  <c r="J494" i="9" s="1"/>
  <c r="A494" i="9"/>
  <c r="F493" i="9"/>
  <c r="E493" i="9"/>
  <c r="C493" i="9"/>
  <c r="B493" i="9"/>
  <c r="J493" i="9" s="1"/>
  <c r="A493" i="9"/>
  <c r="F492" i="9"/>
  <c r="E492" i="9"/>
  <c r="C492" i="9"/>
  <c r="B492" i="9"/>
  <c r="J492" i="9" s="1"/>
  <c r="A492" i="9"/>
  <c r="F491" i="9"/>
  <c r="E491" i="9"/>
  <c r="C491" i="9"/>
  <c r="B491" i="9"/>
  <c r="J491" i="9" s="1"/>
  <c r="A491" i="9"/>
  <c r="F490" i="9"/>
  <c r="E490" i="9"/>
  <c r="C490" i="9"/>
  <c r="B490" i="9"/>
  <c r="J490" i="9" s="1"/>
  <c r="A490" i="9"/>
  <c r="F489" i="9"/>
  <c r="E489" i="9"/>
  <c r="C489" i="9"/>
  <c r="B489" i="9"/>
  <c r="J489" i="9" s="1"/>
  <c r="A489" i="9"/>
  <c r="F488" i="9"/>
  <c r="E488" i="9"/>
  <c r="C488" i="9"/>
  <c r="B488" i="9"/>
  <c r="J488" i="9" s="1"/>
  <c r="A488" i="9"/>
  <c r="G488" i="9" s="1"/>
  <c r="F487" i="9"/>
  <c r="E487" i="9"/>
  <c r="C487" i="9"/>
  <c r="B487" i="9"/>
  <c r="A487" i="9"/>
  <c r="G487" i="9" s="1"/>
  <c r="F486" i="9"/>
  <c r="E486" i="9"/>
  <c r="C486" i="9"/>
  <c r="B486" i="9"/>
  <c r="J486" i="9" s="1"/>
  <c r="A486" i="9"/>
  <c r="F485" i="9"/>
  <c r="E485" i="9"/>
  <c r="C485" i="9"/>
  <c r="B485" i="9"/>
  <c r="J485" i="9" s="1"/>
  <c r="A485" i="9"/>
  <c r="F484" i="9"/>
  <c r="E484" i="9"/>
  <c r="C484" i="9"/>
  <c r="B484" i="9"/>
  <c r="J484" i="9" s="1"/>
  <c r="A484" i="9"/>
  <c r="F483" i="9"/>
  <c r="E483" i="9"/>
  <c r="C483" i="9"/>
  <c r="B483" i="9"/>
  <c r="J483" i="9" s="1"/>
  <c r="A483" i="9"/>
  <c r="G483" i="9" s="1"/>
  <c r="F482" i="9"/>
  <c r="E482" i="9"/>
  <c r="C482" i="9"/>
  <c r="B482" i="9"/>
  <c r="J482" i="9" s="1"/>
  <c r="A482" i="9"/>
  <c r="F481" i="9"/>
  <c r="E481" i="9"/>
  <c r="C481" i="9"/>
  <c r="B481" i="9"/>
  <c r="J481" i="9" s="1"/>
  <c r="A481" i="9"/>
  <c r="F480" i="9"/>
  <c r="E480" i="9"/>
  <c r="C480" i="9"/>
  <c r="B480" i="9"/>
  <c r="A480" i="9"/>
  <c r="G480" i="9" s="1"/>
  <c r="F479" i="9"/>
  <c r="E479" i="9"/>
  <c r="C479" i="9"/>
  <c r="B479" i="9"/>
  <c r="J479" i="9" s="1"/>
  <c r="A479" i="9"/>
  <c r="G479" i="9" s="1"/>
  <c r="F478" i="9"/>
  <c r="E478" i="9"/>
  <c r="C478" i="9"/>
  <c r="B478" i="9"/>
  <c r="J478" i="9" s="1"/>
  <c r="A478" i="9"/>
  <c r="F477" i="9"/>
  <c r="E477" i="9"/>
  <c r="C477" i="9"/>
  <c r="B477" i="9"/>
  <c r="J477" i="9" s="1"/>
  <c r="A477" i="9"/>
  <c r="F476" i="9"/>
  <c r="E476" i="9"/>
  <c r="C476" i="9"/>
  <c r="B476" i="9"/>
  <c r="J476" i="9" s="1"/>
  <c r="A476" i="9"/>
  <c r="F475" i="9"/>
  <c r="E475" i="9"/>
  <c r="C475" i="9"/>
  <c r="B475" i="9"/>
  <c r="J475" i="9" s="1"/>
  <c r="A475" i="9"/>
  <c r="F474" i="9"/>
  <c r="E474" i="9"/>
  <c r="C474" i="9"/>
  <c r="B474" i="9"/>
  <c r="J474" i="9" s="1"/>
  <c r="A474" i="9"/>
  <c r="G474" i="9" s="1"/>
  <c r="F473" i="9"/>
  <c r="E473" i="9"/>
  <c r="C473" i="9"/>
  <c r="B473" i="9"/>
  <c r="J473" i="9" s="1"/>
  <c r="A473" i="9"/>
  <c r="F472" i="9"/>
  <c r="E472" i="9"/>
  <c r="C472" i="9"/>
  <c r="B472" i="9"/>
  <c r="J472" i="9" s="1"/>
  <c r="A472" i="9"/>
  <c r="F471" i="9"/>
  <c r="E471" i="9"/>
  <c r="C471" i="9"/>
  <c r="B471" i="9"/>
  <c r="A471" i="9"/>
  <c r="G471" i="9" s="1"/>
  <c r="F470" i="9"/>
  <c r="E470" i="9"/>
  <c r="C470" i="9"/>
  <c r="B470" i="9"/>
  <c r="J470" i="9" s="1"/>
  <c r="A470" i="9"/>
  <c r="G470" i="9" s="1"/>
  <c r="F469" i="9"/>
  <c r="E469" i="9"/>
  <c r="C469" i="9"/>
  <c r="B469" i="9"/>
  <c r="A469" i="9"/>
  <c r="F468" i="9"/>
  <c r="E468" i="9"/>
  <c r="C468" i="9"/>
  <c r="B468" i="9"/>
  <c r="J468" i="9" s="1"/>
  <c r="A468" i="9"/>
  <c r="G468" i="9" s="1"/>
  <c r="F467" i="9"/>
  <c r="E467" i="9"/>
  <c r="C467" i="9"/>
  <c r="B467" i="9"/>
  <c r="J467" i="9" s="1"/>
  <c r="A467" i="9"/>
  <c r="F466" i="9"/>
  <c r="E466" i="9"/>
  <c r="C466" i="9"/>
  <c r="B466" i="9"/>
  <c r="J466" i="9" s="1"/>
  <c r="A466" i="9"/>
  <c r="F465" i="9"/>
  <c r="E465" i="9"/>
  <c r="C465" i="9"/>
  <c r="B465" i="9"/>
  <c r="J465" i="9" s="1"/>
  <c r="H465" i="9" s="1"/>
  <c r="A465" i="9"/>
  <c r="F464" i="9"/>
  <c r="E464" i="9"/>
  <c r="C464" i="9"/>
  <c r="B464" i="9"/>
  <c r="A464" i="9"/>
  <c r="F463" i="9"/>
  <c r="E463" i="9"/>
  <c r="C463" i="9"/>
  <c r="B463" i="9"/>
  <c r="J463" i="9" s="1"/>
  <c r="A463" i="9"/>
  <c r="F462" i="9"/>
  <c r="E462" i="9"/>
  <c r="C462" i="9"/>
  <c r="B462" i="9"/>
  <c r="J462" i="9" s="1"/>
  <c r="A462" i="9"/>
  <c r="F461" i="9"/>
  <c r="E461" i="9"/>
  <c r="C461" i="9"/>
  <c r="B461" i="9"/>
  <c r="J461" i="9" s="1"/>
  <c r="A461" i="9"/>
  <c r="F460" i="9"/>
  <c r="E460" i="9"/>
  <c r="C460" i="9"/>
  <c r="B460" i="9"/>
  <c r="J460" i="9" s="1"/>
  <c r="A460" i="9"/>
  <c r="F459" i="9"/>
  <c r="E459" i="9"/>
  <c r="C459" i="9"/>
  <c r="B459" i="9"/>
  <c r="J459" i="9" s="1"/>
  <c r="A459" i="9"/>
  <c r="G459" i="9" s="1"/>
  <c r="F458" i="9"/>
  <c r="E458" i="9"/>
  <c r="C458" i="9"/>
  <c r="B458" i="9"/>
  <c r="J458" i="9" s="1"/>
  <c r="A458" i="9"/>
  <c r="F457" i="9"/>
  <c r="E457" i="9"/>
  <c r="C457" i="9"/>
  <c r="B457" i="9"/>
  <c r="J457" i="9" s="1"/>
  <c r="A457" i="9"/>
  <c r="G457" i="9" s="1"/>
  <c r="F456" i="9"/>
  <c r="E456" i="9"/>
  <c r="C456" i="9"/>
  <c r="B456" i="9"/>
  <c r="J456" i="9" s="1"/>
  <c r="A456" i="9"/>
  <c r="F455" i="9"/>
  <c r="E455" i="9"/>
  <c r="C455" i="9"/>
  <c r="B455" i="9"/>
  <c r="J455" i="9" s="1"/>
  <c r="A455" i="9"/>
  <c r="G455" i="9" s="1"/>
  <c r="F454" i="9"/>
  <c r="E454" i="9"/>
  <c r="C454" i="9"/>
  <c r="B454" i="9"/>
  <c r="J454" i="9" s="1"/>
  <c r="A454" i="9"/>
  <c r="G454" i="9" s="1"/>
  <c r="F453" i="9"/>
  <c r="E453" i="9"/>
  <c r="C453" i="9"/>
  <c r="B453" i="9"/>
  <c r="J453" i="9" s="1"/>
  <c r="A453" i="9"/>
  <c r="G453" i="9" s="1"/>
  <c r="F452" i="9"/>
  <c r="E452" i="9"/>
  <c r="C452" i="9"/>
  <c r="B452" i="9"/>
  <c r="J452" i="9" s="1"/>
  <c r="A452" i="9"/>
  <c r="G452" i="9" s="1"/>
  <c r="F451" i="9"/>
  <c r="E451" i="9"/>
  <c r="C451" i="9"/>
  <c r="B451" i="9"/>
  <c r="J451" i="9" s="1"/>
  <c r="A451" i="9"/>
  <c r="G451" i="9" s="1"/>
  <c r="F450" i="9"/>
  <c r="E450" i="9"/>
  <c r="C450" i="9"/>
  <c r="B450" i="9"/>
  <c r="A450" i="9"/>
  <c r="G450" i="9" s="1"/>
  <c r="F449" i="9"/>
  <c r="E449" i="9"/>
  <c r="C449" i="9"/>
  <c r="B449" i="9"/>
  <c r="J449" i="9" s="1"/>
  <c r="A449" i="9"/>
  <c r="F448" i="9"/>
  <c r="E448" i="9"/>
  <c r="C448" i="9"/>
  <c r="B448" i="9"/>
  <c r="J448" i="9" s="1"/>
  <c r="A448" i="9"/>
  <c r="F447" i="9"/>
  <c r="E447" i="9"/>
  <c r="C447" i="9"/>
  <c r="B447" i="9"/>
  <c r="J447" i="9" s="1"/>
  <c r="A447" i="9"/>
  <c r="F446" i="9"/>
  <c r="E446" i="9"/>
  <c r="C446" i="9"/>
  <c r="B446" i="9"/>
  <c r="J446" i="9" s="1"/>
  <c r="A446" i="9"/>
  <c r="F445" i="9"/>
  <c r="E445" i="9"/>
  <c r="C445" i="9"/>
  <c r="B445" i="9"/>
  <c r="J445" i="9" s="1"/>
  <c r="A445" i="9"/>
  <c r="G445" i="9" s="1"/>
  <c r="F444" i="9"/>
  <c r="E444" i="9"/>
  <c r="C444" i="9"/>
  <c r="B444" i="9"/>
  <c r="J444" i="9" s="1"/>
  <c r="A444" i="9"/>
  <c r="F443" i="9"/>
  <c r="E443" i="9"/>
  <c r="C443" i="9"/>
  <c r="B443" i="9"/>
  <c r="J443" i="9" s="1"/>
  <c r="A443" i="9"/>
  <c r="G443" i="9" s="1"/>
  <c r="F442" i="9"/>
  <c r="E442" i="9"/>
  <c r="C442" i="9"/>
  <c r="B442" i="9"/>
  <c r="A442" i="9"/>
  <c r="G442" i="9" s="1"/>
  <c r="F441" i="9"/>
  <c r="E441" i="9"/>
  <c r="C441" i="9"/>
  <c r="B441" i="9"/>
  <c r="J441" i="9" s="1"/>
  <c r="A441" i="9"/>
  <c r="F440" i="9"/>
  <c r="E440" i="9"/>
  <c r="C440" i="9"/>
  <c r="B440" i="9"/>
  <c r="J440" i="9" s="1"/>
  <c r="A440" i="9"/>
  <c r="F439" i="9"/>
  <c r="E439" i="9"/>
  <c r="C439" i="9"/>
  <c r="B439" i="9"/>
  <c r="J439" i="9" s="1"/>
  <c r="A439" i="9"/>
  <c r="G439" i="9" s="1"/>
  <c r="F438" i="9"/>
  <c r="E438" i="9"/>
  <c r="C438" i="9"/>
  <c r="B438" i="9"/>
  <c r="J438" i="9" s="1"/>
  <c r="A438" i="9"/>
  <c r="F437" i="9"/>
  <c r="E437" i="9"/>
  <c r="C437" i="9"/>
  <c r="B437" i="9"/>
  <c r="J437" i="9" s="1"/>
  <c r="A437" i="9"/>
  <c r="G437" i="9" s="1"/>
  <c r="F436" i="9"/>
  <c r="E436" i="9"/>
  <c r="C436" i="9"/>
  <c r="B436" i="9"/>
  <c r="J436" i="9" s="1"/>
  <c r="A436" i="9"/>
  <c r="G436" i="9" s="1"/>
  <c r="F435" i="9"/>
  <c r="E435" i="9"/>
  <c r="C435" i="9"/>
  <c r="B435" i="9"/>
  <c r="J435" i="9" s="1"/>
  <c r="A435" i="9"/>
  <c r="F434" i="9"/>
  <c r="E434" i="9"/>
  <c r="C434" i="9"/>
  <c r="B434" i="9"/>
  <c r="J434" i="9" s="1"/>
  <c r="A434" i="9"/>
  <c r="F433" i="9"/>
  <c r="E433" i="9"/>
  <c r="C433" i="9"/>
  <c r="B433" i="9"/>
  <c r="J433" i="9" s="1"/>
  <c r="A433" i="9"/>
  <c r="F432" i="9"/>
  <c r="E432" i="9"/>
  <c r="C432" i="9"/>
  <c r="B432" i="9"/>
  <c r="J432" i="9" s="1"/>
  <c r="A432" i="9"/>
  <c r="F431" i="9"/>
  <c r="E431" i="9"/>
  <c r="C431" i="9"/>
  <c r="B431" i="9"/>
  <c r="J431" i="9" s="1"/>
  <c r="A431" i="9"/>
  <c r="F430" i="9"/>
  <c r="E430" i="9"/>
  <c r="C430" i="9"/>
  <c r="B430" i="9"/>
  <c r="J430" i="9" s="1"/>
  <c r="A430" i="9"/>
  <c r="F429" i="9"/>
  <c r="E429" i="9"/>
  <c r="C429" i="9"/>
  <c r="B429" i="9"/>
  <c r="A429" i="9"/>
  <c r="G429" i="9" s="1"/>
  <c r="F428" i="9"/>
  <c r="E428" i="9"/>
  <c r="C428" i="9"/>
  <c r="B428" i="9"/>
  <c r="A428" i="9"/>
  <c r="G428" i="9" s="1"/>
  <c r="F427" i="9"/>
  <c r="E427" i="9"/>
  <c r="C427" i="9"/>
  <c r="B427" i="9"/>
  <c r="A427" i="9"/>
  <c r="F426" i="9"/>
  <c r="E426" i="9"/>
  <c r="C426" i="9"/>
  <c r="B426" i="9"/>
  <c r="A426" i="9"/>
  <c r="F425" i="9"/>
  <c r="E425" i="9"/>
  <c r="C425" i="9"/>
  <c r="B425" i="9"/>
  <c r="J425" i="9" s="1"/>
  <c r="A425" i="9"/>
  <c r="F424" i="9"/>
  <c r="E424" i="9"/>
  <c r="C424" i="9"/>
  <c r="B424" i="9"/>
  <c r="J424" i="9" s="1"/>
  <c r="A424" i="9"/>
  <c r="G424" i="9" s="1"/>
  <c r="F423" i="9"/>
  <c r="E423" i="9"/>
  <c r="C423" i="9"/>
  <c r="B423" i="9"/>
  <c r="J423" i="9" s="1"/>
  <c r="A423" i="9"/>
  <c r="F422" i="9"/>
  <c r="E422" i="9"/>
  <c r="C422" i="9"/>
  <c r="B422" i="9"/>
  <c r="J422" i="9" s="1"/>
  <c r="A422" i="9"/>
  <c r="G422" i="9" s="1"/>
  <c r="F421" i="9"/>
  <c r="E421" i="9"/>
  <c r="C421" i="9"/>
  <c r="B421" i="9"/>
  <c r="J421" i="9" s="1"/>
  <c r="A421" i="9"/>
  <c r="G421" i="9" s="1"/>
  <c r="F420" i="9"/>
  <c r="E420" i="9"/>
  <c r="C420" i="9"/>
  <c r="B420" i="9"/>
  <c r="J420" i="9" s="1"/>
  <c r="A420" i="9"/>
  <c r="G420" i="9" s="1"/>
  <c r="F419" i="9"/>
  <c r="E419" i="9"/>
  <c r="C419" i="9"/>
  <c r="B419" i="9"/>
  <c r="J419" i="9" s="1"/>
  <c r="A419" i="9"/>
  <c r="F418" i="9"/>
  <c r="E418" i="9"/>
  <c r="C418" i="9"/>
  <c r="B418" i="9"/>
  <c r="J418" i="9" s="1"/>
  <c r="A418" i="9"/>
  <c r="F417" i="9"/>
  <c r="E417" i="9"/>
  <c r="C417" i="9"/>
  <c r="B417" i="9"/>
  <c r="J417" i="9" s="1"/>
  <c r="A417" i="9"/>
  <c r="F416" i="9"/>
  <c r="E416" i="9"/>
  <c r="C416" i="9"/>
  <c r="B416" i="9"/>
  <c r="J416" i="9" s="1"/>
  <c r="A416" i="9"/>
  <c r="F415" i="9"/>
  <c r="E415" i="9"/>
  <c r="C415" i="9"/>
  <c r="B415" i="9"/>
  <c r="A415" i="9"/>
  <c r="F414" i="9"/>
  <c r="E414" i="9"/>
  <c r="C414" i="9"/>
  <c r="B414" i="9"/>
  <c r="J414" i="9" s="1"/>
  <c r="A414" i="9"/>
  <c r="F413" i="9"/>
  <c r="E413" i="9"/>
  <c r="C413" i="9"/>
  <c r="B413" i="9"/>
  <c r="J413" i="9" s="1"/>
  <c r="A413" i="9"/>
  <c r="F412" i="9"/>
  <c r="E412" i="9"/>
  <c r="C412" i="9"/>
  <c r="B412" i="9"/>
  <c r="J412" i="9" s="1"/>
  <c r="A412" i="9"/>
  <c r="F411" i="9"/>
  <c r="E411" i="9"/>
  <c r="C411" i="9"/>
  <c r="B411" i="9"/>
  <c r="J411" i="9" s="1"/>
  <c r="A411" i="9"/>
  <c r="F410" i="9"/>
  <c r="E410" i="9"/>
  <c r="C410" i="9"/>
  <c r="B410" i="9"/>
  <c r="J410" i="9" s="1"/>
  <c r="A410" i="9"/>
  <c r="G410" i="9" s="1"/>
  <c r="F409" i="9"/>
  <c r="E409" i="9"/>
  <c r="C409" i="9"/>
  <c r="B409" i="9"/>
  <c r="J409" i="9" s="1"/>
  <c r="A409" i="9"/>
  <c r="F408" i="9"/>
  <c r="E408" i="9"/>
  <c r="C408" i="9"/>
  <c r="B408" i="9"/>
  <c r="J408" i="9" s="1"/>
  <c r="A408" i="9"/>
  <c r="G408" i="9" s="1"/>
  <c r="F407" i="9"/>
  <c r="E407" i="9"/>
  <c r="C407" i="9"/>
  <c r="B407" i="9"/>
  <c r="J407" i="9" s="1"/>
  <c r="A407" i="9"/>
  <c r="F406" i="9"/>
  <c r="E406" i="9"/>
  <c r="C406" i="9"/>
  <c r="B406" i="9"/>
  <c r="A406" i="9"/>
  <c r="G406" i="9" s="1"/>
  <c r="F405" i="9"/>
  <c r="E405" i="9"/>
  <c r="C405" i="9"/>
  <c r="B405" i="9"/>
  <c r="J405" i="9" s="1"/>
  <c r="A405" i="9"/>
  <c r="G405" i="9" s="1"/>
  <c r="F404" i="9"/>
  <c r="E404" i="9"/>
  <c r="C404" i="9"/>
  <c r="B404" i="9"/>
  <c r="A404" i="9"/>
  <c r="G404" i="9" s="1"/>
  <c r="F403" i="9"/>
  <c r="E403" i="9"/>
  <c r="C403" i="9"/>
  <c r="B403" i="9"/>
  <c r="J403" i="9" s="1"/>
  <c r="A403" i="9"/>
  <c r="F402" i="9"/>
  <c r="E402" i="9"/>
  <c r="C402" i="9"/>
  <c r="B402" i="9"/>
  <c r="J402" i="9" s="1"/>
  <c r="A402" i="9"/>
  <c r="G402" i="9" s="1"/>
  <c r="F401" i="9"/>
  <c r="E401" i="9"/>
  <c r="C401" i="9"/>
  <c r="B401" i="9"/>
  <c r="J401" i="9" s="1"/>
  <c r="A401" i="9"/>
  <c r="F400" i="9"/>
  <c r="E400" i="9"/>
  <c r="C400" i="9"/>
  <c r="B400" i="9"/>
  <c r="J400" i="9" s="1"/>
  <c r="A400" i="9"/>
  <c r="G400" i="9" s="1"/>
  <c r="F399" i="9"/>
  <c r="E399" i="9"/>
  <c r="C399" i="9"/>
  <c r="B399" i="9"/>
  <c r="A399" i="9"/>
  <c r="G399" i="9" s="1"/>
  <c r="F398" i="9"/>
  <c r="E398" i="9"/>
  <c r="C398" i="9"/>
  <c r="B398" i="9"/>
  <c r="J398" i="9" s="1"/>
  <c r="A398" i="9"/>
  <c r="G398" i="9" s="1"/>
  <c r="F397" i="9"/>
  <c r="E397" i="9"/>
  <c r="C397" i="9"/>
  <c r="B397" i="9"/>
  <c r="J397" i="9" s="1"/>
  <c r="A397" i="9"/>
  <c r="F396" i="9"/>
  <c r="E396" i="9"/>
  <c r="C396" i="9"/>
  <c r="B396" i="9"/>
  <c r="J396" i="9" s="1"/>
  <c r="A396" i="9"/>
  <c r="F395" i="9"/>
  <c r="E395" i="9"/>
  <c r="C395" i="9"/>
  <c r="B395" i="9"/>
  <c r="J395" i="9" s="1"/>
  <c r="A395" i="9"/>
  <c r="F394" i="9"/>
  <c r="E394" i="9"/>
  <c r="C394" i="9"/>
  <c r="B394" i="9"/>
  <c r="A394" i="9"/>
  <c r="G394" i="9" s="1"/>
  <c r="F393" i="9"/>
  <c r="E393" i="9"/>
  <c r="C393" i="9"/>
  <c r="B393" i="9"/>
  <c r="J393" i="9" s="1"/>
  <c r="A393" i="9"/>
  <c r="F392" i="9"/>
  <c r="E392" i="9"/>
  <c r="C392" i="9"/>
  <c r="B392" i="9"/>
  <c r="J392" i="9" s="1"/>
  <c r="A392" i="9"/>
  <c r="G392" i="9" s="1"/>
  <c r="F391" i="9"/>
  <c r="E391" i="9"/>
  <c r="C391" i="9"/>
  <c r="B391" i="9"/>
  <c r="J391" i="9" s="1"/>
  <c r="A391" i="9"/>
  <c r="F390" i="9"/>
  <c r="E390" i="9"/>
  <c r="C390" i="9"/>
  <c r="B390" i="9"/>
  <c r="J390" i="9" s="1"/>
  <c r="A390" i="9"/>
  <c r="F389" i="9"/>
  <c r="E389" i="9"/>
  <c r="C389" i="9"/>
  <c r="B389" i="9"/>
  <c r="J389" i="9" s="1"/>
  <c r="A389" i="9"/>
  <c r="F388" i="9"/>
  <c r="E388" i="9"/>
  <c r="C388" i="9"/>
  <c r="B388" i="9"/>
  <c r="J388" i="9" s="1"/>
  <c r="A388" i="9"/>
  <c r="F387" i="9"/>
  <c r="E387" i="9"/>
  <c r="C387" i="9"/>
  <c r="B387" i="9"/>
  <c r="J387" i="9" s="1"/>
  <c r="A387" i="9"/>
  <c r="F386" i="9"/>
  <c r="E386" i="9"/>
  <c r="C386" i="9"/>
  <c r="B386" i="9"/>
  <c r="J386" i="9" s="1"/>
  <c r="A386" i="9"/>
  <c r="F385" i="9"/>
  <c r="E385" i="9"/>
  <c r="C385" i="9"/>
  <c r="B385" i="9"/>
  <c r="J385" i="9" s="1"/>
  <c r="A385" i="9"/>
  <c r="G385" i="9" s="1"/>
  <c r="F384" i="9"/>
  <c r="E384" i="9"/>
  <c r="C384" i="9"/>
  <c r="B384" i="9"/>
  <c r="A384" i="9"/>
  <c r="G384" i="9" s="1"/>
  <c r="F383" i="9"/>
  <c r="E383" i="9"/>
  <c r="C383" i="9"/>
  <c r="B383" i="9"/>
  <c r="J383" i="9" s="1"/>
  <c r="A383" i="9"/>
  <c r="F382" i="9"/>
  <c r="E382" i="9"/>
  <c r="C382" i="9"/>
  <c r="B382" i="9"/>
  <c r="A382" i="9"/>
  <c r="G382" i="9" s="1"/>
  <c r="F381" i="9"/>
  <c r="E381" i="9"/>
  <c r="C381" i="9"/>
  <c r="B381" i="9"/>
  <c r="J381" i="9" s="1"/>
  <c r="A381" i="9"/>
  <c r="G381" i="9" s="1"/>
  <c r="F380" i="9"/>
  <c r="E380" i="9"/>
  <c r="C380" i="9"/>
  <c r="B380" i="9"/>
  <c r="J380" i="9" s="1"/>
  <c r="A380" i="9"/>
  <c r="G380" i="9" s="1"/>
  <c r="F379" i="9"/>
  <c r="E379" i="9"/>
  <c r="C379" i="9"/>
  <c r="B379" i="9"/>
  <c r="J379" i="9" s="1"/>
  <c r="A379" i="9"/>
  <c r="F378" i="9"/>
  <c r="E378" i="9"/>
  <c r="C378" i="9"/>
  <c r="B378" i="9"/>
  <c r="A378" i="9"/>
  <c r="G378" i="9" s="1"/>
  <c r="F377" i="9"/>
  <c r="E377" i="9"/>
  <c r="C377" i="9"/>
  <c r="B377" i="9"/>
  <c r="J377" i="9" s="1"/>
  <c r="A377" i="9"/>
  <c r="G377" i="9" s="1"/>
  <c r="F376" i="9"/>
  <c r="E376" i="9"/>
  <c r="C376" i="9"/>
  <c r="B376" i="9"/>
  <c r="J376" i="9" s="1"/>
  <c r="A376" i="9"/>
  <c r="F375" i="9"/>
  <c r="E375" i="9"/>
  <c r="C375" i="9"/>
  <c r="B375" i="9"/>
  <c r="J375" i="9" s="1"/>
  <c r="A375" i="9"/>
  <c r="G375" i="9" s="1"/>
  <c r="F374" i="9"/>
  <c r="E374" i="9"/>
  <c r="C374" i="9"/>
  <c r="B374" i="9"/>
  <c r="J374" i="9" s="1"/>
  <c r="A374" i="9"/>
  <c r="F373" i="9"/>
  <c r="E373" i="9"/>
  <c r="C373" i="9"/>
  <c r="B373" i="9"/>
  <c r="J373" i="9" s="1"/>
  <c r="A373" i="9"/>
  <c r="G373" i="9" s="1"/>
  <c r="F372" i="9"/>
  <c r="E372" i="9"/>
  <c r="C372" i="9"/>
  <c r="B372" i="9"/>
  <c r="A372" i="9"/>
  <c r="G372" i="9" s="1"/>
  <c r="F371" i="9"/>
  <c r="E371" i="9"/>
  <c r="C371" i="9"/>
  <c r="B371" i="9"/>
  <c r="J371" i="9" s="1"/>
  <c r="A371" i="9"/>
  <c r="G371" i="9" s="1"/>
  <c r="F370" i="9"/>
  <c r="E370" i="9"/>
  <c r="C370" i="9"/>
  <c r="B370" i="9"/>
  <c r="J370" i="9" s="1"/>
  <c r="A370" i="9"/>
  <c r="G370" i="9" s="1"/>
  <c r="F369" i="9"/>
  <c r="E369" i="9"/>
  <c r="C369" i="9"/>
  <c r="B369" i="9"/>
  <c r="J369" i="9" s="1"/>
  <c r="A369" i="9"/>
  <c r="F368" i="9"/>
  <c r="E368" i="9"/>
  <c r="C368" i="9"/>
  <c r="B368" i="9"/>
  <c r="J368" i="9" s="1"/>
  <c r="A368" i="9"/>
  <c r="F367" i="9"/>
  <c r="E367" i="9"/>
  <c r="C367" i="9"/>
  <c r="B367" i="9"/>
  <c r="J367" i="9" s="1"/>
  <c r="A367" i="9"/>
  <c r="F366" i="9"/>
  <c r="E366" i="9"/>
  <c r="C366" i="9"/>
  <c r="B366" i="9"/>
  <c r="J366" i="9" s="1"/>
  <c r="A366" i="9"/>
  <c r="F365" i="9"/>
  <c r="E365" i="9"/>
  <c r="C365" i="9"/>
  <c r="B365" i="9"/>
  <c r="J365" i="9" s="1"/>
  <c r="A365" i="9"/>
  <c r="F364" i="9"/>
  <c r="E364" i="9"/>
  <c r="C364" i="9"/>
  <c r="B364" i="9"/>
  <c r="J364" i="9" s="1"/>
  <c r="A364" i="9"/>
  <c r="G364" i="9" s="1"/>
  <c r="F363" i="9"/>
  <c r="E363" i="9"/>
  <c r="C363" i="9"/>
  <c r="B363" i="9"/>
  <c r="J363" i="9" s="1"/>
  <c r="A363" i="9"/>
  <c r="G363" i="9" s="1"/>
  <c r="F362" i="9"/>
  <c r="E362" i="9"/>
  <c r="C362" i="9"/>
  <c r="B362" i="9"/>
  <c r="J362" i="9" s="1"/>
  <c r="A362" i="9"/>
  <c r="F361" i="9"/>
  <c r="E361" i="9"/>
  <c r="C361" i="9"/>
  <c r="B361" i="9"/>
  <c r="J361" i="9" s="1"/>
  <c r="A361" i="9"/>
  <c r="G361" i="9" s="1"/>
  <c r="F360" i="9"/>
  <c r="E360" i="9"/>
  <c r="C360" i="9"/>
  <c r="B360" i="9"/>
  <c r="A360" i="9"/>
  <c r="G360" i="9" s="1"/>
  <c r="F359" i="9"/>
  <c r="E359" i="9"/>
  <c r="C359" i="9"/>
  <c r="B359" i="9"/>
  <c r="J359" i="9" s="1"/>
  <c r="A359" i="9"/>
  <c r="F358" i="9"/>
  <c r="E358" i="9"/>
  <c r="C358" i="9"/>
  <c r="B358" i="9"/>
  <c r="J358" i="9" s="1"/>
  <c r="A358" i="9"/>
  <c r="F357" i="9"/>
  <c r="E357" i="9"/>
  <c r="C357" i="9"/>
  <c r="B357" i="9"/>
  <c r="J357" i="9" s="1"/>
  <c r="A357" i="9"/>
  <c r="G357" i="9" s="1"/>
  <c r="F356" i="9"/>
  <c r="E356" i="9"/>
  <c r="C356" i="9"/>
  <c r="B356" i="9"/>
  <c r="J356" i="9" s="1"/>
  <c r="A356" i="9"/>
  <c r="F355" i="9"/>
  <c r="E355" i="9"/>
  <c r="C355" i="9"/>
  <c r="B355" i="9"/>
  <c r="A355" i="9"/>
  <c r="G355" i="9" s="1"/>
  <c r="F354" i="9"/>
  <c r="E354" i="9"/>
  <c r="C354" i="9"/>
  <c r="B354" i="9"/>
  <c r="A354" i="9"/>
  <c r="G354" i="9" s="1"/>
  <c r="F353" i="9"/>
  <c r="E353" i="9"/>
  <c r="C353" i="9"/>
  <c r="B353" i="9"/>
  <c r="J353" i="9" s="1"/>
  <c r="A353" i="9"/>
  <c r="F352" i="9"/>
  <c r="E352" i="9"/>
  <c r="C352" i="9"/>
  <c r="B352" i="9"/>
  <c r="J352" i="9" s="1"/>
  <c r="A352" i="9"/>
  <c r="G352" i="9" s="1"/>
  <c r="F351" i="9"/>
  <c r="E351" i="9"/>
  <c r="C351" i="9"/>
  <c r="B351" i="9"/>
  <c r="A351" i="9"/>
  <c r="G351" i="9" s="1"/>
  <c r="F350" i="9"/>
  <c r="E350" i="9"/>
  <c r="C350" i="9"/>
  <c r="B350" i="9"/>
  <c r="J350" i="9" s="1"/>
  <c r="A350" i="9"/>
  <c r="G350" i="9" s="1"/>
  <c r="F349" i="9"/>
  <c r="E349" i="9"/>
  <c r="C349" i="9"/>
  <c r="B349" i="9"/>
  <c r="J349" i="9" s="1"/>
  <c r="A349" i="9"/>
  <c r="F348" i="9"/>
  <c r="E348" i="9"/>
  <c r="C348" i="9"/>
  <c r="B348" i="9"/>
  <c r="J348" i="9" s="1"/>
  <c r="A348" i="9"/>
  <c r="F347" i="9"/>
  <c r="E347" i="9"/>
  <c r="C347" i="9"/>
  <c r="B347" i="9"/>
  <c r="J347" i="9" s="1"/>
  <c r="A347" i="9"/>
  <c r="F346" i="9"/>
  <c r="E346" i="9"/>
  <c r="C346" i="9"/>
  <c r="B346" i="9"/>
  <c r="J346" i="9" s="1"/>
  <c r="A346" i="9"/>
  <c r="G346" i="9" s="1"/>
  <c r="F345" i="9"/>
  <c r="E345" i="9"/>
  <c r="C345" i="9"/>
  <c r="B345" i="9"/>
  <c r="J345" i="9" s="1"/>
  <c r="A345" i="9"/>
  <c r="G345" i="9" s="1"/>
  <c r="F344" i="9"/>
  <c r="E344" i="9"/>
  <c r="C344" i="9"/>
  <c r="B344" i="9"/>
  <c r="A344" i="9"/>
  <c r="G344" i="9" s="1"/>
  <c r="F343" i="9"/>
  <c r="E343" i="9"/>
  <c r="C343" i="9"/>
  <c r="B343" i="9"/>
  <c r="J343" i="9" s="1"/>
  <c r="A343" i="9"/>
  <c r="G343" i="9" s="1"/>
  <c r="F342" i="9"/>
  <c r="E342" i="9"/>
  <c r="C342" i="9"/>
  <c r="B342" i="9"/>
  <c r="A342" i="9"/>
  <c r="G342" i="9" s="1"/>
  <c r="F341" i="9"/>
  <c r="E341" i="9"/>
  <c r="C341" i="9"/>
  <c r="B341" i="9"/>
  <c r="J341" i="9" s="1"/>
  <c r="A341" i="9"/>
  <c r="G341" i="9" s="1"/>
  <c r="F340" i="9"/>
  <c r="E340" i="9"/>
  <c r="C340" i="9"/>
  <c r="B340" i="9"/>
  <c r="J340" i="9" s="1"/>
  <c r="A340" i="9"/>
  <c r="F339" i="9"/>
  <c r="E339" i="9"/>
  <c r="C339" i="9"/>
  <c r="B339" i="9"/>
  <c r="J339" i="9" s="1"/>
  <c r="A339" i="9"/>
  <c r="G339" i="9" s="1"/>
  <c r="F338" i="9"/>
  <c r="E338" i="9"/>
  <c r="C338" i="9"/>
  <c r="B338" i="9"/>
  <c r="J338" i="9" s="1"/>
  <c r="A338" i="9"/>
  <c r="F337" i="9"/>
  <c r="E337" i="9"/>
  <c r="C337" i="9"/>
  <c r="B337" i="9"/>
  <c r="J337" i="9" s="1"/>
  <c r="A337" i="9"/>
  <c r="G337" i="9" s="1"/>
  <c r="F336" i="9"/>
  <c r="E336" i="9"/>
  <c r="C336" i="9"/>
  <c r="B336" i="9"/>
  <c r="J336" i="9" s="1"/>
  <c r="A336" i="9"/>
  <c r="G336" i="9" s="1"/>
  <c r="F335" i="9"/>
  <c r="E335" i="9"/>
  <c r="C335" i="9"/>
  <c r="B335" i="9"/>
  <c r="J335" i="9" s="1"/>
  <c r="A335" i="9"/>
  <c r="F334" i="9"/>
  <c r="E334" i="9"/>
  <c r="C334" i="9"/>
  <c r="B334" i="9"/>
  <c r="J334" i="9" s="1"/>
  <c r="A334" i="9"/>
  <c r="G334" i="9" s="1"/>
  <c r="F333" i="9"/>
  <c r="E333" i="9"/>
  <c r="C333" i="9"/>
  <c r="B333" i="9"/>
  <c r="J333" i="9" s="1"/>
  <c r="A333" i="9"/>
  <c r="F332" i="9"/>
  <c r="E332" i="9"/>
  <c r="C332" i="9"/>
  <c r="B332" i="9"/>
  <c r="J332" i="9" s="1"/>
  <c r="A332" i="9"/>
  <c r="G332" i="9" s="1"/>
  <c r="F331" i="9"/>
  <c r="E331" i="9"/>
  <c r="C331" i="9"/>
  <c r="B331" i="9"/>
  <c r="J331" i="9" s="1"/>
  <c r="A331" i="9"/>
  <c r="F330" i="9"/>
  <c r="E330" i="9"/>
  <c r="C330" i="9"/>
  <c r="B330" i="9"/>
  <c r="J330" i="9" s="1"/>
  <c r="A330" i="9"/>
  <c r="F329" i="9"/>
  <c r="E329" i="9"/>
  <c r="C329" i="9"/>
  <c r="B329" i="9"/>
  <c r="J329" i="9" s="1"/>
  <c r="A329" i="9"/>
  <c r="F328" i="9"/>
  <c r="E328" i="9"/>
  <c r="C328" i="9"/>
  <c r="B328" i="9"/>
  <c r="J328" i="9" s="1"/>
  <c r="A328" i="9"/>
  <c r="G328" i="9" s="1"/>
  <c r="F327" i="9"/>
  <c r="E327" i="9"/>
  <c r="C327" i="9"/>
  <c r="B327" i="9"/>
  <c r="J327" i="9" s="1"/>
  <c r="A327" i="9"/>
  <c r="G327" i="9" s="1"/>
  <c r="F326" i="9"/>
  <c r="E326" i="9"/>
  <c r="C326" i="9"/>
  <c r="B326" i="9"/>
  <c r="J326" i="9" s="1"/>
  <c r="A326" i="9"/>
  <c r="F325" i="9"/>
  <c r="E325" i="9"/>
  <c r="C325" i="9"/>
  <c r="B325" i="9"/>
  <c r="J325" i="9" s="1"/>
  <c r="A325" i="9"/>
  <c r="G325" i="9" s="1"/>
  <c r="F324" i="9"/>
  <c r="E324" i="9"/>
  <c r="C324" i="9"/>
  <c r="B324" i="9"/>
  <c r="J324" i="9" s="1"/>
  <c r="A324" i="9"/>
  <c r="F323" i="9"/>
  <c r="E323" i="9"/>
  <c r="C323" i="9"/>
  <c r="B323" i="9"/>
  <c r="J323" i="9" s="1"/>
  <c r="A323" i="9"/>
  <c r="F322" i="9"/>
  <c r="E322" i="9"/>
  <c r="C322" i="9"/>
  <c r="B322" i="9"/>
  <c r="J322" i="9" s="1"/>
  <c r="A322" i="9"/>
  <c r="F321" i="9"/>
  <c r="E321" i="9"/>
  <c r="C321" i="9"/>
  <c r="B321" i="9"/>
  <c r="J321" i="9" s="1"/>
  <c r="A321" i="9"/>
  <c r="F320" i="9"/>
  <c r="E320" i="9"/>
  <c r="C320" i="9"/>
  <c r="B320" i="9"/>
  <c r="J320" i="9" s="1"/>
  <c r="A320" i="9"/>
  <c r="F319" i="9"/>
  <c r="E319" i="9"/>
  <c r="C319" i="9"/>
  <c r="B319" i="9"/>
  <c r="J319" i="9" s="1"/>
  <c r="A319" i="9"/>
  <c r="G319" i="9" s="1"/>
  <c r="F318" i="9"/>
  <c r="E318" i="9"/>
  <c r="C318" i="9"/>
  <c r="B318" i="9"/>
  <c r="A318" i="9"/>
  <c r="G318" i="9" s="1"/>
  <c r="F317" i="9"/>
  <c r="E317" i="9"/>
  <c r="C317" i="9"/>
  <c r="B317" i="9"/>
  <c r="A317" i="9"/>
  <c r="G317" i="9" s="1"/>
  <c r="F316" i="9"/>
  <c r="E316" i="9"/>
  <c r="C316" i="9"/>
  <c r="B316" i="9"/>
  <c r="J316" i="9" s="1"/>
  <c r="A316" i="9"/>
  <c r="F315" i="9"/>
  <c r="E315" i="9"/>
  <c r="C315" i="9"/>
  <c r="B315" i="9"/>
  <c r="J315" i="9" s="1"/>
  <c r="A315" i="9"/>
  <c r="G315" i="9" s="1"/>
  <c r="F314" i="9"/>
  <c r="E314" i="9"/>
  <c r="C314" i="9"/>
  <c r="B314" i="9"/>
  <c r="J314" i="9" s="1"/>
  <c r="A314" i="9"/>
  <c r="F313" i="9"/>
  <c r="E313" i="9"/>
  <c r="C313" i="9"/>
  <c r="B313" i="9"/>
  <c r="A313" i="9"/>
  <c r="F312" i="9"/>
  <c r="E312" i="9"/>
  <c r="C312" i="9"/>
  <c r="B312" i="9"/>
  <c r="J312" i="9" s="1"/>
  <c r="A312" i="9"/>
  <c r="F311" i="9"/>
  <c r="E311" i="9"/>
  <c r="C311" i="9"/>
  <c r="B311" i="9"/>
  <c r="A311" i="9"/>
  <c r="G311" i="9" s="1"/>
  <c r="F310" i="9"/>
  <c r="E310" i="9"/>
  <c r="C310" i="9"/>
  <c r="B310" i="9"/>
  <c r="J310" i="9" s="1"/>
  <c r="A310" i="9"/>
  <c r="F309" i="9"/>
  <c r="E309" i="9"/>
  <c r="C309" i="9"/>
  <c r="B309" i="9"/>
  <c r="J309" i="9" s="1"/>
  <c r="A309" i="9"/>
  <c r="F308" i="9"/>
  <c r="E308" i="9"/>
  <c r="C308" i="9"/>
  <c r="B308" i="9"/>
  <c r="J308" i="9" s="1"/>
  <c r="A308" i="9"/>
  <c r="F307" i="9"/>
  <c r="E307" i="9"/>
  <c r="C307" i="9"/>
  <c r="B307" i="9"/>
  <c r="J307" i="9" s="1"/>
  <c r="A307" i="9"/>
  <c r="F306" i="9"/>
  <c r="E306" i="9"/>
  <c r="C306" i="9"/>
  <c r="B306" i="9"/>
  <c r="J306" i="9" s="1"/>
  <c r="A306" i="9"/>
  <c r="G306" i="9" s="1"/>
  <c r="F305" i="9"/>
  <c r="E305" i="9"/>
  <c r="C305" i="9"/>
  <c r="B305" i="9"/>
  <c r="J305" i="9" s="1"/>
  <c r="A305" i="9"/>
  <c r="G305" i="9" s="1"/>
  <c r="F304" i="9"/>
  <c r="E304" i="9"/>
  <c r="C304" i="9"/>
  <c r="B304" i="9"/>
  <c r="A304" i="9"/>
  <c r="G304" i="9" s="1"/>
  <c r="F303" i="9"/>
  <c r="E303" i="9"/>
  <c r="C303" i="9"/>
  <c r="B303" i="9"/>
  <c r="J303" i="9" s="1"/>
  <c r="A303" i="9"/>
  <c r="G303" i="9" s="1"/>
  <c r="F302" i="9"/>
  <c r="E302" i="9"/>
  <c r="C302" i="9"/>
  <c r="B302" i="9"/>
  <c r="J302" i="9" s="1"/>
  <c r="A302" i="9"/>
  <c r="G302" i="9" s="1"/>
  <c r="F301" i="9"/>
  <c r="E301" i="9"/>
  <c r="C301" i="9"/>
  <c r="B301" i="9"/>
  <c r="J301" i="9" s="1"/>
  <c r="A301" i="9"/>
  <c r="G301" i="9" s="1"/>
  <c r="F300" i="9"/>
  <c r="E300" i="9"/>
  <c r="C300" i="9"/>
  <c r="B300" i="9"/>
  <c r="J300" i="9" s="1"/>
  <c r="A300" i="9"/>
  <c r="F299" i="9"/>
  <c r="E299" i="9"/>
  <c r="C299" i="9"/>
  <c r="B299" i="9"/>
  <c r="J299" i="9" s="1"/>
  <c r="A299" i="9"/>
  <c r="F298" i="9"/>
  <c r="E298" i="9"/>
  <c r="C298" i="9"/>
  <c r="B298" i="9"/>
  <c r="J298" i="9" s="1"/>
  <c r="A298" i="9"/>
  <c r="F297" i="9"/>
  <c r="E297" i="9"/>
  <c r="C297" i="9"/>
  <c r="B297" i="9"/>
  <c r="A297" i="9"/>
  <c r="G297" i="9" s="1"/>
  <c r="F296" i="9"/>
  <c r="E296" i="9"/>
  <c r="C296" i="9"/>
  <c r="B296" i="9"/>
  <c r="J296" i="9" s="1"/>
  <c r="A296" i="9"/>
  <c r="F295" i="9"/>
  <c r="E295" i="9"/>
  <c r="C295" i="9"/>
  <c r="B295" i="9"/>
  <c r="J295" i="9" s="1"/>
  <c r="A295" i="9"/>
  <c r="F294" i="9"/>
  <c r="E294" i="9"/>
  <c r="C294" i="9"/>
  <c r="B294" i="9"/>
  <c r="J294" i="9" s="1"/>
  <c r="A294" i="9"/>
  <c r="F293" i="9"/>
  <c r="E293" i="9"/>
  <c r="C293" i="9"/>
  <c r="B293" i="9"/>
  <c r="J293" i="9" s="1"/>
  <c r="A293" i="9"/>
  <c r="G293" i="9" s="1"/>
  <c r="F292" i="9"/>
  <c r="E292" i="9"/>
  <c r="C292" i="9"/>
  <c r="B292" i="9"/>
  <c r="A292" i="9"/>
  <c r="G292" i="9" s="1"/>
  <c r="F291" i="9"/>
  <c r="E291" i="9"/>
  <c r="C291" i="9"/>
  <c r="B291" i="9"/>
  <c r="A291" i="9"/>
  <c r="G291" i="9" s="1"/>
  <c r="F290" i="9"/>
  <c r="E290" i="9"/>
  <c r="C290" i="9"/>
  <c r="B290" i="9"/>
  <c r="A290" i="9"/>
  <c r="G290" i="9" s="1"/>
  <c r="F289" i="9"/>
  <c r="E289" i="9"/>
  <c r="C289" i="9"/>
  <c r="B289" i="9"/>
  <c r="A289" i="9"/>
  <c r="F288" i="9"/>
  <c r="E288" i="9"/>
  <c r="C288" i="9"/>
  <c r="B288" i="9"/>
  <c r="J288" i="9" s="1"/>
  <c r="A288" i="9"/>
  <c r="G288" i="9" s="1"/>
  <c r="F287" i="9"/>
  <c r="E287" i="9"/>
  <c r="C287" i="9"/>
  <c r="B287" i="9"/>
  <c r="J287" i="9" s="1"/>
  <c r="A287" i="9"/>
  <c r="G287" i="9" s="1"/>
  <c r="F286" i="9"/>
  <c r="E286" i="9"/>
  <c r="C286" i="9"/>
  <c r="B286" i="9"/>
  <c r="J286" i="9" s="1"/>
  <c r="A286" i="9"/>
  <c r="G286" i="9" s="1"/>
  <c r="F285" i="9"/>
  <c r="E285" i="9"/>
  <c r="C285" i="9"/>
  <c r="B285" i="9"/>
  <c r="J285" i="9" s="1"/>
  <c r="A285" i="9"/>
  <c r="F284" i="9"/>
  <c r="E284" i="9"/>
  <c r="C284" i="9"/>
  <c r="B284" i="9"/>
  <c r="J284" i="9" s="1"/>
  <c r="A284" i="9"/>
  <c r="F283" i="9"/>
  <c r="E283" i="9"/>
  <c r="C283" i="9"/>
  <c r="B283" i="9"/>
  <c r="A283" i="9"/>
  <c r="G283" i="9" s="1"/>
  <c r="F282" i="9"/>
  <c r="E282" i="9"/>
  <c r="C282" i="9"/>
  <c r="B282" i="9"/>
  <c r="J282" i="9" s="1"/>
  <c r="A282" i="9"/>
  <c r="F281" i="9"/>
  <c r="E281" i="9"/>
  <c r="C281" i="9"/>
  <c r="B281" i="9"/>
  <c r="J281" i="9" s="1"/>
  <c r="A281" i="9"/>
  <c r="G281" i="9" s="1"/>
  <c r="F280" i="9"/>
  <c r="E280" i="9"/>
  <c r="C280" i="9"/>
  <c r="B280" i="9"/>
  <c r="J280" i="9" s="1"/>
  <c r="A280" i="9"/>
  <c r="F279" i="9"/>
  <c r="E279" i="9"/>
  <c r="C279" i="9"/>
  <c r="B279" i="9"/>
  <c r="J279" i="9" s="1"/>
  <c r="A279" i="9"/>
  <c r="G279" i="9" s="1"/>
  <c r="F278" i="9"/>
  <c r="E278" i="9"/>
  <c r="C278" i="9"/>
  <c r="B278" i="9"/>
  <c r="J278" i="9" s="1"/>
  <c r="A278" i="9"/>
  <c r="G278" i="9" s="1"/>
  <c r="F277" i="9"/>
  <c r="E277" i="9"/>
  <c r="C277" i="9"/>
  <c r="B277" i="9"/>
  <c r="J277" i="9" s="1"/>
  <c r="A277" i="9"/>
  <c r="F276" i="9"/>
  <c r="E276" i="9"/>
  <c r="C276" i="9"/>
  <c r="B276" i="9"/>
  <c r="J276" i="9" s="1"/>
  <c r="A276" i="9"/>
  <c r="G276" i="9" s="1"/>
  <c r="F275" i="9"/>
  <c r="E275" i="9"/>
  <c r="C275" i="9"/>
  <c r="B275" i="9"/>
  <c r="J275" i="9" s="1"/>
  <c r="A275" i="9"/>
  <c r="G275" i="9" s="1"/>
  <c r="F274" i="9"/>
  <c r="E274" i="9"/>
  <c r="C274" i="9"/>
  <c r="B274" i="9"/>
  <c r="J274" i="9" s="1"/>
  <c r="A274" i="9"/>
  <c r="F273" i="9"/>
  <c r="E273" i="9"/>
  <c r="C273" i="9"/>
  <c r="B273" i="9"/>
  <c r="J273" i="9" s="1"/>
  <c r="A273" i="9"/>
  <c r="G273" i="9" s="1"/>
  <c r="F272" i="9"/>
  <c r="E272" i="9"/>
  <c r="C272" i="9"/>
  <c r="B272" i="9"/>
  <c r="J272" i="9" s="1"/>
  <c r="A272" i="9"/>
  <c r="F271" i="9"/>
  <c r="E271" i="9"/>
  <c r="C271" i="9"/>
  <c r="B271" i="9"/>
  <c r="J271" i="9" s="1"/>
  <c r="A271" i="9"/>
  <c r="F270" i="9"/>
  <c r="E270" i="9"/>
  <c r="C270" i="9"/>
  <c r="B270" i="9"/>
  <c r="J270" i="9" s="1"/>
  <c r="A270" i="9"/>
  <c r="F269" i="9"/>
  <c r="E269" i="9"/>
  <c r="C269" i="9"/>
  <c r="B269" i="9"/>
  <c r="A269" i="9"/>
  <c r="G269" i="9" s="1"/>
  <c r="F268" i="9"/>
  <c r="E268" i="9"/>
  <c r="C268" i="9"/>
  <c r="B268" i="9"/>
  <c r="J268" i="9" s="1"/>
  <c r="A268" i="9"/>
  <c r="G268" i="9" s="1"/>
  <c r="F267" i="9"/>
  <c r="E267" i="9"/>
  <c r="C267" i="9"/>
  <c r="B267" i="9"/>
  <c r="J267" i="9" s="1"/>
  <c r="A267" i="9"/>
  <c r="F266" i="9"/>
  <c r="E266" i="9"/>
  <c r="C266" i="9"/>
  <c r="B266" i="9"/>
  <c r="J266" i="9" s="1"/>
  <c r="A266" i="9"/>
  <c r="G266" i="9" s="1"/>
  <c r="F265" i="9"/>
  <c r="E265" i="9"/>
  <c r="C265" i="9"/>
  <c r="B265" i="9"/>
  <c r="J265" i="9" s="1"/>
  <c r="A265" i="9"/>
  <c r="F264" i="9"/>
  <c r="E264" i="9"/>
  <c r="C264" i="9"/>
  <c r="B264" i="9"/>
  <c r="J264" i="9" s="1"/>
  <c r="A264" i="9"/>
  <c r="F263" i="9"/>
  <c r="E263" i="9"/>
  <c r="C263" i="9"/>
  <c r="B263" i="9"/>
  <c r="J263" i="9" s="1"/>
  <c r="A263" i="9"/>
  <c r="F262" i="9"/>
  <c r="E262" i="9"/>
  <c r="C262" i="9"/>
  <c r="B262" i="9"/>
  <c r="J262" i="9" s="1"/>
  <c r="A262" i="9"/>
  <c r="G262" i="9" s="1"/>
  <c r="F261" i="9"/>
  <c r="E261" i="9"/>
  <c r="C261" i="9"/>
  <c r="B261" i="9"/>
  <c r="J261" i="9" s="1"/>
  <c r="A261" i="9"/>
  <c r="G261" i="9" s="1"/>
  <c r="F260" i="9"/>
  <c r="E260" i="9"/>
  <c r="C260" i="9"/>
  <c r="B260" i="9"/>
  <c r="J260" i="9" s="1"/>
  <c r="A260" i="9"/>
  <c r="F259" i="9"/>
  <c r="E259" i="9"/>
  <c r="C259" i="9"/>
  <c r="B259" i="9"/>
  <c r="J259" i="9" s="1"/>
  <c r="A259" i="9"/>
  <c r="G259" i="9" s="1"/>
  <c r="F258" i="9"/>
  <c r="E258" i="9"/>
  <c r="C258" i="9"/>
  <c r="B258" i="9"/>
  <c r="J258" i="9" s="1"/>
  <c r="A258" i="9"/>
  <c r="F257" i="9"/>
  <c r="E257" i="9"/>
  <c r="C257" i="9"/>
  <c r="B257" i="9"/>
  <c r="J257" i="9" s="1"/>
  <c r="A257" i="9"/>
  <c r="G257" i="9" s="1"/>
  <c r="F256" i="9"/>
  <c r="E256" i="9"/>
  <c r="C256" i="9"/>
  <c r="B256" i="9"/>
  <c r="J256" i="9" s="1"/>
  <c r="A256" i="9"/>
  <c r="F255" i="9"/>
  <c r="E255" i="9"/>
  <c r="C255" i="9"/>
  <c r="B255" i="9"/>
  <c r="J255" i="9" s="1"/>
  <c r="A255" i="9"/>
  <c r="F254" i="9"/>
  <c r="E254" i="9"/>
  <c r="C254" i="9"/>
  <c r="B254" i="9"/>
  <c r="J254" i="9" s="1"/>
  <c r="A254" i="9"/>
  <c r="F253" i="9"/>
  <c r="E253" i="9"/>
  <c r="C253" i="9"/>
  <c r="B253" i="9"/>
  <c r="J253" i="9" s="1"/>
  <c r="A253" i="9"/>
  <c r="F252" i="9"/>
  <c r="E252" i="9"/>
  <c r="C252" i="9"/>
  <c r="B252" i="9"/>
  <c r="J252" i="9" s="1"/>
  <c r="A252" i="9"/>
  <c r="F251" i="9"/>
  <c r="E251" i="9"/>
  <c r="C251" i="9"/>
  <c r="B251" i="9"/>
  <c r="J251" i="9" s="1"/>
  <c r="A251" i="9"/>
  <c r="G251" i="9" s="1"/>
  <c r="F250" i="9"/>
  <c r="E250" i="9"/>
  <c r="C250" i="9"/>
  <c r="B250" i="9"/>
  <c r="J250" i="9" s="1"/>
  <c r="A250" i="9"/>
  <c r="G250" i="9" s="1"/>
  <c r="F249" i="9"/>
  <c r="E249" i="9"/>
  <c r="C249" i="9"/>
  <c r="B249" i="9"/>
  <c r="J249" i="9" s="1"/>
  <c r="A249" i="9"/>
  <c r="G249" i="9" s="1"/>
  <c r="F248" i="9"/>
  <c r="E248" i="9"/>
  <c r="C248" i="9"/>
  <c r="B248" i="9"/>
  <c r="A248" i="9"/>
  <c r="G248" i="9" s="1"/>
  <c r="F247" i="9"/>
  <c r="E247" i="9"/>
  <c r="C247" i="9"/>
  <c r="B247" i="9"/>
  <c r="J247" i="9" s="1"/>
  <c r="A247" i="9"/>
  <c r="F246" i="9"/>
  <c r="E246" i="9"/>
  <c r="C246" i="9"/>
  <c r="B246" i="9"/>
  <c r="J246" i="9" s="1"/>
  <c r="A246" i="9"/>
  <c r="F245" i="9"/>
  <c r="E245" i="9"/>
  <c r="C245" i="9"/>
  <c r="B245" i="9"/>
  <c r="J245" i="9" s="1"/>
  <c r="A245" i="9"/>
  <c r="F244" i="9"/>
  <c r="E244" i="9"/>
  <c r="C244" i="9"/>
  <c r="B244" i="9"/>
  <c r="J244" i="9" s="1"/>
  <c r="A244" i="9"/>
  <c r="G244" i="9" s="1"/>
  <c r="F243" i="9"/>
  <c r="E243" i="9"/>
  <c r="C243" i="9"/>
  <c r="B243" i="9"/>
  <c r="J243" i="9" s="1"/>
  <c r="A243" i="9"/>
  <c r="F242" i="9"/>
  <c r="E242" i="9"/>
  <c r="C242" i="9"/>
  <c r="B242" i="9"/>
  <c r="J242" i="9" s="1"/>
  <c r="A242" i="9"/>
  <c r="F241" i="9"/>
  <c r="E241" i="9"/>
  <c r="C241" i="9"/>
  <c r="B241" i="9"/>
  <c r="J241" i="9" s="1"/>
  <c r="A241" i="9"/>
  <c r="G241" i="9" s="1"/>
  <c r="F240" i="9"/>
  <c r="E240" i="9"/>
  <c r="C240" i="9"/>
  <c r="B240" i="9"/>
  <c r="J240" i="9" s="1"/>
  <c r="A240" i="9"/>
  <c r="G240" i="9" s="1"/>
  <c r="F239" i="9"/>
  <c r="E239" i="9"/>
  <c r="C239" i="9"/>
  <c r="B239" i="9"/>
  <c r="J239" i="9" s="1"/>
  <c r="A239" i="9"/>
  <c r="F238" i="9"/>
  <c r="E238" i="9"/>
  <c r="C238" i="9"/>
  <c r="B238" i="9"/>
  <c r="J238" i="9" s="1"/>
  <c r="A238" i="9"/>
  <c r="G238" i="9" s="1"/>
  <c r="F237" i="9"/>
  <c r="E237" i="9"/>
  <c r="C237" i="9"/>
  <c r="B237" i="9"/>
  <c r="J237" i="9" s="1"/>
  <c r="A237" i="9"/>
  <c r="F236" i="9"/>
  <c r="E236" i="9"/>
  <c r="C236" i="9"/>
  <c r="B236" i="9"/>
  <c r="J236" i="9" s="1"/>
  <c r="A236" i="9"/>
  <c r="G236" i="9" s="1"/>
  <c r="F235" i="9"/>
  <c r="E235" i="9"/>
  <c r="C235" i="9"/>
  <c r="B235" i="9"/>
  <c r="J235" i="9" s="1"/>
  <c r="A235" i="9"/>
  <c r="F234" i="9"/>
  <c r="E234" i="9"/>
  <c r="C234" i="9"/>
  <c r="B234" i="9"/>
  <c r="J234" i="9" s="1"/>
  <c r="A234" i="9"/>
  <c r="F233" i="9"/>
  <c r="E233" i="9"/>
  <c r="C233" i="9"/>
  <c r="B233" i="9"/>
  <c r="A233" i="9"/>
  <c r="G233" i="9" s="1"/>
  <c r="F232" i="9"/>
  <c r="E232" i="9"/>
  <c r="C232" i="9"/>
  <c r="B232" i="9"/>
  <c r="J232" i="9" s="1"/>
  <c r="A232" i="9"/>
  <c r="G232" i="9" s="1"/>
  <c r="F231" i="9"/>
  <c r="E231" i="9"/>
  <c r="C231" i="9"/>
  <c r="B231" i="9"/>
  <c r="J231" i="9" s="1"/>
  <c r="A231" i="9"/>
  <c r="F230" i="9"/>
  <c r="E230" i="9"/>
  <c r="C230" i="9"/>
  <c r="B230" i="9"/>
  <c r="J230" i="9" s="1"/>
  <c r="A230" i="9"/>
  <c r="F229" i="9"/>
  <c r="E229" i="9"/>
  <c r="C229" i="9"/>
  <c r="B229" i="9"/>
  <c r="J229" i="9" s="1"/>
  <c r="A229" i="9"/>
  <c r="F228" i="9"/>
  <c r="E228" i="9"/>
  <c r="C228" i="9"/>
  <c r="B228" i="9"/>
  <c r="J228" i="9" s="1"/>
  <c r="A228" i="9"/>
  <c r="G228" i="9" s="1"/>
  <c r="F227" i="9"/>
  <c r="E227" i="9"/>
  <c r="C227" i="9"/>
  <c r="B227" i="9"/>
  <c r="J227" i="9" s="1"/>
  <c r="A227" i="9"/>
  <c r="F226" i="9"/>
  <c r="E226" i="9"/>
  <c r="C226" i="9"/>
  <c r="B226" i="9"/>
  <c r="J226" i="9" s="1"/>
  <c r="A226" i="9"/>
  <c r="F225" i="9"/>
  <c r="E225" i="9"/>
  <c r="C225" i="9"/>
  <c r="B225" i="9"/>
  <c r="J225" i="9" s="1"/>
  <c r="A225" i="9"/>
  <c r="F224" i="9"/>
  <c r="E224" i="9"/>
  <c r="C224" i="9"/>
  <c r="B224" i="9"/>
  <c r="J224" i="9" s="1"/>
  <c r="A224" i="9"/>
  <c r="F223" i="9"/>
  <c r="E223" i="9"/>
  <c r="C223" i="9"/>
  <c r="B223" i="9"/>
  <c r="J223" i="9" s="1"/>
  <c r="A223" i="9"/>
  <c r="G223" i="9" s="1"/>
  <c r="F222" i="9"/>
  <c r="E222" i="9"/>
  <c r="C222" i="9"/>
  <c r="B222" i="9"/>
  <c r="J222" i="9" s="1"/>
  <c r="A222" i="9"/>
  <c r="G222" i="9" s="1"/>
  <c r="F221" i="9"/>
  <c r="E221" i="9"/>
  <c r="C221" i="9"/>
  <c r="B221" i="9"/>
  <c r="J221" i="9" s="1"/>
  <c r="A221" i="9"/>
  <c r="F220" i="9"/>
  <c r="E220" i="9"/>
  <c r="C220" i="9"/>
  <c r="B220" i="9"/>
  <c r="J220" i="9" s="1"/>
  <c r="A220" i="9"/>
  <c r="F219" i="9"/>
  <c r="E219" i="9"/>
  <c r="C219" i="9"/>
  <c r="B219" i="9"/>
  <c r="J219" i="9" s="1"/>
  <c r="A219" i="9"/>
  <c r="F218" i="9"/>
  <c r="E218" i="9"/>
  <c r="C218" i="9"/>
  <c r="B218" i="9"/>
  <c r="J218" i="9" s="1"/>
  <c r="A218" i="9"/>
  <c r="F217" i="9"/>
  <c r="E217" i="9"/>
  <c r="C217" i="9"/>
  <c r="B217" i="9"/>
  <c r="J217" i="9" s="1"/>
  <c r="A217" i="9"/>
  <c r="F216" i="9"/>
  <c r="E216" i="9"/>
  <c r="C216" i="9"/>
  <c r="B216" i="9"/>
  <c r="J216" i="9" s="1"/>
  <c r="A216" i="9"/>
  <c r="F215" i="9"/>
  <c r="E215" i="9"/>
  <c r="C215" i="9"/>
  <c r="B215" i="9"/>
  <c r="J215" i="9" s="1"/>
  <c r="A215" i="9"/>
  <c r="I215" i="9" s="1"/>
  <c r="F214" i="9"/>
  <c r="E214" i="9"/>
  <c r="C214" i="9"/>
  <c r="B214" i="9"/>
  <c r="J214" i="9" s="1"/>
  <c r="A214" i="9"/>
  <c r="F213" i="9"/>
  <c r="E213" i="9"/>
  <c r="C213" i="9"/>
  <c r="B213" i="9"/>
  <c r="A213" i="9"/>
  <c r="G213" i="9" s="1"/>
  <c r="F212" i="9"/>
  <c r="E212" i="9"/>
  <c r="C212" i="9"/>
  <c r="B212" i="9"/>
  <c r="J212" i="9" s="1"/>
  <c r="A212" i="9"/>
  <c r="F211" i="9"/>
  <c r="E211" i="9"/>
  <c r="C211" i="9"/>
  <c r="B211" i="9"/>
  <c r="A211" i="9"/>
  <c r="F210" i="9"/>
  <c r="E210" i="9"/>
  <c r="C210" i="9"/>
  <c r="B210" i="9"/>
  <c r="J210" i="9" s="1"/>
  <c r="A210" i="9"/>
  <c r="G210" i="9" s="1"/>
  <c r="F209" i="9"/>
  <c r="E209" i="9"/>
  <c r="C209" i="9"/>
  <c r="B209" i="9"/>
  <c r="J209" i="9" s="1"/>
  <c r="A209" i="9"/>
  <c r="F208" i="9"/>
  <c r="E208" i="9"/>
  <c r="C208" i="9"/>
  <c r="B208" i="9"/>
  <c r="J208" i="9" s="1"/>
  <c r="A208" i="9"/>
  <c r="F207" i="9"/>
  <c r="E207" i="9"/>
  <c r="C207" i="9"/>
  <c r="B207" i="9"/>
  <c r="J207" i="9" s="1"/>
  <c r="A207" i="9"/>
  <c r="G207" i="9" s="1"/>
  <c r="F206" i="9"/>
  <c r="E206" i="9"/>
  <c r="C206" i="9"/>
  <c r="B206" i="9"/>
  <c r="A206" i="9"/>
  <c r="G206" i="9" s="1"/>
  <c r="F205" i="9"/>
  <c r="E205" i="9"/>
  <c r="C205" i="9"/>
  <c r="B205" i="9"/>
  <c r="J205" i="9" s="1"/>
  <c r="A205" i="9"/>
  <c r="F204" i="9"/>
  <c r="E204" i="9"/>
  <c r="C204" i="9"/>
  <c r="B204" i="9"/>
  <c r="J204" i="9" s="1"/>
  <c r="A204" i="9"/>
  <c r="F203" i="9"/>
  <c r="E203" i="9"/>
  <c r="C203" i="9"/>
  <c r="B203" i="9"/>
  <c r="J203" i="9" s="1"/>
  <c r="A203" i="9"/>
  <c r="F202" i="9"/>
  <c r="E202" i="9"/>
  <c r="C202" i="9"/>
  <c r="B202" i="9"/>
  <c r="J202" i="9" s="1"/>
  <c r="A202" i="9"/>
  <c r="G202" i="9" s="1"/>
  <c r="F201" i="9"/>
  <c r="E201" i="9"/>
  <c r="C201" i="9"/>
  <c r="B201" i="9"/>
  <c r="J201" i="9" s="1"/>
  <c r="A201" i="9"/>
  <c r="F200" i="9"/>
  <c r="E200" i="9"/>
  <c r="C200" i="9"/>
  <c r="B200" i="9"/>
  <c r="J200" i="9" s="1"/>
  <c r="A200" i="9"/>
  <c r="G200" i="9" s="1"/>
  <c r="F199" i="9"/>
  <c r="E199" i="9"/>
  <c r="C199" i="9"/>
  <c r="B199" i="9"/>
  <c r="J199" i="9" s="1"/>
  <c r="A199" i="9"/>
  <c r="F198" i="9"/>
  <c r="E198" i="9"/>
  <c r="C198" i="9"/>
  <c r="B198" i="9"/>
  <c r="A198" i="9"/>
  <c r="F197" i="9"/>
  <c r="E197" i="9"/>
  <c r="C197" i="9"/>
  <c r="B197" i="9"/>
  <c r="J197" i="9" s="1"/>
  <c r="A197" i="9"/>
  <c r="F196" i="9"/>
  <c r="E196" i="9"/>
  <c r="C196" i="9"/>
  <c r="B196" i="9"/>
  <c r="J196" i="9" s="1"/>
  <c r="A196" i="9"/>
  <c r="F195" i="9"/>
  <c r="E195" i="9"/>
  <c r="C195" i="9"/>
  <c r="B195" i="9"/>
  <c r="J195" i="9" s="1"/>
  <c r="A195" i="9"/>
  <c r="F194" i="9"/>
  <c r="E194" i="9"/>
  <c r="C194" i="9"/>
  <c r="B194" i="9"/>
  <c r="J194" i="9" s="1"/>
  <c r="A194" i="9"/>
  <c r="G194" i="9" s="1"/>
  <c r="F193" i="9"/>
  <c r="E193" i="9"/>
  <c r="C193" i="9"/>
  <c r="B193" i="9"/>
  <c r="J193" i="9" s="1"/>
  <c r="A193" i="9"/>
  <c r="F192" i="9"/>
  <c r="E192" i="9"/>
  <c r="C192" i="9"/>
  <c r="B192" i="9"/>
  <c r="A192" i="9"/>
  <c r="G192" i="9" s="1"/>
  <c r="F191" i="9"/>
  <c r="E191" i="9"/>
  <c r="C191" i="9"/>
  <c r="B191" i="9"/>
  <c r="J191" i="9" s="1"/>
  <c r="A191" i="9"/>
  <c r="F190" i="9"/>
  <c r="E190" i="9"/>
  <c r="C190" i="9"/>
  <c r="B190" i="9"/>
  <c r="A190" i="9"/>
  <c r="G190" i="9" s="1"/>
  <c r="F189" i="9"/>
  <c r="E189" i="9"/>
  <c r="C189" i="9"/>
  <c r="B189" i="9"/>
  <c r="J189" i="9" s="1"/>
  <c r="A189" i="9"/>
  <c r="F188" i="9"/>
  <c r="E188" i="9"/>
  <c r="C188" i="9"/>
  <c r="B188" i="9"/>
  <c r="J188" i="9" s="1"/>
  <c r="A188" i="9"/>
  <c r="F187" i="9"/>
  <c r="E187" i="9"/>
  <c r="C187" i="9"/>
  <c r="B187" i="9"/>
  <c r="A187" i="9"/>
  <c r="G187" i="9" s="1"/>
  <c r="F186" i="9"/>
  <c r="E186" i="9"/>
  <c r="C186" i="9"/>
  <c r="B186" i="9"/>
  <c r="J186" i="9" s="1"/>
  <c r="A186" i="9"/>
  <c r="F185" i="9"/>
  <c r="E185" i="9"/>
  <c r="C185" i="9"/>
  <c r="B185" i="9"/>
  <c r="J185" i="9" s="1"/>
  <c r="A185" i="9"/>
  <c r="G185" i="9" s="1"/>
  <c r="F184" i="9"/>
  <c r="E184" i="9"/>
  <c r="C184" i="9"/>
  <c r="B184" i="9"/>
  <c r="J184" i="9" s="1"/>
  <c r="A184" i="9"/>
  <c r="F183" i="9"/>
  <c r="E183" i="9"/>
  <c r="C183" i="9"/>
  <c r="B183" i="9"/>
  <c r="J183" i="9" s="1"/>
  <c r="A183" i="9"/>
  <c r="F182" i="9"/>
  <c r="E182" i="9"/>
  <c r="C182" i="9"/>
  <c r="B182" i="9"/>
  <c r="J182" i="9" s="1"/>
  <c r="A182" i="9"/>
  <c r="F181" i="9"/>
  <c r="E181" i="9"/>
  <c r="C181" i="9"/>
  <c r="B181" i="9"/>
  <c r="J181" i="9" s="1"/>
  <c r="A181" i="9"/>
  <c r="F180" i="9"/>
  <c r="E180" i="9"/>
  <c r="C180" i="9"/>
  <c r="B180" i="9"/>
  <c r="J180" i="9" s="1"/>
  <c r="A180" i="9"/>
  <c r="G180" i="9" s="1"/>
  <c r="F179" i="9"/>
  <c r="E179" i="9"/>
  <c r="C179" i="9"/>
  <c r="B179" i="9"/>
  <c r="J179" i="9" s="1"/>
  <c r="A179" i="9"/>
  <c r="F178" i="9"/>
  <c r="E178" i="9"/>
  <c r="C178" i="9"/>
  <c r="B178" i="9"/>
  <c r="J178" i="9" s="1"/>
  <c r="A178" i="9"/>
  <c r="G178" i="9" s="1"/>
  <c r="F177" i="9"/>
  <c r="E177" i="9"/>
  <c r="C177" i="9"/>
  <c r="B177" i="9"/>
  <c r="J177" i="9" s="1"/>
  <c r="A177" i="9"/>
  <c r="G177" i="9" s="1"/>
  <c r="F176" i="9"/>
  <c r="E176" i="9"/>
  <c r="C176" i="9"/>
  <c r="B176" i="9"/>
  <c r="A176" i="9"/>
  <c r="F175" i="9"/>
  <c r="E175" i="9"/>
  <c r="C175" i="9"/>
  <c r="B175" i="9"/>
  <c r="J175" i="9" s="1"/>
  <c r="A175" i="9"/>
  <c r="F174" i="9"/>
  <c r="E174" i="9"/>
  <c r="C174" i="9"/>
  <c r="B174" i="9"/>
  <c r="J174" i="9" s="1"/>
  <c r="A174" i="9"/>
  <c r="F173" i="9"/>
  <c r="E173" i="9"/>
  <c r="C173" i="9"/>
  <c r="B173" i="9"/>
  <c r="J173" i="9" s="1"/>
  <c r="A173" i="9"/>
  <c r="G173" i="9" s="1"/>
  <c r="F172" i="9"/>
  <c r="E172" i="9"/>
  <c r="C172" i="9"/>
  <c r="B172" i="9"/>
  <c r="J172" i="9" s="1"/>
  <c r="A172" i="9"/>
  <c r="G172" i="9" s="1"/>
  <c r="F171" i="9"/>
  <c r="E171" i="9"/>
  <c r="C171" i="9"/>
  <c r="B171" i="9"/>
  <c r="J171" i="9" s="1"/>
  <c r="A171" i="9"/>
  <c r="F170" i="9"/>
  <c r="E170" i="9"/>
  <c r="C170" i="9"/>
  <c r="B170" i="9"/>
  <c r="J170" i="9" s="1"/>
  <c r="A170" i="9"/>
  <c r="G170" i="9" s="1"/>
  <c r="F169" i="9"/>
  <c r="E169" i="9"/>
  <c r="C169" i="9"/>
  <c r="B169" i="9"/>
  <c r="J169" i="9" s="1"/>
  <c r="A169" i="9"/>
  <c r="G169" i="9" s="1"/>
  <c r="F168" i="9"/>
  <c r="E168" i="9"/>
  <c r="C168" i="9"/>
  <c r="B168" i="9"/>
  <c r="J168" i="9" s="1"/>
  <c r="A168" i="9"/>
  <c r="G168" i="9" s="1"/>
  <c r="F167" i="9"/>
  <c r="E167" i="9"/>
  <c r="C167" i="9"/>
  <c r="B167" i="9"/>
  <c r="J167" i="9" s="1"/>
  <c r="A167" i="9"/>
  <c r="F166" i="9"/>
  <c r="E166" i="9"/>
  <c r="C166" i="9"/>
  <c r="B166" i="9"/>
  <c r="J166" i="9" s="1"/>
  <c r="A166" i="9"/>
  <c r="F165" i="9"/>
  <c r="E165" i="9"/>
  <c r="C165" i="9"/>
  <c r="B165" i="9"/>
  <c r="J165" i="9" s="1"/>
  <c r="A165" i="9"/>
  <c r="G165" i="9" s="1"/>
  <c r="F164" i="9"/>
  <c r="E164" i="9"/>
  <c r="C164" i="9"/>
  <c r="B164" i="9"/>
  <c r="J164" i="9" s="1"/>
  <c r="A164" i="9"/>
  <c r="F163" i="9"/>
  <c r="E163" i="9"/>
  <c r="C163" i="9"/>
  <c r="B163" i="9"/>
  <c r="J163" i="9" s="1"/>
  <c r="A163" i="9"/>
  <c r="F162" i="9"/>
  <c r="E162" i="9"/>
  <c r="C162" i="9"/>
  <c r="B162" i="9"/>
  <c r="J162" i="9" s="1"/>
  <c r="A162" i="9"/>
  <c r="G162" i="9" s="1"/>
  <c r="F161" i="9"/>
  <c r="E161" i="9"/>
  <c r="C161" i="9"/>
  <c r="B161" i="9"/>
  <c r="J161" i="9" s="1"/>
  <c r="A161" i="9"/>
  <c r="F160" i="9"/>
  <c r="E160" i="9"/>
  <c r="C160" i="9"/>
  <c r="B160" i="9"/>
  <c r="J160" i="9" s="1"/>
  <c r="A160" i="9"/>
  <c r="G160" i="9" s="1"/>
  <c r="F159" i="9"/>
  <c r="E159" i="9"/>
  <c r="C159" i="9"/>
  <c r="B159" i="9"/>
  <c r="A159" i="9"/>
  <c r="G159" i="9" s="1"/>
  <c r="F158" i="9"/>
  <c r="E158" i="9"/>
  <c r="C158" i="9"/>
  <c r="B158" i="9"/>
  <c r="J158" i="9" s="1"/>
  <c r="A158" i="9"/>
  <c r="F157" i="9"/>
  <c r="E157" i="9"/>
  <c r="C157" i="9"/>
  <c r="B157" i="9"/>
  <c r="J157" i="9" s="1"/>
  <c r="A157" i="9"/>
  <c r="G157" i="9" s="1"/>
  <c r="F156" i="9"/>
  <c r="E156" i="9"/>
  <c r="C156" i="9"/>
  <c r="B156" i="9"/>
  <c r="J156" i="9" s="1"/>
  <c r="A156" i="9"/>
  <c r="G156" i="9" s="1"/>
  <c r="F155" i="9"/>
  <c r="E155" i="9"/>
  <c r="C155" i="9"/>
  <c r="B155" i="9"/>
  <c r="J155" i="9" s="1"/>
  <c r="A155" i="9"/>
  <c r="F154" i="9"/>
  <c r="E154" i="9"/>
  <c r="C154" i="9"/>
  <c r="B154" i="9"/>
  <c r="J154" i="9" s="1"/>
  <c r="A154" i="9"/>
  <c r="F153" i="9"/>
  <c r="E153" i="9"/>
  <c r="C153" i="9"/>
  <c r="B153" i="9"/>
  <c r="J153" i="9" s="1"/>
  <c r="A153" i="9"/>
  <c r="F152" i="9"/>
  <c r="E152" i="9"/>
  <c r="C152" i="9"/>
  <c r="B152" i="9"/>
  <c r="J152" i="9" s="1"/>
  <c r="A152" i="9"/>
  <c r="F151" i="9"/>
  <c r="E151" i="9"/>
  <c r="C151" i="9"/>
  <c r="B151" i="9"/>
  <c r="J151" i="9" s="1"/>
  <c r="A151" i="9"/>
  <c r="G151" i="9" s="1"/>
  <c r="F150" i="9"/>
  <c r="E150" i="9"/>
  <c r="C150" i="9"/>
  <c r="B150" i="9"/>
  <c r="J150" i="9" s="1"/>
  <c r="A150" i="9"/>
  <c r="F149" i="9"/>
  <c r="E149" i="9"/>
  <c r="C149" i="9"/>
  <c r="B149" i="9"/>
  <c r="J149" i="9" s="1"/>
  <c r="A149" i="9"/>
  <c r="F148" i="9"/>
  <c r="E148" i="9"/>
  <c r="C148" i="9"/>
  <c r="B148" i="9"/>
  <c r="J148" i="9" s="1"/>
  <c r="A148" i="9"/>
  <c r="F147" i="9"/>
  <c r="E147" i="9"/>
  <c r="C147" i="9"/>
  <c r="B147" i="9"/>
  <c r="A147" i="9"/>
  <c r="G147" i="9" s="1"/>
  <c r="F146" i="9"/>
  <c r="E146" i="9"/>
  <c r="C146" i="9"/>
  <c r="B146" i="9"/>
  <c r="J146" i="9" s="1"/>
  <c r="A146" i="9"/>
  <c r="F145" i="9"/>
  <c r="E145" i="9"/>
  <c r="C145" i="9"/>
  <c r="B145" i="9"/>
  <c r="J145" i="9" s="1"/>
  <c r="A145" i="9"/>
  <c r="G145" i="9" s="1"/>
  <c r="F144" i="9"/>
  <c r="E144" i="9"/>
  <c r="C144" i="9"/>
  <c r="B144" i="9"/>
  <c r="J144" i="9" s="1"/>
  <c r="A144" i="9"/>
  <c r="F143" i="9"/>
  <c r="E143" i="9"/>
  <c r="C143" i="9"/>
  <c r="B143" i="9"/>
  <c r="J143" i="9" s="1"/>
  <c r="A143" i="9"/>
  <c r="G143" i="9" s="1"/>
  <c r="F142" i="9"/>
  <c r="E142" i="9"/>
  <c r="C142" i="9"/>
  <c r="B142" i="9"/>
  <c r="J142" i="9" s="1"/>
  <c r="A142" i="9"/>
  <c r="F141" i="9"/>
  <c r="E141" i="9"/>
  <c r="C141" i="9"/>
  <c r="B141" i="9"/>
  <c r="J141" i="9" s="1"/>
  <c r="A141" i="9"/>
  <c r="F140" i="9"/>
  <c r="E140" i="9"/>
  <c r="C140" i="9"/>
  <c r="B140" i="9"/>
  <c r="J140" i="9" s="1"/>
  <c r="A140" i="9"/>
  <c r="F139" i="9"/>
  <c r="E139" i="9"/>
  <c r="C139" i="9"/>
  <c r="B139" i="9"/>
  <c r="J139" i="9" s="1"/>
  <c r="A139" i="9"/>
  <c r="G139" i="9" s="1"/>
  <c r="F138" i="9"/>
  <c r="E138" i="9"/>
  <c r="C138" i="9"/>
  <c r="B138" i="9"/>
  <c r="J138" i="9" s="1"/>
  <c r="A138" i="9"/>
  <c r="F137" i="9"/>
  <c r="E137" i="9"/>
  <c r="C137" i="9"/>
  <c r="B137" i="9"/>
  <c r="J137" i="9" s="1"/>
  <c r="A137" i="9"/>
  <c r="F136" i="9"/>
  <c r="E136" i="9"/>
  <c r="C136" i="9"/>
  <c r="B136" i="9"/>
  <c r="J136" i="9" s="1"/>
  <c r="A136" i="9"/>
  <c r="F135" i="9"/>
  <c r="E135" i="9"/>
  <c r="C135" i="9"/>
  <c r="B135" i="9"/>
  <c r="J135" i="9" s="1"/>
  <c r="A135" i="9"/>
  <c r="G135" i="9" s="1"/>
  <c r="F134" i="9"/>
  <c r="E134" i="9"/>
  <c r="C134" i="9"/>
  <c r="B134" i="9"/>
  <c r="A134" i="9"/>
  <c r="F133" i="9"/>
  <c r="E133" i="9"/>
  <c r="C133" i="9"/>
  <c r="B133" i="9"/>
  <c r="A133" i="9"/>
  <c r="G133" i="9" s="1"/>
  <c r="F132" i="9"/>
  <c r="E132" i="9"/>
  <c r="C132" i="9"/>
  <c r="B132" i="9"/>
  <c r="J132" i="9" s="1"/>
  <c r="A132" i="9"/>
  <c r="F131" i="9"/>
  <c r="E131" i="9"/>
  <c r="C131" i="9"/>
  <c r="B131" i="9"/>
  <c r="J131" i="9" s="1"/>
  <c r="A131" i="9"/>
  <c r="F130" i="9"/>
  <c r="E130" i="9"/>
  <c r="C130" i="9"/>
  <c r="B130" i="9"/>
  <c r="J130" i="9" s="1"/>
  <c r="A130" i="9"/>
  <c r="F129" i="9"/>
  <c r="E129" i="9"/>
  <c r="C129" i="9"/>
  <c r="B129" i="9"/>
  <c r="J129" i="9" s="1"/>
  <c r="A129" i="9"/>
  <c r="F128" i="9"/>
  <c r="E128" i="9"/>
  <c r="C128" i="9"/>
  <c r="B128" i="9"/>
  <c r="J128" i="9" s="1"/>
  <c r="A128" i="9"/>
  <c r="F127" i="9"/>
  <c r="E127" i="9"/>
  <c r="C127" i="9"/>
  <c r="B127" i="9"/>
  <c r="J127" i="9" s="1"/>
  <c r="A127" i="9"/>
  <c r="F126" i="9"/>
  <c r="E126" i="9"/>
  <c r="C126" i="9"/>
  <c r="B126" i="9"/>
  <c r="J126" i="9" s="1"/>
  <c r="A126" i="9"/>
  <c r="F125" i="9"/>
  <c r="E125" i="9"/>
  <c r="C125" i="9"/>
  <c r="B125" i="9"/>
  <c r="J125" i="9" s="1"/>
  <c r="A125" i="9"/>
  <c r="G125" i="9" s="1"/>
  <c r="F124" i="9"/>
  <c r="E124" i="9"/>
  <c r="C124" i="9"/>
  <c r="B124" i="9"/>
  <c r="J124" i="9" s="1"/>
  <c r="A124" i="9"/>
  <c r="G124" i="9" s="1"/>
  <c r="F123" i="9"/>
  <c r="E123" i="9"/>
  <c r="C123" i="9"/>
  <c r="B123" i="9"/>
  <c r="J123" i="9" s="1"/>
  <c r="A123" i="9"/>
  <c r="F122" i="9"/>
  <c r="E122" i="9"/>
  <c r="C122" i="9"/>
  <c r="B122" i="9"/>
  <c r="J122" i="9" s="1"/>
  <c r="A122" i="9"/>
  <c r="G122" i="9" s="1"/>
  <c r="F121" i="9"/>
  <c r="E121" i="9"/>
  <c r="C121" i="9"/>
  <c r="B121" i="9"/>
  <c r="J121" i="9" s="1"/>
  <c r="A121" i="9"/>
  <c r="G121" i="9" s="1"/>
  <c r="F120" i="9"/>
  <c r="E120" i="9"/>
  <c r="C120" i="9"/>
  <c r="B120" i="9"/>
  <c r="J120" i="9" s="1"/>
  <c r="A120" i="9"/>
  <c r="F119" i="9"/>
  <c r="E119" i="9"/>
  <c r="C119" i="9"/>
  <c r="B119" i="9"/>
  <c r="J119" i="9" s="1"/>
  <c r="A119" i="9"/>
  <c r="G119" i="9" s="1"/>
  <c r="F118" i="9"/>
  <c r="E118" i="9"/>
  <c r="C118" i="9"/>
  <c r="B118" i="9"/>
  <c r="J118" i="9" s="1"/>
  <c r="A118" i="9"/>
  <c r="F117" i="9"/>
  <c r="E117" i="9"/>
  <c r="C117" i="9"/>
  <c r="B117" i="9"/>
  <c r="J117" i="9" s="1"/>
  <c r="A117" i="9"/>
  <c r="F116" i="9"/>
  <c r="E116" i="9"/>
  <c r="C116" i="9"/>
  <c r="B116" i="9"/>
  <c r="J116" i="9" s="1"/>
  <c r="A116" i="9"/>
  <c r="G116" i="9" s="1"/>
  <c r="F115" i="9"/>
  <c r="E115" i="9"/>
  <c r="C115" i="9"/>
  <c r="B115" i="9"/>
  <c r="J115" i="9" s="1"/>
  <c r="A115" i="9"/>
  <c r="F114" i="9"/>
  <c r="E114" i="9"/>
  <c r="C114" i="9"/>
  <c r="B114" i="9"/>
  <c r="J114" i="9" s="1"/>
  <c r="A114" i="9"/>
  <c r="F113" i="9"/>
  <c r="E113" i="9"/>
  <c r="C113" i="9"/>
  <c r="B113" i="9"/>
  <c r="J113" i="9" s="1"/>
  <c r="A113" i="9"/>
  <c r="G113" i="9" s="1"/>
  <c r="F112" i="9"/>
  <c r="E112" i="9"/>
  <c r="C112" i="9"/>
  <c r="B112" i="9"/>
  <c r="J112" i="9" s="1"/>
  <c r="A112" i="9"/>
  <c r="F111" i="9"/>
  <c r="E111" i="9"/>
  <c r="C111" i="9"/>
  <c r="B111" i="9"/>
  <c r="J111" i="9" s="1"/>
  <c r="A111" i="9"/>
  <c r="F110" i="9"/>
  <c r="E110" i="9"/>
  <c r="C110" i="9"/>
  <c r="B110" i="9"/>
  <c r="J110" i="9" s="1"/>
  <c r="A110" i="9"/>
  <c r="G110" i="9" s="1"/>
  <c r="F109" i="9"/>
  <c r="E109" i="9"/>
  <c r="C109" i="9"/>
  <c r="B109" i="9"/>
  <c r="J109" i="9" s="1"/>
  <c r="A109" i="9"/>
  <c r="F108" i="9"/>
  <c r="E108" i="9"/>
  <c r="C108" i="9"/>
  <c r="B108" i="9"/>
  <c r="A108" i="9"/>
  <c r="G108" i="9" s="1"/>
  <c r="F107" i="9"/>
  <c r="E107" i="9"/>
  <c r="C107" i="9"/>
  <c r="B107" i="9"/>
  <c r="J107" i="9" s="1"/>
  <c r="A107" i="9"/>
  <c r="G107" i="9" s="1"/>
  <c r="F106" i="9"/>
  <c r="E106" i="9"/>
  <c r="C106" i="9"/>
  <c r="B106" i="9"/>
  <c r="J106" i="9" s="1"/>
  <c r="A106" i="9"/>
  <c r="G106" i="9" s="1"/>
  <c r="F105" i="9"/>
  <c r="E105" i="9"/>
  <c r="C105" i="9"/>
  <c r="B105" i="9"/>
  <c r="J105" i="9" s="1"/>
  <c r="A105" i="9"/>
  <c r="F104" i="9"/>
  <c r="E104" i="9"/>
  <c r="C104" i="9"/>
  <c r="B104" i="9"/>
  <c r="J104" i="9" s="1"/>
  <c r="A104" i="9"/>
  <c r="G104" i="9" s="1"/>
  <c r="F103" i="9"/>
  <c r="E103" i="9"/>
  <c r="C103" i="9"/>
  <c r="B103" i="9"/>
  <c r="J103" i="9" s="1"/>
  <c r="A103" i="9"/>
  <c r="F102" i="9"/>
  <c r="E102" i="9"/>
  <c r="C102" i="9"/>
  <c r="B102" i="9"/>
  <c r="J102" i="9" s="1"/>
  <c r="A102" i="9"/>
  <c r="F101" i="9"/>
  <c r="E101" i="9"/>
  <c r="C101" i="9"/>
  <c r="B101" i="9"/>
  <c r="J101" i="9" s="1"/>
  <c r="A101" i="9"/>
  <c r="F100" i="9"/>
  <c r="E100" i="9"/>
  <c r="C100" i="9"/>
  <c r="B100" i="9"/>
  <c r="J100" i="9" s="1"/>
  <c r="A100" i="9"/>
  <c r="F99" i="9"/>
  <c r="E99" i="9"/>
  <c r="C99" i="9"/>
  <c r="B99" i="9"/>
  <c r="J99" i="9" s="1"/>
  <c r="A99" i="9"/>
  <c r="F98" i="9"/>
  <c r="E98" i="9"/>
  <c r="C98" i="9"/>
  <c r="B98" i="9"/>
  <c r="J98" i="9" s="1"/>
  <c r="A98" i="9"/>
  <c r="F97" i="9"/>
  <c r="E97" i="9"/>
  <c r="C97" i="9"/>
  <c r="B97" i="9"/>
  <c r="J97" i="9" s="1"/>
  <c r="A97" i="9"/>
  <c r="F96" i="9"/>
  <c r="E96" i="9"/>
  <c r="C96" i="9"/>
  <c r="B96" i="9"/>
  <c r="J96" i="9" s="1"/>
  <c r="A96" i="9"/>
  <c r="F95" i="9"/>
  <c r="E95" i="9"/>
  <c r="C95" i="9"/>
  <c r="B95" i="9"/>
  <c r="J95" i="9" s="1"/>
  <c r="A95" i="9"/>
  <c r="F94" i="9"/>
  <c r="E94" i="9"/>
  <c r="C94" i="9"/>
  <c r="B94" i="9"/>
  <c r="J94" i="9" s="1"/>
  <c r="A94" i="9"/>
  <c r="F93" i="9"/>
  <c r="E93" i="9"/>
  <c r="C93" i="9"/>
  <c r="B93" i="9"/>
  <c r="J93" i="9" s="1"/>
  <c r="A93" i="9"/>
  <c r="F92" i="9"/>
  <c r="E92" i="9"/>
  <c r="C92" i="9"/>
  <c r="B92" i="9"/>
  <c r="J92" i="9" s="1"/>
  <c r="A92" i="9"/>
  <c r="F91" i="9"/>
  <c r="E91" i="9"/>
  <c r="C91" i="9"/>
  <c r="B91" i="9"/>
  <c r="J91" i="9" s="1"/>
  <c r="A91" i="9"/>
  <c r="G91" i="9" s="1"/>
  <c r="F90" i="9"/>
  <c r="E90" i="9"/>
  <c r="C90" i="9"/>
  <c r="B90" i="9"/>
  <c r="J90" i="9" s="1"/>
  <c r="A90" i="9"/>
  <c r="G90" i="9" s="1"/>
  <c r="F89" i="9"/>
  <c r="E89" i="9"/>
  <c r="C89" i="9"/>
  <c r="B89" i="9"/>
  <c r="J89" i="9" s="1"/>
  <c r="A89" i="9"/>
  <c r="G89" i="9" s="1"/>
  <c r="F88" i="9"/>
  <c r="E88" i="9"/>
  <c r="C88" i="9"/>
  <c r="B88" i="9"/>
  <c r="J88" i="9" s="1"/>
  <c r="A88" i="9"/>
  <c r="G88" i="9" s="1"/>
  <c r="F87" i="9"/>
  <c r="E87" i="9"/>
  <c r="C87" i="9"/>
  <c r="B87" i="9"/>
  <c r="J87" i="9" s="1"/>
  <c r="A87" i="9"/>
  <c r="G87" i="9" s="1"/>
  <c r="F86" i="9"/>
  <c r="E86" i="9"/>
  <c r="C86" i="9"/>
  <c r="B86" i="9"/>
  <c r="A86" i="9"/>
  <c r="F85" i="9"/>
  <c r="E85" i="9"/>
  <c r="C85" i="9"/>
  <c r="B85" i="9"/>
  <c r="A85" i="9"/>
  <c r="F84" i="9"/>
  <c r="E84" i="9"/>
  <c r="C84" i="9"/>
  <c r="B84" i="9"/>
  <c r="J84" i="9" s="1"/>
  <c r="A84" i="9"/>
  <c r="G84" i="9" s="1"/>
  <c r="F83" i="9"/>
  <c r="E83" i="9"/>
  <c r="C83" i="9"/>
  <c r="B83" i="9"/>
  <c r="J83" i="9" s="1"/>
  <c r="A83" i="9"/>
  <c r="G83" i="9" s="1"/>
  <c r="F82" i="9"/>
  <c r="E82" i="9"/>
  <c r="C82" i="9"/>
  <c r="B82" i="9"/>
  <c r="J82" i="9" s="1"/>
  <c r="A82" i="9"/>
  <c r="F81" i="9"/>
  <c r="E81" i="9"/>
  <c r="C81" i="9"/>
  <c r="B81" i="9"/>
  <c r="J81" i="9" s="1"/>
  <c r="A81" i="9"/>
  <c r="F80" i="9"/>
  <c r="E80" i="9"/>
  <c r="C80" i="9"/>
  <c r="B80" i="9"/>
  <c r="J80" i="9" s="1"/>
  <c r="A80" i="9"/>
  <c r="F79" i="9"/>
  <c r="E79" i="9"/>
  <c r="C79" i="9"/>
  <c r="B79" i="9"/>
  <c r="J79" i="9" s="1"/>
  <c r="A79" i="9"/>
  <c r="F78" i="9"/>
  <c r="E78" i="9"/>
  <c r="C78" i="9"/>
  <c r="B78" i="9"/>
  <c r="J78" i="9" s="1"/>
  <c r="A78" i="9"/>
  <c r="F77" i="9"/>
  <c r="E77" i="9"/>
  <c r="C77" i="9"/>
  <c r="B77" i="9"/>
  <c r="J77" i="9" s="1"/>
  <c r="A77" i="9"/>
  <c r="F76" i="9"/>
  <c r="E76" i="9"/>
  <c r="C76" i="9"/>
  <c r="B76" i="9"/>
  <c r="J76" i="9" s="1"/>
  <c r="A76" i="9"/>
  <c r="G76" i="9" s="1"/>
  <c r="F75" i="9"/>
  <c r="E75" i="9"/>
  <c r="C75" i="9"/>
  <c r="B75" i="9"/>
  <c r="A75" i="9"/>
  <c r="F74" i="9"/>
  <c r="E74" i="9"/>
  <c r="C74" i="9"/>
  <c r="B74" i="9"/>
  <c r="J74" i="9" s="1"/>
  <c r="A74" i="9"/>
  <c r="F73" i="9"/>
  <c r="E73" i="9"/>
  <c r="C73" i="9"/>
  <c r="B73" i="9"/>
  <c r="J73" i="9" s="1"/>
  <c r="A73" i="9"/>
  <c r="G73" i="9" s="1"/>
  <c r="F72" i="9"/>
  <c r="E72" i="9"/>
  <c r="C72" i="9"/>
  <c r="B72" i="9"/>
  <c r="J72" i="9" s="1"/>
  <c r="A72" i="9"/>
  <c r="G72" i="9" s="1"/>
  <c r="F71" i="9"/>
  <c r="E71" i="9"/>
  <c r="C71" i="9"/>
  <c r="B71" i="9"/>
  <c r="J71" i="9" s="1"/>
  <c r="A71" i="9"/>
  <c r="F70" i="9"/>
  <c r="E70" i="9"/>
  <c r="C70" i="9"/>
  <c r="B70" i="9"/>
  <c r="J70" i="9" s="1"/>
  <c r="A70" i="9"/>
  <c r="G70" i="9" s="1"/>
  <c r="F69" i="9"/>
  <c r="E69" i="9"/>
  <c r="C69" i="9"/>
  <c r="B69" i="9"/>
  <c r="J69" i="9" s="1"/>
  <c r="A69" i="9"/>
  <c r="F68" i="9"/>
  <c r="E68" i="9"/>
  <c r="C68" i="9"/>
  <c r="B68" i="9"/>
  <c r="J68" i="9" s="1"/>
  <c r="A68" i="9"/>
  <c r="F67" i="9"/>
  <c r="E67" i="9"/>
  <c r="C67" i="9"/>
  <c r="B67" i="9"/>
  <c r="J67" i="9" s="1"/>
  <c r="A67" i="9"/>
  <c r="F66" i="9"/>
  <c r="E66" i="9"/>
  <c r="C66" i="9"/>
  <c r="B66" i="9"/>
  <c r="J66" i="9" s="1"/>
  <c r="A66" i="9"/>
  <c r="G66" i="9" s="1"/>
  <c r="F65" i="9"/>
  <c r="E65" i="9"/>
  <c r="C65" i="9"/>
  <c r="B65" i="9"/>
  <c r="J65" i="9" s="1"/>
  <c r="A65" i="9"/>
  <c r="F64" i="9"/>
  <c r="E64" i="9"/>
  <c r="C64" i="9"/>
  <c r="B64" i="9"/>
  <c r="J64" i="9" s="1"/>
  <c r="A64" i="9"/>
  <c r="G64" i="9" s="1"/>
  <c r="F63" i="9"/>
  <c r="E63" i="9"/>
  <c r="C63" i="9"/>
  <c r="B63" i="9"/>
  <c r="J63" i="9" s="1"/>
  <c r="A63" i="9"/>
  <c r="F62" i="9"/>
  <c r="E62" i="9"/>
  <c r="C62" i="9"/>
  <c r="B62" i="9"/>
  <c r="J62" i="9" s="1"/>
  <c r="A62" i="9"/>
  <c r="D62" i="9" s="1"/>
  <c r="F61" i="9"/>
  <c r="E61" i="9"/>
  <c r="C61" i="9"/>
  <c r="B61" i="9"/>
  <c r="A61" i="9"/>
  <c r="G61" i="9" s="1"/>
  <c r="F60" i="9"/>
  <c r="E60" i="9"/>
  <c r="C60" i="9"/>
  <c r="B60" i="9"/>
  <c r="J60" i="9" s="1"/>
  <c r="A60" i="9"/>
  <c r="G60" i="9" s="1"/>
  <c r="F59" i="9"/>
  <c r="E59" i="9"/>
  <c r="C59" i="9"/>
  <c r="B59" i="9"/>
  <c r="A59" i="9"/>
  <c r="G59" i="9" s="1"/>
  <c r="F58" i="9"/>
  <c r="E58" i="9"/>
  <c r="C58" i="9"/>
  <c r="B58" i="9"/>
  <c r="J58" i="9" s="1"/>
  <c r="A58" i="9"/>
  <c r="F57" i="9"/>
  <c r="E57" i="9"/>
  <c r="C57" i="9"/>
  <c r="B57" i="9"/>
  <c r="J57" i="9" s="1"/>
  <c r="A57" i="9"/>
  <c r="G57" i="9" s="1"/>
  <c r="F56" i="9"/>
  <c r="E56" i="9"/>
  <c r="C56" i="9"/>
  <c r="B56" i="9"/>
  <c r="A56" i="9"/>
  <c r="F55" i="9"/>
  <c r="E55" i="9"/>
  <c r="C55" i="9"/>
  <c r="B55" i="9"/>
  <c r="J55" i="9" s="1"/>
  <c r="A55" i="9"/>
  <c r="G55" i="9" s="1"/>
  <c r="F54" i="9"/>
  <c r="E54" i="9"/>
  <c r="C54" i="9"/>
  <c r="B54" i="9"/>
  <c r="J54" i="9" s="1"/>
  <c r="A54" i="9"/>
  <c r="F53" i="9"/>
  <c r="E53" i="9"/>
  <c r="C53" i="9"/>
  <c r="B53" i="9"/>
  <c r="J53" i="9" s="1"/>
  <c r="A53" i="9"/>
  <c r="F52" i="9"/>
  <c r="E52" i="9"/>
  <c r="C52" i="9"/>
  <c r="B52" i="9"/>
  <c r="J52" i="9" s="1"/>
  <c r="A52" i="9"/>
  <c r="F51" i="9"/>
  <c r="E51" i="9"/>
  <c r="C51" i="9"/>
  <c r="B51" i="9"/>
  <c r="J51" i="9" s="1"/>
  <c r="A51" i="9"/>
  <c r="F50" i="9"/>
  <c r="E50" i="9"/>
  <c r="C50" i="9"/>
  <c r="B50" i="9"/>
  <c r="J50" i="9" s="1"/>
  <c r="A50" i="9"/>
  <c r="F49" i="9"/>
  <c r="E49" i="9"/>
  <c r="C49" i="9"/>
  <c r="B49" i="9"/>
  <c r="A49" i="9"/>
  <c r="F48" i="9"/>
  <c r="E48" i="9"/>
  <c r="C48" i="9"/>
  <c r="B48" i="9"/>
  <c r="J48" i="9" s="1"/>
  <c r="A48" i="9"/>
  <c r="F47" i="9"/>
  <c r="E47" i="9"/>
  <c r="C47" i="9"/>
  <c r="B47" i="9"/>
  <c r="J47" i="9" s="1"/>
  <c r="A47" i="9"/>
  <c r="F46" i="9"/>
  <c r="E46" i="9"/>
  <c r="C46" i="9"/>
  <c r="B46" i="9"/>
  <c r="J46" i="9" s="1"/>
  <c r="A46" i="9"/>
  <c r="G46" i="9" s="1"/>
  <c r="F45" i="9"/>
  <c r="E45" i="9"/>
  <c r="C45" i="9"/>
  <c r="B45" i="9"/>
  <c r="J45" i="9" s="1"/>
  <c r="A45" i="9"/>
  <c r="F44" i="9"/>
  <c r="E44" i="9"/>
  <c r="C44" i="9"/>
  <c r="B44" i="9"/>
  <c r="J44" i="9" s="1"/>
  <c r="A44" i="9"/>
  <c r="G44" i="9" s="1"/>
  <c r="F43" i="9"/>
  <c r="E43" i="9"/>
  <c r="C43" i="9"/>
  <c r="B43" i="9"/>
  <c r="J43" i="9" s="1"/>
  <c r="A43" i="9"/>
  <c r="F42" i="9"/>
  <c r="E42" i="9"/>
  <c r="C42" i="9"/>
  <c r="B42" i="9"/>
  <c r="J42" i="9" s="1"/>
  <c r="A42" i="9"/>
  <c r="F41" i="9"/>
  <c r="E41" i="9"/>
  <c r="C41" i="9"/>
  <c r="B41" i="9"/>
  <c r="J41" i="9" s="1"/>
  <c r="A41" i="9"/>
  <c r="G41" i="9" s="1"/>
  <c r="F40" i="9"/>
  <c r="E40" i="9"/>
  <c r="C40" i="9"/>
  <c r="B40" i="9"/>
  <c r="J40" i="9" s="1"/>
  <c r="A40" i="9"/>
  <c r="F39" i="9"/>
  <c r="E39" i="9"/>
  <c r="C39" i="9"/>
  <c r="B39" i="9"/>
  <c r="J39" i="9" s="1"/>
  <c r="A39" i="9"/>
  <c r="G39" i="9" s="1"/>
  <c r="F38" i="9"/>
  <c r="E38" i="9"/>
  <c r="C38" i="9"/>
  <c r="B38" i="9"/>
  <c r="J38" i="9" s="1"/>
  <c r="A38" i="9"/>
  <c r="G38" i="9" s="1"/>
  <c r="F37" i="9"/>
  <c r="E37" i="9"/>
  <c r="C37" i="9"/>
  <c r="B37" i="9"/>
  <c r="J37" i="9" s="1"/>
  <c r="A37" i="9"/>
  <c r="F36" i="9"/>
  <c r="E36" i="9"/>
  <c r="C36" i="9"/>
  <c r="B36" i="9"/>
  <c r="J36" i="9" s="1"/>
  <c r="A36" i="9"/>
  <c r="F35" i="9"/>
  <c r="E35" i="9"/>
  <c r="C35" i="9"/>
  <c r="B35" i="9"/>
  <c r="J35" i="9" s="1"/>
  <c r="A35" i="9"/>
  <c r="F34" i="9"/>
  <c r="E34" i="9"/>
  <c r="C34" i="9"/>
  <c r="B34" i="9"/>
  <c r="J34" i="9" s="1"/>
  <c r="A34" i="9"/>
  <c r="F33" i="9"/>
  <c r="E33" i="9"/>
  <c r="C33" i="9"/>
  <c r="B33" i="9"/>
  <c r="J33" i="9" s="1"/>
  <c r="A33" i="9"/>
  <c r="F32" i="9"/>
  <c r="E32" i="9"/>
  <c r="C32" i="9"/>
  <c r="B32" i="9"/>
  <c r="J32" i="9" s="1"/>
  <c r="A32" i="9"/>
  <c r="G32" i="9" s="1"/>
  <c r="F31" i="9"/>
  <c r="E31" i="9"/>
  <c r="C31" i="9"/>
  <c r="B31" i="9"/>
  <c r="J31" i="9" s="1"/>
  <c r="A31" i="9"/>
  <c r="G31" i="9" s="1"/>
  <c r="F30" i="9"/>
  <c r="E30" i="9"/>
  <c r="C30" i="9"/>
  <c r="B30" i="9"/>
  <c r="J30" i="9" s="1"/>
  <c r="A30" i="9"/>
  <c r="F29" i="9"/>
  <c r="E29" i="9"/>
  <c r="C29" i="9"/>
  <c r="B29" i="9"/>
  <c r="J29" i="9" s="1"/>
  <c r="A29" i="9"/>
  <c r="G29" i="9" s="1"/>
  <c r="F28" i="9"/>
  <c r="E28" i="9"/>
  <c r="C28" i="9"/>
  <c r="B28" i="9"/>
  <c r="J28" i="9" s="1"/>
  <c r="A28" i="9"/>
  <c r="F27" i="9"/>
  <c r="E27" i="9"/>
  <c r="C27" i="9"/>
  <c r="B27" i="9"/>
  <c r="J27" i="9" s="1"/>
  <c r="A27" i="9"/>
  <c r="F26" i="9"/>
  <c r="E26" i="9"/>
  <c r="C26" i="9"/>
  <c r="B26" i="9"/>
  <c r="J26" i="9" s="1"/>
  <c r="A26" i="9"/>
  <c r="G26" i="9" s="1"/>
  <c r="F25" i="9"/>
  <c r="E25" i="9"/>
  <c r="C25" i="9"/>
  <c r="B25" i="9"/>
  <c r="J25" i="9" s="1"/>
  <c r="A25" i="9"/>
  <c r="G25" i="9" s="1"/>
  <c r="F24" i="9"/>
  <c r="E24" i="9"/>
  <c r="C24" i="9"/>
  <c r="B24" i="9"/>
  <c r="J24" i="9" s="1"/>
  <c r="A24" i="9"/>
  <c r="F23" i="9"/>
  <c r="E23" i="9"/>
  <c r="C23" i="9"/>
  <c r="B23" i="9"/>
  <c r="J23" i="9" s="1"/>
  <c r="A23" i="9"/>
  <c r="F22" i="9"/>
  <c r="E22" i="9"/>
  <c r="C22" i="9"/>
  <c r="B22" i="9"/>
  <c r="J22" i="9" s="1"/>
  <c r="A22" i="9"/>
  <c r="F21" i="9"/>
  <c r="E21" i="9"/>
  <c r="C21" i="9"/>
  <c r="B21" i="9"/>
  <c r="J21" i="9" s="1"/>
  <c r="A21" i="9"/>
  <c r="G21" i="9" s="1"/>
  <c r="F20" i="9"/>
  <c r="E20" i="9"/>
  <c r="C20" i="9"/>
  <c r="B20" i="9"/>
  <c r="J20" i="9" s="1"/>
  <c r="A20" i="9"/>
  <c r="F19" i="9"/>
  <c r="E19" i="9"/>
  <c r="C19" i="9"/>
  <c r="B19" i="9"/>
  <c r="J19" i="9" s="1"/>
  <c r="A19" i="9"/>
  <c r="F18" i="9"/>
  <c r="E18" i="9"/>
  <c r="C18" i="9"/>
  <c r="B18" i="9"/>
  <c r="J18" i="9" s="1"/>
  <c r="A18" i="9"/>
  <c r="F17" i="9"/>
  <c r="E17" i="9"/>
  <c r="C17" i="9"/>
  <c r="B17" i="9"/>
  <c r="J17" i="9" s="1"/>
  <c r="A17" i="9"/>
  <c r="F16" i="9"/>
  <c r="E16" i="9"/>
  <c r="C16" i="9"/>
  <c r="B16" i="9"/>
  <c r="J16" i="9" s="1"/>
  <c r="A16" i="9"/>
  <c r="F15" i="9"/>
  <c r="E15" i="9"/>
  <c r="C15" i="9"/>
  <c r="B15" i="9"/>
  <c r="J15" i="9" s="1"/>
  <c r="A15" i="9"/>
  <c r="F14" i="9"/>
  <c r="E14" i="9"/>
  <c r="C14" i="9"/>
  <c r="B14" i="9"/>
  <c r="J14" i="9" s="1"/>
  <c r="A14" i="9"/>
  <c r="G14" i="9" s="1"/>
  <c r="F13" i="9"/>
  <c r="E13" i="9"/>
  <c r="C13" i="9"/>
  <c r="B13" i="9"/>
  <c r="J13" i="9" s="1"/>
  <c r="A13" i="9"/>
  <c r="F12" i="9"/>
  <c r="E12" i="9"/>
  <c r="C12" i="9"/>
  <c r="B12" i="9"/>
  <c r="J12" i="9" s="1"/>
  <c r="A12" i="9"/>
  <c r="F11" i="9"/>
  <c r="E11" i="9"/>
  <c r="C11" i="9"/>
  <c r="B11" i="9"/>
  <c r="J11" i="9" s="1"/>
  <c r="A11" i="9"/>
  <c r="F10" i="9"/>
  <c r="E10" i="9"/>
  <c r="C10" i="9"/>
  <c r="B10" i="9"/>
  <c r="J10" i="9" s="1"/>
  <c r="A10" i="9"/>
  <c r="F9" i="9"/>
  <c r="E9" i="9"/>
  <c r="C9" i="9"/>
  <c r="B9" i="9"/>
  <c r="J9" i="9" s="1"/>
  <c r="A9" i="9"/>
  <c r="F8" i="9"/>
  <c r="E8" i="9"/>
  <c r="C8" i="9"/>
  <c r="B8" i="9"/>
  <c r="A8" i="9"/>
  <c r="G8" i="9" s="1"/>
  <c r="F7" i="9"/>
  <c r="E7" i="9"/>
  <c r="C7" i="9"/>
  <c r="B7" i="9"/>
  <c r="J7" i="9" s="1"/>
  <c r="A7" i="9"/>
  <c r="G7" i="9" s="1"/>
  <c r="F6" i="9"/>
  <c r="E6" i="9"/>
  <c r="C6" i="9"/>
  <c r="B6" i="9"/>
  <c r="J6" i="9" s="1"/>
  <c r="A6" i="9"/>
  <c r="F5" i="9"/>
  <c r="E5" i="9"/>
  <c r="C5" i="9"/>
  <c r="B5" i="9"/>
  <c r="J5" i="9" s="1"/>
  <c r="A5" i="9"/>
  <c r="G5" i="9" s="1"/>
  <c r="F4" i="9"/>
  <c r="E4" i="9"/>
  <c r="C4" i="9"/>
  <c r="B4" i="9"/>
  <c r="J4" i="9" s="1"/>
  <c r="A4" i="9"/>
  <c r="G4" i="9" s="1"/>
  <c r="F3" i="9"/>
  <c r="E3" i="9"/>
  <c r="C3" i="9"/>
  <c r="B3" i="9"/>
  <c r="J3" i="9" s="1"/>
  <c r="A3" i="9"/>
  <c r="D17" i="8"/>
  <c r="E15" i="8"/>
  <c r="D15" i="8"/>
  <c r="C15" i="8"/>
  <c r="E14" i="8"/>
  <c r="D14" i="8"/>
  <c r="C14" i="8"/>
  <c r="E13" i="8"/>
  <c r="D13" i="8"/>
  <c r="C13" i="8"/>
  <c r="E12" i="8"/>
  <c r="D12" i="8"/>
  <c r="C12" i="8"/>
  <c r="H8" i="8"/>
  <c r="I1" i="8" s="1"/>
  <c r="H7" i="8"/>
  <c r="H6" i="8"/>
  <c r="H5" i="8"/>
  <c r="E62" i="6"/>
  <c r="E61" i="6"/>
  <c r="E57" i="6"/>
  <c r="E56" i="6"/>
  <c r="E55" i="6"/>
  <c r="E54" i="6"/>
  <c r="E53" i="6"/>
  <c r="E52" i="6"/>
  <c r="E51" i="6"/>
  <c r="E50" i="6"/>
  <c r="E49" i="6"/>
  <c r="E48" i="6"/>
  <c r="E47" i="6"/>
  <c r="E46" i="6"/>
  <c r="E45" i="6"/>
  <c r="E44" i="6"/>
  <c r="E40" i="6"/>
  <c r="E36" i="6"/>
  <c r="E35" i="6"/>
  <c r="E34" i="6"/>
  <c r="E30" i="6"/>
  <c r="E29" i="6"/>
  <c r="E28" i="6"/>
  <c r="E23" i="6"/>
  <c r="E19" i="6"/>
  <c r="E10" i="6"/>
  <c r="E9" i="6"/>
  <c r="E8" i="6"/>
  <c r="E7" i="6"/>
  <c r="E6" i="6"/>
  <c r="E5" i="6"/>
  <c r="E20" i="5"/>
  <c r="E19" i="5"/>
  <c r="E18" i="5"/>
  <c r="E17" i="5"/>
  <c r="E16" i="5"/>
  <c r="E15" i="5" a="1"/>
  <c r="E15" i="5" s="1"/>
  <c r="E14" i="5"/>
  <c r="E13" i="5"/>
  <c r="E12" i="5"/>
  <c r="E11" i="5"/>
  <c r="E10" i="5"/>
  <c r="E9" i="5"/>
  <c r="E8" i="5"/>
  <c r="E7" i="5"/>
  <c r="E6" i="5"/>
  <c r="E5" i="5"/>
  <c r="C185" i="4"/>
  <c r="C184" i="4"/>
  <c r="E180" i="4"/>
  <c r="C180" i="4"/>
  <c r="E179" i="4"/>
  <c r="C179" i="4"/>
  <c r="E178" i="4"/>
  <c r="C178" i="4"/>
  <c r="E177" i="4"/>
  <c r="C177" i="4"/>
  <c r="E176" i="4"/>
  <c r="D176" i="4"/>
  <c r="C176" i="4"/>
  <c r="E175" i="4"/>
  <c r="C175" i="4"/>
  <c r="E174" i="4"/>
  <c r="C174" i="4"/>
  <c r="E170" i="4"/>
  <c r="C170" i="4"/>
  <c r="E169" i="4"/>
  <c r="C169" i="4"/>
  <c r="E168" i="4"/>
  <c r="C168" i="4"/>
  <c r="E167" i="4"/>
  <c r="C167" i="4"/>
  <c r="E166" i="4"/>
  <c r="C166" i="4"/>
  <c r="E165" i="4"/>
  <c r="D165" i="4"/>
  <c r="C165" i="4"/>
  <c r="E164" i="4"/>
  <c r="C164" i="4"/>
  <c r="E163" i="4"/>
  <c r="C163" i="4"/>
  <c r="E162" i="4"/>
  <c r="C162" i="4"/>
  <c r="E161" i="4"/>
  <c r="D161" i="4"/>
  <c r="C161" i="4"/>
  <c r="E160" i="4"/>
  <c r="C160" i="4"/>
  <c r="E156" i="4"/>
  <c r="C156" i="4"/>
  <c r="E155" i="4"/>
  <c r="C155" i="4"/>
  <c r="E154" i="4"/>
  <c r="C154" i="4"/>
  <c r="C150" i="4"/>
  <c r="C149" i="4"/>
  <c r="C148" i="4"/>
  <c r="C147" i="4"/>
  <c r="C146" i="4"/>
  <c r="E145" i="4"/>
  <c r="D145" i="4"/>
  <c r="C145" i="4"/>
  <c r="E141" i="4"/>
  <c r="C141" i="4"/>
  <c r="E140" i="4"/>
  <c r="C140" i="4"/>
  <c r="E136" i="4"/>
  <c r="C136" i="4"/>
  <c r="E135" i="4"/>
  <c r="C135" i="4"/>
  <c r="D134" i="4" a="1"/>
  <c r="D134" i="4" s="1"/>
  <c r="D26" i="11" s="1"/>
  <c r="C134" i="4"/>
  <c r="C26" i="11" s="1"/>
  <c r="E133" i="4"/>
  <c r="C133" i="4"/>
  <c r="C126" i="4"/>
  <c r="E125" i="4"/>
  <c r="C125" i="4"/>
  <c r="C121" i="4"/>
  <c r="C120" i="4"/>
  <c r="C119" i="4"/>
  <c r="C118" i="4"/>
  <c r="C117" i="4"/>
  <c r="C116" i="4"/>
  <c r="D115" i="4"/>
  <c r="C115" i="4"/>
  <c r="C114" i="4"/>
  <c r="E113" i="4"/>
  <c r="C113" i="4"/>
  <c r="E112" i="4"/>
  <c r="C112" i="4"/>
  <c r="E111" i="4"/>
  <c r="D111" i="4"/>
  <c r="C111" i="4"/>
  <c r="E106" i="4"/>
  <c r="C106" i="4"/>
  <c r="E105" i="4"/>
  <c r="C105" i="4"/>
  <c r="E104" i="4"/>
  <c r="C104" i="4"/>
  <c r="E103" i="4"/>
  <c r="C103" i="4"/>
  <c r="E102" i="4"/>
  <c r="C102" i="4"/>
  <c r="E101" i="4"/>
  <c r="C101" i="4"/>
  <c r="C100" i="4"/>
  <c r="E99" i="4"/>
  <c r="C99" i="4"/>
  <c r="E98" i="4"/>
  <c r="C98" i="4"/>
  <c r="E97" i="4"/>
  <c r="C97" i="4"/>
  <c r="E96" i="4"/>
  <c r="C96" i="4"/>
  <c r="E95" i="4"/>
  <c r="C95" i="4"/>
  <c r="E94" i="4"/>
  <c r="C94" i="4"/>
  <c r="E93" i="4"/>
  <c r="C93" i="4"/>
  <c r="E92" i="4"/>
  <c r="C92" i="4"/>
  <c r="E91" i="4"/>
  <c r="C91" i="4"/>
  <c r="E90" i="4"/>
  <c r="D90" i="4"/>
  <c r="C90" i="4"/>
  <c r="E89" i="4"/>
  <c r="C89" i="4"/>
  <c r="E88" i="4"/>
  <c r="C88" i="4"/>
  <c r="E87" i="4"/>
  <c r="C87" i="4"/>
  <c r="D83" i="4"/>
  <c r="C83" i="4"/>
  <c r="C77" i="4"/>
  <c r="C76" i="4"/>
  <c r="C75" i="4"/>
  <c r="C74" i="4"/>
  <c r="C73" i="4"/>
  <c r="C72" i="4"/>
  <c r="F68" i="4"/>
  <c r="C68" i="4"/>
  <c r="F67" i="4"/>
  <c r="C67" i="4"/>
  <c r="F66" i="4"/>
  <c r="C66" i="4"/>
  <c r="F65" i="4"/>
  <c r="C65" i="4"/>
  <c r="F64" i="4"/>
  <c r="C61" i="4"/>
  <c r="C60" i="4"/>
  <c r="C59" i="4"/>
  <c r="C41" i="11" s="1"/>
  <c r="C58" i="4"/>
  <c r="C40" i="11" s="1"/>
  <c r="C54" i="4"/>
  <c r="C53" i="4"/>
  <c r="C52" i="4"/>
  <c r="C51" i="4"/>
  <c r="C50" i="4"/>
  <c r="C37" i="11" s="1"/>
  <c r="C49" i="4"/>
  <c r="C36" i="11" s="1"/>
  <c r="E45" i="4"/>
  <c r="C45" i="4"/>
  <c r="E44" i="4"/>
  <c r="C44" i="4"/>
  <c r="E43" i="4"/>
  <c r="C43" i="4"/>
  <c r="E42" i="4"/>
  <c r="C42" i="4"/>
  <c r="E41" i="4"/>
  <c r="C41" i="4"/>
  <c r="E40" i="4"/>
  <c r="C40" i="4"/>
  <c r="E39" i="4"/>
  <c r="C39" i="4"/>
  <c r="D38" i="4"/>
  <c r="C38" i="4"/>
  <c r="E37" i="4"/>
  <c r="C37" i="4"/>
  <c r="E36" i="4"/>
  <c r="C36" i="4"/>
  <c r="E35" i="4"/>
  <c r="C35" i="4"/>
  <c r="E34" i="4"/>
  <c r="C34" i="4"/>
  <c r="E33" i="4"/>
  <c r="C33" i="4"/>
  <c r="E32" i="4"/>
  <c r="C32" i="4"/>
  <c r="E31" i="4"/>
  <c r="C31" i="4"/>
  <c r="E30" i="4"/>
  <c r="C30" i="4"/>
  <c r="E29" i="4"/>
  <c r="C29" i="4"/>
  <c r="C28" i="4"/>
  <c r="E27" i="4"/>
  <c r="D27" i="4"/>
  <c r="C27" i="4"/>
  <c r="E26" i="4"/>
  <c r="C26" i="4"/>
  <c r="E25" i="4"/>
  <c r="C25" i="4"/>
  <c r="E24" i="4"/>
  <c r="C24" i="4"/>
  <c r="E23" i="4"/>
  <c r="C23" i="4"/>
  <c r="E22" i="4"/>
  <c r="C22" i="4"/>
  <c r="E21" i="4"/>
  <c r="D21" i="4"/>
  <c r="C21" i="4"/>
  <c r="E20" i="4"/>
  <c r="C20" i="4"/>
  <c r="E19" i="4"/>
  <c r="C19" i="4"/>
  <c r="E18" i="4"/>
  <c r="C18" i="4"/>
  <c r="E17" i="4"/>
  <c r="C17" i="4"/>
  <c r="E16" i="4"/>
  <c r="C16" i="4"/>
  <c r="E15" i="4"/>
  <c r="C15" i="4"/>
  <c r="E14" i="4"/>
  <c r="D14" i="4"/>
  <c r="C14" i="4"/>
  <c r="E13" i="4"/>
  <c r="C13" i="4"/>
  <c r="E12" i="4"/>
  <c r="C12" i="4"/>
  <c r="E11" i="4"/>
  <c r="C11" i="4"/>
  <c r="E10" i="4"/>
  <c r="C10" i="4"/>
  <c r="E9" i="4"/>
  <c r="D9" i="4"/>
  <c r="C9" i="4"/>
  <c r="E8" i="4"/>
  <c r="C8" i="4"/>
  <c r="E7" i="4"/>
  <c r="C7" i="4"/>
  <c r="C6" i="4"/>
  <c r="D5" i="4"/>
  <c r="C17" i="17" s="1"/>
  <c r="C5" i="4"/>
  <c r="E9" i="3"/>
  <c r="E8" i="3"/>
  <c r="E7" i="3"/>
  <c r="E6" i="3"/>
  <c r="E5" i="3"/>
  <c r="E4" i="3"/>
  <c r="U43" i="2"/>
  <c r="T43" i="2"/>
  <c r="S43" i="2"/>
  <c r="R43" i="2"/>
  <c r="Q43" i="2"/>
  <c r="P43" i="2"/>
  <c r="U42" i="2"/>
  <c r="T42" i="2"/>
  <c r="R42" i="2"/>
  <c r="Q42" i="2"/>
  <c r="P42" i="2"/>
  <c r="S42" i="2"/>
  <c r="U41" i="2"/>
  <c r="S41" i="2"/>
  <c r="Q41" i="2"/>
  <c r="T40" i="2"/>
  <c r="S40" i="2"/>
  <c r="R40" i="2"/>
  <c r="Q40" i="2"/>
  <c r="P40" i="2"/>
  <c r="U40" i="2"/>
  <c r="Q39" i="2"/>
  <c r="U38" i="2"/>
  <c r="T38" i="2"/>
  <c r="S38" i="2"/>
  <c r="R38" i="2"/>
  <c r="Q38" i="2"/>
  <c r="P38" i="2"/>
  <c r="S37" i="2"/>
  <c r="R37" i="2"/>
  <c r="Q37" i="2"/>
  <c r="U36" i="2"/>
  <c r="T36" i="2"/>
  <c r="S36" i="2"/>
  <c r="R36" i="2"/>
  <c r="Q36" i="2"/>
  <c r="P36" i="2"/>
  <c r="Q35" i="2"/>
  <c r="R35" i="2"/>
  <c r="U34" i="2"/>
  <c r="S34" i="2"/>
  <c r="Q34" i="2"/>
  <c r="T33" i="2"/>
  <c r="S33" i="2"/>
  <c r="R33" i="2"/>
  <c r="Q33" i="2"/>
  <c r="P33" i="2"/>
  <c r="U33" i="2"/>
  <c r="Q32" i="2"/>
  <c r="U31" i="2"/>
  <c r="T31" i="2"/>
  <c r="S31" i="2"/>
  <c r="R31" i="2"/>
  <c r="Q31" i="2"/>
  <c r="P31" i="2"/>
  <c r="Q30" i="2"/>
  <c r="S30" i="2"/>
  <c r="U29" i="2"/>
  <c r="T29" i="2"/>
  <c r="S29" i="2"/>
  <c r="R29" i="2"/>
  <c r="Q29" i="2"/>
  <c r="P29" i="2"/>
  <c r="R28" i="2"/>
  <c r="Q28" i="2"/>
  <c r="U27" i="2"/>
  <c r="S27" i="2"/>
  <c r="Q27" i="2"/>
  <c r="T26" i="2"/>
  <c r="S26" i="2"/>
  <c r="R26" i="2"/>
  <c r="Q26" i="2"/>
  <c r="P26" i="2"/>
  <c r="U26" i="2"/>
  <c r="D25" i="2"/>
  <c r="S25" i="2"/>
  <c r="R25" i="2"/>
  <c r="Q25" i="2"/>
  <c r="E24" i="2"/>
  <c r="U24" i="2"/>
  <c r="T24" i="2"/>
  <c r="R24" i="2"/>
  <c r="Q24" i="2"/>
  <c r="T23" i="2"/>
  <c r="S23" i="2"/>
  <c r="R23" i="2"/>
  <c r="Q23" i="2"/>
  <c r="P23" i="2"/>
  <c r="U23" i="2"/>
  <c r="E22" i="2"/>
  <c r="R22" i="2"/>
  <c r="Q22" i="2"/>
  <c r="E21" i="2"/>
  <c r="U21" i="2"/>
  <c r="T21" i="2"/>
  <c r="S21" i="2"/>
  <c r="R21" i="2"/>
  <c r="Q21" i="2"/>
  <c r="P21" i="2"/>
  <c r="D20" i="2"/>
  <c r="U20" i="2"/>
  <c r="S20" i="2"/>
  <c r="R20" i="2"/>
  <c r="Q20" i="2"/>
  <c r="P20" i="2"/>
  <c r="T20" i="2"/>
  <c r="D19" i="2"/>
  <c r="U19" i="2"/>
  <c r="Q19" i="2"/>
  <c r="P19" i="2"/>
  <c r="D18" i="2"/>
  <c r="U18" i="2"/>
  <c r="T18" i="2"/>
  <c r="S18" i="2"/>
  <c r="R18" i="2"/>
  <c r="Q18" i="2"/>
  <c r="P18" i="2"/>
  <c r="D17" i="2"/>
  <c r="U17" i="2"/>
  <c r="T17" i="2"/>
  <c r="R17" i="2"/>
  <c r="Q17" i="2"/>
  <c r="P17" i="2"/>
  <c r="S17" i="2"/>
  <c r="D16" i="2"/>
  <c r="U16" i="2"/>
  <c r="T16" i="2"/>
  <c r="Q16" i="2"/>
  <c r="P16" i="2"/>
  <c r="S16" i="2"/>
  <c r="D15" i="2"/>
  <c r="U15" i="2"/>
  <c r="T15" i="2"/>
  <c r="S15" i="2"/>
  <c r="R15" i="2"/>
  <c r="Q15" i="2"/>
  <c r="P15" i="2"/>
  <c r="Q14" i="2"/>
  <c r="T14" i="2"/>
  <c r="D13" i="2"/>
  <c r="U13" i="2"/>
  <c r="T13" i="2"/>
  <c r="S13" i="2"/>
  <c r="Q13" i="2"/>
  <c r="T12" i="2"/>
  <c r="S12" i="2"/>
  <c r="R12" i="2"/>
  <c r="Q12" i="2"/>
  <c r="U11" i="2"/>
  <c r="Q11" i="2"/>
  <c r="P11" i="2"/>
  <c r="U10" i="2"/>
  <c r="T10" i="2"/>
  <c r="S10" i="2"/>
  <c r="R10" i="2"/>
  <c r="Q10" i="2"/>
  <c r="P10" i="2"/>
  <c r="R9" i="2"/>
  <c r="Q9" i="2"/>
  <c r="P9" i="2"/>
  <c r="E9" i="2"/>
  <c r="C9" i="2"/>
  <c r="B6" i="10" s="1"/>
  <c r="U8" i="2"/>
  <c r="T8" i="2"/>
  <c r="S8" i="2"/>
  <c r="Q8" i="2"/>
  <c r="E8" i="2" a="1"/>
  <c r="E8" i="2" s="1"/>
  <c r="U7" i="2"/>
  <c r="T7" i="2"/>
  <c r="S7" i="2"/>
  <c r="R7" i="2"/>
  <c r="Q7" i="2"/>
  <c r="P7" i="2"/>
  <c r="E7" i="2"/>
  <c r="U6" i="2"/>
  <c r="T6" i="2"/>
  <c r="S6" i="2"/>
  <c r="R6" i="2"/>
  <c r="Q6" i="2"/>
  <c r="P6" i="2"/>
  <c r="E6" i="2"/>
  <c r="E5" i="2"/>
  <c r="E4" i="2"/>
  <c r="D307" i="9" l="1"/>
  <c r="H72" i="4"/>
  <c r="H187" i="4"/>
  <c r="H185" i="4"/>
  <c r="I6" i="8"/>
  <c r="I7" i="8"/>
  <c r="I8" i="8"/>
  <c r="I5" i="8"/>
  <c r="F31" i="6"/>
  <c r="F32" i="6"/>
  <c r="F34" i="6"/>
  <c r="F35" i="6"/>
  <c r="F36" i="6"/>
  <c r="F37" i="6"/>
  <c r="F38" i="6"/>
  <c r="F40" i="6"/>
  <c r="F41" i="6"/>
  <c r="F42" i="6"/>
  <c r="F47" i="6"/>
  <c r="F48" i="6"/>
  <c r="F53" i="6"/>
  <c r="F10" i="6"/>
  <c r="F44" i="6"/>
  <c r="F45" i="6"/>
  <c r="F46" i="6"/>
  <c r="F49" i="6"/>
  <c r="F50" i="6"/>
  <c r="F51" i="6"/>
  <c r="F52" i="6"/>
  <c r="F54" i="6"/>
  <c r="F62" i="6"/>
  <c r="F17" i="6"/>
  <c r="F29" i="6"/>
  <c r="F30" i="6"/>
  <c r="F28" i="6"/>
  <c r="F24" i="6"/>
  <c r="F23" i="6"/>
  <c r="F6" i="6"/>
  <c r="F8" i="6"/>
  <c r="F12" i="6"/>
  <c r="F14" i="6"/>
  <c r="F19" i="6"/>
  <c r="F5" i="6"/>
  <c r="F6" i="5"/>
  <c r="F7" i="5"/>
  <c r="F8" i="5"/>
  <c r="F9" i="5"/>
  <c r="F10" i="5"/>
  <c r="F11" i="5"/>
  <c r="F12" i="5"/>
  <c r="F13" i="5"/>
  <c r="F14" i="5"/>
  <c r="F15" i="5"/>
  <c r="F16" i="5"/>
  <c r="F17" i="5"/>
  <c r="F18" i="5"/>
  <c r="F19" i="5"/>
  <c r="F20" i="5"/>
  <c r="F5" i="5"/>
  <c r="H46" i="4"/>
  <c r="H47" i="4"/>
  <c r="H48" i="4"/>
  <c r="H55" i="4"/>
  <c r="H56" i="4"/>
  <c r="H57" i="4"/>
  <c r="H5" i="4"/>
  <c r="H6" i="4"/>
  <c r="H7" i="4"/>
  <c r="H8" i="4"/>
  <c r="H9" i="4"/>
  <c r="H10" i="4"/>
  <c r="H11" i="4"/>
  <c r="H12" i="4"/>
  <c r="H13" i="4"/>
  <c r="H14" i="4"/>
  <c r="H15" i="4"/>
  <c r="H17" i="4"/>
  <c r="H18" i="4"/>
  <c r="H19" i="4"/>
  <c r="H20" i="4"/>
  <c r="H21" i="4"/>
  <c r="H22" i="4"/>
  <c r="H23" i="4"/>
  <c r="H24" i="4"/>
  <c r="H25" i="4"/>
  <c r="H26" i="4"/>
  <c r="H27" i="4"/>
  <c r="H28" i="4"/>
  <c r="H29" i="4"/>
  <c r="H30" i="4"/>
  <c r="H31" i="4"/>
  <c r="H32" i="4"/>
  <c r="H33" i="4"/>
  <c r="H34" i="4"/>
  <c r="H40" i="4"/>
  <c r="H43" i="4"/>
  <c r="H49" i="4"/>
  <c r="H50" i="4"/>
  <c r="H53" i="4"/>
  <c r="H35" i="4"/>
  <c r="H36" i="4"/>
  <c r="H37" i="4"/>
  <c r="H38" i="4"/>
  <c r="H39" i="4"/>
  <c r="H41" i="4"/>
  <c r="H42" i="4"/>
  <c r="H44" i="4"/>
  <c r="H45" i="4"/>
  <c r="H51" i="4"/>
  <c r="H52" i="4"/>
  <c r="H54" i="4"/>
  <c r="H58" i="4"/>
  <c r="H59" i="4"/>
  <c r="H60" i="4"/>
  <c r="H61" i="4"/>
  <c r="H62" i="4"/>
  <c r="H63" i="4"/>
  <c r="H64" i="4"/>
  <c r="H65" i="4"/>
  <c r="H66" i="4"/>
  <c r="H67" i="4"/>
  <c r="H68" i="4"/>
  <c r="H69" i="4"/>
  <c r="H70" i="4"/>
  <c r="H186" i="4"/>
  <c r="H73" i="4"/>
  <c r="H74" i="4"/>
  <c r="H75" i="4"/>
  <c r="H76" i="4"/>
  <c r="H77" i="4"/>
  <c r="H78" i="4"/>
  <c r="H112" i="4"/>
  <c r="H114" i="4"/>
  <c r="H115" i="4"/>
  <c r="H127" i="4"/>
  <c r="H135" i="4"/>
  <c r="H155" i="4"/>
  <c r="F18" i="6"/>
  <c r="H79" i="4"/>
  <c r="H80" i="4"/>
  <c r="H81" i="4"/>
  <c r="H82" i="4"/>
  <c r="H83" i="4"/>
  <c r="H84" i="4"/>
  <c r="H85" i="4"/>
  <c r="H86" i="4"/>
  <c r="H87" i="4"/>
  <c r="H88" i="4"/>
  <c r="H89" i="4"/>
  <c r="H90" i="4"/>
  <c r="H91" i="4"/>
  <c r="H92" i="4"/>
  <c r="H93" i="4"/>
  <c r="H94" i="4"/>
  <c r="H95" i="4"/>
  <c r="H96" i="4"/>
  <c r="H107" i="4"/>
  <c r="H113" i="4"/>
  <c r="H129" i="4"/>
  <c r="H130" i="4"/>
  <c r="H131" i="4"/>
  <c r="H133" i="4"/>
  <c r="F8" i="3"/>
  <c r="F9" i="3"/>
  <c r="F4" i="3"/>
  <c r="F55" i="6"/>
  <c r="F11" i="6"/>
  <c r="H97" i="4"/>
  <c r="H98" i="4"/>
  <c r="H99" i="4"/>
  <c r="H100" i="4"/>
  <c r="H101" i="4"/>
  <c r="H102" i="4"/>
  <c r="H103" i="4"/>
  <c r="H104" i="4"/>
  <c r="H105" i="4"/>
  <c r="H106" i="4"/>
  <c r="H108" i="4"/>
  <c r="H109" i="4"/>
  <c r="H111" i="4"/>
  <c r="H128" i="4"/>
  <c r="H151" i="4"/>
  <c r="H152" i="4"/>
  <c r="H154" i="4"/>
  <c r="F56" i="6"/>
  <c r="F9" i="6"/>
  <c r="H116" i="4"/>
  <c r="H117" i="4"/>
  <c r="H118" i="4"/>
  <c r="H119" i="4"/>
  <c r="H120" i="4"/>
  <c r="H121" i="4"/>
  <c r="H122" i="4"/>
  <c r="H123" i="4"/>
  <c r="H125" i="4"/>
  <c r="H126" i="4"/>
  <c r="H134" i="4"/>
  <c r="H171" i="4"/>
  <c r="H172" i="4"/>
  <c r="H174" i="4"/>
  <c r="H175" i="4"/>
  <c r="H176" i="4"/>
  <c r="F57" i="6"/>
  <c r="H16" i="4"/>
  <c r="H136" i="4"/>
  <c r="H137" i="4"/>
  <c r="H138" i="4"/>
  <c r="H140" i="4"/>
  <c r="H141" i="4"/>
  <c r="H142" i="4"/>
  <c r="H143" i="4"/>
  <c r="H145" i="4"/>
  <c r="H146" i="4"/>
  <c r="H147" i="4"/>
  <c r="H148" i="4"/>
  <c r="H149" i="4"/>
  <c r="H150" i="4"/>
  <c r="H156" i="4"/>
  <c r="H166" i="4"/>
  <c r="H167" i="4"/>
  <c r="F58" i="6"/>
  <c r="F59" i="6"/>
  <c r="F61" i="6"/>
  <c r="F16" i="6"/>
  <c r="H157" i="4"/>
  <c r="H158" i="4"/>
  <c r="H160" i="4"/>
  <c r="H161" i="4"/>
  <c r="H162" i="4"/>
  <c r="H163" i="4"/>
  <c r="H164" i="4"/>
  <c r="H165" i="4"/>
  <c r="H168" i="4"/>
  <c r="H169" i="4"/>
  <c r="H170" i="4"/>
  <c r="F7" i="6"/>
  <c r="F13" i="6"/>
  <c r="F15" i="6"/>
  <c r="H177" i="4"/>
  <c r="H178" i="4"/>
  <c r="H179" i="4"/>
  <c r="H180" i="4"/>
  <c r="H181" i="4"/>
  <c r="H182" i="4"/>
  <c r="H184" i="4"/>
  <c r="F5" i="3"/>
  <c r="F6" i="3"/>
  <c r="F7" i="3"/>
  <c r="E25" i="2"/>
  <c r="B199" i="13"/>
  <c r="D201" i="13"/>
  <c r="D202" i="13"/>
  <c r="D200" i="13"/>
  <c r="D203" i="13"/>
  <c r="D204" i="13"/>
  <c r="D213" i="9"/>
  <c r="G215" i="9"/>
  <c r="I268" i="9"/>
  <c r="H268" i="9" s="1"/>
  <c r="D27" i="9"/>
  <c r="D199" i="13"/>
  <c r="I18" i="9"/>
  <c r="H18" i="9" s="1"/>
  <c r="I443" i="9"/>
  <c r="D580" i="9"/>
  <c r="D545" i="9"/>
  <c r="D207" i="9"/>
  <c r="D422" i="9"/>
  <c r="I478" i="9"/>
  <c r="D519" i="9"/>
  <c r="D596" i="9"/>
  <c r="G18" i="9"/>
  <c r="I176" i="9"/>
  <c r="I198" i="9"/>
  <c r="I525" i="9"/>
  <c r="D19" i="9"/>
  <c r="I30" i="9"/>
  <c r="I398" i="9"/>
  <c r="H398" i="9" s="1"/>
  <c r="I591" i="9"/>
  <c r="I3" i="9"/>
  <c r="I250" i="9"/>
  <c r="H250" i="9" s="1"/>
  <c r="D453" i="9"/>
  <c r="D404" i="9"/>
  <c r="I509" i="9"/>
  <c r="D248" i="9"/>
  <c r="I567" i="9"/>
  <c r="H567" i="9" s="1"/>
  <c r="D147" i="9"/>
  <c r="D367" i="9"/>
  <c r="I416" i="9"/>
  <c r="H416" i="9" s="1"/>
  <c r="I441" i="9"/>
  <c r="I449" i="9"/>
  <c r="D86" i="9"/>
  <c r="I23" i="9"/>
  <c r="D254" i="9"/>
  <c r="I386" i="9"/>
  <c r="H386" i="9" s="1"/>
  <c r="D565" i="9"/>
  <c r="D65" i="9"/>
  <c r="D323" i="9"/>
  <c r="D43" i="9"/>
  <c r="D230" i="9"/>
  <c r="I365" i="9"/>
  <c r="H365" i="9" s="1"/>
  <c r="I527" i="9"/>
  <c r="I213" i="9"/>
  <c r="D384" i="9"/>
  <c r="G416" i="9"/>
  <c r="E74" i="4"/>
  <c r="F74" i="4"/>
  <c r="C31" i="11"/>
  <c r="F75" i="4"/>
  <c r="E75" i="4"/>
  <c r="C32" i="11"/>
  <c r="F76" i="4"/>
  <c r="E76" i="4"/>
  <c r="C33" i="11"/>
  <c r="F77" i="4"/>
  <c r="E77" i="4"/>
  <c r="F73" i="4"/>
  <c r="E73" i="4"/>
  <c r="I136" i="9"/>
  <c r="H136" i="9" s="1"/>
  <c r="D331" i="9"/>
  <c r="D459" i="9"/>
  <c r="D492" i="9"/>
  <c r="D529" i="9"/>
  <c r="D109" i="9"/>
  <c r="I272" i="9"/>
  <c r="H272" i="9" s="1"/>
  <c r="I325" i="9"/>
  <c r="H325" i="9" s="1"/>
  <c r="D557" i="9"/>
  <c r="D123" i="9"/>
  <c r="D201" i="9"/>
  <c r="I209" i="9"/>
  <c r="H209" i="9" s="1"/>
  <c r="I246" i="9"/>
  <c r="H246" i="9" s="1"/>
  <c r="I329" i="9"/>
  <c r="H329" i="9" s="1"/>
  <c r="D373" i="9"/>
  <c r="D468" i="9"/>
  <c r="I513" i="9"/>
  <c r="I187" i="9"/>
  <c r="I12" i="9"/>
  <c r="H12" i="9" s="1"/>
  <c r="D275" i="9"/>
  <c r="D305" i="9"/>
  <c r="I485" i="9"/>
  <c r="I555" i="9"/>
  <c r="G567" i="9"/>
  <c r="I576" i="9"/>
  <c r="I468" i="9"/>
  <c r="D498" i="9"/>
  <c r="D18" i="9"/>
  <c r="D53" i="9"/>
  <c r="D72" i="9"/>
  <c r="D151" i="9"/>
  <c r="I175" i="9"/>
  <c r="H175" i="9" s="1"/>
  <c r="D191" i="9"/>
  <c r="D215" i="9"/>
  <c r="D408" i="9"/>
  <c r="I427" i="9"/>
  <c r="I531" i="9"/>
  <c r="I542" i="9"/>
  <c r="I563" i="9"/>
  <c r="D247" i="9"/>
  <c r="I305" i="9"/>
  <c r="H305" i="9" s="1"/>
  <c r="I352" i="9"/>
  <c r="H352" i="9" s="1"/>
  <c r="D398" i="9"/>
  <c r="J198" i="9"/>
  <c r="D138" i="9"/>
  <c r="I194" i="9"/>
  <c r="H194" i="9" s="1"/>
  <c r="D390" i="9"/>
  <c r="I504" i="9"/>
  <c r="D574" i="9"/>
  <c r="I226" i="9"/>
  <c r="H226" i="9" s="1"/>
  <c r="I236" i="9"/>
  <c r="H236" i="9" s="1"/>
  <c r="D242" i="9"/>
  <c r="D419" i="9"/>
  <c r="D475" i="9"/>
  <c r="D548" i="9"/>
  <c r="I465" i="9"/>
  <c r="D489" i="9"/>
  <c r="D569" i="9"/>
  <c r="F60" i="4"/>
  <c r="F58" i="4"/>
  <c r="F61" i="4"/>
  <c r="F59" i="4"/>
  <c r="F13" i="2"/>
  <c r="F5" i="2"/>
  <c r="F6" i="2"/>
  <c r="F7" i="2"/>
  <c r="F16" i="2"/>
  <c r="F14" i="2"/>
  <c r="F15" i="2"/>
  <c r="F8" i="2"/>
  <c r="F9" i="2"/>
  <c r="F10" i="2"/>
  <c r="F11" i="2"/>
  <c r="F20" i="2"/>
  <c r="F17" i="2"/>
  <c r="F18" i="2"/>
  <c r="F19" i="2"/>
  <c r="F12" i="2"/>
  <c r="F4" i="2"/>
  <c r="F22" i="2"/>
  <c r="F21" i="2"/>
  <c r="F23" i="2"/>
  <c r="F24" i="2"/>
  <c r="F25" i="2"/>
  <c r="H443" i="9"/>
  <c r="H449" i="9"/>
  <c r="H476" i="9"/>
  <c r="H441" i="9"/>
  <c r="H485" i="9"/>
  <c r="H468" i="9"/>
  <c r="H478" i="9"/>
  <c r="H504" i="9"/>
  <c r="I82" i="9"/>
  <c r="H82" i="9" s="1"/>
  <c r="I75" i="9"/>
  <c r="I69" i="9"/>
  <c r="H69" i="9" s="1"/>
  <c r="I153" i="9"/>
  <c r="H153" i="9" s="1"/>
  <c r="D179" i="9"/>
  <c r="I225" i="9"/>
  <c r="H225" i="9" s="1"/>
  <c r="I232" i="9"/>
  <c r="H232" i="9" s="1"/>
  <c r="I367" i="9"/>
  <c r="H367" i="9" s="1"/>
  <c r="I476" i="9"/>
  <c r="D531" i="9"/>
  <c r="D559" i="9"/>
  <c r="D571" i="9"/>
  <c r="G109" i="9"/>
  <c r="I145" i="9"/>
  <c r="H145" i="9" s="1"/>
  <c r="D150" i="9"/>
  <c r="I200" i="9"/>
  <c r="H200" i="9" s="1"/>
  <c r="D14" i="9"/>
  <c r="J86" i="9"/>
  <c r="D203" i="9"/>
  <c r="I134" i="9"/>
  <c r="J176" i="9"/>
  <c r="H176" i="9" s="1"/>
  <c r="D194" i="9"/>
  <c r="I228" i="9"/>
  <c r="H228" i="9" s="1"/>
  <c r="I242" i="9"/>
  <c r="H242" i="9" s="1"/>
  <c r="D327" i="9"/>
  <c r="G329" i="9"/>
  <c r="D370" i="9"/>
  <c r="D402" i="9"/>
  <c r="G427" i="9"/>
  <c r="G449" i="9"/>
  <c r="I472" i="9"/>
  <c r="H472" i="9" s="1"/>
  <c r="I519" i="9"/>
  <c r="G531" i="9"/>
  <c r="J591" i="9"/>
  <c r="H591" i="9" s="1"/>
  <c r="G12" i="9"/>
  <c r="I27" i="9"/>
  <c r="H27" i="9" s="1"/>
  <c r="D59" i="9"/>
  <c r="I76" i="9"/>
  <c r="H76" i="9" s="1"/>
  <c r="I79" i="9"/>
  <c r="H79" i="9" s="1"/>
  <c r="D98" i="9"/>
  <c r="G136" i="9"/>
  <c r="D164" i="9"/>
  <c r="D185" i="9"/>
  <c r="D224" i="9"/>
  <c r="I241" i="9"/>
  <c r="H241" i="9" s="1"/>
  <c r="D257" i="9"/>
  <c r="I279" i="9"/>
  <c r="H279" i="9" s="1"/>
  <c r="I281" i="9"/>
  <c r="H281" i="9" s="1"/>
  <c r="D320" i="9"/>
  <c r="G365" i="9"/>
  <c r="I370" i="9"/>
  <c r="H370" i="9" s="1"/>
  <c r="I454" i="9"/>
  <c r="H454" i="9" s="1"/>
  <c r="G576" i="9"/>
  <c r="D592" i="9"/>
  <c r="D187" i="9"/>
  <c r="I191" i="9"/>
  <c r="H191" i="9" s="1"/>
  <c r="J213" i="9"/>
  <c r="G242" i="9"/>
  <c r="D259" i="9"/>
  <c r="D264" i="9"/>
  <c r="I289" i="9"/>
  <c r="G331" i="9"/>
  <c r="D365" i="9"/>
  <c r="G367" i="9"/>
  <c r="D487" i="9"/>
  <c r="G519" i="9"/>
  <c r="G153" i="9"/>
  <c r="D250" i="9"/>
  <c r="D287" i="9"/>
  <c r="D345" i="9"/>
  <c r="D400" i="9"/>
  <c r="D416" i="9"/>
  <c r="D445" i="9"/>
  <c r="G485" i="9"/>
  <c r="G559" i="9"/>
  <c r="D70" i="9"/>
  <c r="D121" i="9"/>
  <c r="G272" i="9"/>
  <c r="J289" i="9"/>
  <c r="I315" i="9"/>
  <c r="H315" i="9" s="1"/>
  <c r="I400" i="9"/>
  <c r="H400" i="9" s="1"/>
  <c r="I405" i="9"/>
  <c r="H405" i="9" s="1"/>
  <c r="D443" i="9"/>
  <c r="I503" i="9"/>
  <c r="H503" i="9" s="1"/>
  <c r="I510" i="9"/>
  <c r="G525" i="9"/>
  <c r="D532" i="9"/>
  <c r="G557" i="9"/>
  <c r="I557" i="9"/>
  <c r="G555" i="9"/>
  <c r="E23" i="2"/>
  <c r="B198" i="13"/>
  <c r="I597" i="9" s="1"/>
  <c r="D11" i="9"/>
  <c r="D39" i="9"/>
  <c r="I46" i="9"/>
  <c r="H46" i="9" s="1"/>
  <c r="I52" i="9"/>
  <c r="H52" i="9" s="1"/>
  <c r="I70" i="9"/>
  <c r="H70" i="9" s="1"/>
  <c r="I107" i="9"/>
  <c r="H107" i="9" s="1"/>
  <c r="D119" i="9"/>
  <c r="D145" i="9"/>
  <c r="I151" i="9"/>
  <c r="H151" i="9" s="1"/>
  <c r="I170" i="9"/>
  <c r="H170" i="9" s="1"/>
  <c r="I185" i="9"/>
  <c r="H185" i="9" s="1"/>
  <c r="J187" i="9"/>
  <c r="D303" i="9"/>
  <c r="I343" i="9"/>
  <c r="H343" i="9" s="1"/>
  <c r="D378" i="9"/>
  <c r="I445" i="9"/>
  <c r="H445" i="9" s="1"/>
  <c r="D496" i="9"/>
  <c r="I172" i="9"/>
  <c r="H172" i="9" s="1"/>
  <c r="D538" i="9"/>
  <c r="I24" i="9"/>
  <c r="H24" i="9" s="1"/>
  <c r="I42" i="9"/>
  <c r="H42" i="9" s="1"/>
  <c r="I88" i="9"/>
  <c r="H88" i="9" s="1"/>
  <c r="I130" i="9"/>
  <c r="H130" i="9" s="1"/>
  <c r="I150" i="9"/>
  <c r="H150" i="9" s="1"/>
  <c r="D160" i="9"/>
  <c r="D232" i="9"/>
  <c r="I253" i="9"/>
  <c r="H253" i="9" s="1"/>
  <c r="I275" i="9"/>
  <c r="H275" i="9" s="1"/>
  <c r="D364" i="9"/>
  <c r="D386" i="9"/>
  <c r="I451" i="9"/>
  <c r="H451" i="9" s="1"/>
  <c r="I50" i="9"/>
  <c r="H50" i="9" s="1"/>
  <c r="D58" i="9"/>
  <c r="J147" i="9"/>
  <c r="D218" i="9"/>
  <c r="D228" i="9"/>
  <c r="G246" i="9"/>
  <c r="I371" i="9"/>
  <c r="H371" i="9" s="1"/>
  <c r="I417" i="9"/>
  <c r="H417" i="9" s="1"/>
  <c r="G386" i="9"/>
  <c r="H576" i="9"/>
  <c r="I9" i="9"/>
  <c r="H9" i="9" s="1"/>
  <c r="I207" i="9"/>
  <c r="H207" i="9" s="1"/>
  <c r="D102" i="9"/>
  <c r="I102" i="9"/>
  <c r="H102" i="9" s="1"/>
  <c r="G102" i="9"/>
  <c r="G182" i="9"/>
  <c r="D182" i="9"/>
  <c r="G208" i="9"/>
  <c r="D208" i="9"/>
  <c r="I407" i="9"/>
  <c r="H407" i="9" s="1"/>
  <c r="G407" i="9"/>
  <c r="D407" i="9"/>
  <c r="I446" i="9"/>
  <c r="H446" i="9" s="1"/>
  <c r="G446" i="9"/>
  <c r="I511" i="9"/>
  <c r="G511" i="9"/>
  <c r="G530" i="9"/>
  <c r="I530" i="9"/>
  <c r="D584" i="9"/>
  <c r="I584" i="9"/>
  <c r="G584" i="9"/>
  <c r="D37" i="9"/>
  <c r="I37" i="9"/>
  <c r="H37" i="9" s="1"/>
  <c r="I113" i="9"/>
  <c r="H113" i="9" s="1"/>
  <c r="I119" i="9"/>
  <c r="H119" i="9" s="1"/>
  <c r="I11" i="9"/>
  <c r="H11" i="9" s="1"/>
  <c r="D116" i="9"/>
  <c r="I201" i="9"/>
  <c r="H201" i="9" s="1"/>
  <c r="G201" i="9"/>
  <c r="D222" i="9"/>
  <c r="I273" i="9"/>
  <c r="H273" i="9" s="1"/>
  <c r="I362" i="9"/>
  <c r="H362" i="9" s="1"/>
  <c r="I385" i="9"/>
  <c r="H385" i="9" s="1"/>
  <c r="J404" i="9"/>
  <c r="I475" i="9"/>
  <c r="H475" i="9" s="1"/>
  <c r="G475" i="9"/>
  <c r="I492" i="9"/>
  <c r="H492" i="9" s="1"/>
  <c r="G492" i="9"/>
  <c r="D502" i="9"/>
  <c r="I528" i="9"/>
  <c r="G528" i="9"/>
  <c r="G224" i="9"/>
  <c r="D470" i="9"/>
  <c r="G516" i="9"/>
  <c r="D516" i="9"/>
  <c r="I560" i="9"/>
  <c r="G560" i="9"/>
  <c r="D562" i="9"/>
  <c r="D3" i="9"/>
  <c r="D23" i="9"/>
  <c r="G27" i="9"/>
  <c r="D32" i="9"/>
  <c r="D46" i="9"/>
  <c r="G53" i="9"/>
  <c r="G75" i="9"/>
  <c r="D148" i="9"/>
  <c r="G225" i="9"/>
  <c r="D225" i="9"/>
  <c r="I259" i="9"/>
  <c r="H259" i="9" s="1"/>
  <c r="I269" i="9"/>
  <c r="D315" i="9"/>
  <c r="I402" i="9"/>
  <c r="H402" i="9" s="1"/>
  <c r="D446" i="9"/>
  <c r="D455" i="9"/>
  <c r="I507" i="9"/>
  <c r="H507" i="9" s="1"/>
  <c r="G526" i="9"/>
  <c r="D526" i="9"/>
  <c r="D579" i="9"/>
  <c r="G11" i="9"/>
  <c r="G35" i="9"/>
  <c r="D35" i="9"/>
  <c r="D5" i="9"/>
  <c r="D21" i="9"/>
  <c r="D44" i="9"/>
  <c r="I49" i="9"/>
  <c r="G49" i="9"/>
  <c r="I93" i="9"/>
  <c r="H93" i="9" s="1"/>
  <c r="G93" i="9"/>
  <c r="D288" i="9"/>
  <c r="G330" i="9"/>
  <c r="I330" i="9"/>
  <c r="H330" i="9" s="1"/>
  <c r="D376" i="9"/>
  <c r="G440" i="9"/>
  <c r="D440" i="9"/>
  <c r="I495" i="9"/>
  <c r="H495" i="9" s="1"/>
  <c r="G495" i="9"/>
  <c r="D495" i="9"/>
  <c r="I524" i="9"/>
  <c r="I541" i="9"/>
  <c r="G541" i="9"/>
  <c r="D541" i="9"/>
  <c r="D577" i="9"/>
  <c r="G577" i="9"/>
  <c r="I590" i="9"/>
  <c r="G590" i="9"/>
  <c r="D179" i="13"/>
  <c r="D193" i="13"/>
  <c r="D197" i="13"/>
  <c r="D172" i="13"/>
  <c r="D190" i="13"/>
  <c r="D192" i="13"/>
  <c r="D180" i="13"/>
  <c r="D194" i="13"/>
  <c r="D183" i="13"/>
  <c r="D185" i="13"/>
  <c r="D188" i="13"/>
  <c r="D176" i="13"/>
  <c r="D178" i="13"/>
  <c r="D167" i="13"/>
  <c r="D181" i="13"/>
  <c r="D195" i="13"/>
  <c r="D198" i="13"/>
  <c r="D187" i="13"/>
  <c r="D189" i="13"/>
  <c r="D191" i="13"/>
  <c r="D168" i="13"/>
  <c r="D182" i="13"/>
  <c r="D196" i="13"/>
  <c r="D184" i="13"/>
  <c r="D186" i="13"/>
  <c r="D175" i="13"/>
  <c r="D177" i="13"/>
  <c r="D169" i="13"/>
  <c r="D170" i="13"/>
  <c r="D171" i="13"/>
  <c r="D173" i="13"/>
  <c r="D174" i="13"/>
  <c r="I17" i="9"/>
  <c r="H17" i="9" s="1"/>
  <c r="I26" i="9"/>
  <c r="H26" i="9" s="1"/>
  <c r="D26" i="9"/>
  <c r="G37" i="9"/>
  <c r="D49" i="9"/>
  <c r="J49" i="9"/>
  <c r="D88" i="9"/>
  <c r="I143" i="9"/>
  <c r="H143" i="9" s="1"/>
  <c r="D175" i="9"/>
  <c r="I197" i="9"/>
  <c r="H197" i="9" s="1"/>
  <c r="G197" i="9"/>
  <c r="I208" i="9"/>
  <c r="H208" i="9" s="1"/>
  <c r="D241" i="9"/>
  <c r="D301" i="9"/>
  <c r="I303" i="9"/>
  <c r="H303" i="9" s="1"/>
  <c r="G509" i="9"/>
  <c r="D560" i="9"/>
  <c r="D216" i="9"/>
  <c r="I216" i="9"/>
  <c r="H216" i="9" s="1"/>
  <c r="D355" i="9"/>
  <c r="J355" i="9"/>
  <c r="G401" i="9"/>
  <c r="D401" i="9"/>
  <c r="D410" i="9"/>
  <c r="D449" i="9"/>
  <c r="D456" i="9"/>
  <c r="D483" i="9"/>
  <c r="D549" i="9"/>
  <c r="G243" i="9"/>
  <c r="D243" i="9"/>
  <c r="G23" i="9"/>
  <c r="G47" i="9"/>
  <c r="D47" i="9"/>
  <c r="I96" i="9"/>
  <c r="H96" i="9" s="1"/>
  <c r="D96" i="9"/>
  <c r="D112" i="9"/>
  <c r="D168" i="9"/>
  <c r="G3" i="9"/>
  <c r="I38" i="9"/>
  <c r="H38" i="9" s="1"/>
  <c r="I67" i="9"/>
  <c r="H67" i="9" s="1"/>
  <c r="G67" i="9"/>
  <c r="D93" i="9"/>
  <c r="I108" i="9"/>
  <c r="I137" i="9"/>
  <c r="H137" i="9" s="1"/>
  <c r="G137" i="9"/>
  <c r="I218" i="9"/>
  <c r="H218" i="9" s="1"/>
  <c r="I221" i="9"/>
  <c r="H221" i="9" s="1"/>
  <c r="G221" i="9"/>
  <c r="D221" i="9"/>
  <c r="I286" i="9"/>
  <c r="H286" i="9" s="1"/>
  <c r="D330" i="9"/>
  <c r="I358" i="9"/>
  <c r="H358" i="9" s="1"/>
  <c r="G358" i="9"/>
  <c r="I413" i="9"/>
  <c r="H413" i="9" s="1"/>
  <c r="G413" i="9"/>
  <c r="I498" i="9"/>
  <c r="H498" i="9" s="1"/>
  <c r="I573" i="9"/>
  <c r="H573" i="9" s="1"/>
  <c r="G573" i="9"/>
  <c r="D573" i="9"/>
  <c r="I5" i="9"/>
  <c r="H5" i="9" s="1"/>
  <c r="I21" i="9"/>
  <c r="H21" i="9" s="1"/>
  <c r="D108" i="9"/>
  <c r="J108" i="9"/>
  <c r="I142" i="9"/>
  <c r="H142" i="9" s="1"/>
  <c r="G142" i="9"/>
  <c r="D142" i="9"/>
  <c r="I235" i="9"/>
  <c r="H235" i="9" s="1"/>
  <c r="G235" i="9"/>
  <c r="G258" i="9"/>
  <c r="D258" i="9"/>
  <c r="I301" i="9"/>
  <c r="H301" i="9" s="1"/>
  <c r="G326" i="9"/>
  <c r="I326" i="9"/>
  <c r="H326" i="9" s="1"/>
  <c r="G397" i="9"/>
  <c r="I397" i="9"/>
  <c r="H397" i="9" s="1"/>
  <c r="D397" i="9"/>
  <c r="D425" i="9"/>
  <c r="I469" i="9"/>
  <c r="G469" i="9"/>
  <c r="I522" i="9"/>
  <c r="G588" i="9"/>
  <c r="I588" i="9"/>
  <c r="H588" i="9" s="1"/>
  <c r="D588" i="9"/>
  <c r="G98" i="9"/>
  <c r="D110" i="9"/>
  <c r="D188" i="9"/>
  <c r="I188" i="9"/>
  <c r="H188" i="9" s="1"/>
  <c r="G188" i="9"/>
  <c r="G193" i="9"/>
  <c r="I193" i="9"/>
  <c r="H193" i="9" s="1"/>
  <c r="D195" i="9"/>
  <c r="G195" i="9"/>
  <c r="I350" i="9"/>
  <c r="H350" i="9" s="1"/>
  <c r="I483" i="9"/>
  <c r="H483" i="9" s="1"/>
  <c r="D552" i="9"/>
  <c r="I552" i="9"/>
  <c r="G552" i="9"/>
  <c r="D91" i="9"/>
  <c r="D101" i="9"/>
  <c r="I110" i="9"/>
  <c r="H110" i="9" s="1"/>
  <c r="D137" i="9"/>
  <c r="I183" i="9"/>
  <c r="H183" i="9" s="1"/>
  <c r="D237" i="9"/>
  <c r="G256" i="9"/>
  <c r="D256" i="9"/>
  <c r="I282" i="9"/>
  <c r="H282" i="9" s="1"/>
  <c r="G282" i="9"/>
  <c r="D282" i="9"/>
  <c r="D235" i="9"/>
  <c r="G300" i="9"/>
  <c r="I300" i="9"/>
  <c r="H300" i="9" s="1"/>
  <c r="D300" i="9"/>
  <c r="I431" i="9"/>
  <c r="H431" i="9" s="1"/>
  <c r="D431" i="9"/>
  <c r="D566" i="9"/>
  <c r="D38" i="9"/>
  <c r="D67" i="9"/>
  <c r="D84" i="9"/>
  <c r="I47" i="9"/>
  <c r="H47" i="9" s="1"/>
  <c r="G62" i="9"/>
  <c r="G96" i="9"/>
  <c r="D130" i="9"/>
  <c r="I133" i="9"/>
  <c r="J133" i="9"/>
  <c r="I58" i="9"/>
  <c r="H58" i="9" s="1"/>
  <c r="G58" i="9"/>
  <c r="I62" i="9"/>
  <c r="H62" i="9" s="1"/>
  <c r="I295" i="9"/>
  <c r="H295" i="9" s="1"/>
  <c r="D322" i="9"/>
  <c r="I322" i="9"/>
  <c r="H322" i="9" s="1"/>
  <c r="G322" i="9"/>
  <c r="I324" i="9"/>
  <c r="H324" i="9" s="1"/>
  <c r="I419" i="9"/>
  <c r="H419" i="9" s="1"/>
  <c r="G419" i="9"/>
  <c r="I448" i="9"/>
  <c r="H448" i="9" s="1"/>
  <c r="G448" i="9"/>
  <c r="D448" i="9"/>
  <c r="I482" i="9"/>
  <c r="H482" i="9" s="1"/>
  <c r="G482" i="9"/>
  <c r="D482" i="9"/>
  <c r="D515" i="9"/>
  <c r="G520" i="9"/>
  <c r="D520" i="9"/>
  <c r="I545" i="9"/>
  <c r="G545" i="9"/>
  <c r="D547" i="9"/>
  <c r="G596" i="9"/>
  <c r="I596" i="9"/>
  <c r="D244" i="9"/>
  <c r="D75" i="9"/>
  <c r="J75" i="9"/>
  <c r="I203" i="9"/>
  <c r="H203" i="9" s="1"/>
  <c r="G203" i="9"/>
  <c r="D233" i="9"/>
  <c r="J233" i="9"/>
  <c r="G247" i="9"/>
  <c r="I247" i="9"/>
  <c r="H247" i="9" s="1"/>
  <c r="G280" i="9"/>
  <c r="D280" i="9"/>
  <c r="I460" i="9"/>
  <c r="H460" i="9" s="1"/>
  <c r="G460" i="9"/>
  <c r="D477" i="9"/>
  <c r="G477" i="9"/>
  <c r="G498" i="9"/>
  <c r="I562" i="9"/>
  <c r="G562" i="9"/>
  <c r="I308" i="9"/>
  <c r="H308" i="9" s="1"/>
  <c r="I364" i="9"/>
  <c r="H364" i="9" s="1"/>
  <c r="D413" i="9"/>
  <c r="I516" i="9"/>
  <c r="I518" i="9"/>
  <c r="I520" i="9"/>
  <c r="I543" i="9"/>
  <c r="D586" i="9"/>
  <c r="D87" i="9"/>
  <c r="D89" i="9"/>
  <c r="I337" i="9"/>
  <c r="H337" i="9" s="1"/>
  <c r="D358" i="9"/>
  <c r="D388" i="9"/>
  <c r="I450" i="9"/>
  <c r="D480" i="9"/>
  <c r="I488" i="9"/>
  <c r="H488" i="9" s="1"/>
  <c r="D534" i="9"/>
  <c r="G138" i="9"/>
  <c r="I138" i="9"/>
  <c r="H138" i="9" s="1"/>
  <c r="D210" i="9"/>
  <c r="D278" i="9"/>
  <c r="G316" i="9"/>
  <c r="I316" i="9"/>
  <c r="H316" i="9" s="1"/>
  <c r="D329" i="9"/>
  <c r="I344" i="9"/>
  <c r="I44" i="9"/>
  <c r="H44" i="9" s="1"/>
  <c r="D63" i="9"/>
  <c r="I94" i="9"/>
  <c r="H94" i="9" s="1"/>
  <c r="D107" i="9"/>
  <c r="D136" i="9"/>
  <c r="D198" i="9"/>
  <c r="D236" i="9"/>
  <c r="D240" i="9"/>
  <c r="D276" i="9"/>
  <c r="D291" i="9"/>
  <c r="D325" i="9"/>
  <c r="I331" i="9"/>
  <c r="H331" i="9" s="1"/>
  <c r="D352" i="9"/>
  <c r="D371" i="9"/>
  <c r="D377" i="9"/>
  <c r="I384" i="9"/>
  <c r="D405" i="9"/>
  <c r="I411" i="9"/>
  <c r="H411" i="9" s="1"/>
  <c r="I439" i="9"/>
  <c r="H439" i="9" s="1"/>
  <c r="D450" i="9"/>
  <c r="D454" i="9"/>
  <c r="D510" i="9"/>
  <c r="D525" i="9"/>
  <c r="D555" i="9"/>
  <c r="D591" i="9"/>
  <c r="D593" i="9"/>
  <c r="I122" i="9"/>
  <c r="H122" i="9" s="1"/>
  <c r="I178" i="9"/>
  <c r="H178" i="9" s="1"/>
  <c r="D183" i="9"/>
  <c r="D200" i="9"/>
  <c r="I244" i="9"/>
  <c r="H244" i="9" s="1"/>
  <c r="I276" i="9"/>
  <c r="H276" i="9" s="1"/>
  <c r="D342" i="9"/>
  <c r="D350" i="9"/>
  <c r="D497" i="9"/>
  <c r="J543" i="9"/>
  <c r="H543" i="9" s="1"/>
  <c r="D563" i="9"/>
  <c r="D595" i="9"/>
  <c r="I148" i="9"/>
  <c r="H148" i="9" s="1"/>
  <c r="G465" i="9"/>
  <c r="I489" i="9"/>
  <c r="H489" i="9" s="1"/>
  <c r="D576" i="9"/>
  <c r="I582" i="9"/>
  <c r="H582" i="9" s="1"/>
  <c r="D12" i="9"/>
  <c r="D29" i="9"/>
  <c r="I48" i="9"/>
  <c r="H48" i="9" s="1"/>
  <c r="J134" i="9"/>
  <c r="I160" i="9"/>
  <c r="H160" i="9" s="1"/>
  <c r="I220" i="9"/>
  <c r="H220" i="9" s="1"/>
  <c r="I240" i="9"/>
  <c r="H240" i="9" s="1"/>
  <c r="D363" i="9"/>
  <c r="I377" i="9"/>
  <c r="H377" i="9" s="1"/>
  <c r="I388" i="9"/>
  <c r="H388" i="9" s="1"/>
  <c r="D439" i="9"/>
  <c r="J480" i="9"/>
  <c r="D485" i="9"/>
  <c r="D504" i="9"/>
  <c r="I515" i="9"/>
  <c r="J516" i="9"/>
  <c r="H516" i="9" s="1"/>
  <c r="J520" i="9"/>
  <c r="H520" i="9" s="1"/>
  <c r="I529" i="9"/>
  <c r="J534" i="9"/>
  <c r="H534" i="9" s="1"/>
  <c r="I64" i="9"/>
  <c r="H64" i="9" s="1"/>
  <c r="I84" i="9"/>
  <c r="H84" i="9" s="1"/>
  <c r="I87" i="9"/>
  <c r="H87" i="9" s="1"/>
  <c r="E4" i="4"/>
  <c r="H584" i="9"/>
  <c r="D385" i="9"/>
  <c r="I383" i="9"/>
  <c r="H383" i="9" s="1"/>
  <c r="D316" i="9"/>
  <c r="D279" i="9"/>
  <c r="D31" i="11"/>
  <c r="H215" i="9"/>
  <c r="D14" i="11"/>
  <c r="C16" i="11"/>
  <c r="M10" i="2"/>
  <c r="M38" i="2"/>
  <c r="M15" i="2"/>
  <c r="M31" i="2"/>
  <c r="M20" i="2"/>
  <c r="M17" i="2"/>
  <c r="M40" i="2"/>
  <c r="M18" i="2"/>
  <c r="M33" i="2"/>
  <c r="M26" i="2"/>
  <c r="I146" i="9"/>
  <c r="H146" i="9" s="1"/>
  <c r="F1" i="5"/>
  <c r="E6" i="4"/>
  <c r="M6" i="2"/>
  <c r="M7" i="2"/>
  <c r="B155" i="13"/>
  <c r="I298" i="9" s="1"/>
  <c r="H298" i="9" s="1"/>
  <c r="E134" i="4"/>
  <c r="D249" i="9"/>
  <c r="I249" i="9"/>
  <c r="H249" i="9" s="1"/>
  <c r="G418" i="9"/>
  <c r="I418" i="9"/>
  <c r="H418" i="9" s="1"/>
  <c r="D418" i="9"/>
  <c r="D127" i="9"/>
  <c r="I127" i="9"/>
  <c r="H127" i="9" s="1"/>
  <c r="G127" i="9"/>
  <c r="I161" i="9"/>
  <c r="H161" i="9" s="1"/>
  <c r="G161" i="9"/>
  <c r="D161" i="9"/>
  <c r="D180" i="9"/>
  <c r="I180" i="9"/>
  <c r="H180" i="9" s="1"/>
  <c r="D78" i="9"/>
  <c r="G78" i="9"/>
  <c r="G140" i="9"/>
  <c r="D140" i="9"/>
  <c r="I140" i="9"/>
  <c r="H140" i="9" s="1"/>
  <c r="I152" i="9"/>
  <c r="H152" i="9" s="1"/>
  <c r="G152" i="9"/>
  <c r="D152" i="9"/>
  <c r="J159" i="9"/>
  <c r="D159" i="9"/>
  <c r="D174" i="9"/>
  <c r="I174" i="9"/>
  <c r="H174" i="9" s="1"/>
  <c r="G174" i="9"/>
  <c r="I387" i="9"/>
  <c r="H387" i="9" s="1"/>
  <c r="G387" i="9"/>
  <c r="D387" i="9"/>
  <c r="D31" i="9"/>
  <c r="J61" i="9"/>
  <c r="D61" i="9"/>
  <c r="I63" i="9"/>
  <c r="H63" i="9" s="1"/>
  <c r="G123" i="9"/>
  <c r="D165" i="9"/>
  <c r="D212" i="9"/>
  <c r="G212" i="9"/>
  <c r="I212" i="9"/>
  <c r="H212" i="9" s="1"/>
  <c r="I214" i="9"/>
  <c r="H214" i="9" s="1"/>
  <c r="G214" i="9"/>
  <c r="D214" i="9"/>
  <c r="G105" i="9"/>
  <c r="D105" i="9"/>
  <c r="I105" i="9"/>
  <c r="H105" i="9" s="1"/>
  <c r="I115" i="9"/>
  <c r="H115" i="9" s="1"/>
  <c r="G115" i="9"/>
  <c r="D115" i="9"/>
  <c r="D157" i="9"/>
  <c r="I157" i="9"/>
  <c r="H157" i="9" s="1"/>
  <c r="G252" i="9"/>
  <c r="D252" i="9"/>
  <c r="I252" i="9"/>
  <c r="H252" i="9" s="1"/>
  <c r="I54" i="9"/>
  <c r="H54" i="9" s="1"/>
  <c r="G54" i="9"/>
  <c r="D54" i="9"/>
  <c r="B171" i="13"/>
  <c r="I109" i="9" s="1"/>
  <c r="H109" i="9" s="1"/>
  <c r="B87" i="13"/>
  <c r="B81" i="13"/>
  <c r="I123" i="9" s="1"/>
  <c r="H123" i="9" s="1"/>
  <c r="B40" i="13"/>
  <c r="B88" i="13"/>
  <c r="B73" i="13"/>
  <c r="B32" i="13"/>
  <c r="B21" i="13"/>
  <c r="E28" i="4"/>
  <c r="T32" i="2"/>
  <c r="R32" i="2"/>
  <c r="S32" i="2"/>
  <c r="U32" i="2"/>
  <c r="S35" i="2"/>
  <c r="P35" i="2"/>
  <c r="I80" i="9"/>
  <c r="H80" i="9" s="1"/>
  <c r="D80" i="9"/>
  <c r="P32" i="2"/>
  <c r="G74" i="9"/>
  <c r="I74" i="9"/>
  <c r="H74" i="9" s="1"/>
  <c r="D74" i="9"/>
  <c r="S14" i="2"/>
  <c r="M23" i="2"/>
  <c r="S28" i="2"/>
  <c r="P28" i="2"/>
  <c r="P30" i="2"/>
  <c r="T35" i="2"/>
  <c r="F1" i="6"/>
  <c r="D25" i="9"/>
  <c r="I101" i="9"/>
  <c r="H101" i="9" s="1"/>
  <c r="G101" i="9"/>
  <c r="U12" i="2"/>
  <c r="P12" i="2"/>
  <c r="U35" i="2"/>
  <c r="E83" i="4"/>
  <c r="D34" i="9"/>
  <c r="I34" i="9"/>
  <c r="H34" i="9" s="1"/>
  <c r="G34" i="9"/>
  <c r="G45" i="9"/>
  <c r="I45" i="9"/>
  <c r="H45" i="9" s="1"/>
  <c r="G52" i="9"/>
  <c r="G65" i="9"/>
  <c r="I65" i="9"/>
  <c r="H65" i="9" s="1"/>
  <c r="G95" i="9"/>
  <c r="D95" i="9"/>
  <c r="I103" i="9"/>
  <c r="H103" i="9" s="1"/>
  <c r="G103" i="9"/>
  <c r="D103" i="9"/>
  <c r="D155" i="9"/>
  <c r="I155" i="9"/>
  <c r="H155" i="9" s="1"/>
  <c r="G155" i="9"/>
  <c r="D172" i="9"/>
  <c r="J206" i="9"/>
  <c r="D206" i="9"/>
  <c r="I206" i="9"/>
  <c r="D238" i="9"/>
  <c r="I238" i="9"/>
  <c r="H238" i="9" s="1"/>
  <c r="J354" i="9"/>
  <c r="D354" i="9"/>
  <c r="U14" i="2"/>
  <c r="R14" i="2"/>
  <c r="P14" i="2"/>
  <c r="D52" i="9"/>
  <c r="J8" i="9"/>
  <c r="D8" i="9"/>
  <c r="G16" i="9"/>
  <c r="D16" i="9"/>
  <c r="H23" i="9"/>
  <c r="G80" i="9"/>
  <c r="D99" i="9"/>
  <c r="G99" i="9"/>
  <c r="I99" i="9"/>
  <c r="H99" i="9" s="1"/>
  <c r="G128" i="9"/>
  <c r="D128" i="9"/>
  <c r="I128" i="9"/>
  <c r="H128" i="9" s="1"/>
  <c r="M42" i="2"/>
  <c r="I7" i="9"/>
  <c r="H7" i="9" s="1"/>
  <c r="D7" i="9"/>
  <c r="G17" i="9"/>
  <c r="D17" i="9"/>
  <c r="D92" i="9"/>
  <c r="I92" i="9"/>
  <c r="H92" i="9" s="1"/>
  <c r="G92" i="9"/>
  <c r="D20" i="9"/>
  <c r="G20" i="9"/>
  <c r="I20" i="9"/>
  <c r="H20" i="9" s="1"/>
  <c r="D22" i="9"/>
  <c r="I22" i="9"/>
  <c r="H22" i="9" s="1"/>
  <c r="G22" i="9"/>
  <c r="I41" i="9"/>
  <c r="H41" i="9" s="1"/>
  <c r="I43" i="9"/>
  <c r="H43" i="9" s="1"/>
  <c r="D45" i="9"/>
  <c r="I59" i="9"/>
  <c r="G79" i="9"/>
  <c r="D79" i="9"/>
  <c r="I85" i="9"/>
  <c r="J85" i="9"/>
  <c r="D97" i="9"/>
  <c r="G97" i="9"/>
  <c r="I97" i="9"/>
  <c r="H97" i="9" s="1"/>
  <c r="I135" i="9"/>
  <c r="H135" i="9" s="1"/>
  <c r="D135" i="9"/>
  <c r="D189" i="9"/>
  <c r="D202" i="9"/>
  <c r="I202" i="9"/>
  <c r="H202" i="9" s="1"/>
  <c r="D229" i="9"/>
  <c r="I229" i="9"/>
  <c r="H229" i="9" s="1"/>
  <c r="G229" i="9"/>
  <c r="I255" i="9"/>
  <c r="H255" i="9" s="1"/>
  <c r="G255" i="9"/>
  <c r="D255" i="9"/>
  <c r="J304" i="9"/>
  <c r="I304" i="9"/>
  <c r="D304" i="9"/>
  <c r="D313" i="9"/>
  <c r="J313" i="9"/>
  <c r="G33" i="9"/>
  <c r="D33" i="9"/>
  <c r="I33" i="9"/>
  <c r="H33" i="9" s="1"/>
  <c r="D48" i="9"/>
  <c r="G48" i="9"/>
  <c r="I144" i="9"/>
  <c r="H144" i="9" s="1"/>
  <c r="G144" i="9"/>
  <c r="D144" i="9"/>
  <c r="D13" i="9"/>
  <c r="I13" i="9"/>
  <c r="H13" i="9" s="1"/>
  <c r="G13" i="9"/>
  <c r="C30" i="11"/>
  <c r="D4" i="9"/>
  <c r="I40" i="9"/>
  <c r="H40" i="9" s="1"/>
  <c r="G40" i="9"/>
  <c r="D40" i="9"/>
  <c r="G42" i="9"/>
  <c r="D42" i="9"/>
  <c r="J59" i="9"/>
  <c r="I61" i="9"/>
  <c r="G63" i="9"/>
  <c r="I196" i="9"/>
  <c r="H196" i="9" s="1"/>
  <c r="G196" i="9"/>
  <c r="D196" i="9"/>
  <c r="I227" i="9"/>
  <c r="H227" i="9" s="1"/>
  <c r="G227" i="9"/>
  <c r="D227" i="9"/>
  <c r="I78" i="9"/>
  <c r="H78" i="9" s="1"/>
  <c r="I81" i="9"/>
  <c r="H81" i="9" s="1"/>
  <c r="D81" i="9"/>
  <c r="M29" i="2"/>
  <c r="I60" i="9"/>
  <c r="H60" i="9" s="1"/>
  <c r="D60" i="9"/>
  <c r="I77" i="9"/>
  <c r="H77" i="9" s="1"/>
  <c r="G77" i="9"/>
  <c r="D77" i="9"/>
  <c r="I112" i="9"/>
  <c r="H112" i="9" s="1"/>
  <c r="G112" i="9"/>
  <c r="G131" i="9"/>
  <c r="D131" i="9"/>
  <c r="I131" i="9"/>
  <c r="H131" i="9" s="1"/>
  <c r="D133" i="9"/>
  <c r="D15" i="9"/>
  <c r="I15" i="9"/>
  <c r="H15" i="9" s="1"/>
  <c r="G15" i="9"/>
  <c r="D66" i="9"/>
  <c r="U30" i="2"/>
  <c r="T30" i="2"/>
  <c r="R30" i="2"/>
  <c r="C29" i="11"/>
  <c r="D24" i="9"/>
  <c r="G24" i="9"/>
  <c r="T28" i="2"/>
  <c r="I16" i="9"/>
  <c r="H16" i="9" s="1"/>
  <c r="J56" i="9"/>
  <c r="I56" i="9"/>
  <c r="I95" i="9"/>
  <c r="H95" i="9" s="1"/>
  <c r="G114" i="9"/>
  <c r="D114" i="9"/>
  <c r="I192" i="9"/>
  <c r="J192" i="9"/>
  <c r="D192" i="9"/>
  <c r="G9" i="9"/>
  <c r="D9" i="9"/>
  <c r="D50" i="9"/>
  <c r="G50" i="9"/>
  <c r="G94" i="9"/>
  <c r="D94" i="9"/>
  <c r="I156" i="9"/>
  <c r="H156" i="9" s="1"/>
  <c r="D156" i="9"/>
  <c r="I68" i="9"/>
  <c r="H68" i="9" s="1"/>
  <c r="G68" i="9"/>
  <c r="D68" i="9"/>
  <c r="G199" i="9"/>
  <c r="I199" i="9"/>
  <c r="H199" i="9" s="1"/>
  <c r="D199" i="9"/>
  <c r="G220" i="9"/>
  <c r="D220" i="9"/>
  <c r="G277" i="9"/>
  <c r="I277" i="9"/>
  <c r="H277" i="9" s="1"/>
  <c r="D277" i="9"/>
  <c r="D6" i="9"/>
  <c r="I6" i="9"/>
  <c r="H6" i="9" s="1"/>
  <c r="G6" i="9"/>
  <c r="I25" i="9"/>
  <c r="H25" i="9" s="1"/>
  <c r="G43" i="9"/>
  <c r="D204" i="9"/>
  <c r="G204" i="9"/>
  <c r="I204" i="9"/>
  <c r="H204" i="9" s="1"/>
  <c r="I231" i="9"/>
  <c r="H231" i="9" s="1"/>
  <c r="G231" i="9"/>
  <c r="D231" i="9"/>
  <c r="U28" i="2"/>
  <c r="T39" i="2"/>
  <c r="R39" i="2"/>
  <c r="S39" i="2"/>
  <c r="U39" i="2"/>
  <c r="U37" i="2"/>
  <c r="T37" i="2"/>
  <c r="P37" i="2"/>
  <c r="P39" i="2"/>
  <c r="I8" i="9"/>
  <c r="G81" i="9"/>
  <c r="I86" i="9"/>
  <c r="G100" i="9"/>
  <c r="D100" i="9"/>
  <c r="D124" i="9"/>
  <c r="G129" i="9"/>
  <c r="I129" i="9"/>
  <c r="H129" i="9" s="1"/>
  <c r="D129" i="9"/>
  <c r="D173" i="9"/>
  <c r="I173" i="9"/>
  <c r="H173" i="9" s="1"/>
  <c r="J190" i="9"/>
  <c r="I190" i="9"/>
  <c r="I296" i="9"/>
  <c r="H296" i="9" s="1"/>
  <c r="D296" i="9"/>
  <c r="G296" i="9"/>
  <c r="D302" i="9"/>
  <c r="I302" i="9"/>
  <c r="H302" i="9" s="1"/>
  <c r="J311" i="9"/>
  <c r="I311" i="9"/>
  <c r="D311" i="9"/>
  <c r="I348" i="9"/>
  <c r="H348" i="9" s="1"/>
  <c r="D348" i="9"/>
  <c r="I491" i="9"/>
  <c r="H491" i="9" s="1"/>
  <c r="D491" i="9"/>
  <c r="G491" i="9"/>
  <c r="D69" i="9"/>
  <c r="G69" i="9"/>
  <c r="D118" i="9"/>
  <c r="I118" i="9"/>
  <c r="H118" i="9" s="1"/>
  <c r="G118" i="9"/>
  <c r="I294" i="9"/>
  <c r="H294" i="9" s="1"/>
  <c r="G294" i="9"/>
  <c r="D294" i="9"/>
  <c r="G314" i="9"/>
  <c r="I314" i="9"/>
  <c r="H314" i="9" s="1"/>
  <c r="D314" i="9"/>
  <c r="B90" i="13"/>
  <c r="I224" i="9" s="1"/>
  <c r="H224" i="9" s="1"/>
  <c r="B168" i="13"/>
  <c r="I39" i="9" s="1"/>
  <c r="H39" i="9" s="1"/>
  <c r="B50" i="13"/>
  <c r="I486" i="9" s="1"/>
  <c r="H486" i="9" s="1"/>
  <c r="B91" i="13"/>
  <c r="I222" i="9" s="1"/>
  <c r="H222" i="9" s="1"/>
  <c r="T27" i="2"/>
  <c r="R27" i="2"/>
  <c r="P27" i="2"/>
  <c r="I10" i="9"/>
  <c r="H10" i="9" s="1"/>
  <c r="G10" i="9"/>
  <c r="D10" i="9"/>
  <c r="I29" i="9"/>
  <c r="H29" i="9" s="1"/>
  <c r="G51" i="9"/>
  <c r="I51" i="9"/>
  <c r="H51" i="9" s="1"/>
  <c r="D51" i="9"/>
  <c r="I90" i="9"/>
  <c r="H90" i="9" s="1"/>
  <c r="D120" i="9"/>
  <c r="I120" i="9"/>
  <c r="H120" i="9" s="1"/>
  <c r="G120" i="9"/>
  <c r="D122" i="9"/>
  <c r="D146" i="9"/>
  <c r="G146" i="9"/>
  <c r="G163" i="9"/>
  <c r="D163" i="9"/>
  <c r="D169" i="9"/>
  <c r="I169" i="9"/>
  <c r="H169" i="9" s="1"/>
  <c r="G171" i="9"/>
  <c r="I171" i="9"/>
  <c r="H171" i="9" s="1"/>
  <c r="D171" i="9"/>
  <c r="D177" i="9"/>
  <c r="I177" i="9"/>
  <c r="H177" i="9" s="1"/>
  <c r="G179" i="9"/>
  <c r="I179" i="9"/>
  <c r="H179" i="9" s="1"/>
  <c r="I237" i="9"/>
  <c r="H237" i="9" s="1"/>
  <c r="G237" i="9"/>
  <c r="I263" i="9"/>
  <c r="H263" i="9" s="1"/>
  <c r="G263" i="9"/>
  <c r="I265" i="9"/>
  <c r="H265" i="9" s="1"/>
  <c r="D265" i="9"/>
  <c r="G265" i="9"/>
  <c r="G309" i="9"/>
  <c r="I309" i="9"/>
  <c r="H309" i="9" s="1"/>
  <c r="D309" i="9"/>
  <c r="I328" i="9"/>
  <c r="H328" i="9" s="1"/>
  <c r="D328" i="9"/>
  <c r="J464" i="9"/>
  <c r="D464" i="9"/>
  <c r="D466" i="9"/>
  <c r="I466" i="9"/>
  <c r="H466" i="9" s="1"/>
  <c r="G466" i="9"/>
  <c r="R13" i="2"/>
  <c r="P13" i="2"/>
  <c r="B96" i="13"/>
  <c r="B82" i="13"/>
  <c r="I124" i="9" s="1"/>
  <c r="H124" i="9" s="1"/>
  <c r="B172" i="13"/>
  <c r="I111" i="9" s="1"/>
  <c r="H111" i="9" s="1"/>
  <c r="B78" i="13"/>
  <c r="B83" i="13"/>
  <c r="I125" i="9" s="1"/>
  <c r="H125" i="9" s="1"/>
  <c r="B93" i="13"/>
  <c r="B86" i="13"/>
  <c r="T25" i="2"/>
  <c r="U25" i="2"/>
  <c r="M36" i="2"/>
  <c r="G82" i="9"/>
  <c r="D82" i="9"/>
  <c r="I89" i="9"/>
  <c r="H89" i="9" s="1"/>
  <c r="M21" i="2"/>
  <c r="P25" i="2"/>
  <c r="T34" i="2"/>
  <c r="R34" i="2"/>
  <c r="P34" i="2"/>
  <c r="I14" i="9"/>
  <c r="H14" i="9" s="1"/>
  <c r="I19" i="9"/>
  <c r="H19" i="9" s="1"/>
  <c r="G19" i="9"/>
  <c r="G30" i="9"/>
  <c r="D30" i="9"/>
  <c r="I32" i="9"/>
  <c r="H32" i="9" s="1"/>
  <c r="I55" i="9"/>
  <c r="H55" i="9" s="1"/>
  <c r="D57" i="9"/>
  <c r="I57" i="9"/>
  <c r="H57" i="9" s="1"/>
  <c r="D71" i="9"/>
  <c r="I71" i="9"/>
  <c r="H71" i="9" s="1"/>
  <c r="G71" i="9"/>
  <c r="D73" i="9"/>
  <c r="I98" i="9"/>
  <c r="H98" i="9" s="1"/>
  <c r="D167" i="9"/>
  <c r="I167" i="9"/>
  <c r="H167" i="9" s="1"/>
  <c r="G167" i="9"/>
  <c r="D181" i="9"/>
  <c r="I181" i="9"/>
  <c r="H181" i="9" s="1"/>
  <c r="D239" i="9"/>
  <c r="G239" i="9"/>
  <c r="I239" i="9"/>
  <c r="H239" i="9" s="1"/>
  <c r="I248" i="9"/>
  <c r="G274" i="9"/>
  <c r="I274" i="9"/>
  <c r="H274" i="9" s="1"/>
  <c r="D274" i="9"/>
  <c r="J382" i="9"/>
  <c r="D382" i="9"/>
  <c r="G267" i="9"/>
  <c r="I267" i="9"/>
  <c r="H267" i="9" s="1"/>
  <c r="D267" i="9"/>
  <c r="J406" i="9"/>
  <c r="I406" i="9"/>
  <c r="D406" i="9"/>
  <c r="I412" i="9"/>
  <c r="H412" i="9" s="1"/>
  <c r="G412" i="9"/>
  <c r="D412" i="9"/>
  <c r="U9" i="2"/>
  <c r="T9" i="2"/>
  <c r="T11" i="2"/>
  <c r="S11" i="2"/>
  <c r="R11" i="2"/>
  <c r="T19" i="2"/>
  <c r="S19" i="2"/>
  <c r="R19" i="2"/>
  <c r="T41" i="2"/>
  <c r="R41" i="2"/>
  <c r="P41" i="2"/>
  <c r="G28" i="9"/>
  <c r="I28" i="9"/>
  <c r="H28" i="9" s="1"/>
  <c r="D28" i="9"/>
  <c r="D111" i="9"/>
  <c r="D141" i="9"/>
  <c r="G154" i="9"/>
  <c r="D154" i="9"/>
  <c r="I189" i="9"/>
  <c r="H189" i="9" s="1"/>
  <c r="G189" i="9"/>
  <c r="D205" i="9"/>
  <c r="I230" i="9"/>
  <c r="H230" i="9" s="1"/>
  <c r="G230" i="9"/>
  <c r="I233" i="9"/>
  <c r="D261" i="9"/>
  <c r="D270" i="9"/>
  <c r="I270" i="9"/>
  <c r="H270" i="9" s="1"/>
  <c r="G270" i="9"/>
  <c r="D272" i="9"/>
  <c r="D292" i="9"/>
  <c r="J292" i="9"/>
  <c r="I307" i="9"/>
  <c r="H307" i="9" s="1"/>
  <c r="G307" i="9"/>
  <c r="G312" i="9"/>
  <c r="I312" i="9"/>
  <c r="H312" i="9" s="1"/>
  <c r="D312" i="9"/>
  <c r="D435" i="9"/>
  <c r="I435" i="9"/>
  <c r="H435" i="9" s="1"/>
  <c r="G435" i="9"/>
  <c r="G447" i="9"/>
  <c r="I447" i="9"/>
  <c r="H447" i="9" s="1"/>
  <c r="D447" i="9"/>
  <c r="D263" i="9"/>
  <c r="I290" i="9"/>
  <c r="D290" i="9"/>
  <c r="J290" i="9"/>
  <c r="I104" i="9"/>
  <c r="H104" i="9" s="1"/>
  <c r="D106" i="9"/>
  <c r="I106" i="9"/>
  <c r="H106" i="9" s="1"/>
  <c r="G126" i="9"/>
  <c r="D126" i="9"/>
  <c r="D132" i="9"/>
  <c r="G132" i="9"/>
  <c r="I132" i="9"/>
  <c r="H132" i="9" s="1"/>
  <c r="G158" i="9"/>
  <c r="I158" i="9"/>
  <c r="H158" i="9" s="1"/>
  <c r="I234" i="9"/>
  <c r="H234" i="9" s="1"/>
  <c r="G234" i="9"/>
  <c r="D234" i="9"/>
  <c r="D321" i="9"/>
  <c r="G321" i="9"/>
  <c r="I321" i="9"/>
  <c r="H321" i="9" s="1"/>
  <c r="G348" i="9"/>
  <c r="G393" i="9"/>
  <c r="I393" i="9"/>
  <c r="H393" i="9" s="1"/>
  <c r="D393" i="9"/>
  <c r="I399" i="9"/>
  <c r="J399" i="9"/>
  <c r="D399" i="9"/>
  <c r="J428" i="9"/>
  <c r="D428" i="9"/>
  <c r="I428" i="9"/>
  <c r="I217" i="9"/>
  <c r="H217" i="9" s="1"/>
  <c r="G217" i="9"/>
  <c r="D219" i="9"/>
  <c r="I219" i="9"/>
  <c r="H219" i="9" s="1"/>
  <c r="G219" i="9"/>
  <c r="I284" i="9"/>
  <c r="H284" i="9" s="1"/>
  <c r="D284" i="9"/>
  <c r="G284" i="9"/>
  <c r="I310" i="9"/>
  <c r="H310" i="9" s="1"/>
  <c r="D310" i="9"/>
  <c r="G310" i="9"/>
  <c r="D368" i="9"/>
  <c r="I368" i="9"/>
  <c r="H368" i="9" s="1"/>
  <c r="G368" i="9"/>
  <c r="G150" i="9"/>
  <c r="G175" i="9"/>
  <c r="G181" i="9"/>
  <c r="I186" i="9"/>
  <c r="H186" i="9" s="1"/>
  <c r="G186" i="9"/>
  <c r="D186" i="9"/>
  <c r="D209" i="9"/>
  <c r="G209" i="9"/>
  <c r="J211" i="9"/>
  <c r="I211" i="9"/>
  <c r="I243" i="9"/>
  <c r="H243" i="9" s="1"/>
  <c r="J248" i="9"/>
  <c r="I333" i="9"/>
  <c r="H333" i="9" s="1"/>
  <c r="D333" i="9"/>
  <c r="G333" i="9"/>
  <c r="J360" i="9"/>
  <c r="D360" i="9"/>
  <c r="D391" i="9"/>
  <c r="G391" i="9"/>
  <c r="I391" i="9"/>
  <c r="H391" i="9" s="1"/>
  <c r="J426" i="9"/>
  <c r="D426" i="9"/>
  <c r="I72" i="9"/>
  <c r="H72" i="9" s="1"/>
  <c r="D83" i="9"/>
  <c r="I83" i="9"/>
  <c r="H83" i="9" s="1"/>
  <c r="G86" i="9"/>
  <c r="I91" i="9"/>
  <c r="H91" i="9" s="1"/>
  <c r="G111" i="9"/>
  <c r="G141" i="9"/>
  <c r="D143" i="9"/>
  <c r="I154" i="9"/>
  <c r="H154" i="9" s="1"/>
  <c r="D158" i="9"/>
  <c r="G164" i="9"/>
  <c r="D176" i="9"/>
  <c r="G176" i="9"/>
  <c r="I182" i="9"/>
  <c r="H182" i="9" s="1"/>
  <c r="D184" i="9"/>
  <c r="G184" i="9"/>
  <c r="I184" i="9"/>
  <c r="H184" i="9" s="1"/>
  <c r="G205" i="9"/>
  <c r="G245" i="9"/>
  <c r="I245" i="9"/>
  <c r="H245" i="9" s="1"/>
  <c r="D245" i="9"/>
  <c r="I117" i="9"/>
  <c r="H117" i="9" s="1"/>
  <c r="G117" i="9"/>
  <c r="D117" i="9"/>
  <c r="I121" i="9"/>
  <c r="H121" i="9" s="1"/>
  <c r="I147" i="9"/>
  <c r="S9" i="2"/>
  <c r="S24" i="2"/>
  <c r="P24" i="2"/>
  <c r="H3" i="9"/>
  <c r="H30" i="9"/>
  <c r="R8" i="2"/>
  <c r="D14" i="2"/>
  <c r="C13" i="17" s="1"/>
  <c r="P8" i="2"/>
  <c r="U22" i="2"/>
  <c r="S22" i="2"/>
  <c r="T22" i="2"/>
  <c r="P22" i="2"/>
  <c r="I4" i="9"/>
  <c r="H4" i="9" s="1"/>
  <c r="I31" i="9"/>
  <c r="H31" i="9" s="1"/>
  <c r="I53" i="9"/>
  <c r="H53" i="9" s="1"/>
  <c r="G56" i="9"/>
  <c r="D56" i="9"/>
  <c r="I73" i="9"/>
  <c r="H73" i="9" s="1"/>
  <c r="G130" i="9"/>
  <c r="I139" i="9"/>
  <c r="H139" i="9" s="1"/>
  <c r="I141" i="9"/>
  <c r="H141" i="9" s="1"/>
  <c r="I149" i="9"/>
  <c r="H149" i="9" s="1"/>
  <c r="G149" i="9"/>
  <c r="D149" i="9"/>
  <c r="I166" i="9"/>
  <c r="H166" i="9" s="1"/>
  <c r="G166" i="9"/>
  <c r="D166" i="9"/>
  <c r="I205" i="9"/>
  <c r="H205" i="9" s="1"/>
  <c r="D217" i="9"/>
  <c r="I266" i="9"/>
  <c r="H266" i="9" s="1"/>
  <c r="D266" i="9"/>
  <c r="D298" i="9"/>
  <c r="G298" i="9"/>
  <c r="I338" i="9"/>
  <c r="H338" i="9" s="1"/>
  <c r="D338" i="9"/>
  <c r="G338" i="9"/>
  <c r="G356" i="9"/>
  <c r="I356" i="9"/>
  <c r="H356" i="9" s="1"/>
  <c r="D356" i="9"/>
  <c r="D389" i="9"/>
  <c r="I389" i="9"/>
  <c r="H389" i="9" s="1"/>
  <c r="G389" i="9"/>
  <c r="G481" i="9"/>
  <c r="I481" i="9"/>
  <c r="H481" i="9" s="1"/>
  <c r="D481" i="9"/>
  <c r="D493" i="9"/>
  <c r="G493" i="9"/>
  <c r="I493" i="9"/>
  <c r="H493" i="9" s="1"/>
  <c r="J317" i="9"/>
  <c r="I317" i="9"/>
  <c r="D317" i="9"/>
  <c r="G340" i="9"/>
  <c r="D340" i="9"/>
  <c r="I366" i="9"/>
  <c r="H366" i="9" s="1"/>
  <c r="G366" i="9"/>
  <c r="D366" i="9"/>
  <c r="G414" i="9"/>
  <c r="I414" i="9"/>
  <c r="H414" i="9" s="1"/>
  <c r="D414" i="9"/>
  <c r="I452" i="9"/>
  <c r="H452" i="9" s="1"/>
  <c r="D452" i="9"/>
  <c r="D539" i="9"/>
  <c r="I539" i="9"/>
  <c r="G539" i="9"/>
  <c r="D554" i="9"/>
  <c r="I554" i="9"/>
  <c r="G554" i="9"/>
  <c r="D36" i="9"/>
  <c r="D85" i="9"/>
  <c r="D134" i="9"/>
  <c r="I195" i="9"/>
  <c r="H195" i="9" s="1"/>
  <c r="D211" i="9"/>
  <c r="I280" i="9"/>
  <c r="H280" i="9" s="1"/>
  <c r="I396" i="9"/>
  <c r="H396" i="9" s="1"/>
  <c r="J487" i="9"/>
  <c r="I487" i="9"/>
  <c r="I537" i="9"/>
  <c r="G537" i="9"/>
  <c r="D438" i="9"/>
  <c r="I438" i="9"/>
  <c r="H438" i="9" s="1"/>
  <c r="G438" i="9"/>
  <c r="G467" i="9"/>
  <c r="I467" i="9"/>
  <c r="H467" i="9" s="1"/>
  <c r="D473" i="9"/>
  <c r="I473" i="9"/>
  <c r="H473" i="9" s="1"/>
  <c r="G473" i="9"/>
  <c r="G260" i="9"/>
  <c r="D260" i="9"/>
  <c r="I260" i="9"/>
  <c r="H260" i="9" s="1"/>
  <c r="I285" i="9"/>
  <c r="H285" i="9" s="1"/>
  <c r="D285" i="9"/>
  <c r="G299" i="9"/>
  <c r="J372" i="9"/>
  <c r="I372" i="9"/>
  <c r="D372" i="9"/>
  <c r="J394" i="9"/>
  <c r="D394" i="9"/>
  <c r="G403" i="9"/>
  <c r="I403" i="9"/>
  <c r="H403" i="9" s="1"/>
  <c r="D403" i="9"/>
  <c r="J429" i="9"/>
  <c r="D429" i="9"/>
  <c r="D444" i="9"/>
  <c r="G444" i="9"/>
  <c r="I444" i="9"/>
  <c r="H444" i="9" s="1"/>
  <c r="D76" i="9"/>
  <c r="D125" i="9"/>
  <c r="I168" i="9"/>
  <c r="H168" i="9" s="1"/>
  <c r="G226" i="9"/>
  <c r="D226" i="9"/>
  <c r="I262" i="9"/>
  <c r="H262" i="9" s="1"/>
  <c r="D262" i="9"/>
  <c r="I264" i="9"/>
  <c r="H264" i="9" s="1"/>
  <c r="G264" i="9"/>
  <c r="G289" i="9"/>
  <c r="D289" i="9"/>
  <c r="I297" i="9"/>
  <c r="D297" i="9"/>
  <c r="G349" i="9"/>
  <c r="D349" i="9"/>
  <c r="J351" i="9"/>
  <c r="I351" i="9"/>
  <c r="D351" i="9"/>
  <c r="I359" i="9"/>
  <c r="H359" i="9" s="1"/>
  <c r="D359" i="9"/>
  <c r="G359" i="9"/>
  <c r="D434" i="9"/>
  <c r="I434" i="9"/>
  <c r="H434" i="9" s="1"/>
  <c r="G434" i="9"/>
  <c r="J471" i="9"/>
  <c r="I471" i="9"/>
  <c r="D471" i="9"/>
  <c r="D535" i="9"/>
  <c r="I535" i="9"/>
  <c r="G535" i="9"/>
  <c r="D537" i="9"/>
  <c r="R16" i="2"/>
  <c r="M16" i="2" s="1"/>
  <c r="D166" i="13"/>
  <c r="D159" i="13"/>
  <c r="D152" i="13"/>
  <c r="D145" i="13"/>
  <c r="D138" i="13"/>
  <c r="D131" i="13"/>
  <c r="D124" i="13"/>
  <c r="D107" i="13"/>
  <c r="D93" i="13"/>
  <c r="D79" i="13"/>
  <c r="D65" i="13"/>
  <c r="D51" i="13"/>
  <c r="D38" i="13"/>
  <c r="D18" i="13"/>
  <c r="D4" i="13"/>
  <c r="D165" i="13"/>
  <c r="D164" i="13"/>
  <c r="D157" i="13"/>
  <c r="D150" i="13"/>
  <c r="D143" i="13"/>
  <c r="D136" i="13"/>
  <c r="D129" i="13"/>
  <c r="D122" i="13"/>
  <c r="D163" i="13"/>
  <c r="D156" i="13"/>
  <c r="D149" i="13"/>
  <c r="D142" i="13"/>
  <c r="D135" i="13"/>
  <c r="D128" i="13"/>
  <c r="D121" i="13"/>
  <c r="D105" i="13"/>
  <c r="D91" i="13"/>
  <c r="D77" i="13"/>
  <c r="D63" i="13"/>
  <c r="D49" i="13"/>
  <c r="D162" i="13"/>
  <c r="D155" i="13"/>
  <c r="D148" i="13"/>
  <c r="D141" i="13"/>
  <c r="D134" i="13"/>
  <c r="D127" i="13"/>
  <c r="D120" i="13"/>
  <c r="D161" i="13"/>
  <c r="D154" i="13"/>
  <c r="D147" i="13"/>
  <c r="D140" i="13"/>
  <c r="D133" i="13"/>
  <c r="D126" i="13"/>
  <c r="D119" i="13"/>
  <c r="D113" i="13"/>
  <c r="D99" i="13"/>
  <c r="D85" i="13"/>
  <c r="D71" i="13"/>
  <c r="D57" i="13"/>
  <c r="D160" i="13"/>
  <c r="D153" i="13"/>
  <c r="D146" i="13"/>
  <c r="D139" i="13"/>
  <c r="D132" i="13"/>
  <c r="D125" i="13"/>
  <c r="D108" i="13"/>
  <c r="D94" i="13"/>
  <c r="D80" i="13"/>
  <c r="D66" i="13"/>
  <c r="D52" i="13"/>
  <c r="D39" i="13"/>
  <c r="D19" i="13"/>
  <c r="D5" i="13"/>
  <c r="D103" i="13"/>
  <c r="D98" i="13"/>
  <c r="D87" i="13"/>
  <c r="D70" i="13"/>
  <c r="D44" i="13"/>
  <c r="D35" i="13"/>
  <c r="D14" i="13"/>
  <c r="D158" i="13"/>
  <c r="D118" i="13"/>
  <c r="D92" i="13"/>
  <c r="D81" i="13"/>
  <c r="D75" i="13"/>
  <c r="D40" i="13"/>
  <c r="D30" i="13"/>
  <c r="D25" i="13"/>
  <c r="D9" i="13"/>
  <c r="D64" i="13"/>
  <c r="D59" i="13"/>
  <c r="D54" i="13"/>
  <c r="D144" i="13"/>
  <c r="D102" i="13"/>
  <c r="D97" i="13"/>
  <c r="D86" i="13"/>
  <c r="D74" i="13"/>
  <c r="D69" i="13"/>
  <c r="D48" i="13"/>
  <c r="D43" i="13"/>
  <c r="D34" i="13"/>
  <c r="D13" i="13"/>
  <c r="D3" i="13"/>
  <c r="D130" i="13"/>
  <c r="D106" i="13"/>
  <c r="D101" i="13"/>
  <c r="D96" i="13"/>
  <c r="D90" i="13"/>
  <c r="D151" i="13"/>
  <c r="D100" i="13"/>
  <c r="D72" i="13"/>
  <c r="D67" i="13"/>
  <c r="D41" i="13"/>
  <c r="D123" i="13"/>
  <c r="D89" i="13"/>
  <c r="D62" i="13"/>
  <c r="D23" i="13"/>
  <c r="D11" i="13"/>
  <c r="D114" i="13"/>
  <c r="D109" i="13"/>
  <c r="D68" i="13"/>
  <c r="D45" i="13"/>
  <c r="D16" i="13"/>
  <c r="D95" i="13"/>
  <c r="D82" i="13"/>
  <c r="D56" i="13"/>
  <c r="D33" i="13"/>
  <c r="D28" i="13"/>
  <c r="D22" i="13"/>
  <c r="D88" i="13"/>
  <c r="D61" i="13"/>
  <c r="D50" i="13"/>
  <c r="D10" i="13"/>
  <c r="D73" i="13"/>
  <c r="D21" i="13"/>
  <c r="D15" i="13"/>
  <c r="D55" i="13"/>
  <c r="D32" i="13"/>
  <c r="D117" i="13"/>
  <c r="D112" i="13"/>
  <c r="D60" i="13"/>
  <c r="D20" i="13"/>
  <c r="D8" i="13"/>
  <c r="D137" i="13"/>
  <c r="D42" i="13"/>
  <c r="D31" i="13"/>
  <c r="D26" i="13"/>
  <c r="D116" i="13"/>
  <c r="D111" i="13"/>
  <c r="D78" i="13"/>
  <c r="D47" i="13"/>
  <c r="D84" i="13"/>
  <c r="D115" i="13"/>
  <c r="D110" i="13"/>
  <c r="D104" i="13"/>
  <c r="D83" i="13"/>
  <c r="D76" i="13"/>
  <c r="D29" i="13"/>
  <c r="D7" i="13"/>
  <c r="D58" i="13"/>
  <c r="D24" i="13"/>
  <c r="D37" i="13"/>
  <c r="D6" i="13"/>
  <c r="D36" i="13"/>
  <c r="D12" i="13"/>
  <c r="D27" i="13"/>
  <c r="D17" i="13"/>
  <c r="D46" i="13"/>
  <c r="D2" i="13"/>
  <c r="D53" i="13"/>
  <c r="D64" i="9"/>
  <c r="D113" i="9"/>
  <c r="D162" i="9"/>
  <c r="G254" i="9"/>
  <c r="I254" i="9"/>
  <c r="H254" i="9" s="1"/>
  <c r="D269" i="9"/>
  <c r="I271" i="9"/>
  <c r="H271" i="9" s="1"/>
  <c r="G271" i="9"/>
  <c r="D271" i="9"/>
  <c r="I283" i="9"/>
  <c r="D283" i="9"/>
  <c r="J283" i="9"/>
  <c r="I287" i="9"/>
  <c r="H287" i="9" s="1"/>
  <c r="D334" i="9"/>
  <c r="I340" i="9"/>
  <c r="H340" i="9" s="1"/>
  <c r="D361" i="9"/>
  <c r="I410" i="9"/>
  <c r="H410" i="9" s="1"/>
  <c r="D463" i="9"/>
  <c r="I463" i="9"/>
  <c r="H463" i="9" s="1"/>
  <c r="G463" i="9"/>
  <c r="D467" i="9"/>
  <c r="G494" i="9"/>
  <c r="I494" i="9"/>
  <c r="H494" i="9" s="1"/>
  <c r="D494" i="9"/>
  <c r="G508" i="9"/>
  <c r="I508" i="9"/>
  <c r="D508" i="9"/>
  <c r="D514" i="9"/>
  <c r="G514" i="9"/>
  <c r="I514" i="9"/>
  <c r="B48" i="13"/>
  <c r="B167" i="13"/>
  <c r="I116" i="9" s="1"/>
  <c r="H116" i="9" s="1"/>
  <c r="B174" i="13"/>
  <c r="I256" i="9" s="1"/>
  <c r="H256" i="9" s="1"/>
  <c r="B173" i="13"/>
  <c r="I404" i="9" s="1"/>
  <c r="H404" i="9" s="1"/>
  <c r="B170" i="13"/>
  <c r="I66" i="9" s="1"/>
  <c r="H66" i="9" s="1"/>
  <c r="B169" i="13"/>
  <c r="I100" i="9" s="1"/>
  <c r="H100" i="9" s="1"/>
  <c r="G36" i="9"/>
  <c r="D41" i="9"/>
  <c r="G85" i="9"/>
  <c r="D90" i="9"/>
  <c r="G134" i="9"/>
  <c r="D139" i="9"/>
  <c r="D170" i="9"/>
  <c r="D178" i="9"/>
  <c r="D190" i="9"/>
  <c r="G191" i="9"/>
  <c r="D193" i="9"/>
  <c r="G211" i="9"/>
  <c r="I223" i="9"/>
  <c r="H223" i="9" s="1"/>
  <c r="D223" i="9"/>
  <c r="J291" i="9"/>
  <c r="I291" i="9"/>
  <c r="I293" i="9"/>
  <c r="H293" i="9" s="1"/>
  <c r="D293" i="9"/>
  <c r="D299" i="9"/>
  <c r="I347" i="9"/>
  <c r="H347" i="9" s="1"/>
  <c r="D347" i="9"/>
  <c r="G347" i="9"/>
  <c r="D357" i="9"/>
  <c r="G409" i="9"/>
  <c r="I409" i="9"/>
  <c r="H409" i="9" s="1"/>
  <c r="D409" i="9"/>
  <c r="J415" i="9"/>
  <c r="D415" i="9"/>
  <c r="I512" i="9"/>
  <c r="D512" i="9"/>
  <c r="G512" i="9"/>
  <c r="D546" i="9"/>
  <c r="I546" i="9"/>
  <c r="G546" i="9"/>
  <c r="J318" i="9"/>
  <c r="I318" i="9"/>
  <c r="I320" i="9"/>
  <c r="H320" i="9" s="1"/>
  <c r="G320" i="9"/>
  <c r="G324" i="9"/>
  <c r="D324" i="9"/>
  <c r="I339" i="9"/>
  <c r="H339" i="9" s="1"/>
  <c r="D339" i="9"/>
  <c r="J384" i="9"/>
  <c r="I421" i="9"/>
  <c r="H421" i="9" s="1"/>
  <c r="D421" i="9"/>
  <c r="G423" i="9"/>
  <c r="I423" i="9"/>
  <c r="H423" i="9" s="1"/>
  <c r="D423" i="9"/>
  <c r="I429" i="9"/>
  <c r="I432" i="9"/>
  <c r="H432" i="9" s="1"/>
  <c r="G432" i="9"/>
  <c r="D432" i="9"/>
  <c r="D506" i="9"/>
  <c r="I506" i="9"/>
  <c r="H506" i="9" s="1"/>
  <c r="B135" i="13"/>
  <c r="I114" i="9" s="1"/>
  <c r="H114" i="9" s="1"/>
  <c r="B102" i="13"/>
  <c r="B101" i="13"/>
  <c r="B24" i="13"/>
  <c r="B36" i="13"/>
  <c r="D55" i="9"/>
  <c r="D104" i="9"/>
  <c r="G148" i="9"/>
  <c r="D153" i="9"/>
  <c r="G183" i="9"/>
  <c r="I210" i="9"/>
  <c r="H210" i="9" s="1"/>
  <c r="G216" i="9"/>
  <c r="G285" i="9"/>
  <c r="G369" i="9"/>
  <c r="I369" i="9"/>
  <c r="H369" i="9" s="1"/>
  <c r="D369" i="9"/>
  <c r="G379" i="9"/>
  <c r="I379" i="9"/>
  <c r="H379" i="9" s="1"/>
  <c r="D379" i="9"/>
  <c r="D430" i="9"/>
  <c r="I430" i="9"/>
  <c r="H430" i="9" s="1"/>
  <c r="G430" i="9"/>
  <c r="I461" i="9"/>
  <c r="H461" i="9" s="1"/>
  <c r="D461" i="9"/>
  <c r="G461" i="9"/>
  <c r="G484" i="9"/>
  <c r="I484" i="9"/>
  <c r="H484" i="9" s="1"/>
  <c r="D484" i="9"/>
  <c r="D197" i="9"/>
  <c r="G198" i="9"/>
  <c r="G218" i="9"/>
  <c r="I251" i="9"/>
  <c r="H251" i="9" s="1"/>
  <c r="D251" i="9"/>
  <c r="I261" i="9"/>
  <c r="H261" i="9" s="1"/>
  <c r="D268" i="9"/>
  <c r="J269" i="9"/>
  <c r="J297" i="9"/>
  <c r="D318" i="9"/>
  <c r="I349" i="9"/>
  <c r="H349" i="9" s="1"/>
  <c r="I355" i="9"/>
  <c r="I357" i="9"/>
  <c r="H357" i="9" s="1"/>
  <c r="I361" i="9"/>
  <c r="H361" i="9" s="1"/>
  <c r="I395" i="9"/>
  <c r="H395" i="9" s="1"/>
  <c r="G395" i="9"/>
  <c r="D395" i="9"/>
  <c r="D536" i="9"/>
  <c r="G536" i="9"/>
  <c r="I536" i="9"/>
  <c r="I306" i="9"/>
  <c r="H306" i="9" s="1"/>
  <c r="D306" i="9"/>
  <c r="J342" i="9"/>
  <c r="I342" i="9"/>
  <c r="I381" i="9"/>
  <c r="H381" i="9" s="1"/>
  <c r="D381" i="9"/>
  <c r="I424" i="9"/>
  <c r="H424" i="9" s="1"/>
  <c r="J442" i="9"/>
  <c r="I442" i="9"/>
  <c r="D442" i="9"/>
  <c r="J450" i="9"/>
  <c r="H450" i="9" s="1"/>
  <c r="G456" i="9"/>
  <c r="I456" i="9"/>
  <c r="H456" i="9" s="1"/>
  <c r="I479" i="9"/>
  <c r="H479" i="9" s="1"/>
  <c r="I497" i="9"/>
  <c r="H497" i="9" s="1"/>
  <c r="G550" i="9"/>
  <c r="D550" i="9"/>
  <c r="I550" i="9"/>
  <c r="D253" i="9"/>
  <c r="I288" i="9"/>
  <c r="H288" i="9" s="1"/>
  <c r="G295" i="9"/>
  <c r="D295" i="9"/>
  <c r="D308" i="9"/>
  <c r="G335" i="9"/>
  <c r="I335" i="9"/>
  <c r="H335" i="9" s="1"/>
  <c r="D335" i="9"/>
  <c r="I353" i="9"/>
  <c r="H353" i="9" s="1"/>
  <c r="D353" i="9"/>
  <c r="D374" i="9"/>
  <c r="I374" i="9"/>
  <c r="H374" i="9" s="1"/>
  <c r="G376" i="9"/>
  <c r="I376" i="9"/>
  <c r="H376" i="9" s="1"/>
  <c r="D501" i="9"/>
  <c r="J526" i="9"/>
  <c r="H526" i="9" s="1"/>
  <c r="I526" i="9"/>
  <c r="J548" i="9"/>
  <c r="H548" i="9" s="1"/>
  <c r="I548" i="9"/>
  <c r="D273" i="9"/>
  <c r="I313" i="9"/>
  <c r="G313" i="9"/>
  <c r="I319" i="9"/>
  <c r="H319" i="9" s="1"/>
  <c r="D319" i="9"/>
  <c r="D337" i="9"/>
  <c r="J344" i="9"/>
  <c r="D344" i="9"/>
  <c r="I346" i="9"/>
  <c r="H346" i="9" s="1"/>
  <c r="D346" i="9"/>
  <c r="I360" i="9"/>
  <c r="G383" i="9"/>
  <c r="D383" i="9"/>
  <c r="I415" i="9"/>
  <c r="G415" i="9"/>
  <c r="J427" i="9"/>
  <c r="H427" i="9" s="1"/>
  <c r="D427" i="9"/>
  <c r="D433" i="9"/>
  <c r="G433" i="9"/>
  <c r="D462" i="9"/>
  <c r="D490" i="9"/>
  <c r="G490" i="9"/>
  <c r="I420" i="9"/>
  <c r="H420" i="9" s="1"/>
  <c r="D420" i="9"/>
  <c r="D437" i="9"/>
  <c r="I437" i="9"/>
  <c r="H437" i="9" s="1"/>
  <c r="D503" i="9"/>
  <c r="G505" i="9"/>
  <c r="I505" i="9"/>
  <c r="H505" i="9" s="1"/>
  <c r="D505" i="9"/>
  <c r="J518" i="9"/>
  <c r="H518" i="9" s="1"/>
  <c r="I583" i="9"/>
  <c r="H583" i="9" s="1"/>
  <c r="G583" i="9"/>
  <c r="D583" i="9"/>
  <c r="G585" i="9"/>
  <c r="I585" i="9"/>
  <c r="H585" i="9" s="1"/>
  <c r="D585" i="9"/>
  <c r="I332" i="9"/>
  <c r="H332" i="9" s="1"/>
  <c r="D332" i="9"/>
  <c r="I341" i="9"/>
  <c r="H341" i="9" s="1"/>
  <c r="D341" i="9"/>
  <c r="G362" i="9"/>
  <c r="D362" i="9"/>
  <c r="G417" i="9"/>
  <c r="D417" i="9"/>
  <c r="D441" i="9"/>
  <c r="G441" i="9"/>
  <c r="D246" i="9"/>
  <c r="G253" i="9"/>
  <c r="D286" i="9"/>
  <c r="G308" i="9"/>
  <c r="G323" i="9"/>
  <c r="I323" i="9"/>
  <c r="H323" i="9" s="1"/>
  <c r="I334" i="9"/>
  <c r="H334" i="9" s="1"/>
  <c r="D343" i="9"/>
  <c r="G353" i="9"/>
  <c r="G374" i="9"/>
  <c r="I380" i="9"/>
  <c r="H380" i="9" s="1"/>
  <c r="D380" i="9"/>
  <c r="G388" i="9"/>
  <c r="D392" i="9"/>
  <c r="I392" i="9"/>
  <c r="H392" i="9" s="1"/>
  <c r="D472" i="9"/>
  <c r="G472" i="9"/>
  <c r="I474" i="9"/>
  <c r="H474" i="9" s="1"/>
  <c r="D474" i="9"/>
  <c r="I477" i="9"/>
  <c r="H477" i="9" s="1"/>
  <c r="I496" i="9"/>
  <c r="H496" i="9" s="1"/>
  <c r="G496" i="9"/>
  <c r="G497" i="9"/>
  <c r="I501" i="9"/>
  <c r="D517" i="9"/>
  <c r="G517" i="9"/>
  <c r="I517" i="9"/>
  <c r="I523" i="9"/>
  <c r="G523" i="9"/>
  <c r="D523" i="9"/>
  <c r="G538" i="9"/>
  <c r="I581" i="9"/>
  <c r="H581" i="9" s="1"/>
  <c r="G581" i="9"/>
  <c r="D581" i="9"/>
  <c r="I433" i="9"/>
  <c r="H433" i="9" s="1"/>
  <c r="I459" i="9"/>
  <c r="H459" i="9" s="1"/>
  <c r="G462" i="9"/>
  <c r="J501" i="9"/>
  <c r="H501" i="9" s="1"/>
  <c r="G527" i="9"/>
  <c r="D527" i="9"/>
  <c r="G575" i="9"/>
  <c r="I575" i="9"/>
  <c r="H575" i="9" s="1"/>
  <c r="D575" i="9"/>
  <c r="D281" i="9"/>
  <c r="D326" i="9"/>
  <c r="D336" i="9"/>
  <c r="I336" i="9"/>
  <c r="H336" i="9" s="1"/>
  <c r="I345" i="9"/>
  <c r="H345" i="9" s="1"/>
  <c r="I354" i="9"/>
  <c r="D375" i="9"/>
  <c r="I375" i="9"/>
  <c r="H375" i="9" s="1"/>
  <c r="I382" i="9"/>
  <c r="G396" i="9"/>
  <c r="D396" i="9"/>
  <c r="G426" i="9"/>
  <c r="I426" i="9"/>
  <c r="I457" i="9"/>
  <c r="H457" i="9" s="1"/>
  <c r="I462" i="9"/>
  <c r="H462" i="9" s="1"/>
  <c r="I490" i="9"/>
  <c r="H490" i="9" s="1"/>
  <c r="D500" i="9"/>
  <c r="I500" i="9"/>
  <c r="H500" i="9" s="1"/>
  <c r="G500" i="9"/>
  <c r="D521" i="9"/>
  <c r="G521" i="9"/>
  <c r="I521" i="9"/>
  <c r="I373" i="9"/>
  <c r="H373" i="9" s="1"/>
  <c r="I408" i="9"/>
  <c r="H408" i="9" s="1"/>
  <c r="G411" i="9"/>
  <c r="D411" i="9"/>
  <c r="G431" i="9"/>
  <c r="I453" i="9"/>
  <c r="H453" i="9" s="1"/>
  <c r="D469" i="9"/>
  <c r="J469" i="9"/>
  <c r="H469" i="9" s="1"/>
  <c r="I470" i="9"/>
  <c r="H470" i="9" s="1"/>
  <c r="D476" i="9"/>
  <c r="G476" i="9"/>
  <c r="D478" i="9"/>
  <c r="G489" i="9"/>
  <c r="I502" i="9"/>
  <c r="H502" i="9" s="1"/>
  <c r="D587" i="9"/>
  <c r="I587" i="9"/>
  <c r="H587" i="9" s="1"/>
  <c r="I292" i="9"/>
  <c r="J378" i="9"/>
  <c r="I378" i="9"/>
  <c r="I422" i="9"/>
  <c r="H422" i="9" s="1"/>
  <c r="I440" i="9"/>
  <c r="H440" i="9" s="1"/>
  <c r="G464" i="9"/>
  <c r="I464" i="9"/>
  <c r="D509" i="9"/>
  <c r="D518" i="9"/>
  <c r="J551" i="9"/>
  <c r="H551" i="9" s="1"/>
  <c r="I551" i="9"/>
  <c r="D564" i="9"/>
  <c r="I564" i="9"/>
  <c r="G578" i="9"/>
  <c r="D578" i="9"/>
  <c r="D530" i="9"/>
  <c r="D543" i="9"/>
  <c r="D551" i="9"/>
  <c r="I553" i="9"/>
  <c r="G553" i="9"/>
  <c r="D553" i="9"/>
  <c r="I559" i="9"/>
  <c r="I278" i="9"/>
  <c r="H278" i="9" s="1"/>
  <c r="I327" i="9"/>
  <c r="H327" i="9" s="1"/>
  <c r="I363" i="9"/>
  <c r="H363" i="9" s="1"/>
  <c r="G390" i="9"/>
  <c r="I390" i="9"/>
  <c r="H390" i="9" s="1"/>
  <c r="D424" i="9"/>
  <c r="I436" i="9"/>
  <c r="H436" i="9" s="1"/>
  <c r="D436" i="9"/>
  <c r="G478" i="9"/>
  <c r="G499" i="9"/>
  <c r="D499" i="9"/>
  <c r="I499" i="9"/>
  <c r="H499" i="9" s="1"/>
  <c r="D511" i="9"/>
  <c r="G513" i="9"/>
  <c r="D513" i="9"/>
  <c r="G568" i="9"/>
  <c r="I568" i="9"/>
  <c r="H568" i="9" s="1"/>
  <c r="D568" i="9"/>
  <c r="J570" i="9"/>
  <c r="I570" i="9"/>
  <c r="G582" i="9"/>
  <c r="D582" i="9"/>
  <c r="D522" i="9"/>
  <c r="G522" i="9"/>
  <c r="G524" i="9"/>
  <c r="D524" i="9"/>
  <c r="D479" i="9"/>
  <c r="G540" i="9"/>
  <c r="D540" i="9"/>
  <c r="I540" i="9"/>
  <c r="D542" i="9"/>
  <c r="G542" i="9"/>
  <c r="I544" i="9"/>
  <c r="D544" i="9"/>
  <c r="G544" i="9"/>
  <c r="G561" i="9"/>
  <c r="I561" i="9"/>
  <c r="D561" i="9"/>
  <c r="I578" i="9"/>
  <c r="H578" i="9" s="1"/>
  <c r="D533" i="9"/>
  <c r="G589" i="9"/>
  <c r="D589" i="9"/>
  <c r="D556" i="9"/>
  <c r="I556" i="9"/>
  <c r="G556" i="9"/>
  <c r="I558" i="9"/>
  <c r="D558" i="9"/>
  <c r="G558" i="9"/>
  <c r="I580" i="9"/>
  <c r="H580" i="9" s="1"/>
  <c r="G580" i="9"/>
  <c r="D597" i="9"/>
  <c r="I589" i="9"/>
  <c r="H589" i="9" s="1"/>
  <c r="G571" i="9"/>
  <c r="J577" i="9"/>
  <c r="I577" i="9"/>
  <c r="I595" i="9"/>
  <c r="I401" i="9"/>
  <c r="H401" i="9" s="1"/>
  <c r="I455" i="9"/>
  <c r="H455" i="9" s="1"/>
  <c r="D460" i="9"/>
  <c r="D465" i="9"/>
  <c r="G532" i="9"/>
  <c r="I532" i="9"/>
  <c r="I533" i="9"/>
  <c r="I566" i="9"/>
  <c r="H566" i="9" s="1"/>
  <c r="G566" i="9"/>
  <c r="I571" i="9"/>
  <c r="H571" i="9" s="1"/>
  <c r="D590" i="9"/>
  <c r="J590" i="9"/>
  <c r="H590" i="9" s="1"/>
  <c r="I592" i="9"/>
  <c r="G592" i="9"/>
  <c r="I594" i="9"/>
  <c r="D594" i="9"/>
  <c r="G594" i="9"/>
  <c r="G425" i="9"/>
  <c r="I425" i="9"/>
  <c r="H425" i="9" s="1"/>
  <c r="D488" i="9"/>
  <c r="I549" i="9"/>
  <c r="I572" i="9"/>
  <c r="H572" i="9" s="1"/>
  <c r="G572" i="9"/>
  <c r="D572" i="9"/>
  <c r="G547" i="9"/>
  <c r="D567" i="9"/>
  <c r="I569" i="9"/>
  <c r="H569" i="9" s="1"/>
  <c r="G569" i="9"/>
  <c r="I574" i="9"/>
  <c r="H574" i="9" s="1"/>
  <c r="G574" i="9"/>
  <c r="I394" i="9"/>
  <c r="D458" i="9"/>
  <c r="I458" i="9"/>
  <c r="H458" i="9" s="1"/>
  <c r="G458" i="9"/>
  <c r="I586" i="9"/>
  <c r="H586" i="9" s="1"/>
  <c r="D528" i="9"/>
  <c r="I534" i="9"/>
  <c r="I579" i="9"/>
  <c r="H579" i="9" s="1"/>
  <c r="D451" i="9"/>
  <c r="D457" i="9"/>
  <c r="I480" i="9"/>
  <c r="D486" i="9"/>
  <c r="G486" i="9"/>
  <c r="I565" i="9"/>
  <c r="H565" i="9" s="1"/>
  <c r="D570" i="9"/>
  <c r="D507" i="9"/>
  <c r="I593" i="9"/>
  <c r="D17" i="11"/>
  <c r="M17" i="11" s="1"/>
  <c r="D13" i="11"/>
  <c r="M13" i="11" s="1"/>
  <c r="C13" i="11"/>
  <c r="D19" i="10"/>
  <c r="O1" i="10" s="1"/>
  <c r="C15" i="11"/>
  <c r="H213" i="9" l="1"/>
  <c r="H86" i="9"/>
  <c r="H187" i="9"/>
  <c r="I17" i="13" a="1"/>
  <c r="H17" i="13" a="1"/>
  <c r="I16" i="13" a="1"/>
  <c r="H16" i="13" a="1"/>
  <c r="H15" i="13" a="1"/>
  <c r="I15" i="13" a="1"/>
  <c r="I12" i="13" a="1"/>
  <c r="H12" i="13" a="1"/>
  <c r="I13" i="13" a="1"/>
  <c r="H13" i="13" a="1"/>
  <c r="I14" i="13" a="1"/>
  <c r="H14" i="13" a="1"/>
  <c r="H570" i="9"/>
  <c r="H428" i="9"/>
  <c r="H429" i="9"/>
  <c r="H426" i="9"/>
  <c r="I538" i="9"/>
  <c r="H198" i="9"/>
  <c r="H355" i="9"/>
  <c r="H289" i="9"/>
  <c r="H75" i="9"/>
  <c r="H11" i="13" a="1"/>
  <c r="I11" i="13" a="1"/>
  <c r="H49" i="9"/>
  <c r="H233" i="9"/>
  <c r="H147" i="9"/>
  <c r="H108" i="9"/>
  <c r="H480" i="9"/>
  <c r="H471" i="9"/>
  <c r="H487" i="9"/>
  <c r="H464" i="9"/>
  <c r="H442" i="9"/>
  <c r="H134" i="9"/>
  <c r="H269" i="9"/>
  <c r="H344" i="9"/>
  <c r="H133" i="9"/>
  <c r="H384" i="9"/>
  <c r="I258" i="9"/>
  <c r="H258" i="9" s="1"/>
  <c r="H577" i="9"/>
  <c r="I257" i="9"/>
  <c r="H257" i="9" s="1"/>
  <c r="I162" i="9"/>
  <c r="H162" i="9" s="1"/>
  <c r="I163" i="9"/>
  <c r="H163" i="9" s="1"/>
  <c r="I299" i="9"/>
  <c r="H299" i="9" s="1"/>
  <c r="M27" i="2"/>
  <c r="M24" i="2"/>
  <c r="M9" i="2"/>
  <c r="M11" i="2"/>
  <c r="M25" i="2"/>
  <c r="M14" i="2"/>
  <c r="M8" i="2"/>
  <c r="N1" i="2" s="1"/>
  <c r="M39" i="2"/>
  <c r="M37" i="2"/>
  <c r="M41" i="2"/>
  <c r="M35" i="2"/>
  <c r="M19" i="2"/>
  <c r="M28" i="2"/>
  <c r="M22" i="2"/>
  <c r="M34" i="2"/>
  <c r="H59" i="9"/>
  <c r="I547" i="9"/>
  <c r="H297" i="9"/>
  <c r="H394" i="9"/>
  <c r="H317" i="9"/>
  <c r="H291" i="9"/>
  <c r="H190" i="9"/>
  <c r="H85" i="9"/>
  <c r="H342" i="9"/>
  <c r="H378" i="9"/>
  <c r="H415" i="9"/>
  <c r="H8" i="9"/>
  <c r="I165" i="9"/>
  <c r="H165" i="9" s="1"/>
  <c r="H56" i="9"/>
  <c r="H192" i="9"/>
  <c r="I35" i="9"/>
  <c r="H35" i="9" s="1"/>
  <c r="D32" i="11"/>
  <c r="I36" i="9"/>
  <c r="H36" i="9" s="1"/>
  <c r="M30" i="2"/>
  <c r="H292" i="9"/>
  <c r="M13" i="2"/>
  <c r="H372" i="9"/>
  <c r="D33" i="11"/>
  <c r="H360" i="9"/>
  <c r="D30" i="11"/>
  <c r="B84" i="13"/>
  <c r="I126" i="9" s="1"/>
  <c r="H126" i="9" s="1"/>
  <c r="B76" i="13"/>
  <c r="B35" i="13"/>
  <c r="H211" i="9"/>
  <c r="H313" i="9"/>
  <c r="H354" i="9"/>
  <c r="I164" i="9"/>
  <c r="H164" i="9" s="1"/>
  <c r="H406" i="9"/>
  <c r="H318" i="9"/>
  <c r="H399" i="9"/>
  <c r="H382" i="9"/>
  <c r="D29" i="11"/>
  <c r="M12" i="2"/>
  <c r="H61" i="9"/>
  <c r="I159" i="9"/>
  <c r="H159" i="9" s="1"/>
  <c r="H351" i="9"/>
  <c r="H304" i="9"/>
  <c r="M32" i="2"/>
  <c r="H283" i="9"/>
  <c r="H248" i="9"/>
  <c r="H290" i="9"/>
  <c r="H311" i="9"/>
  <c r="H206" i="9"/>
  <c r="H2" i="13" l="1" a="1"/>
  <c r="G2" i="13" s="1" a="1"/>
  <c r="H1" i="13" a="1"/>
  <c r="G1" i="13" s="1" a="1"/>
  <c r="G3" i="13" l="1"/>
  <c r="E107" i="4"/>
  <c r="F1" i="4" s="1"/>
  <c r="F1" i="3"/>
  <c r="D9" i="11" l="1"/>
  <c r="C39" i="10"/>
  <c r="O2" i="10"/>
  <c r="I2" i="8" s="1"/>
  <c r="F2" i="3" l="1"/>
  <c r="N2" i="2"/>
  <c r="F2" i="4"/>
  <c r="F2" i="5"/>
  <c r="F2"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2953FB1-9938-9444-AFE8-554ACBDA17DA}" keepAlive="1" name="Query - CS_features_2026-07-06" description="Connection to the 'CS_features_2026-07-06' query in the workbook." type="5" refreshedVersion="8" background="1" saveData="1">
    <dbPr connection="Provider=Microsoft.Mashup.OleDb.1;Data Source=$Workbook$;Location=CS_features_2026-07-06;Extended Properties=&quot;&quot;" command="SELECT * FROM [CS_features_2026-07-06]"/>
  </connection>
  <connection id="2" xr16:uid="{A4412E04-0A9E-A34A-97EE-A44A5BBDD3AA}" keepAlive="1" name="Query - CSMS_features_2026-07-06" description="Connection to the 'CSMS_features_2026-07-06' query in the workbook." type="5" refreshedVersion="0" background="1">
    <dbPr connection="Provider=Microsoft.Mashup.OleDb.1;Data Source=$Workbook$;Location=CSMS_features_2026-07-06;Extended Properties=&quot;&quot;" command="SELECT * FROM [CSMS_features_2026-07-06]"/>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<sst xmlns="http://schemas.openxmlformats.org/spreadsheetml/2006/main" count="5522" uniqueCount="2204">
  <si>
    <t>Feature</t>
  </si>
  <si>
    <t>Certification Profile</t>
  </si>
  <si>
    <t xml:space="preserve">Name </t>
  </si>
  <si>
    <t>CS Status</t>
  </si>
  <si>
    <t>C-01</t>
  </si>
  <si>
    <t>Core</t>
  </si>
  <si>
    <t>Support for offline authorization of transactions</t>
  </si>
  <si>
    <t>Conditional. Supporting this feature depends on whether at least one of the following feature combinations is supported; - Certification Profile: Local Authorization List Management AND at least one of the following local authorization options; C-30 or C-31 or C-32 - C-02: Support for allowing offline authorization for unknown ids AND at least one of the following local authorization options; C-30 or C-31 or C-32 or C-33 or C-34 - C-49: Authorization Cache AND at least one of the following local authorization options; C-30 or C-31 or C-32 - C-35: Local Authorization - NoAuthorization - start (Because there is no authorization, no local authorization mechanism is needed.)</t>
  </si>
  <si>
    <t>C-02</t>
  </si>
  <si>
    <t>Support for allowing Offline Authorization for Unknown Ids (OfflineTxForUnknownIdEnabled)</t>
  </si>
  <si>
    <t>Optional</t>
  </si>
  <si>
    <t>C-03</t>
  </si>
  <si>
    <t>Support for maximizing energy for invalid ids (MaxEnergyOnInvalidId)</t>
  </si>
  <si>
    <t>C-04</t>
  </si>
  <si>
    <t>Support to limit StatusNotifications (MinimumStatusDuration)</t>
  </si>
  <si>
    <t>C-06</t>
  </si>
  <si>
    <t>Authorization status after cable disconnected on EV side (StopTxOnEVSideDisconnect)</t>
  </si>
  <si>
    <t>(At least one of the suboptions below is required)</t>
  </si>
  <si>
    <t>C-06.1</t>
  </si>
  <si>
    <t>Support for maintaining authorization when cable disconnected on EV side</t>
  </si>
  <si>
    <t>C-06.2</t>
  </si>
  <si>
    <t>Support for not maintaining authorization when cable disconnected on EV side</t>
  </si>
  <si>
    <t>C-07</t>
  </si>
  <si>
    <t>Support for using a Master Pass for charging stations with UI (MasterPassGroupId)</t>
  </si>
  <si>
    <t>C-08</t>
  </si>
  <si>
    <t>Support for using a Master Pass for charging stations without UI (MasterPassGroupId)</t>
  </si>
  <si>
    <t>C-09</t>
  </si>
  <si>
    <t>Supported Transaction Start points (TxStartPoint)</t>
  </si>
  <si>
    <t>C-09.1</t>
  </si>
  <si>
    <t>Start transaction options - EVConnected</t>
  </si>
  <si>
    <t>C-09.2</t>
  </si>
  <si>
    <t>Start transaction options - Authorized</t>
  </si>
  <si>
    <t>C-09.3</t>
  </si>
  <si>
    <t>Start transaction options - DataSigned</t>
  </si>
  <si>
    <t>C-09.4</t>
  </si>
  <si>
    <t>Start transaction options - PowerPathClosed</t>
  </si>
  <si>
    <t>C-09.5</t>
  </si>
  <si>
    <t>Start transaction options - EnergyTransfer</t>
  </si>
  <si>
    <t>C-09.6</t>
  </si>
  <si>
    <t>Start transaction options - ParkingBayOccupancy</t>
  </si>
  <si>
    <t>C-10</t>
  </si>
  <si>
    <t>Supported Transaction Stop points (TxStopPoint)</t>
  </si>
  <si>
    <t>C-10.1</t>
  </si>
  <si>
    <t>Stop transaction options - EVConnected</t>
  </si>
  <si>
    <t>C-10.2</t>
  </si>
  <si>
    <t>Stop transaction options - Authorized</t>
  </si>
  <si>
    <t>C-10.3</t>
  </si>
  <si>
    <t>Stop transaction options - PowerPathClosed</t>
  </si>
  <si>
    <t>C-10.4</t>
  </si>
  <si>
    <t>Stop transaction options - EnergyTransfer</t>
  </si>
  <si>
    <t>C-10.5</t>
  </si>
  <si>
    <t>Stop transaction options - ParkingBayOccupancy</t>
  </si>
  <si>
    <t>C-12</t>
  </si>
  <si>
    <t>Unlocking of connector when cable disconnected on EV side (UnlockOnEVSideDisconnect)</t>
  </si>
  <si>
    <t>C-12.1</t>
  </si>
  <si>
    <t>Support for unlocking connector when cable disconnected on EV side</t>
  </si>
  <si>
    <t>C-12.2</t>
  </si>
  <si>
    <t>Support for not unlocking when cable disconnected on EV side</t>
  </si>
  <si>
    <t>C-13</t>
  </si>
  <si>
    <t>Support for Reset per EVSE (AllowReset)</t>
  </si>
  <si>
    <t>C-14</t>
  </si>
  <si>
    <t>Support for retrieving / deleting CustomerInformation - CustomerIdentifier</t>
  </si>
  <si>
    <t>C-20</t>
  </si>
  <si>
    <t>Allowing New Sessions Pending a FirmwareUpdate (AllowNewSessionsPendingFirmwareUpdate )</t>
  </si>
  <si>
    <t>C-21</t>
  </si>
  <si>
    <t>Support for queuing all or only Transaction related messages until they are delivered to the CSMS (QueueAllMessages)</t>
  </si>
  <si>
    <t>C-23</t>
  </si>
  <si>
    <t>Time related settings</t>
  </si>
  <si>
    <t>Supported time sources (TimeSource)</t>
  </si>
  <si>
    <t>{ list } at least Heartbeat</t>
  </si>
  <si>
    <t>C-25</t>
  </si>
  <si>
    <t>Support for setting a TimeOffset (TimeOffset)</t>
  </si>
  <si>
    <t>C-26</t>
  </si>
  <si>
    <t>Support for setting the TimeZone (TimeZone)</t>
  </si>
  <si>
    <t>C-28</t>
  </si>
  <si>
    <t>Toggle sending clock aligned meter values when a transaction is ongoing / Idle (AlignedDataSendDuringIdle)</t>
  </si>
  <si>
    <t>C-29</t>
  </si>
  <si>
    <t>TriggerMessage</t>
  </si>
  <si>
    <t>(Select all supported suboptions)</t>
  </si>
  <si>
    <t>C-29.1</t>
  </si>
  <si>
    <t>Trigger message - MeterValues</t>
  </si>
  <si>
    <t>C-29.2</t>
  </si>
  <si>
    <t>Trigger message - TransactionEvent</t>
  </si>
  <si>
    <t>C-29.3</t>
  </si>
  <si>
    <t>Trigger message - LogStatusNotification</t>
  </si>
  <si>
    <t>C-29.4</t>
  </si>
  <si>
    <t>Trigger message - FirmwareStatusNotification</t>
  </si>
  <si>
    <t>C-29.5</t>
  </si>
  <si>
    <t>Trigger message - StatusNotification</t>
  </si>
  <si>
    <t>C-29.6</t>
  </si>
  <si>
    <t>Trigger message - BootNotification</t>
  </si>
  <si>
    <t>C-29.7</t>
  </si>
  <si>
    <t>Trigger message - CustomTrigger</t>
  </si>
  <si>
    <t>C-30</t>
  </si>
  <si>
    <t>Authorization options for local start</t>
  </si>
  <si>
    <t>Authorization - using RFID ISO14443</t>
  </si>
  <si>
    <t>C-31</t>
  </si>
  <si>
    <t>Authorization - using RFID ISO15693</t>
  </si>
  <si>
    <t>C-32</t>
  </si>
  <si>
    <t>Authorization - using KeyCode</t>
  </si>
  <si>
    <t>C-33</t>
  </si>
  <si>
    <t>Authorization - using locally generated id</t>
  </si>
  <si>
    <t>C-34</t>
  </si>
  <si>
    <t>Authorization - MacAddress</t>
  </si>
  <si>
    <t>C-35</t>
  </si>
  <si>
    <t>Authorization - NoAuthorization</t>
  </si>
  <si>
    <t>C-36</t>
  </si>
  <si>
    <t>C-37</t>
  </si>
  <si>
    <t>C-38</t>
  </si>
  <si>
    <t>Authorization - using centrally, in the CSMS (or other server) generated id</t>
  </si>
  <si>
    <t>C-39</t>
  </si>
  <si>
    <t>C-40</t>
  </si>
  <si>
    <t>Supported MeterValue Measurands</t>
  </si>
  <si>
    <t>(Please fill in the following fields)</t>
  </si>
  <si>
    <t>C-40.1</t>
  </si>
  <si>
    <t>SampledTxStartedMeasurands</t>
  </si>
  <si>
    <t>{ list of supported } at least one</t>
  </si>
  <si>
    <t>C-40.2</t>
  </si>
  <si>
    <t>SampledTxUpdatedMeasurands</t>
  </si>
  <si>
    <t>C-40.3</t>
  </si>
  <si>
    <t>SampledTxEndedMeasurands</t>
  </si>
  <si>
    <t>C-40.4</t>
  </si>
  <si>
    <t>AlignedDataMeasurands</t>
  </si>
  <si>
    <t>C-40.5</t>
  </si>
  <si>
    <t>AlignedDataTxEndedMeasurands</t>
  </si>
  <si>
    <t>C-41</t>
  </si>
  <si>
    <t>Supported Cipher Suites</t>
  </si>
  <si>
    <t>{ list of cipher suites } -&gt; at least one of TLS_ECDHE_ECDSA_WITH_AES_128_GCM_SHA256 TLS_ECDHE_ECDSA_WITH_AES_256_GCM_SHA384 OR TLS_RSA_WITH_AES_128_GCM_SHA256 TLS_RSA_WITH_AES_256_GCM_SHA384</t>
  </si>
  <si>
    <t>C-42</t>
  </si>
  <si>
    <t>Signed Metervalues (SampledDataSignReadings)</t>
  </si>
  <si>
    <t>C-43</t>
  </si>
  <si>
    <t>Install Firmware with ongoing transaction(s)</t>
  </si>
  <si>
    <t>C-47</t>
  </si>
  <si>
    <t>Support for falling back to default OCPP reconnection mechanism when NetworkConnection profile connection has failed</t>
  </si>
  <si>
    <t>C-48</t>
  </si>
  <si>
    <t>Authorization of remote start (AuthorizeRemoteStart)</t>
  </si>
  <si>
    <t>C-48.1</t>
  </si>
  <si>
    <t>Option for authorization in case of a remote start</t>
  </si>
  <si>
    <t>C-48.2</t>
  </si>
  <si>
    <t>Option for no authorization in case of a remote start</t>
  </si>
  <si>
    <t>C-58</t>
  </si>
  <si>
    <t>Option for disabling remote authorization	(DisableRemoteAuthorization)</t>
  </si>
  <si>
    <t>C-49</t>
  </si>
  <si>
    <t>Authorization Cache (AuthCacheEnabled)</t>
  </si>
  <si>
    <t>C-59</t>
  </si>
  <si>
    <t>Option for disabling remote authorization for cached invalid idTokens (AuthCacheDisablePostAuthorize)</t>
  </si>
  <si>
    <t>C-51</t>
  </si>
  <si>
    <t>Configurable TxStartPoint</t>
  </si>
  <si>
    <t>C-52</t>
  </si>
  <si>
    <t>Configurable TxStopPoint</t>
  </si>
  <si>
    <t>C-53</t>
  </si>
  <si>
    <t>Support for lifetime cached token (AuthCacheLifeTime)</t>
  </si>
  <si>
    <t>C-54</t>
  </si>
  <si>
    <t>Supported policies for replacing cached entries (AuthCachePolicy)</t>
  </si>
  <si>
    <t>C-56</t>
  </si>
  <si>
    <t>Support for providing the SummaryInventory</t>
  </si>
  <si>
    <t>C-57</t>
  </si>
  <si>
    <t>Support for cancelling ongoing log file upload</t>
  </si>
  <si>
    <t>C-60</t>
  </si>
  <si>
    <t>Support for cancelling ongoing firmware update</t>
  </si>
  <si>
    <t>C-61</t>
  </si>
  <si>
    <t>Security Profile 1 - Unsecured Transport with Basic Authentication</t>
  </si>
  <si>
    <t>C-62</t>
  </si>
  <si>
    <t>C-63</t>
  </si>
  <si>
    <t>Support for transaction limits</t>
  </si>
  <si>
    <t>C-64</t>
  </si>
  <si>
    <t>C-70</t>
  </si>
  <si>
    <t>Authorization options for local stop</t>
  </si>
  <si>
    <t>C-71</t>
  </si>
  <si>
    <t>C-72</t>
  </si>
  <si>
    <t>C-75</t>
  </si>
  <si>
    <t>R-0</t>
  </si>
  <si>
    <t>Reservation</t>
  </si>
  <si>
    <t>Support for Reservation</t>
  </si>
  <si>
    <t>R-1</t>
  </si>
  <si>
    <t>Support for reservations of connectorType</t>
  </si>
  <si>
    <t>Conditional. Supporting this feature depends on whether at least one connectorType is supported that is part of the ConnectorEnumType list from part 2 specification.</t>
  </si>
  <si>
    <t>R-2</t>
  </si>
  <si>
    <t>Support for reservation of unspecified EVSE (ReservationNonEvseSpecific)</t>
  </si>
  <si>
    <t>R-3</t>
  </si>
  <si>
    <t>Support for disabling Reservations (ReservationEnabled)</t>
  </si>
  <si>
    <t>DM-0</t>
  </si>
  <si>
    <t>Advanced Device Management</t>
  </si>
  <si>
    <t>Support for Advanced Device Management</t>
  </si>
  <si>
    <t>DM-3</t>
  </si>
  <si>
    <t>Queue notifyEventRequest messages for specific severities (OfflineMonitoringEventQueuingSeverity)</t>
  </si>
  <si>
    <t>LA-0</t>
  </si>
  <si>
    <t>Local Authorization List Management</t>
  </si>
  <si>
    <t>Support for Local Authorization List Management</t>
  </si>
  <si>
    <t>LA-1</t>
  </si>
  <si>
    <t>Authorization list support (LocalAuthListEnabled)</t>
  </si>
  <si>
    <t>LA-3</t>
  </si>
  <si>
    <t>Option for disabling remote authorization for invalid idTokens stored at the Local Authorization List (LocalAuthListDisablePostAuthorize)</t>
  </si>
  <si>
    <t>UI-0</t>
  </si>
  <si>
    <t>Advanced User Interface</t>
  </si>
  <si>
    <t>Support for Advanced User Interface</t>
  </si>
  <si>
    <t>UI-1</t>
  </si>
  <si>
    <t>Supported message priorities (DisplayMessageSupportedPriorities)</t>
  </si>
  <si>
    <t>(At least one of the suboptions below is required, if UI-0 is supported)</t>
  </si>
  <si>
    <t>UI-1.1</t>
  </si>
  <si>
    <t>AlwaysFront</t>
  </si>
  <si>
    <t>UI-1.2</t>
  </si>
  <si>
    <t>InFront</t>
  </si>
  <si>
    <t>UI-1.3</t>
  </si>
  <si>
    <t>NormalCycle</t>
  </si>
  <si>
    <t>UI-2</t>
  </si>
  <si>
    <t>Supported message formats (DisplayMessageSupportedFormats)</t>
  </si>
  <si>
    <t>UI-2.1</t>
  </si>
  <si>
    <t>ASCII</t>
  </si>
  <si>
    <t>UI-2.2</t>
  </si>
  <si>
    <t>HTML</t>
  </si>
  <si>
    <t>UI-2.3</t>
  </si>
  <si>
    <t>URI</t>
  </si>
  <si>
    <t>UI-2.4</t>
  </si>
  <si>
    <t>UTF8</t>
  </si>
  <si>
    <t>UI-3</t>
  </si>
  <si>
    <t>AS-2</t>
  </si>
  <si>
    <t>Advanced Security</t>
  </si>
  <si>
    <t>Additional root certificate check mechanism implemented (AdditionalRootCertificateCheck)</t>
  </si>
  <si>
    <t>AS-3</t>
  </si>
  <si>
    <t>Update Charging Station Certificate - CertificateSignedRequest Timeout (CertSigningWaitMinimum,CertSigningRepeatTimes)</t>
  </si>
  <si>
    <t>AS-4</t>
  </si>
  <si>
    <t>Security downgrades from profile 3 to 2 (AllowSecurityProfileDowngrade)</t>
  </si>
  <si>
    <t>AS-4.1</t>
  </si>
  <si>
    <t>Support for disallowing security downgrades from profile 3 to 2</t>
  </si>
  <si>
    <t>AS-4.2</t>
  </si>
  <si>
    <t>Support for allowing security downgrades from profile 3 to 2</t>
  </si>
  <si>
    <t>SC-2</t>
  </si>
  <si>
    <t>Smart Charging</t>
  </si>
  <si>
    <t>Supported charging rate units (ChargingScheduleChargingRateUnit)</t>
  </si>
  <si>
    <t>SC-2.1</t>
  </si>
  <si>
    <t>A</t>
  </si>
  <si>
    <t>SC-2.2</t>
  </si>
  <si>
    <t>W</t>
  </si>
  <si>
    <t>SC-3</t>
  </si>
  <si>
    <t>Support for limiting based on SoC</t>
  </si>
  <si>
    <t>SC-5</t>
  </si>
  <si>
    <t>SC-5.1</t>
  </si>
  <si>
    <t>TimeOffset</t>
  </si>
  <si>
    <t>SC-5.2</t>
  </si>
  <si>
    <t>TimeZone</t>
  </si>
  <si>
    <t>SC-6</t>
  </si>
  <si>
    <t>Support for using priority charging</t>
  </si>
  <si>
    <t>SC-7</t>
  </si>
  <si>
    <t>Support for using randomized delays</t>
  </si>
  <si>
    <t>SC-8</t>
  </si>
  <si>
    <t>Support for dynamic charging profiles</t>
  </si>
  <si>
    <t>Support for Idle operationMode</t>
  </si>
  <si>
    <t>Support for Idle operationMode with EvseSleep</t>
  </si>
  <si>
    <t>SC-10</t>
  </si>
  <si>
    <t>Support for EMS control</t>
  </si>
  <si>
    <t>ISO-1</t>
  </si>
  <si>
    <t>ISO 15118 support</t>
  </si>
  <si>
    <t>ISO-1.1</t>
  </si>
  <si>
    <t>ISO 15118-2</t>
  </si>
  <si>
    <t>ISO-1.2</t>
  </si>
  <si>
    <t>ISO 15118-20</t>
  </si>
  <si>
    <t>ISO-4</t>
  </si>
  <si>
    <t>Support for retrieving / deleting CustomerInformation - CustomerCertificate</t>
  </si>
  <si>
    <t>ISO-5</t>
  </si>
  <si>
    <t>Charging Station can provide a contract certificate that it cannot validate to the CSMS (CentralContractValidationAllowed)</t>
  </si>
  <si>
    <t>ISO-6</t>
  </si>
  <si>
    <t>P-0</t>
  </si>
  <si>
    <t>Payment</t>
  </si>
  <si>
    <t>Support for Payment</t>
  </si>
  <si>
    <t>P-1</t>
  </si>
  <si>
    <t>P-2</t>
  </si>
  <si>
    <t>Supported Payment options</t>
  </si>
  <si>
    <t>(At least one of the suboptions below is required, if P-0 is supported)</t>
  </si>
  <si>
    <t>P-2.1</t>
  </si>
  <si>
    <t>Payment by prepaid card</t>
  </si>
  <si>
    <t>P-2.2</t>
  </si>
  <si>
    <t>P-2.3</t>
  </si>
  <si>
    <t>P-2.4</t>
  </si>
  <si>
    <t>BPT-1</t>
  </si>
  <si>
    <t>Bidirectional Power Transfer</t>
  </si>
  <si>
    <t>Frequency support</t>
  </si>
  <si>
    <t>BPT-2</t>
  </si>
  <si>
    <t>Support for local loadbalancing</t>
  </si>
  <si>
    <t>Protocol Implementation Conformance Statement</t>
  </si>
  <si>
    <t>PICS Version:</t>
  </si>
  <si>
    <t>Date:</t>
  </si>
  <si>
    <t>OCPP Spec Version</t>
  </si>
  <si>
    <t>OCPP Errata Version</t>
  </si>
  <si>
    <t>Instruction</t>
  </si>
  <si>
    <t>This document must be used to define the system that you want to certify in the Open Charge Alliance OCPP Certification Program for OCPP 2.1. By defining a system / device using this document, a vendor or certification lab can determine the exact test cases that have to be performed during the certification run for OCPP 2.1 certification. 
This document is only intended to be updated using Microsoft Excel. It contains many calculations to ensure that the combination of values is sound and as a tool for the user it also calculates which testcases are required. We have locked the sheet to ensure only the fields that are intended for input can be modified and are fully aware that it is possible to remove this protection. We cannot accept any filled in PICS documents that have  the password protection removed or that have been modified using another program than Microsoft Excel. Doing so makes this PICS invalid and renders it unusable for starting your certification proces.
Please note: this document is still under contruction for the Certification Profiles for which the Certification Program is not opened yet. When submitting ths PICS for certification testing by a testlab please ensure you fill in and submit the latest version (earlier versions cannot be used for certification).</t>
  </si>
  <si>
    <t>This document can be used by following these steps:</t>
  </si>
  <si>
    <t>Specify the hardware features of your Charging Station in column D of the tab "Hardware Feature set".</t>
  </si>
  <si>
    <t>Select the Certification Profiles that you want to certify during your Certification run in column C of the tab "Profile Selection"</t>
  </si>
  <si>
    <t>Fill in the answer to the questions on the tab "Additional questions" (in column D)</t>
  </si>
  <si>
    <t>Fill in all settings / limitations that are relevant for certification in the tab "Other relevant settings".</t>
  </si>
  <si>
    <t>Fill in all settings that are specific to this vendor/device and relevant for certification in the tab "Vendor Specific Settings"</t>
  </si>
  <si>
    <t>You can now see the test cases that need to be passed on the tab "Charging Station Testcases" by filtering column H for the value "TRUE".</t>
  </si>
  <si>
    <t>Before submitting this document to a testlab for a certification test:</t>
  </si>
  <si>
    <t xml:space="preserve">Enter your performance commitment in the tab 'Performance Measurement' in column C (black fields only, purple fields will be populated during certification) </t>
  </si>
  <si>
    <t>Ensure that all tabs that have a check show a green VALID status on the top row</t>
  </si>
  <si>
    <t>Changelog:</t>
  </si>
  <si>
    <t>1.0.0</t>
  </si>
  <si>
    <t>Initial version</t>
  </si>
  <si>
    <t>PICS Id:</t>
  </si>
  <si>
    <t>Hardware feature set</t>
  </si>
  <si>
    <t xml:space="preserve">Hardware Feature Set is : </t>
  </si>
  <si>
    <t>The Hardware Feature set is the actual set of relevant hardware properties of the product tested, that influence the OCPP messaging behavior. In the table below you can see for each hardware feature relevant for OCPP whether this is applicable for this product.</t>
  </si>
  <si>
    <t>The complete PICS is currently</t>
  </si>
  <si>
    <t>Validations EVSE + connectors</t>
  </si>
  <si>
    <t>Vendor Name </t>
  </si>
  <si>
    <t>&lt;vendor company name&gt; </t>
  </si>
  <si>
    <t>EVSE and Connector Configuration</t>
  </si>
  <si>
    <t>EVSE structure</t>
  </si>
  <si>
    <t>Battery Slot</t>
  </si>
  <si>
    <t>Current Type (non-battery only)</t>
  </si>
  <si>
    <t>Connector ID (all rows)</t>
  </si>
  <si>
    <t>Phases, Connector Type &amp; Cable (non-battery only)</t>
  </si>
  <si>
    <t>Type dropdown (all rows)</t>
  </si>
  <si>
    <t>Device Under Test </t>
  </si>
  <si>
    <t>&lt;select type of Device Under Test&gt;</t>
  </si>
  <si>
    <t>EVSE</t>
  </si>
  <si>
    <t>Current</t>
  </si>
  <si>
    <t>Phases</t>
  </si>
  <si>
    <t>Connector</t>
  </si>
  <si>
    <t>Type</t>
  </si>
  <si>
    <t>Cable Type</t>
  </si>
  <si>
    <t>Product Subtype</t>
  </si>
  <si>
    <t>&lt;select subtype or Not Applicable&gt;</t>
  </si>
  <si>
    <t>Product Designation</t>
  </si>
  <si>
    <t>&lt;type name and / or model number&gt; </t>
  </si>
  <si>
    <t>Product Family</t>
  </si>
  <si>
    <t>&lt;product family descriptor (if applicable)&gt;</t>
  </si>
  <si>
    <t>&lt;type software version of the product&gt;</t>
  </si>
  <si>
    <t>Id</t>
  </si>
  <si>
    <t>Supported / Present </t>
  </si>
  <si>
    <t>HFS-1</t>
  </si>
  <si>
    <t>Has a detachable cable</t>
  </si>
  <si>
    <t>HFS-2</t>
  </si>
  <si>
    <t>Has a fixed cable</t>
  </si>
  <si>
    <t>HFS-3</t>
  </si>
  <si>
    <t>Has AC support </t>
  </si>
  <si>
    <t>HFS-4</t>
  </si>
  <si>
    <t>Has DC support </t>
  </si>
  <si>
    <t>HFS-5</t>
  </si>
  <si>
    <t>Has 1 phase support</t>
  </si>
  <si>
    <t>HFS-6</t>
  </si>
  <si>
    <t>Has 2 phase support</t>
  </si>
  <si>
    <t>HFS-7</t>
  </si>
  <si>
    <t>Has 3 phase support</t>
  </si>
  <si>
    <t>HFS-8</t>
  </si>
  <si>
    <t>No. EVSEs</t>
  </si>
  <si>
    <t>HFS-9</t>
  </si>
  <si>
    <t>Communication technology  </t>
  </si>
  <si>
    <t>&lt;specify supported communication technology/ies&gt;</t>
  </si>
  <si>
    <t>HFS-10</t>
  </si>
  <si>
    <t>RFID readers </t>
  </si>
  <si>
    <t>&lt;select RFID Reader configuration&gt;</t>
  </si>
  <si>
    <t>HFS-11</t>
  </si>
  <si>
    <t>DC power level (kW)</t>
  </si>
  <si>
    <t>&lt;specify DC power level&gt;</t>
  </si>
  <si>
    <t>HFS-12</t>
  </si>
  <si>
    <t>Number of displays</t>
  </si>
  <si>
    <t>&lt;specify the number of displays on your product&gt;</t>
  </si>
  <si>
    <t>HFS-13</t>
  </si>
  <si>
    <t>Battery Swapping Support</t>
  </si>
  <si>
    <t>Profile selection</t>
  </si>
  <si>
    <t>Supported</t>
  </si>
  <si>
    <t>Description</t>
  </si>
  <si>
    <t>Yes</t>
  </si>
  <si>
    <t>Basic Charging Station, functionality for booting, authorization, configuration, transactions, remote control, secure firmware updates and Security Profile 2.</t>
  </si>
  <si>
    <t>No</t>
  </si>
  <si>
    <t>Support for TLS with client authentication.</t>
  </si>
  <si>
    <t>Support for Smart Charging (all profile types, including stacking), to control charging.</t>
  </si>
  <si>
    <t>ISO 15118 Support</t>
  </si>
  <si>
    <t>Support for ISO 15118 Smart Charging and Plug and Charge authorization.</t>
  </si>
  <si>
    <t>Support for bidirectional power transfer (V2X), including central/local V2X control, frequency support and V2X authorisation with ISO 15118-20.</t>
  </si>
  <si>
    <t>DER Control</t>
  </si>
  <si>
    <t>Support for Distributed Energy Resources (DER) control, including starting V2X sessions with DER control and configuring DER control settings at the Charging Station.</t>
  </si>
  <si>
    <t>Optional features</t>
  </si>
  <si>
    <t xml:space="preserve">List of Optional Features is currently: </t>
  </si>
  <si>
    <t>The OCPP specification contains many implementation options that can be selected by a vendor, often in the form of optional message fields or configuration variables, that can be used to support advanced functions. Whereas the certification profiles determine which OCPP functionality is implemented, the features describe how much of a certain functionality in a profile has been implemented. The tables below indicate per certification profiles, for each available optional feature within this profile, whether this has been implemented in this product and tested for conformance or not. Please refer to part 5 of the OCPP specification for the list of optional features and the reference to the relevant use cases in part 2 of the OCPP specification.</t>
  </si>
  <si>
    <t>Core Features</t>
  </si>
  <si>
    <t>&lt;list of values, at least Heartbeat&gt;</t>
  </si>
  <si>
    <t>Id </t>
  </si>
  <si>
    <t>Tested during Certification</t>
  </si>
  <si>
    <t>Supported 
according to Vendor</t>
  </si>
  <si>
    <t> Id </t>
  </si>
  <si>
    <t>Authorization options for remote start</t>
  </si>
  <si>
    <t>Tested during Certification*</t>
  </si>
  <si>
    <t>Metervalues</t>
  </si>
  <si>
    <t>Supported
according to Vendor***</t>
  </si>
  <si>
    <t>(The values below are automatically filled in)</t>
  </si>
  <si>
    <t>&lt;list of supported values, at least one&gt;</t>
  </si>
  <si>
    <t>* mandatory to support at least one </t>
  </si>
  <si>
    <t>** only configured measurands are tested</t>
  </si>
  <si>
    <t>*** only checked with BaseReport</t>
  </si>
  <si>
    <t>Cipher Suites</t>
  </si>
  <si>
    <t>Certification Profile: Smart Charging</t>
  </si>
  <si>
    <t>Supported / Present</t>
  </si>
  <si>
    <t>Certification Profile: Advanced Security</t>
  </si>
  <si>
    <t>Reservations</t>
  </si>
  <si>
    <t>Certification Profile: ISO 15118 Support</t>
  </si>
  <si>
    <t>Certification Profile: Bidirectional Power Transfer</t>
  </si>
  <si>
    <t>Additional questions</t>
  </si>
  <si>
    <t xml:space="preserve">List of Additional Questions is currently: </t>
  </si>
  <si>
    <t>The table below lists a number of questions that are needed for determining the complete list of conformance test for this product.</t>
  </si>
  <si>
    <t>Additional questions for lab testing </t>
  </si>
  <si>
    <t>Answer</t>
  </si>
  <si>
    <t>AQ-1</t>
  </si>
  <si>
    <t>Can the last CSMSRootCertificate be removed? </t>
  </si>
  <si>
    <t>AQ-2</t>
  </si>
  <si>
    <t>Does the Charging Station have a cable lock, which prevents the EV driver to connect the EV and EVSE before authorization? </t>
  </si>
  <si>
    <t>AQ-3</t>
  </si>
  <si>
    <t>Can the last ChargingStationCertificate be removed (via other means than OCPP)? </t>
  </si>
  <si>
    <t>AQ-4</t>
  </si>
  <si>
    <t>Is there at least one unsupported NumberOfPhases? </t>
  </si>
  <si>
    <t>AQ-5</t>
  </si>
  <si>
    <t>Does the Charging Station have at least one hardWired monitor? </t>
  </si>
  <si>
    <t>If yes, please provide the monitor Id of the hardWired monitor that should be used for the certification test in the Other Relevant Settings Tab</t>
  </si>
  <si>
    <t>AQ-6</t>
  </si>
  <si>
    <t>Does the Charging Station have a pre-configured monitor?</t>
  </si>
  <si>
    <t>If yes, please provide the monitor Id of the pre-configured monitor that should be used for the certification test in the Other Relevant Settings Tab</t>
  </si>
  <si>
    <t>AQ-7</t>
  </si>
  <si>
    <t>Is your Charging Station able to download firmware while there is an ongoing transaction?</t>
  </si>
  <si>
    <t>AQ-8</t>
  </si>
  <si>
    <t>Does your Charging Station enforce a selection of EVSE (by design) prior to authorization?</t>
  </si>
  <si>
    <t>AQ-9</t>
  </si>
  <si>
    <t>Does your Charging Station support charging an EV using IEC 61851-1 (Mode 3)?</t>
  </si>
  <si>
    <t>AQ-10</t>
  </si>
  <si>
    <t>Does your Charging Station support setting a Delta monitor on the WriteOnly component.variable SecurityCtrlr.BasicAuthPassword?</t>
  </si>
  <si>
    <t>AQ-11</t>
  </si>
  <si>
    <t>Does your Charging Station support a combined charging station Certificate (for both OCPP and ISO 15118)</t>
  </si>
  <si>
    <t>AQ-18</t>
  </si>
  <si>
    <t>Does your Charging Station have at least one connector with an (automatic) mechanized locking mechanism on Charging Station side?</t>
  </si>
  <si>
    <t>AQ-19</t>
  </si>
  <si>
    <t>Does your Charging Station have at least 1 unsupported language code?</t>
  </si>
  <si>
    <t>AQ-20</t>
  </si>
  <si>
    <t>Does your Charging Station support more than 1 language?</t>
  </si>
  <si>
    <t>Other relevant Settings</t>
  </si>
  <si>
    <t xml:space="preserve">List of Other Relevant Settings is currently: </t>
  </si>
  <si>
    <t>The table below lists a number of settings that are needed for configuring the test setup for the conformance test for this product.</t>
  </si>
  <si>
    <t>Limit / Setting</t>
  </si>
  <si>
    <t>Value </t>
  </si>
  <si>
    <t>ORS-1</t>
  </si>
  <si>
    <t>ItemsPerMessageGetReport </t>
  </si>
  <si>
    <t>… </t>
  </si>
  <si>
    <t>ORS-2</t>
  </si>
  <si>
    <t>ItemsPerMessageGetVariables </t>
  </si>
  <si>
    <t>ORS-3</t>
  </si>
  <si>
    <t>ItemsPerMessageSetVariables </t>
  </si>
  <si>
    <t>ORS-4</t>
  </si>
  <si>
    <t>BytesPerMessageGetReport </t>
  </si>
  <si>
    <t>ORS-5</t>
  </si>
  <si>
    <t>BytesPerMessageGetVariables </t>
  </si>
  <si>
    <t>ORS-6</t>
  </si>
  <si>
    <t>BytesPerMessageSetVariables </t>
  </si>
  <si>
    <t>ORS-7</t>
  </si>
  <si>
    <t>Minimum MessageAttemptIntervalTransactionEvent  supported</t>
  </si>
  <si>
    <t>ORS-8</t>
  </si>
  <si>
    <t>Maximum MessageAttemptIntervalTransactionEvent  supported</t>
  </si>
  <si>
    <t>ORS-9</t>
  </si>
  <si>
    <t>Minimum SampledDataTxUpdatedInterval supported </t>
  </si>
  <si>
    <t>ORS-10</t>
  </si>
  <si>
    <t>Maximum SampledDataTxUpdatedInterval supported  </t>
  </si>
  <si>
    <t>ORS-11</t>
  </si>
  <si>
    <t>Minimum HeartbeatInterval supported  </t>
  </si>
  <si>
    <t>ORS-12</t>
  </si>
  <si>
    <t>Maximum HeartbeatInterval supported </t>
  </si>
  <si>
    <t>ORS-14</t>
  </si>
  <si>
    <t>Minimum WebSocketPingInterval  supported</t>
  </si>
  <si>
    <t>ORS-15</t>
  </si>
  <si>
    <t>Maximum WebSocketPingInterval  supported</t>
  </si>
  <si>
    <t>ORS-16</t>
  </si>
  <si>
    <t>WebSocketPingInterval </t>
  </si>
  <si>
    <t>&lt;please provide the preconfigured value (max. 120 seconds)&gt;</t>
  </si>
  <si>
    <t>Security Related Settings</t>
  </si>
  <si>
    <t>Value</t>
  </si>
  <si>
    <t>ORS-17</t>
  </si>
  <si>
    <t>Maximum CertificateEntries supported </t>
  </si>
  <si>
    <t>ORS-18</t>
  </si>
  <si>
    <t>MaxCertificateChainSize </t>
  </si>
  <si>
    <t>ORS-19</t>
  </si>
  <si>
    <t>LocalAuthListEntries </t>
  </si>
  <si>
    <t>ORS-20</t>
  </si>
  <si>
    <t>ItemsPerMessageSendLocalList </t>
  </si>
  <si>
    <t>ORS-21</t>
  </si>
  <si>
    <t>BytesPerMessageSendLocalList </t>
  </si>
  <si>
    <t>Certification Profile: Smart Charging </t>
  </si>
  <si>
    <t>ORS-22</t>
  </si>
  <si>
    <t>ChargingProfileMaxStackLevel </t>
  </si>
  <si>
    <t>ORS-23</t>
  </si>
  <si>
    <t>PeriodsPerSchedule </t>
  </si>
  <si>
    <t>ORS-28</t>
  </si>
  <si>
    <t>ChargingProfilesEntries</t>
  </si>
  <si>
    <t>Firmware Management Settings</t>
  </si>
  <si>
    <t>ORS-24</t>
  </si>
  <si>
    <t>Supported file transfer protocols </t>
  </si>
  <si>
    <t>&lt;please select the supported protocols&gt;</t>
  </si>
  <si>
    <t>Advanced Device Management </t>
  </si>
  <si>
    <t>ORS-25</t>
  </si>
  <si>
    <t>ItemsPerMessageSetVariableMonitoring </t>
  </si>
  <si>
    <t>ORS-26</t>
  </si>
  <si>
    <t>BytesPerMessageSetVariableMonitoring </t>
  </si>
  <si>
    <t>ORS-29</t>
  </si>
  <si>
    <t>Preconfigured Monitor Id</t>
  </si>
  <si>
    <t>ORS-30</t>
  </si>
  <si>
    <t>Hardwired Monitor Id</t>
  </si>
  <si>
    <t>ORS-31</t>
  </si>
  <si>
    <t>Numeric Monitor Component.Variable</t>
  </si>
  <si>
    <t>ORS-32</t>
  </si>
  <si>
    <t>Numeric Monitor Value</t>
  </si>
  <si>
    <t>ORS-33</t>
  </si>
  <si>
    <t>Non-Numeric Monitor Component.Variable</t>
  </si>
  <si>
    <t>ORS-34</t>
  </si>
  <si>
    <t>Non-Numeric Monitor Value</t>
  </si>
  <si>
    <t>ORS-35</t>
  </si>
  <si>
    <t>Threshold Monitor With MaxLimit Component.Variable</t>
  </si>
  <si>
    <t>ORS-36</t>
  </si>
  <si>
    <t>MaxLimit Monitor Value</t>
  </si>
  <si>
    <t>ORS-37</t>
  </si>
  <si>
    <t>Threshold Monitor Component.Variable</t>
  </si>
  <si>
    <t>ORS-38</t>
  </si>
  <si>
    <t>Lower Threshold Monitor Value</t>
  </si>
  <si>
    <t>ORS-39</t>
  </si>
  <si>
    <t>Upper Threshold Monitor Value</t>
  </si>
  <si>
    <t>ORS-40</t>
  </si>
  <si>
    <t>Non-Trigger Threshold Monitor Value</t>
  </si>
  <si>
    <t>ORS-27</t>
  </si>
  <si>
    <t>NumberOfDisplayMessages </t>
  </si>
  <si>
    <t>ORS-41</t>
  </si>
  <si>
    <t>Primary Display Component</t>
  </si>
  <si>
    <t>…</t>
  </si>
  <si>
    <t>Vendor specific settings and limits </t>
  </si>
  <si>
    <t>The table below should contain all relevant non-OCPP settings of the System Under Test that are relevant for the test laboratory and for the correct OCPP-compliant functioning : </t>
  </si>
  <si>
    <t>Configuration Setting</t>
  </si>
  <si>
    <t>Configured Value</t>
  </si>
  <si>
    <t xml:space="preserve">… </t>
  </si>
  <si>
    <t xml:space="preserve">... </t>
  </si>
  <si>
    <t>Performance measurement</t>
  </si>
  <si>
    <t xml:space="preserve">Performance Measurement is currently: </t>
  </si>
  <si>
    <t>The tables below shows the list of key performance indicators that are measured during the conformance test. The first table indicates the values that the vendor indicates that are valid maximum values for this product. The second table lists the actual performance measurements during the tests performed in a controlled environment.</t>
  </si>
  <si>
    <t>Vendor provided performance values</t>
  </si>
  <si>
    <t>Name </t>
  </si>
  <si>
    <t>Max Value</t>
  </si>
  <si>
    <t>Unit </t>
  </si>
  <si>
    <t>Description </t>
  </si>
  <si>
    <t>OCPP response time </t>
  </si>
  <si>
    <t>&lt;vendor maximum&gt;</t>
  </si>
  <si>
    <t>seconds </t>
  </si>
  <si>
    <t>The response time for when waiting for an OCPP response message after sending an OCPP request message. This entails all OCPP messages. Messages to the DUT can be handled within this timeout. </t>
  </si>
  <si>
    <t>OCPP triggered function response time (asynchronous reporting) </t>
  </si>
  <si>
    <t xml:space="preserve">The response time used when waiting for an asynchronous OCPP report after requesting this report (the time between receiving a GetReportRequest, GetBaseReportRequest or CustomerInformationRequest and lthe last corresponding NotifyReportRequest or NotifyCustomerInformationRequest). </t>
  </si>
  <si>
    <t>Transaction authorization time by RequestStartTransactionRequest</t>
  </si>
  <si>
    <t>The time between a RequestStartTransactionRequest and the corresponding TransactionEventRequest (with triggerReason RemoteStart).
Only cases where the RequestStartTransactionRequest immediately results in an authorization followed by a TransactionEventRequest (with triggerReason RemoteStart), without the need of any additional manual actions or chargingState transitions inbetween are included.</t>
  </si>
  <si>
    <t>Transaction authorization end time by RequestStopTransactionRequest</t>
  </si>
  <si>
    <t>The time between a RequestStopTransactionRequest and the corresponding TransactionEventRequest (with triggerReason RemoteStop)
Only cases where the RequestStopTransactionRequest immediately results in an end of the authorization followed by a TransactionEventRequest (with triggerReason RemoteStop), that do not contain transactionInfo.chargingState = EVConnected (to exclude chargingState transitions) are included.</t>
  </si>
  <si>
    <t>Measured performance (filled in by testlab after completion of the tests)</t>
  </si>
  <si>
    <t>Min Value</t>
  </si>
  <si>
    <t>Average Value</t>
  </si>
  <si>
    <t>Communication technology used during performance measurement: </t>
  </si>
  <si>
    <t>&lt;WiFi / ethernet / mobile&gt; </t>
  </si>
  <si>
    <t>Please note: only 1 communication technology is measured for performance, so if multiple technologies available in a Charging Station, please select for which the measurements should be executed by the lab. </t>
  </si>
  <si>
    <t>The following list contains all Test cases that are required for a full conformance test for a product that is defined as in the configuration in this document. This is the complete list of test cases for this configuration, each of these test cases has been passed using the Test System defined above. 
Please note that test cases that are not applicable for this configuration are left out of this list, so this is a subset of the test cases that are listed and described in part 5 and 6 of the OCPP specification .</t>
  </si>
  <si>
    <t>Testcase</t>
  </si>
  <si>
    <t>Name</t>
  </si>
  <si>
    <t>Mandatory / Conditional</t>
  </si>
  <si>
    <t>Feature ID</t>
  </si>
  <si>
    <t>Feature Name</t>
  </si>
  <si>
    <t>Status</t>
  </si>
  <si>
    <t>Perform test for certification  (based on PICS)</t>
  </si>
  <si>
    <t>Required test based on configuration</t>
  </si>
  <si>
    <t>Profile selected</t>
  </si>
  <si>
    <t>Test lab result</t>
  </si>
  <si>
    <t>Test lab remark</t>
  </si>
  <si>
    <t>Statement of Approval</t>
  </si>
  <si>
    <t xml:space="preserve">Statement of Approval is currently: </t>
  </si>
  <si>
    <t>Additional DUT information</t>
  </si>
  <si>
    <t>Firmware image hash</t>
  </si>
  <si>
    <t>Protocol</t>
  </si>
  <si>
    <t>Network port</t>
  </si>
  <si>
    <t>Direction</t>
  </si>
  <si>
    <t>Secured</t>
  </si>
  <si>
    <t>Vendor</t>
  </si>
  <si>
    <t>&lt;signature date&gt;</t>
  </si>
  <si>
    <t>&lt;vendor representative name&gt;</t>
  </si>
  <si>
    <t>Signature:</t>
  </si>
  <si>
    <t>Company</t>
  </si>
  <si>
    <t>Department</t>
  </si>
  <si>
    <t>&lt;vendor department name&gt;</t>
  </si>
  <si>
    <t>Position</t>
  </si>
  <si>
    <t>&lt;vendor representative position&gt;</t>
  </si>
  <si>
    <t>Location</t>
  </si>
  <si>
    <t>&lt;vendor location&gt;</t>
  </si>
  <si>
    <t>Test laboratory</t>
  </si>
  <si>
    <t>Test Performed On</t>
  </si>
  <si>
    <t>&lt;date the test lab completed testing&gt;</t>
  </si>
  <si>
    <t>Test Location</t>
  </si>
  <si>
    <t>&lt;location where tests are performed&gt;</t>
  </si>
  <si>
    <t>Test Report Reference</t>
  </si>
  <si>
    <t>&lt;internal testlab reference&gt;</t>
  </si>
  <si>
    <t>&lt;testlab representative name&gt;</t>
  </si>
  <si>
    <t>Name reviewer</t>
  </si>
  <si>
    <t>&lt;optional testlab reviewer name&gt;</t>
  </si>
  <si>
    <t>&lt;testlab organization name&gt;</t>
  </si>
  <si>
    <t>&lt;testlab department name&gt;</t>
  </si>
  <si>
    <t>&lt;testlab representative position&gt;</t>
  </si>
  <si>
    <t>&lt;testlab location&gt;</t>
  </si>
  <si>
    <t>Additional Test information</t>
  </si>
  <si>
    <t>OCTT version(s) used</t>
  </si>
  <si>
    <t>OCTT Instance ID</t>
  </si>
  <si>
    <t>Config ID</t>
  </si>
  <si>
    <t>Photo('s) of tested Charging Stations
(taken and added by test lab, will NOT be visible on certificate, do not use picture in cell)</t>
  </si>
  <si>
    <t>OCPP Family Members</t>
  </si>
  <si>
    <t>Please specify the differences between Representative Product and Family members</t>
  </si>
  <si>
    <t>Representative product</t>
  </si>
  <si>
    <t>Family members</t>
  </si>
  <si>
    <t>Product designation:</t>
  </si>
  <si>
    <t>&lt;fill in family member 1&gt;</t>
  </si>
  <si>
    <t>Config_ID</t>
  </si>
  <si>
    <t>Configuration ID</t>
  </si>
  <si>
    <t>Product description</t>
  </si>
  <si>
    <t>&lt;please provide a short description of your product family representative product&gt;</t>
  </si>
  <si>
    <t>&lt;please provide a short description for this product family member model&gt;</t>
  </si>
  <si>
    <t>EVSE selection prior to authorization</t>
  </si>
  <si>
    <t>Supported Metervalue Measurands</t>
  </si>
  <si>
    <t>Family member photos</t>
  </si>
  <si>
    <t>I hereby declare that the information provided about the product family members in this document is correct and complete.</t>
  </si>
  <si>
    <t>Key</t>
  </si>
  <si>
    <t>Value (based on formula)</t>
  </si>
  <si>
    <t>Optional feature related</t>
  </si>
  <si>
    <t>Used</t>
  </si>
  <si>
    <t>NOT C-56</t>
  </si>
  <si>
    <t>C-40 and C-42</t>
  </si>
  <si>
    <t>AS-2 and C-47</t>
  </si>
  <si>
    <t>NOT C-13</t>
  </si>
  <si>
    <t>(C-30 or C-31 or C-32 or C-35) and NOT AQ-2</t>
  </si>
  <si>
    <t>C-30 or C-31 or C-32</t>
  </si>
  <si>
    <t>(C-30 or C-31 or C-32 or C-35) and AQ-2</t>
  </si>
  <si>
    <t>NOT AQ-2 and (C-30 or C-31 or C-32)</t>
  </si>
  <si>
    <t>C-30 or C-31 or C-32 or (C-48.1 and (C-36 or C-37))</t>
  </si>
  <si>
    <t>C-49 and (C-07 or C-08)</t>
  </si>
  <si>
    <t>C-49 and C-03</t>
  </si>
  <si>
    <t>NOT AQ-2 and (C-30 - C-35 or ISO 15118 support)</t>
  </si>
  <si>
    <t>C-30 - C-35 or ISO 15118 support</t>
  </si>
  <si>
    <t>(C-09.1 and (C-51 or NOT C-09.6)) and NOT AQ-2</t>
  </si>
  <si>
    <t>C-09.2 and (C-30 - C-35 or ISO 15118 support)</t>
  </si>
  <si>
    <t>C-09.3 and (C-51 or NOT (C-09.1 or C-09.2 or C-09.6))</t>
  </si>
  <si>
    <t>C-09.4 and (C-51 or NOT (C-09.1 or C-09.2 or C-09.3 or C-09.6))</t>
  </si>
  <si>
    <t>C-09.5 and (C-51 or NOT (C-09.1 or C-09.2 or C-09.3 or C-09.4 or C-09.6))</t>
  </si>
  <si>
    <t>HFS-1 and C-10.1 and (C-52 or NOT (C-10.2 or C-10.3 or C-10.4))</t>
  </si>
  <si>
    <t>C-10.1 and (C-52 or NOT (C-10.3 or C-10.4))</t>
  </si>
  <si>
    <t>C-10.2 and (C-30 or C-31 or C-32 or C35)</t>
  </si>
  <si>
    <t>(C-10.2 or C-10.3) and (C-30 - C-35 or ISO 15118 support) and C-01</t>
  </si>
  <si>
    <t>(C-10.2 or C-10.3) and C-06.2</t>
  </si>
  <si>
    <t>C-10.3 and (C-52 or NOT C-10.2) and (C-30 or C-31 or C-32 or C35)</t>
  </si>
  <si>
    <t>C-10.3 and (C-52 or NOT C-10.2)</t>
  </si>
  <si>
    <t>C-10.3 and (C-52 or NOT (C-10.1 or C-10.4))</t>
  </si>
  <si>
    <t>C-10.4 and (C-52 or NOT (C-10.2 or C-10.3))</t>
  </si>
  <si>
    <t>C-10.5 and (C-52 or NOT (C-10.1 or C-10.2 or C-10.3 or C-10.4))</t>
  </si>
  <si>
    <t>C-30 or C-31 or C-32 or C35</t>
  </si>
  <si>
    <t>HFS-1 and C-06.2 and C-12.1</t>
  </si>
  <si>
    <t>C-06.2 and C-12.2</t>
  </si>
  <si>
    <t>(C-10.2 or C-10.5) and (C-52 or NOT (C-10.1 or C-10.3 or C-10.4)) and C-06.1 and C-12.2</t>
  </si>
  <si>
    <t>(C-10.2 or C-10.5) and (C-52 or NOT (C-10.1 or C-10.3 or C-10.4)) and C-06.1 and C-12.2 and HFS-2</t>
  </si>
  <si>
    <t>C-01 and (C-30 - C-35 or ISO 15118 support)</t>
  </si>
  <si>
    <t>AQ-2 and (C-36 -(or) C-39)</t>
  </si>
  <si>
    <t>C-48.1 and (C-36 -(or) C-39)</t>
  </si>
  <si>
    <t>C-48.2 and (C-36 -(or) C-39)</t>
  </si>
  <si>
    <t>See column 3/4 -&gt; old formula</t>
  </si>
  <si>
    <t>NOT Smart Charging</t>
  </si>
  <si>
    <t>C-20 and NOT C-43</t>
  </si>
  <si>
    <t>(C-30 or C-31 or C-34) and (Local Authorization List Management or C-49)</t>
  </si>
  <si>
    <t>(C-30 or C-31 or C-34) and C-49</t>
  </si>
  <si>
    <t>NOT (UI-1.1 and UI-1.2 and UI-1.3)</t>
  </si>
  <si>
    <t>NOT (UI-2.1 and UI-2.2 and UI-2.3 and UI-2.4)</t>
  </si>
  <si>
    <t>(UI-1.1 and UI-1.2) or (UI-1.2 and UI-1.3) or (UI-1.3 and UI-1.1)</t>
  </si>
  <si>
    <t>NOT (HFS-5 and HFS-6 and HFS-7)</t>
  </si>
  <si>
    <t>NOT (SC-2.1 and SC-2.2)</t>
  </si>
  <si>
    <t>HFS-8 &gt; 1</t>
  </si>
  <si>
    <t>C-49 and (C-30 or C-31 or C-32)</t>
  </si>
  <si>
    <t>C-02 and (C-30 or C-31 or C-32)</t>
  </si>
  <si>
    <t>C-07 and (C-30 or C-31 or C-32)</t>
  </si>
  <si>
    <t>C-08 and (C-30 or C-31 or C-32)</t>
  </si>
  <si>
    <t>C-53 and (C-30 or C-31 or C-32)</t>
  </si>
  <si>
    <t>C-49 and (C-07 or C-08) and (C-30 or C-31 or C-32)</t>
  </si>
  <si>
    <t>C-49 and C-03 and (C-30 or C-31 or C-32)</t>
  </si>
  <si>
    <t>C-59 and C-49 and (C-30 or C-31 or C-32)</t>
  </si>
  <si>
    <t>LA-3 and (C-30 or C-31 or C-32)</t>
  </si>
  <si>
    <t>C-20 and NOT C-43 and AQ-7</t>
  </si>
  <si>
    <t>C-20 and NOT C-43 and NOT AQ-7</t>
  </si>
  <si>
    <t>C-40 and NOT AQ-8</t>
  </si>
  <si>
    <t>NOT C-60</t>
  </si>
  <si>
    <t>C-10.1 and (C-52 or NOT (C-10.3 or C-10.4)) AND NOT (C-10.2 AND NOT C-52 AND NOT C-06.1)</t>
  </si>
  <si>
    <t>C-40 and NOT AQ-8 AND (C-09.2 OR C-09.6)</t>
  </si>
  <si>
    <t>(C-30 or C-31 or C-32) AND (C-07 OR C-08)</t>
  </si>
  <si>
    <t>NOT C-09.5</t>
  </si>
  <si>
    <t>(C-30 or C-31 or C-32) and (Local Authorization List Management or C-49)</t>
  </si>
  <si>
    <t>NOT C-43 and NOT AQ-7</t>
  </si>
  <si>
    <t>NOT C-43 and AQ-7</t>
  </si>
  <si>
    <t>C-10.1 and (C-52 or NOT (C-10.3 or C-10.4)) AND NOT (C-10.2 AND NOT C-52 AND (NOT C-06.1 OR NOT AQ-9))</t>
  </si>
  <si>
    <t>(C-10.2 or C-10.3) and C-06.2 and AQ-9</t>
  </si>
  <si>
    <t>HFS-1 and C-06.2 and C-12.1 and AQ-9</t>
  </si>
  <si>
    <t>C-06.2 and C-12.2 and AQ-9</t>
  </si>
  <si>
    <t>(C-10.2 or C-10.5) and (C-52 or NOT (C-10.1 or C-10.3 or C-10.4)) and C-06.1 and C-12.2 and AQ-9</t>
  </si>
  <si>
    <t>(C-10.2 or C-10.5) and (C-52 or NOT (C-10.1 or C-10.3 or C-10.4)) and C-06.1 and C-12.2 and HFS-2 and AQ-9</t>
  </si>
  <si>
    <t>C-10.1 and (C-52 or NOT (C-10.3 or C-10.4)) AND NOT (C-10.2 AND NOT C-52 AND NOT C-06.1) AND AQ-9</t>
  </si>
  <si>
    <t>C-10.1 and (C-52 or NOT (C-10.3 or C-10.4)) AND NOT (C-10.2 AND NOT C-52) AND (HFS-4 OR ISO15118 support)</t>
  </si>
  <si>
    <t>NOT AQ-2 and (C-36 -(or) C-39)</t>
  </si>
  <si>
    <t>C-10.1 and (C-52 or NOT (C-10.3 or C-10.4)) AND NOT (C-10.2 AND NOT C-52 AND NOT C-06.1) AND (AQ-9 OR Product Subtype "Mode 1/2-only Charging Station")</t>
  </si>
  <si>
    <t>HFS-1 and C-06.2 and C-12.1 and AQ-18 and NOT (HFS-4 or (ISO 15118 support and NOT AQ-9 ))</t>
  </si>
  <si>
    <t>C-06.2 and C-12.2 and AQ-18 and NOT (HFS-4 or (ISO 15118 support and NOT AQ-9 ))</t>
  </si>
  <si>
    <t>(C-10.2 or C-10.5) and (C-52 or NOT (C-10.1 or C-10.3 or C-10.4)) and C-06.1 and C-12.2 and NOT (HFS-4 or (ISO 15118 support and NOT AQ-9 )) and NOT Product Subtype "Mode 1/2-only Charging Station"</t>
  </si>
  <si>
    <t>(C-10.2 or C-10.5) and (C-52 or NOT (C-10.1 or C-10.3 or C-10.4)) and C-06.1 and C-12.2 and HFS-2 and NOT (HFS-4 or (ISO 15118 support and NOT AQ-9 )) and NOT Product Subtype "Mode 1/2-only Charging Station"</t>
  </si>
  <si>
    <t>NOT C-09.5 and NOT Product Subtype "Mode 1/2-only Charging Station"</t>
  </si>
  <si>
    <t>C-10.1 and (C-52 or NOT (C-10.3 or C-10.4)) AND NOT (C-10.2 AND NOT C-52) AND (HFS-4 OR ISO15118 support) and NOT Product Subtype "Mode 1/2-only Charging Station"</t>
  </si>
  <si>
    <t>HFS-1 and AQ-18</t>
  </si>
  <si>
    <t>See column 3/4</t>
  </si>
  <si>
    <t>C-10.3 and (C-52 or NOT (C-10.1 or C-10.4)) AND (AQ-9 OR Product Subtype "Mode 1/2-only Charging Station" OR Product Subtype "Wireless Charging Station")</t>
  </si>
  <si>
    <t>C-20 and NOT C-43 and AQ-7 and HFS-8 &gt; 1</t>
  </si>
  <si>
    <t>C-20 and NOT C-43 and NOT AQ-7 and HFS-8 &gt; 1</t>
  </si>
  <si>
    <t>C-10.1 and (C-52 or NOT (C-10.2 or C-10.3 or C-10.4)) AND NOT C-06.1) AND (AQ-9 OR Product Subtype "Mode 1/2-only Charging Station")</t>
  </si>
  <si>
    <t>C-10.1 and (C-52 or NOT (C-10.2 or C-10.3 or C-10.4)) AND (HFS-4 OR ISO15118 support) AND NOT Product Subtype "Mode 1/2-only Charging Station"</t>
  </si>
  <si>
    <t>C-10.1 and (C-52 or NOT (C-10.3 or C-10.4)) AND (C-10.2 AND NOT C-52 AND NOT C.06.1) AND (AQ-9 OR Product Subtype "Mode 1/2-only Charging Station")</t>
  </si>
  <si>
    <t>(C-10.1 AND (NOT (NOT C-52 AND (C-10.3 or C-10.4))) AND NOT (NOT C-06.1 AND NOT C-52 AND C-10.2)) AND (AQ-9 OR Product Subtype "Mode 1/2-only Charging Station") AND NOT Product Subtype "Wireless Charging Station"</t>
  </si>
  <si>
    <t>C-10.1 AND (NOT (NOT C-52 AND (C-10.2 or C-10.3 or C-10.4))) AND (HFS-4 OR ISO 15118 support OR Product Subtype "Wireless Charging Station") AND NOT Product Subtype "Mode 1/2-only Charging Station"</t>
  </si>
  <si>
    <t>C-09.2 or C-09.6</t>
  </si>
  <si>
    <t>(C-30 or C-31 or C-32) and NOT AQ-2</t>
  </si>
  <si>
    <t>(C-30 or C-31 or C-32) and AQ-2</t>
  </si>
  <si>
    <t>C-58 and (C-30 or C-31 or C-32) and (C-49 or Local Authorization List Management)</t>
  </si>
  <si>
    <t>(C-10.2 or C-10.3) and (C-30 - C-32 or ISO 15118 support) and C-01</t>
  </si>
  <si>
    <t>(C-01 and (C-30 - C-34 or ISO 15118 support)) or C-35</t>
  </si>
  <si>
    <t>NOT ( NOT (C-30 - C-35) AND (NOT C-10.1 AND NOT C-10.3 AND NOT C-10.4 AND NOT C-10.5) AND NOT C-06.2)</t>
  </si>
  <si>
    <t>(C-30 or C-31 or C-32 or C-33 or C-35)</t>
  </si>
  <si>
    <t>C-10.2 and C-06.2 and AQ-9 and NOT (NOT C-52 AND (10.1 OR C-10.3 OR 10.4))</t>
  </si>
  <si>
    <t>NOT R-2</t>
  </si>
  <si>
    <t>C-49 and C-53</t>
  </si>
  <si>
    <t>C-49 and (C-30 or C-31 or (C-32 and C-72))</t>
  </si>
  <si>
    <t>C-49 and C-03 and (C-30 or C-31 or C-32 or C-34)</t>
  </si>
  <si>
    <t>C-59 and C-49</t>
  </si>
  <si>
    <t>C-58 and (C-30 or C-31 or C-32 or C-34) and (C-49 or Local Authorization List Management)</t>
  </si>
  <si>
    <t>(C-30 or C-31 or C-32 or C-34) AND (Local Authorization List Management or C-49)</t>
  </si>
  <si>
    <t>C-30 or C-31 or C-32 or C-34</t>
  </si>
  <si>
    <t>C-49 and C-53 and ((C-30 or C-31 or C-32 or C-34) or (C-36 or C-37))</t>
  </si>
  <si>
    <t>C-49 and ((C-30 or C-31 or C-32 or C-34) or (C-36 or C-37))</t>
  </si>
  <si>
    <t>C-59 and C-49 and ((C-30 or C-31 or C-32 or C-34) or (C-36 or C-37))</t>
  </si>
  <si>
    <t>NOT AQ-11</t>
  </si>
  <si>
    <t>AQ-1 and C-61</t>
  </si>
  <si>
    <t>ConfigID</t>
  </si>
  <si>
    <t>C-70 or C-71 or C-72</t>
  </si>
  <si>
    <t>C-70 or C-71 or C-72 or C-75</t>
  </si>
  <si>
    <t>(C-30 and C-70) or (C-31 and C-71) or (C-32 and C-72)</t>
  </si>
  <si>
    <t>((C-30 and C-70) or (C-31 and C-71) or (C-32 and C-72)) AND (C-07 OR C-08)</t>
  </si>
  <si>
    <t>C-02 and (C-30 or C-31 or C-32 or C-33 or C-34)</t>
  </si>
  <si>
    <t>C-07 and (C-70 or C-71 or C-72)</t>
  </si>
  <si>
    <t>C-08 and (C-70 or C-71 or C-72)</t>
  </si>
  <si>
    <t>C-49 and (((C-30 and C-70) or (C-31 and C-71) or (C-32 and C-72)) or (C-36 or C-37))</t>
  </si>
  <si>
    <t>C-49 and C-53 and (((C-30 and C-70) or (C-31 and C-71) or (C-32 and C-72)) or (C-36 or C-37))</t>
  </si>
  <si>
    <t>C-49 and ((C-30 and C-70) or (C-31 and C-71) or (C-32 and C-72))</t>
  </si>
  <si>
    <t>C-49 and C-03 and ((C-30 and C-70) or (C-31 and C-71) or (C-32 and C-72))</t>
  </si>
  <si>
    <t>C-59 and C-49 and (((C-30 and C-70) or (C-31 and C-71) or (C-32 and C-72)) or (C-36 or C-37))</t>
  </si>
  <si>
    <t>NOT AQ-2 and (C-30 or C-31 or C-32 or C-33 or C-34 or C-35 or ISO 15118 support)</t>
  </si>
  <si>
    <t>C-30 or C-31 or C-32 or C-33 or C-35</t>
  </si>
  <si>
    <t>C-09.2 and (C-30 or C-31 or C-32 or C-33 or C-34 or C-35 or ISO 15118 support)</t>
  </si>
  <si>
    <t>C-10.2 and (C-70 or C-71 or C-72 or C-75)</t>
  </si>
  <si>
    <t>(C-10.2 or C-10.3) and C-01 and NOT C-35</t>
  </si>
  <si>
    <t>C-10.3 and (C-52 or NOT C-10.2) and (C-70 or C-71 or C-72 or C-75)</t>
  </si>
  <si>
    <t>C-70 or C-71 or C-72 or C-75 or ISO 15118 support</t>
  </si>
  <si>
    <t>(C-70 or C-71 or C-72) AND (Local Authorization List Management or C-49)</t>
  </si>
  <si>
    <t>NOT (NOT ((C-30 and C-70) or (C-31 and C-71) or (C-32 and C-72) or (C-35 and C-75)) AND (NOT C-10.1 AND NOT C-10.3 AND NOT C-10.4 AND NOT C-10.5) AND NOT C-06.2)</t>
  </si>
  <si>
    <t>((C-30 and C-70) or (C-31 and C-71)) and (Local Authorization List Management or C-49)</t>
  </si>
  <si>
    <t>C-56 OR DM-0</t>
  </si>
  <si>
    <t>C-10.2 and C-06.2 and AQ-9 and NOT (NOT C-52 AND (C-10.1 OR C-10.3 OR C-10.4))</t>
  </si>
  <si>
    <t>NOT AQ-2 and (C-36 or C-37 or C-38 or C-39)</t>
  </si>
  <si>
    <t>C-48.1 and (C-36 or C-37 or C-38 or C-39)</t>
  </si>
  <si>
    <t>C-48.2 and (C-36 or C-37 or C-38 or C-39)</t>
  </si>
  <si>
    <t>LA-0 and ((C-30 and C-70) or (C-31 and C-71) or (C-32 and C-72))</t>
  </si>
  <si>
    <t>LA-0 and (C-30 or C-31 or C-32)</t>
  </si>
  <si>
    <t>LA-0 and C-49 and (C-30 or C-31 or (C-32 and C-72))</t>
  </si>
  <si>
    <t>LA-0 and LA-3</t>
  </si>
  <si>
    <t>R-0 and R-3</t>
  </si>
  <si>
    <t>R-0 and R-2</t>
  </si>
  <si>
    <t>R-0 and NOT R-2</t>
  </si>
  <si>
    <t>R-0 and R-1</t>
  </si>
  <si>
    <t>DM-0 and AQ-5</t>
  </si>
  <si>
    <t>DM-0 and AQ-10</t>
  </si>
  <si>
    <t>DM-0 and DM-3</t>
  </si>
  <si>
    <t>UI-0 and NOT (UI-1.1 and UI-1.2 and UI-1.3)</t>
  </si>
  <si>
    <t>UI-0 and NOT (UI-2.1 and UI-2.2 and UI-2.3 and UI-2.4)</t>
  </si>
  <si>
    <t>UI-0 and UI-1.2</t>
  </si>
  <si>
    <t>UI-0 and UI-1.1</t>
  </si>
  <si>
    <t>UI-0 and ((UI-1.1 and UI-1.2) or (UI-1.2 and UI-1.3) or (UI-1.3 and UI-1.1))</t>
  </si>
  <si>
    <t>C-61 or Advanced Security</t>
  </si>
  <si>
    <t>NOT HFS-13</t>
  </si>
  <si>
    <t>HFS-8 &gt; 1 AND NOT HFS-13</t>
  </si>
  <si>
    <t>(C-30 or C-31 or C-32 or C-33 or C-35) AND NOT HFS-13</t>
  </si>
  <si>
    <t>NOT C-09.5 and NOT Product Subtype "Mode 1/2-only Charging Station" AND NOT HFS-13</t>
  </si>
  <si>
    <t>HFS-1 and C-10.1 and (C-52 or NOT (C-10.2 or C-10.3 or C-10.4)) AND NOT HFS-13</t>
  </si>
  <si>
    <t>C-10.1 AND (NOT (NOT C-52 AND (C-10.2 or C-10.3 or C-10.4))) AND (HFS-4 OR ISO 15118 support OR Product Subtype "Wireless Charging Station") AND NOT Product Subtype "Mode 1/2-only Charging Station" AND NOT HFS-13</t>
  </si>
  <si>
    <t>UI-0 AND NOT HFS-13</t>
  </si>
  <si>
    <t>Helper</t>
  </si>
  <si>
    <t>TC_A_01_CS</t>
  </si>
  <si>
    <t>Basic Authentication - Valid username/password combination</t>
  </si>
  <si>
    <t>M</t>
  </si>
  <si>
    <t>TC_A_09_CS</t>
  </si>
  <si>
    <t>Update Charging Station Password for HTTP Basic Authentication - Accepted</t>
  </si>
  <si>
    <t>TC_A_10_CS</t>
  </si>
  <si>
    <t>Update Charging Station Password for HTTP Basic Authentication - Rejected</t>
  </si>
  <si>
    <t>TC_A_04_CS</t>
  </si>
  <si>
    <t>TLS - server-side certificate - Valid certificate</t>
  </si>
  <si>
    <t>TC_A_05_CS</t>
  </si>
  <si>
    <t>TLS - server-side certificate - Invalid certificate</t>
  </si>
  <si>
    <t>TC_A_06_CS</t>
  </si>
  <si>
    <t>TLS - server-side certificate - TLS version too low</t>
  </si>
  <si>
    <t>TC_A_19_CS</t>
  </si>
  <si>
    <t>Upgrade Charging Station Security Profile - Accepted</t>
  </si>
  <si>
    <t>C</t>
  </si>
  <si>
    <t>C-61 OR Advanced Security</t>
  </si>
  <si>
    <t>TC_A_20_CS</t>
  </si>
  <si>
    <t>Upgrade Charging Station Security Profile - No valid CSMSRootCertificate installed</t>
  </si>
  <si>
    <t>Can the last CSMSRootCertificate be removed? Security Profile 1 - Unsecured Transport with Basic Authentication</t>
  </si>
  <si>
    <t>TC_A_22_CS</t>
  </si>
  <si>
    <t>Upgrade Charging Station Security Profile - Downgrade security profile - Rejected</t>
  </si>
  <si>
    <t>TC_B_01_CS</t>
  </si>
  <si>
    <t>Cold Boot Charging Station - Accepted</t>
  </si>
  <si>
    <t>TC_B_02_CS</t>
  </si>
  <si>
    <t>Cold Boot Charging Station - Pending</t>
  </si>
  <si>
    <t>TC_B_03_CS</t>
  </si>
  <si>
    <t>Cold Boot Charging Station - Rejected</t>
  </si>
  <si>
    <t>TC_B_30_CS</t>
  </si>
  <si>
    <t>Cold Boot Charging Station - Pending/Rejected - SecurityError</t>
  </si>
  <si>
    <t>TC_B_51_CS</t>
  </si>
  <si>
    <t>Status change during offline period - &gt; Offline Threshold</t>
  </si>
  <si>
    <t>TC_B_52_CS</t>
  </si>
  <si>
    <t>Status change during offline period - &lt; Offline Threshold</t>
  </si>
  <si>
    <t>TC_B_06_CS</t>
  </si>
  <si>
    <t>Get Variables - single value</t>
  </si>
  <si>
    <t>TC_B_07_CS</t>
  </si>
  <si>
    <t>Get Variables - multiple values</t>
  </si>
  <si>
    <t>TC_B_32_CS</t>
  </si>
  <si>
    <t>Get Variables - Unknown component</t>
  </si>
  <si>
    <t>TC_B_33_CS</t>
  </si>
  <si>
    <t>Get Variables - Unknown variable</t>
  </si>
  <si>
    <t>TC_B_34_CS</t>
  </si>
  <si>
    <t>Get Variables - Not supported attribute type</t>
  </si>
  <si>
    <t>TC_B_09_CS</t>
  </si>
  <si>
    <t>Set Variables - single value</t>
  </si>
  <si>
    <t>TC_B_10_CS</t>
  </si>
  <si>
    <t>Set Variables - multiple values</t>
  </si>
  <si>
    <t>TC_B_35_CS</t>
  </si>
  <si>
    <t>Set Variables - Unknown component</t>
  </si>
  <si>
    <t>TC_B_36_CS</t>
  </si>
  <si>
    <t>Set Variables - Unknown variable</t>
  </si>
  <si>
    <t>TC_B_37_CS</t>
  </si>
  <si>
    <t>Set Variables - Not supported attribute type</t>
  </si>
  <si>
    <t>TC_B_11_CS</t>
  </si>
  <si>
    <t>Set Variables - invalidly formatted values</t>
  </si>
  <si>
    <t>TC_B_39_CS</t>
  </si>
  <si>
    <t>Set Variables - Read-only</t>
  </si>
  <si>
    <t>TC_B_12_CS</t>
  </si>
  <si>
    <t>Get Base Report - ConfigurationInventory</t>
  </si>
  <si>
    <t>TC_B_13_CS</t>
  </si>
  <si>
    <t>Get Base Report - FullInventory</t>
  </si>
  <si>
    <t>TC_B_14_CS</t>
  </si>
  <si>
    <t>Get Base Report - SummaryInventory</t>
  </si>
  <si>
    <t>TC_B_15_CS</t>
  </si>
  <si>
    <t>Get Base Report - Not Supported base report</t>
  </si>
  <si>
    <t>Not C-56</t>
  </si>
  <si>
    <t>TC_B_53_CS</t>
  </si>
  <si>
    <t>Get Base Report - Test mandatory DM variables via FullInventory</t>
  </si>
  <si>
    <t>TC_B_20_CS</t>
  </si>
  <si>
    <t>Reset Charging Station - Without ongoing transaction - OnIdle</t>
  </si>
  <si>
    <t>TC_B_21_CS</t>
  </si>
  <si>
    <t>Reset Charging Station - With Ongoing Transaction - OnIdle</t>
  </si>
  <si>
    <t>TC_B_22_CS</t>
  </si>
  <si>
    <t>Reset Charging Station - With Ongoing Transaction - Immediate</t>
  </si>
  <si>
    <t>TC_B_23_CS</t>
  </si>
  <si>
    <t>Reset Charging Station - Unavailable persists reset</t>
  </si>
  <si>
    <t>TC_B_41_CS</t>
  </si>
  <si>
    <t>Reset Charging Station - With multiple ongoing transactions - OnIdle</t>
  </si>
  <si>
    <t>TC_B_25_CS</t>
  </si>
  <si>
    <t>Reset EVSE - Without ongoing transaction</t>
  </si>
  <si>
    <t>Reset per EVSE</t>
  </si>
  <si>
    <t>TC_B_26_CS</t>
  </si>
  <si>
    <t>Reset EVSE - With Ongoing Transaction - OnIdle</t>
  </si>
  <si>
    <t>TC_B_27_CS</t>
  </si>
  <si>
    <t>Reset EVSE - With Ongoing Transaction - Immediate</t>
  </si>
  <si>
    <t>TC_B_28_CS</t>
  </si>
  <si>
    <t>Reset EVSE - Not Supported</t>
  </si>
  <si>
    <t>TC_B_29_CS</t>
  </si>
  <si>
    <t>Reset EVSE - With ongoing transaction - Not Supported</t>
  </si>
  <si>
    <t>TC_B_101_CS</t>
  </si>
  <si>
    <t>Reset ImmediateAndResume - With Ongoing Transaction - TxResumptionTimeout 0 or &lt;omitted&gt; - Rejected</t>
  </si>
  <si>
    <t>TC_B_102_CS</t>
  </si>
  <si>
    <t>Reset ImmediateAndResume - With ongoing transaction - Energy Transfer Suspended</t>
  </si>
  <si>
    <t>TC_B_103_CS</t>
  </si>
  <si>
    <t>Reset ImmediateAndResume - With Ongoing Transaction - Resuming Energy Transfer</t>
  </si>
  <si>
    <t>TC_B_104_CS</t>
  </si>
  <si>
    <t>Reset ImmediateAndResume - Without ongoing transaction</t>
  </si>
  <si>
    <t>TC_B_43_CS</t>
  </si>
  <si>
    <t>Set new NetworkConnectionProfile - Rejected</t>
  </si>
  <si>
    <t>TC_B_100_CS</t>
  </si>
  <si>
    <t>TC_B_105_CS</t>
  </si>
  <si>
    <t>TC_B_107_CS</t>
  </si>
  <si>
    <t>TC_B_108_CS</t>
  </si>
  <si>
    <t>TC_B_109_CS</t>
  </si>
  <si>
    <t>TC_B_110_CS</t>
  </si>
  <si>
    <t>TC_B_111_CS</t>
  </si>
  <si>
    <t>TC_B_45_CS</t>
  </si>
  <si>
    <t>Migrate to new ConnectionProfile - Success - Same CSMS Root</t>
  </si>
  <si>
    <t>TC_B_46_CS</t>
  </si>
  <si>
    <t>Migrate to new ConnectionProfile - Fallback mechanism - Same CSMS Root</t>
  </si>
  <si>
    <t>TC_B_47_CS</t>
  </si>
  <si>
    <t>Migrate to new ConnectionProfile - Fallback after NetworkProfileConnectionAttempts per NetworkConfigurationPriority failed - New CSMS Root - New CSMS</t>
  </si>
  <si>
    <t>Additional Root Certificate check mechanism implemented &amp; Reconnect after NetworkProfileConnectionAttempts</t>
  </si>
  <si>
    <t>TC_B_49_CS</t>
  </si>
  <si>
    <t>Migrate to new ConnectionProfile - Fallback after NetworkProfileConnectionAttempts per NetworkConfigurationPriority failed - Same CSMS Root</t>
  </si>
  <si>
    <t>Reconnect after NetworkProfileConnectionAttempts</t>
  </si>
  <si>
    <t>TC_B_50_CS</t>
  </si>
  <si>
    <t>Migrate to new ConnectionProfile - Success - New CSMS Root - New CSMS</t>
  </si>
  <si>
    <t>TC_B_57_CS</t>
  </si>
  <si>
    <t>Network Reconnection - After connection loss</t>
  </si>
  <si>
    <t>TC_C_02_CS</t>
  </si>
  <si>
    <t>Local start transaction - Authorization Invalid/Unknown</t>
  </si>
  <si>
    <t>Local Authorization - using RFID ISO14443 / RFID ISO15693 / KeyCode and Does the Charging Station have a cable lock, which prevents the EV driver to connect the EV and EVSE before authorization?</t>
  </si>
  <si>
    <t>TC_C_06_CS</t>
  </si>
  <si>
    <t>Local start transaction - Authorization Blocked</t>
  </si>
  <si>
    <t>Local Authorization - using RFID ISO14443 / RFID ISO15693 / KeyCode</t>
  </si>
  <si>
    <t>TC_C_07_CS</t>
  </si>
  <si>
    <t>Local start transaction - Authorization Expired</t>
  </si>
  <si>
    <t>TC_E_38_CS</t>
  </si>
  <si>
    <t>Local start transaction - EV not ready</t>
  </si>
  <si>
    <t>TC_C_56_CS</t>
  </si>
  <si>
    <t>Local start transaction - Authorization Unknown</t>
  </si>
  <si>
    <t>TC_C_05_CS</t>
  </si>
  <si>
    <t>Local start transaction - Authorization invalid - Cable lock</t>
  </si>
  <si>
    <t>TC_C_04_CS</t>
  </si>
  <si>
    <t>Local Stop Transaction - Different idToken</t>
  </si>
  <si>
    <t>TC_E_06_CS</t>
  </si>
  <si>
    <t>Local Stop Transaction - Accepted</t>
  </si>
  <si>
    <t>Local Authorization - using RFID ISO14443 / RFID ISO15693 / KeyCode / NoAuthorization</t>
  </si>
  <si>
    <t>TC_C_39_CS</t>
  </si>
  <si>
    <t>Authorization by GroupId - Success</t>
  </si>
  <si>
    <t>TC_C_45_CS</t>
  </si>
  <si>
    <t>Authorization by GroupId - Master pass - Not able to start transaction + groupId</t>
  </si>
  <si>
    <t>Local Authorization - using RFID ISO14443 / RFID ISO15693 / KeyCode and Master Pass</t>
  </si>
  <si>
    <t>TC_C_42_CS</t>
  </si>
  <si>
    <t>Authorization by GroupId - Not stopped by GroupId</t>
  </si>
  <si>
    <t>TC_C_26_CS</t>
  </si>
  <si>
    <t>Offline Authorization - Unknown Id</t>
  </si>
  <si>
    <t>Unknown Offline Authorization</t>
  </si>
  <si>
    <t>TC_C_47_CS</t>
  </si>
  <si>
    <t>Stop Transaction with a Master Pass - With UI - All transactions</t>
  </si>
  <si>
    <t>Master Pass - With UI</t>
  </si>
  <si>
    <t>TC_C_48_CS</t>
  </si>
  <si>
    <t>Stop Transaction with a Master Pass - With UI - With UI - Specific transactions</t>
  </si>
  <si>
    <t>TC_C_49_CS</t>
  </si>
  <si>
    <t>Stop Transaction with a Master Pass - Without UI</t>
  </si>
  <si>
    <t>Master Pass - Without UI</t>
  </si>
  <si>
    <t>TC_C_32_CS</t>
  </si>
  <si>
    <t>Store Authorization Data in the Authorization Cache - Persistent over reboot</t>
  </si>
  <si>
    <t>Authorization Cache</t>
  </si>
  <si>
    <t>TC_C_33_CS</t>
  </si>
  <si>
    <t>Store Authorization Data in the Authorization Cache - Update on AuthorizeResponse</t>
  </si>
  <si>
    <t>TC_C_34_CS</t>
  </si>
  <si>
    <t>Store Authorization Data in the Authorization Cache - Update on TransactionResponse</t>
  </si>
  <si>
    <t>TC_C_36_CS</t>
  </si>
  <si>
    <t>Store Authorization Data in the Authorization Cache - AuthCacheCtrlr.LocalPreAuthorize = false</t>
  </si>
  <si>
    <t>TC_C_46_CS</t>
  </si>
  <si>
    <t>Store Authorization Data in the Authorization Cache - AuthCacheLifeTime</t>
  </si>
  <si>
    <t>Authorization Cache &amp; AuthCacheLifeTime</t>
  </si>
  <si>
    <t>TC_C_37_CS</t>
  </si>
  <si>
    <t>Clear Authorization Data in Authorization Cache - Accepted</t>
  </si>
  <si>
    <t>TC_C_38_CS</t>
  </si>
  <si>
    <t>Clear Authorization Data in Authorization Cache - Rejected</t>
  </si>
  <si>
    <t>TC_C_41_CS</t>
  </si>
  <si>
    <t>Authorization by GroupId - Success with Authorization Cache</t>
  </si>
  <si>
    <t>TC_C_44_CS</t>
  </si>
  <si>
    <t>Authorization by GroupId - Invalid status with Authorization Cache</t>
  </si>
  <si>
    <t>TC_C_08_CS</t>
  </si>
  <si>
    <t>Authorization through authorization cache - Accepted</t>
  </si>
  <si>
    <t>TC_C_09_CS</t>
  </si>
  <si>
    <t>Authorization through authorization cache - Invalid &amp; Not Accepted</t>
  </si>
  <si>
    <t>TC_C_12_CS</t>
  </si>
  <si>
    <t>Authorization through authorization cache - Invalid &amp; Accepted</t>
  </si>
  <si>
    <t>TC_C_10_CS</t>
  </si>
  <si>
    <t>Authorization through authorization cache - Blocked</t>
  </si>
  <si>
    <t>TC_C_11_CS</t>
  </si>
  <si>
    <t>Authorization through authorization cache - Expired</t>
  </si>
  <si>
    <t>TC_C_13_CS</t>
  </si>
  <si>
    <t>Authorization through authorization cache - Accepted but cable not connected yet.</t>
  </si>
  <si>
    <t>TC_C_15_CS</t>
  </si>
  <si>
    <t>Authorization through authorization cache - StopTxOnInvalidId = false, MaxEnergyOnInvalidId &gt; 0</t>
  </si>
  <si>
    <t>Authorization Cache &amp; MaxEnergyOnInvalidId</t>
  </si>
  <si>
    <t>TC_C_16_CS</t>
  </si>
  <si>
    <t>Authorization through authorization cache - StopTxOnInvalidId = true</t>
  </si>
  <si>
    <t>TC_C_17_CS</t>
  </si>
  <si>
    <t>Authorization through authorization cache - StopTxOnInvalidId = false</t>
  </si>
  <si>
    <t>TC_C_18_CS</t>
  </si>
  <si>
    <t>Authorization through authorization cache - StopTxOnInvalidId = true, MaxEnergyOnInvalidId &gt; 0</t>
  </si>
  <si>
    <t>TC_C_57_CS</t>
  </si>
  <si>
    <t>Authorization through authorization cache - AuthCacheDisablePostAuthorize</t>
  </si>
  <si>
    <t>TC_E_03_CS</t>
  </si>
  <si>
    <t>Local start transaction - Cable plugin first - Success</t>
  </si>
  <si>
    <t>TC_E_04_CS</t>
  </si>
  <si>
    <t>Local start transaction - Authorization first - Success</t>
  </si>
  <si>
    <t>TC_E_05_CS</t>
  </si>
  <si>
    <t>Local start transaction - Authorization first - Cable plugin timeout</t>
  </si>
  <si>
    <t>TC_E_52_CS</t>
  </si>
  <si>
    <t>Local start transaction - Authorization first - DisableRemoteAuthorization</t>
  </si>
  <si>
    <t>Local Authorization - using RFID ISO14443 / RFID ISO15693 / KeyCode &amp;</t>
  </si>
  <si>
    <t>TC_E_09_CS</t>
  </si>
  <si>
    <t>TC_E_10_CS</t>
  </si>
  <si>
    <t>Start transaction options - Authorized - Local</t>
  </si>
  <si>
    <t>Supported Transaction Start Points &amp; Authorization options for local start &amp; Authorization - eMAID</t>
  </si>
  <si>
    <t>TC_E_13_CS</t>
  </si>
  <si>
    <t>Start transaction options - Authorized - Remote</t>
  </si>
  <si>
    <t>Supported Transaction Start points</t>
  </si>
  <si>
    <t>TC_E_11_CS</t>
  </si>
  <si>
    <t>TC_E_01_CS</t>
  </si>
  <si>
    <t>TC_E_02_CS</t>
  </si>
  <si>
    <t>TC_E_12_CS</t>
  </si>
  <si>
    <t>Start transaction options - ParkingBayOccupied</t>
  </si>
  <si>
    <t>TC_E_14_CS</t>
  </si>
  <si>
    <t>Stop transaction options - EVDisconnected - Charging Station side</t>
  </si>
  <si>
    <t>Supported Transaction Stop points</t>
  </si>
  <si>
    <t>TC_E_20_CS</t>
  </si>
  <si>
    <t>Stop transaction options - EVDisconnected - EV side (able to charge IEC 61851-1 EV)</t>
  </si>
  <si>
    <t>TC_E_54_CS</t>
  </si>
  <si>
    <t>Stop transaction options - EVDisconnected - EV side (not able to charge IEC 61851-1 EV)</t>
  </si>
  <si>
    <t>TC_E_15_CS</t>
  </si>
  <si>
    <t>Stop transaction options - StopAuthorized - Local</t>
  </si>
  <si>
    <t>Supported Transaction Stop Points &amp; Local Authorization - using RFID ISO14443 / RFID ISO15693 / KeyCode / NoAuthorization</t>
  </si>
  <si>
    <t>TC_E_21_CS</t>
  </si>
  <si>
    <t>Stop transaction options - StopAuthorized - Remote</t>
  </si>
  <si>
    <t>TC_E_16_CS</t>
  </si>
  <si>
    <t>Stop transaction options - Deauthorized - Invalid idToken</t>
  </si>
  <si>
    <t>Supported Transaction Stop Points &amp; Local Authorization options for local start</t>
  </si>
  <si>
    <t>TC_E_17_CS</t>
  </si>
  <si>
    <t>Stop transaction options - Deauthorized - EV side disconnect</t>
  </si>
  <si>
    <t>TC_E_39_CS</t>
  </si>
  <si>
    <t>Stop transaction options - Deauthorized - timeout</t>
  </si>
  <si>
    <t>TC_E_07_CS</t>
  </si>
  <si>
    <t>Stop transaction options - PowerPathClosed - Local stop</t>
  </si>
  <si>
    <t>TC_E_35_CS</t>
  </si>
  <si>
    <t>Stop transaction options - PowerPathClosed - Remote stop</t>
  </si>
  <si>
    <t>TC_E_37_CS</t>
  </si>
  <si>
    <t>Stop transaction options - PowerPathClosed - EV side disconnect</t>
  </si>
  <si>
    <t>TC_E_08_CS</t>
  </si>
  <si>
    <t>Stop transaction options - EnergyTransfer stopped - StopAuthorized</t>
  </si>
  <si>
    <t>TC_E_22_CS</t>
  </si>
  <si>
    <t>Stop transaction options - EnergyTransfer stopped - SuspendedEV</t>
  </si>
  <si>
    <t>TC_E_19_CS</t>
  </si>
  <si>
    <t>Stop transaction options - ParkingBayUnoccupied</t>
  </si>
  <si>
    <t>TC_E_24_CS</t>
  </si>
  <si>
    <t>Disconnect cable on EV-side - Deauthorize transaction - UnlockOnEVSideDisconnect is true</t>
  </si>
  <si>
    <t>Support for not maintaining authorization when cable disconnected on EV side &amp; Support for unlocking connector when cable disconnected on EV side</t>
  </si>
  <si>
    <t>TC_E_25_CS</t>
  </si>
  <si>
    <t>Disconnect cable on EV-side - Deauthorize transaction - UnlockOnEVSideDisconnect is false</t>
  </si>
  <si>
    <t>Support for not maintaining authorization when cable disconnected on EV side &amp; Support for not unlocking connector when cable disconnected on EV side</t>
  </si>
  <si>
    <t>TC_E_26_CS</t>
  </si>
  <si>
    <t>Disconnect cable on EV-side - Suspend transaction</t>
  </si>
  <si>
    <t>TC_E_27_CS</t>
  </si>
  <si>
    <t>Disconnect cable on EV-side - Suspend transaction - Fixed cable connection timeout</t>
  </si>
  <si>
    <t>TC_E_100_CS</t>
  </si>
  <si>
    <t>Transactions with fixed cost, energy or time - CSMS specifies energy limit</t>
  </si>
  <si>
    <t>TC_E_101_CS</t>
  </si>
  <si>
    <t>Transactions with fixed cost, energy or time - CSMS calculates costs (through CostUpdatedRequest) and CS specifies limit</t>
  </si>
  <si>
    <t>TC_E_102_CS</t>
  </si>
  <si>
    <t>Transactions with fixed cost, energy or time - CSMS and CS both specify limits</t>
  </si>
  <si>
    <t>TC_E_103_CS</t>
  </si>
  <si>
    <t>Transactions with fixed cost, energy or time - CS calculates costs and CSMS specifies limit</t>
  </si>
  <si>
    <t>TC_E_104_CS</t>
  </si>
  <si>
    <t>Transactions with fixed cost, energy or time - CSMS calculates costs (through TransactionEventResponse) and specifies limit</t>
  </si>
  <si>
    <t>TC_E_105_CS</t>
  </si>
  <si>
    <t>Transactions with fixed cost, energy or time - CSMS specifies time limit</t>
  </si>
  <si>
    <t>TC_E_106_CS</t>
  </si>
  <si>
    <t>Transactions with fixed cost, energy or time - CS specifies energy limit</t>
  </si>
  <si>
    <t>TC_E_107_CS</t>
  </si>
  <si>
    <t>Transactions with fixed cost, energy or time - CS specifies time limit</t>
  </si>
  <si>
    <t>TC_E_108_CS</t>
  </si>
  <si>
    <t>Transactions with fixed cost, energy or time - CS calculates costs and specifies limit</t>
  </si>
  <si>
    <t>TC_E_112_CS</t>
  </si>
  <si>
    <t>Resuming transaction after interruption - TxResumptionTimeout not expired - TxAllowEnergyTransferResumption is false</t>
  </si>
  <si>
    <t>TC_E_113_CS</t>
  </si>
  <si>
    <t>Resuming transaction after interruption - TxResumptionTimeout not expired - TxAllowEnergyTransferResumption is true</t>
  </si>
  <si>
    <t>TC_E_114_CS</t>
  </si>
  <si>
    <t>Resuming transaction after interruption - Powerloss - TxResumptionTimeout absent</t>
  </si>
  <si>
    <t>NOT C-62 AND NOT C-64</t>
  </si>
  <si>
    <t>TC_E_115_CS</t>
  </si>
  <si>
    <t>Resuming transaction after interruption - Powerloss - TxResumptionTimeout = 0</t>
  </si>
  <si>
    <t>TC_E_116_CS</t>
  </si>
  <si>
    <t>Resuming transaction after interruption - Powerloss - TxResumptionTimeout expired</t>
  </si>
  <si>
    <t>TC_E_41_CS</t>
  </si>
  <si>
    <t>Retry sending transaction message when failed - Max retry count reached</t>
  </si>
  <si>
    <t>TC_E_42_CS</t>
  </si>
  <si>
    <t>Retry sending transaction message when failed - Success before reaching the max retry count</t>
  </si>
  <si>
    <t>TC_E_50_CS</t>
  </si>
  <si>
    <t>Retry sending transaction message when failed - Max retry count reached - CallError</t>
  </si>
  <si>
    <t>TC_E_51_CS</t>
  </si>
  <si>
    <t>Retry sending transaction message when failed - Success before reaching the max retry count - CallError</t>
  </si>
  <si>
    <t>TC_E_40_CS</t>
  </si>
  <si>
    <t>Offline Behaviour - Connection loss during transaction</t>
  </si>
  <si>
    <t>TC_E_43_CS</t>
  </si>
  <si>
    <t>Offline Behaviour - Transaction during offline period</t>
  </si>
  <si>
    <t>Offline transaction support</t>
  </si>
  <si>
    <t>TC_E_44_CS</t>
  </si>
  <si>
    <t>Offline Behaviour - Stop transaction during offline period</t>
  </si>
  <si>
    <t>Local Authorization options for local start &amp; Authorization - eMAID</t>
  </si>
  <si>
    <t>TC_E_45_CS</t>
  </si>
  <si>
    <t>Offline Behaviour - Stop transaction during offline period - Same GroupId</t>
  </si>
  <si>
    <t>Local Authorization - using RFID ISO14443 / RFID ISO15693 / KeyCode and Local Authorization List or Authorization Cache</t>
  </si>
  <si>
    <t>TC_E_28_CS</t>
  </si>
  <si>
    <t>Check Transaction status - TransactionId unknown</t>
  </si>
  <si>
    <t>TC_E_29_CS</t>
  </si>
  <si>
    <t>Check Transaction status - Transaction with id ongoing - with message in queue</t>
  </si>
  <si>
    <t>TC_E_30_CS</t>
  </si>
  <si>
    <t>Check Transaction status - Transaction with id ongoing - without message in queue</t>
  </si>
  <si>
    <t>TC_E_31_CS</t>
  </si>
  <si>
    <t>Check Transaction status - Transaction with id ended - with message in queue</t>
  </si>
  <si>
    <t>TC_E_32_CS</t>
  </si>
  <si>
    <t>Check Transaction status - Transaction with id ended - without message in queue</t>
  </si>
  <si>
    <t>TC_E_33_CS</t>
  </si>
  <si>
    <t>Check Transaction status - Without transactionId - with message in queue</t>
  </si>
  <si>
    <t>TC_E_34_CS</t>
  </si>
  <si>
    <t>Check Transaction status - Without transactionId - without message in queue</t>
  </si>
  <si>
    <t>TC_F_01_CS</t>
  </si>
  <si>
    <t>Remote start transaction - Cable plugin first</t>
  </si>
  <si>
    <t>TC_F_02_CS</t>
  </si>
  <si>
    <t>Remote start transaction - Remote start first - AuthorizeRemoteStart is true</t>
  </si>
  <si>
    <t>TC_F_03_CS</t>
  </si>
  <si>
    <t>Remote start transaction - Remote start first - AuthorizeRemoteStart is false</t>
  </si>
  <si>
    <t>TC_F_04_CS</t>
  </si>
  <si>
    <t>Remote start transaction - Remote start first - Cable plugin timeout</t>
  </si>
  <si>
    <t>TC_F_08_CS</t>
  </si>
  <si>
    <t>Remote stop transaction - Success</t>
  </si>
  <si>
    <t>TC_F_09_CS</t>
  </si>
  <si>
    <t>Remote stop transaction - Rejected</t>
  </si>
  <si>
    <t>TC_F_05_CS</t>
  </si>
  <si>
    <t>Remote unlock Connector - With ongoing transaction</t>
  </si>
  <si>
    <t>TC_F_06_CS</t>
  </si>
  <si>
    <t>Remote unlock Connector - Without ongoing transaction - Accepted</t>
  </si>
  <si>
    <t>TC_F_07_CS</t>
  </si>
  <si>
    <t>Remote unlock Connector - Without ongoing transaction - No cable connected</t>
  </si>
  <si>
    <t>TC_F_10_CS</t>
  </si>
  <si>
    <t>Remote unlock Connector - Without ongoing transaction - UnknownConnector</t>
  </si>
  <si>
    <t>TC_F_11_CS</t>
  </si>
  <si>
    <t>Trigger message - MeterValues - Specific EVSE</t>
  </si>
  <si>
    <t>TC_F_12_CS</t>
  </si>
  <si>
    <t>Trigger message - MeterValues - All EVSE</t>
  </si>
  <si>
    <t>TC_F_13_CS</t>
  </si>
  <si>
    <t>Trigger message - TransactionEvent - Specific EVSE</t>
  </si>
  <si>
    <t>TC_F_14_CS</t>
  </si>
  <si>
    <t>Trigger message - TransactionEvent - All EVSE</t>
  </si>
  <si>
    <t>TC_F_15_CS</t>
  </si>
  <si>
    <t>Trigger message - LogStatusNotification - Idle</t>
  </si>
  <si>
    <t>TC_F_16_CS</t>
  </si>
  <si>
    <t>Trigger message - LogStatusNotification - Uploading</t>
  </si>
  <si>
    <t>TC_F_17_CS</t>
  </si>
  <si>
    <t>Trigger message - FirmwareStatusNotification - Specific EVSE not relevant</t>
  </si>
  <si>
    <t>TC_F_18_CS</t>
  </si>
  <si>
    <t>Trigger message - FirmwareStatusNotification - Idle</t>
  </si>
  <si>
    <t>TC_F_19_CS</t>
  </si>
  <si>
    <t>Trigger message - FirmwareStatusNotification - Downloading</t>
  </si>
  <si>
    <t>TC_F_20_CS</t>
  </si>
  <si>
    <t>Trigger message - Heartbeat</t>
  </si>
  <si>
    <t>TC_F_23_CS</t>
  </si>
  <si>
    <t>Trigger message - StatusNotification - Specific EVSE - Available</t>
  </si>
  <si>
    <t>TC_F_24_CS</t>
  </si>
  <si>
    <t>Trigger message - StatusNotification - Specific EVSE - Occupied</t>
  </si>
  <si>
    <t>TC_F_26_CS</t>
  </si>
  <si>
    <t>Trigger message - BootNotification - Rejected</t>
  </si>
  <si>
    <t>TC_F_27_CS</t>
  </si>
  <si>
    <t>Trigger message - NotImplemented</t>
  </si>
  <si>
    <t>TC_F_100_CS</t>
  </si>
  <si>
    <t>Trigger message</t>
  </si>
  <si>
    <t>TC_G_01_CS</t>
  </si>
  <si>
    <t>Connector status Notification - Available to Occupied</t>
  </si>
  <si>
    <t>TC_G_02_CS</t>
  </si>
  <si>
    <t>Connector status Notification - Occupied to Available</t>
  </si>
  <si>
    <t>TC_G_03_CS</t>
  </si>
  <si>
    <t>Change Availability EVSE - Operative to inoperative</t>
  </si>
  <si>
    <t>TC_G_09_CS</t>
  </si>
  <si>
    <t>Change Availability EVSE - Operative to operative</t>
  </si>
  <si>
    <t>TC_G_04_CS</t>
  </si>
  <si>
    <t>Change Availability EVSE - Inoperative to operative</t>
  </si>
  <si>
    <t>TC_G_10_CS</t>
  </si>
  <si>
    <t>Change Availability EVSE - Inoperative to inoperative</t>
  </si>
  <si>
    <t>TC_G_11_CS</t>
  </si>
  <si>
    <t>Change Availability EVSE - With ongoing transaction</t>
  </si>
  <si>
    <t>TC_G_18_CS</t>
  </si>
  <si>
    <t>Change Availability EVSE - state persists across reboot</t>
  </si>
  <si>
    <t>TC_G_05_CS</t>
  </si>
  <si>
    <t>Change Availability Charging Station - Operative to inoperative</t>
  </si>
  <si>
    <t>TC_G_12_CS</t>
  </si>
  <si>
    <t>Change Availability Charging Station - Operative to operative</t>
  </si>
  <si>
    <t>TC_G_06_CS</t>
  </si>
  <si>
    <t>Change Availability Charging Station - Inoperative to operative</t>
  </si>
  <si>
    <t>TC_G_13_CS</t>
  </si>
  <si>
    <t>Change Availability Charging Station - Inoperative to inoperative</t>
  </si>
  <si>
    <t>TC_G_21_CS</t>
  </si>
  <si>
    <t>Change Availability Charging Station - state persists across reboot</t>
  </si>
  <si>
    <t>TC_G_14_CS</t>
  </si>
  <si>
    <t>Change Availability Charging Station - With ongoing transaction</t>
  </si>
  <si>
    <t>TC_G_07_CS</t>
  </si>
  <si>
    <t>Change Availability Connector - Operative to inoperative</t>
  </si>
  <si>
    <t>TC_G_15_CS</t>
  </si>
  <si>
    <t>Change Availability Connector - Operative to operative</t>
  </si>
  <si>
    <t>TC_G_08_CS</t>
  </si>
  <si>
    <t>Change Availability Connector - Inoperative to operative</t>
  </si>
  <si>
    <t>TC_G_16_CS</t>
  </si>
  <si>
    <t>Change Availability Connector - Inoperative to inoperative</t>
  </si>
  <si>
    <t>TC_G_17_CS</t>
  </si>
  <si>
    <t>Change Availability Connector - With ongoing transaction</t>
  </si>
  <si>
    <t>TC_G_19_CS</t>
  </si>
  <si>
    <t>Change Availability Connector - state persists across reboot</t>
  </si>
  <si>
    <t>TC_J_01_CS</t>
  </si>
  <si>
    <t>Clock-aligned Meter Values - No transaction ongoing</t>
  </si>
  <si>
    <t>TC_J_02_CS</t>
  </si>
  <si>
    <t>Clock-aligned Meter Values - Transaction ongoing</t>
  </si>
  <si>
    <t>TC_J_03_CS</t>
  </si>
  <si>
    <t>Clock-aligned Meter Values - EventType Ended</t>
  </si>
  <si>
    <t>TC_J_04_CS</t>
  </si>
  <si>
    <t>Clock-aligned Meter Values - Signed</t>
  </si>
  <si>
    <t>Supported MeterValue Measurands &amp; Signed Metervalues</t>
  </si>
  <si>
    <t>TC_J_06_CS</t>
  </si>
  <si>
    <t>Clock-aligned Meter Values - No Meter Values during transaction</t>
  </si>
  <si>
    <t>AlignedDataSendDuringIdle</t>
  </si>
  <si>
    <t>TC_J_07_CS</t>
  </si>
  <si>
    <t>Sampled Meter Values - EventType Started - EVSE known</t>
  </si>
  <si>
    <t>TC_J_08_CS</t>
  </si>
  <si>
    <t>Sampled Meter Values - Context Transaction.Begin - EVSE not known</t>
  </si>
  <si>
    <t>Supported MeterValue Measurands &amp; possibility to enforce EVSE being known.</t>
  </si>
  <si>
    <t>TC_J_09_CS</t>
  </si>
  <si>
    <t>Sampled Meter Values - EventType Updated</t>
  </si>
  <si>
    <t>TC_J_10_CS</t>
  </si>
  <si>
    <t>Sampled Meter Values - EventType Ended</t>
  </si>
  <si>
    <t>TC_J_11_CS</t>
  </si>
  <si>
    <t>Sampled Meter Values - Signed</t>
  </si>
  <si>
    <t>TC_K_38_CS</t>
  </si>
  <si>
    <t>Remote start transaction with charging profile - Ignore chargingProfile</t>
  </si>
  <si>
    <t>TC_L_01_CS</t>
  </si>
  <si>
    <t>Secure Firmware Update - Installation successful</t>
  </si>
  <si>
    <t>TC_L_02_CS</t>
  </si>
  <si>
    <t>Secure Firmware Update - InstallScheduled</t>
  </si>
  <si>
    <t>TC_L_03_CS</t>
  </si>
  <si>
    <t>Secure Firmware Update - DownloadScheduled</t>
  </si>
  <si>
    <t>TC_L_05_CS</t>
  </si>
  <si>
    <t>Secure Firmware Update - InvalidCertificate</t>
  </si>
  <si>
    <t>TC_L_06_CS</t>
  </si>
  <si>
    <t>Secure Firmware Update - InvalidSignature</t>
  </si>
  <si>
    <t>TC_L_07_CS</t>
  </si>
  <si>
    <t>Secure Firmware Update - DownloadFailed</t>
  </si>
  <si>
    <t>TC_L_08_CS</t>
  </si>
  <si>
    <t>Secure Firmware Update - InstallVerificationFailed or InstallationFailed</t>
  </si>
  <si>
    <t>TC_L_10_CS</t>
  </si>
  <si>
    <t>Secure Firmware Update - AcceptedCanceled</t>
  </si>
  <si>
    <t>TC_L_11_CS</t>
  </si>
  <si>
    <t>Secure Firmware Update - Unable to cancel</t>
  </si>
  <si>
    <t>TC_L_18_CS</t>
  </si>
  <si>
    <t>Secure Firmware Update - Missing firmware signing certificate and signature</t>
  </si>
  <si>
    <t>TC_L_12_CS</t>
  </si>
  <si>
    <t>Secure Firmware Update - Unable to download/install firmware with ongoing transaction - AllowNewSessionsPendingFirmwareUpdate is true</t>
  </si>
  <si>
    <t>AllowNewSessionsPendingFirmwareUpdate</t>
  </si>
  <si>
    <t>TC_L_13_CS</t>
  </si>
  <si>
    <t>Secure Firmware Update - Unable to download/install firmware with ongoing transaction - AllowNewSessionsPendingFirmwareUpdate is false</t>
  </si>
  <si>
    <t>TC_L_14_CS</t>
  </si>
  <si>
    <t>Secure Firmware Update - Unable to install and activate firmware with ongoing transaction - AllowNewSessionsPendingFirmwareUpdate is true</t>
  </si>
  <si>
    <t>TC_L_15_CS</t>
  </si>
  <si>
    <t>Secure Firmware Update - Unable to install firmware with ongoing transaction - AllowNewSessionsPendingFirmwareUpdate is false</t>
  </si>
  <si>
    <t>TC_L_16_CS</t>
  </si>
  <si>
    <t>Secure Firmware Update - Able to update firmware with ongoing transaction</t>
  </si>
  <si>
    <t>TC_M_12_CS</t>
  </si>
  <si>
    <t>Retrieve certificates from Charging Station - CSMSRootCertificate</t>
  </si>
  <si>
    <t>TC_M_13_CS</t>
  </si>
  <si>
    <t>Retrieve certificates from Charging Station - ManufacturerRootCertificate</t>
  </si>
  <si>
    <t>TC_M_17_CS</t>
  </si>
  <si>
    <t>Retrieve certificates from Charging Station - CSMSRootCertificate &amp; ManufacturerRootCertificate</t>
  </si>
  <si>
    <t>TC_M_18_CS</t>
  </si>
  <si>
    <t>Retrieve certificates from Charging Station - All certificateTypes</t>
  </si>
  <si>
    <t>TC_M_19_CS</t>
  </si>
  <si>
    <t>Retrieve certificates from Charging Station - No matching certificate found</t>
  </si>
  <si>
    <t>TC_M_20_CS</t>
  </si>
  <si>
    <t>Delete a certificate from a Charging Station - Success</t>
  </si>
  <si>
    <t>TC_M_22_CS</t>
  </si>
  <si>
    <t>Delete a certificate from a Charging Station - No matching certificate found</t>
  </si>
  <si>
    <t>TC_M_01_CS</t>
  </si>
  <si>
    <t>Install CA certificate - CSMSRootCertificate</t>
  </si>
  <si>
    <t>TC_M_02_CS</t>
  </si>
  <si>
    <t>Install CA certificate - ManufacturerRootCertificate</t>
  </si>
  <si>
    <t>TC_M_07_CS</t>
  </si>
  <si>
    <t>Install CA certificate - Rejected - Certificate invalid</t>
  </si>
  <si>
    <t>TC_M_09_CS</t>
  </si>
  <si>
    <t>Install CA certificate - AdditionalRootCertificateCheck - Rejected</t>
  </si>
  <si>
    <t>Additional Root Certificate check mechanism implemented</t>
  </si>
  <si>
    <t>TC_M_30_CS</t>
  </si>
  <si>
    <t>Install CA certificate - AdditionalRootCertificateCheck - Reconnect using new CSMS Root - Success</t>
  </si>
  <si>
    <t>TC_M_31_CS</t>
  </si>
  <si>
    <t>Install CA certificate - AdditionalRootCertificateCheck - Reconnect using new CSMS Root - Fallback mechanism</t>
  </si>
  <si>
    <t>TC_N_25_CS</t>
  </si>
  <si>
    <t>Retrieve Log Information - Diagnostics Log - Success</t>
  </si>
  <si>
    <t>TC_N_26_CS</t>
  </si>
  <si>
    <t>Retrieve Log Information - Diagnostics Log - Upload failed</t>
  </si>
  <si>
    <t>TC_N_35_CS</t>
  </si>
  <si>
    <t>Retrieve Log Information - Security Log - Success</t>
  </si>
  <si>
    <t>TC_N_36_CS</t>
  </si>
  <si>
    <t>Retrieve Log Information - Second Request</t>
  </si>
  <si>
    <t>TC_N_100_CS</t>
  </si>
  <si>
    <t>Retrieve Log Information - DataCollectorLog - Success</t>
  </si>
  <si>
    <t>Support for DataCollectorLog</t>
  </si>
  <si>
    <t>TC_N_101_CS</t>
  </si>
  <si>
    <t>Retrieve Log Information - Validations</t>
  </si>
  <si>
    <t>Supported file transfer protocols contains HTTP or HTTPS</t>
  </si>
  <si>
    <t>TC_N_102_CS</t>
  </si>
  <si>
    <t>Retrieve Log Information - Authentication - HTTP</t>
  </si>
  <si>
    <t>Supported file transfer protocols contains HTTP</t>
  </si>
  <si>
    <t>TC_N_103_CS</t>
  </si>
  <si>
    <t>Retrieve Log Information - Authentication - HTTPS</t>
  </si>
  <si>
    <t>Supported file transfer protocols contains HTTPS</t>
  </si>
  <si>
    <t>TC_N_27_CS</t>
  </si>
  <si>
    <t>Get Customer Information - Accepted + data</t>
  </si>
  <si>
    <t>TC_N_28_CS</t>
  </si>
  <si>
    <t>Get Customer Information - Accepted + no data</t>
  </si>
  <si>
    <t>TC_N_30_CS</t>
  </si>
  <si>
    <t>Clear Customer Information - Clear and report + data</t>
  </si>
  <si>
    <t>TC_N_31_CS</t>
  </si>
  <si>
    <t>Clear Customer Information - Clear and report + no data</t>
  </si>
  <si>
    <t>TC_N_32_CS</t>
  </si>
  <si>
    <t>Clear Customer Information - Clear and no report</t>
  </si>
  <si>
    <t>TC_N_62_CS</t>
  </si>
  <si>
    <t>Clear Customer Information - Clear and report - customerIdentifier</t>
  </si>
  <si>
    <t>TC_P_01_CS</t>
  </si>
  <si>
    <t>Data Transfer to the Charging Station - Rejected / Unknown VendorId / Unknown MessageId</t>
  </si>
  <si>
    <t>TC_P_03_CS</t>
  </si>
  <si>
    <t>CustomData - Receive custom data</t>
  </si>
  <si>
    <t>TC_S_102_CS</t>
  </si>
  <si>
    <t>TC_S_104_CS</t>
  </si>
  <si>
    <t>TC_S_105_CS</t>
  </si>
  <si>
    <t>TC_C_21_CS</t>
  </si>
  <si>
    <t>Offline authorization through local authorization list - Accepted</t>
  </si>
  <si>
    <t>TC_C_22_CS</t>
  </si>
  <si>
    <t>Offline authorization through local authorization list - Invalid</t>
  </si>
  <si>
    <t>TC_C_23_CS</t>
  </si>
  <si>
    <t>Offline authorization through local authorization list - Blocked</t>
  </si>
  <si>
    <t>TC_C_24_CS</t>
  </si>
  <si>
    <t>Offline authorization through local authorization list - Expired</t>
  </si>
  <si>
    <t>TC_C_25_CS</t>
  </si>
  <si>
    <t>Offline authorization through local authorization list - Local Authorization List &gt; Authorization Cache</t>
  </si>
  <si>
    <t>TC_C_27_CS</t>
  </si>
  <si>
    <t>Online authorization through local authorization list - Accepted</t>
  </si>
  <si>
    <t>TC_C_28_CS</t>
  </si>
  <si>
    <t>Online authorization through local authorization list - Invalid &amp; Not Accepted</t>
  </si>
  <si>
    <t>TC_C_31_CS</t>
  </si>
  <si>
    <t>Online authorization through local authorization list - Invalid &amp; Accepted</t>
  </si>
  <si>
    <t>TC_C_29_CS</t>
  </si>
  <si>
    <t>Online authorization through local authorization list - Blocked</t>
  </si>
  <si>
    <t>TC_C_30_CS</t>
  </si>
  <si>
    <t>Online authorization through local authorization list - Expired</t>
  </si>
  <si>
    <t>TC_C_58_CS</t>
  </si>
  <si>
    <t>Online authorization through local authorization list - LocalAuthListDisablePostAuthorize</t>
  </si>
  <si>
    <t>TC_C_40_CS</t>
  </si>
  <si>
    <t>Authorization by GroupId - Success with Local Authorization List</t>
  </si>
  <si>
    <t>TC_C_43_CS</t>
  </si>
  <si>
    <t>Authorization by GroupId - Invalid status with Local Authorization List</t>
  </si>
  <si>
    <t>TC_D_01_CS</t>
  </si>
  <si>
    <t>Send Local Authorization List - Full</t>
  </si>
  <si>
    <t>TC_D_02_CS</t>
  </si>
  <si>
    <t>Send Local Authorization List - Differential Update</t>
  </si>
  <si>
    <t>TC_D_03_CS</t>
  </si>
  <si>
    <t>Send Local Authorization List - Differential Remove</t>
  </si>
  <si>
    <t>TC_D_04_CS</t>
  </si>
  <si>
    <t>Send Local Authorization List - Full with empy list</t>
  </si>
  <si>
    <t>TC_D_05_CS</t>
  </si>
  <si>
    <t>Send Local Authorization List - Differential with empty list</t>
  </si>
  <si>
    <t>TC_D_06_CS</t>
  </si>
  <si>
    <t>Send Local Authorization List - VersionMismatch</t>
  </si>
  <si>
    <t>TC_D_07_CS</t>
  </si>
  <si>
    <t>Send Local Authorization List - Persistent over reboot</t>
  </si>
  <si>
    <t>TC_D_08_CS</t>
  </si>
  <si>
    <t>Get Local List Version - Success</t>
  </si>
  <si>
    <t>GetLocalListVersion</t>
  </si>
  <si>
    <t>TC_D_10_CS</t>
  </si>
  <si>
    <t>Get Local List Version - Function disabled</t>
  </si>
  <si>
    <t>TC_B_24_CS</t>
  </si>
  <si>
    <t>Reset Charging Station - Reserved persists reset</t>
  </si>
  <si>
    <t>TC_H_01_CS</t>
  </si>
  <si>
    <t>Reserve a specific EVSE - Accepted - Valid idToken</t>
  </si>
  <si>
    <t>TC_H_02_CS</t>
  </si>
  <si>
    <t>Reserve a specific EVSE - Accepted - Different idToken</t>
  </si>
  <si>
    <t>TC_H_03_CS</t>
  </si>
  <si>
    <t>Reserve a specific EVSE - Occupied - EVSE Reserved</t>
  </si>
  <si>
    <t>TC_H_04_CS</t>
  </si>
  <si>
    <t>Reserve a specific EVSE - Occupied - EVSE Occupied</t>
  </si>
  <si>
    <t>TC_H_06_CS</t>
  </si>
  <si>
    <t>Reserve a specific EVSE - Unavailable</t>
  </si>
  <si>
    <t>TC_H_07_CS</t>
  </si>
  <si>
    <t>Reserve a specific EVSE - Reservation Ended / not used</t>
  </si>
  <si>
    <t>TC_H_22_CS</t>
  </si>
  <si>
    <t>Reserve a specific EVSE - Configured to Reject</t>
  </si>
  <si>
    <t>TC_H_23_CS</t>
  </si>
  <si>
    <t>Reserve a specific EVSE - Replace reservation</t>
  </si>
  <si>
    <t>TC_H_19_CS</t>
  </si>
  <si>
    <t>Reserve a specific EVSE - Use a reserved EVSE with GroupId</t>
  </si>
  <si>
    <t>TC_H_08_CS</t>
  </si>
  <si>
    <t>Reserve an unspecified EVSE - Accepted</t>
  </si>
  <si>
    <t>Support reservations of unspecified EVSE</t>
  </si>
  <si>
    <t>TC_H_09_CS</t>
  </si>
  <si>
    <t>Reserve an unspecified EVSE - Occupied - EVSE Reserved</t>
  </si>
  <si>
    <t>TC_H_10_CS</t>
  </si>
  <si>
    <t>Reserve an unspecified EVSE - Occupied - EVSE Occupied</t>
  </si>
  <si>
    <t>TC_H_12_CS</t>
  </si>
  <si>
    <t>Reserve an unspecified EVSE - Unavailable</t>
  </si>
  <si>
    <t>TC_H_13_CS</t>
  </si>
  <si>
    <t>Reserve an unspecified EVSE - Rejected</t>
  </si>
  <si>
    <t>TC_H_14_CS</t>
  </si>
  <si>
    <t>Reserve an unspecified EVSE - Amount of EVSEs available equals the amount of reservations</t>
  </si>
  <si>
    <t>TC_H_24_CS</t>
  </si>
  <si>
    <t>Reserve an unspecified EVSE - GroupIdToken</t>
  </si>
  <si>
    <t>TC_H_15_CS</t>
  </si>
  <si>
    <t>Reserve a connector with a specific type - Success</t>
  </si>
  <si>
    <t>Support reservations of connectorType</t>
  </si>
  <si>
    <t>TC_H_16_CS</t>
  </si>
  <si>
    <t>Reserve a connector with a specific type - Amount of available connectors of a type equals the amount of reservations</t>
  </si>
  <si>
    <t>TC_H_17_CS</t>
  </si>
  <si>
    <t>Cancel reservation of an EVSE - Success</t>
  </si>
  <si>
    <t>TC_H_18_CS</t>
  </si>
  <si>
    <t>Cancel reservation of an EVSE - Rejected</t>
  </si>
  <si>
    <t>TC_H_21_CS</t>
  </si>
  <si>
    <t>Cancel reservation of an EVSE - Charging Station cancels reservation when Unavailable</t>
  </si>
  <si>
    <t>TC_I_100_CS</t>
  </si>
  <si>
    <t>TC_I_101_CS</t>
  </si>
  <si>
    <t>TC_I_102_CS</t>
  </si>
  <si>
    <t>TC_I_104_CS</t>
  </si>
  <si>
    <t>TC_I_105_CS</t>
  </si>
  <si>
    <t>No Support for Tariff conditions</t>
  </si>
  <si>
    <t>TC_I_106_CS</t>
  </si>
  <si>
    <t>TC_I_107_CS</t>
  </si>
  <si>
    <t>TC_I_108_CS</t>
  </si>
  <si>
    <t>TC_I_109_CS</t>
  </si>
  <si>
    <t>TC_I_110_CS</t>
  </si>
  <si>
    <t>TC_I_111_CS</t>
  </si>
  <si>
    <t>TC_I_113_CS</t>
  </si>
  <si>
    <t>TC_I_114_CS</t>
  </si>
  <si>
    <t>TC_I_115_CS</t>
  </si>
  <si>
    <t>Support for Tariff conditions</t>
  </si>
  <si>
    <t>TC_I_116_CS</t>
  </si>
  <si>
    <t>TC_I_117_CS</t>
  </si>
  <si>
    <t>TC_I_118_CS</t>
  </si>
  <si>
    <t>TC_I_119_CS</t>
  </si>
  <si>
    <t>TC_I_120_CS</t>
  </si>
  <si>
    <t>TC_I_121_CS</t>
  </si>
  <si>
    <t>TC_C_103_CS</t>
  </si>
  <si>
    <t>TC_C_104_CS</t>
  </si>
  <si>
    <t>TC_C_105_CS</t>
  </si>
  <si>
    <t>P-0 and P-2.2</t>
  </si>
  <si>
    <t>Integrated payment terminal</t>
  </si>
  <si>
    <t>TC_C_106_CS</t>
  </si>
  <si>
    <t>TC_C_107_CS</t>
  </si>
  <si>
    <t>TC_C_108_CS</t>
  </si>
  <si>
    <t>TC_C_109_CS</t>
  </si>
  <si>
    <t>TC_C_110_CS</t>
  </si>
  <si>
    <t>TC_C_111_CS</t>
  </si>
  <si>
    <t>TC_C_112_CS</t>
  </si>
  <si>
    <t>TC_C_113_CS</t>
  </si>
  <si>
    <t>TC_C_114_CS</t>
  </si>
  <si>
    <t>TC_C_115_CS</t>
  </si>
  <si>
    <t>TC_C_116_CS</t>
  </si>
  <si>
    <t>TC_C_119_CS</t>
  </si>
  <si>
    <t>TC_C_120_CS</t>
  </si>
  <si>
    <t>TC_C_121_CS</t>
  </si>
  <si>
    <t>TC_C_122_CS</t>
  </si>
  <si>
    <t>TC_C_123_CS</t>
  </si>
  <si>
    <t>P-0 and P-2.3</t>
  </si>
  <si>
    <t>Stand alone payment terminal</t>
  </si>
  <si>
    <t>TC_C_124_CS</t>
  </si>
  <si>
    <t>TC_C_127_CS</t>
  </si>
  <si>
    <t>P-0 and P-2.4</t>
  </si>
  <si>
    <t>QR code payment</t>
  </si>
  <si>
    <t>TC_C_128_CS</t>
  </si>
  <si>
    <t>TC_C_129_CS</t>
  </si>
  <si>
    <t>TC_C_130_CS</t>
  </si>
  <si>
    <t>TC_B_16_CS</t>
  </si>
  <si>
    <t>Get Custom Report - with component criteria</t>
  </si>
  <si>
    <t>TC_B_17_CS</t>
  </si>
  <si>
    <t>Get Custom Report - with component/variable</t>
  </si>
  <si>
    <t>TC_B_18_CS</t>
  </si>
  <si>
    <t>Get Custom Report - with componentCriteria and component/variables</t>
  </si>
  <si>
    <t>TC_B_54_CS</t>
  </si>
  <si>
    <t>Get Custom Report - with component/variable, but no instance</t>
  </si>
  <si>
    <t>TC_B_55_CS</t>
  </si>
  <si>
    <t>Get Custom Report - with component/variable/instance</t>
  </si>
  <si>
    <t>TC_B_56_CS</t>
  </si>
  <si>
    <t>Get Custom Report - with component/variable, but no evseId</t>
  </si>
  <si>
    <t>TC_N_01_CS</t>
  </si>
  <si>
    <t>Get Monitoring Report - with monitoringCriteria</t>
  </si>
  <si>
    <t>TC_N_02_CS</t>
  </si>
  <si>
    <t>Get Monitoring Report - with component/variable</t>
  </si>
  <si>
    <t>TC_N_03_CS</t>
  </si>
  <si>
    <t>Get Monitoring Report - with component criteria and component/variable</t>
  </si>
  <si>
    <t>TC_N_47_CS</t>
  </si>
  <si>
    <t>Get Monitoring Report - Report all</t>
  </si>
  <si>
    <t>TC_N_104_CS</t>
  </si>
  <si>
    <t>Get Monitoring Report - TargetDeltaMonitoring</t>
  </si>
  <si>
    <t>TC_N_05_CS</t>
  </si>
  <si>
    <t>Set Monitoring Base - success</t>
  </si>
  <si>
    <t>TC_N_06_CS</t>
  </si>
  <si>
    <t>Set Monitoring Base - test removal custom monitors</t>
  </si>
  <si>
    <t>TC_N_08_CS</t>
  </si>
  <si>
    <t>Set Variable Monitoring - One SetMonitoringData element</t>
  </si>
  <si>
    <t>TC_N_09_CS</t>
  </si>
  <si>
    <t>Set Variable Monitoring - Multiple elements on different component and variable</t>
  </si>
  <si>
    <t>TC_N_10_CS</t>
  </si>
  <si>
    <t>Set Variable Monitoring - Multiple monitors on the same component and variable</t>
  </si>
  <si>
    <t>TC_N_11_CS</t>
  </si>
  <si>
    <t>Set Variable Monitoring - Unknown component</t>
  </si>
  <si>
    <t>TC_N_12_CS</t>
  </si>
  <si>
    <t>Set Variable Monitoring - Value out of range - Delta monitor</t>
  </si>
  <si>
    <t>TC_N_13_CS</t>
  </si>
  <si>
    <t>Set Variable Monitoring - Value out of range - Threshold monitor</t>
  </si>
  <si>
    <t>TC_N_15_CS</t>
  </si>
  <si>
    <t>Set Variable Monitoring - Duplicate Variable type/severity combination</t>
  </si>
  <si>
    <t>TC_N_24_CS</t>
  </si>
  <si>
    <t>Set Variable Monitoring - Periodic event</t>
  </si>
  <si>
    <t>TC_N_37_CS</t>
  </si>
  <si>
    <t>Set Variable Monitoring - Unknown Variable</t>
  </si>
  <si>
    <t>TC_N_39_CS</t>
  </si>
  <si>
    <t>Set Variable Monitoring - Component/Variable combination does NOT correspond</t>
  </si>
  <si>
    <t>TC_N_40_CS</t>
  </si>
  <si>
    <t>Set Variable Monitoring - Replace Variable Monitor</t>
  </si>
  <si>
    <t>TC_N_41_CS</t>
  </si>
  <si>
    <t>Set Variable Monitoring - Return to FactoryDefault</t>
  </si>
  <si>
    <t>TC_N_43_CS</t>
  </si>
  <si>
    <t>Set Variable Monitoring - First SetMonitoringData and third SetMonitoringData are valid, but the second contains an out of range value</t>
  </si>
  <si>
    <t>TC_N_51_CS</t>
  </si>
  <si>
    <t>Set Variable Monitoring - Modifying a VariableMonitor and trigger</t>
  </si>
  <si>
    <t>TC_N_52_CS</t>
  </si>
  <si>
    <t>Set Variable Monitoring - Removing a VariableMonitor</t>
  </si>
  <si>
    <t>TC_N_105_CS</t>
  </si>
  <si>
    <t>Set Variable Monitoring - Set Frequent Periodic Variable Monitoring - Periodic</t>
  </si>
  <si>
    <t>TC_N_106_CS</t>
  </si>
  <si>
    <t>Set Variable Monitoring - Set Frequent Periodic Variable Monitoring - CSMS rejects stream</t>
  </si>
  <si>
    <t>TC_N_108_CS</t>
  </si>
  <si>
    <t>Set Variable Monitoring - Close Periodic Event Streams</t>
  </si>
  <si>
    <t>TC_N_109_CS</t>
  </si>
  <si>
    <t>Set Variable Monitoring - Adjust Periodic Event Streams</t>
  </si>
  <si>
    <t>TC_N_16_CS</t>
  </si>
  <si>
    <t>Set Monitoring Level - Success</t>
  </si>
  <si>
    <t>TC_N_17_CS</t>
  </si>
  <si>
    <t>Set Monitoring Level - Out of range</t>
  </si>
  <si>
    <t>TC_N_18_CS</t>
  </si>
  <si>
    <t>Clear Monitoring - Success</t>
  </si>
  <si>
    <t>TC_N_19_CS</t>
  </si>
  <si>
    <t>Clear Monitoring - Not found</t>
  </si>
  <si>
    <t>TC_N_44_CS</t>
  </si>
  <si>
    <t>Clear Monitoring - Rejected</t>
  </si>
  <si>
    <t>TC_N_20_CS</t>
  </si>
  <si>
    <t>Alert Event - Threshold value exceeded</t>
  </si>
  <si>
    <t>TC_N_21_CS</t>
  </si>
  <si>
    <t>Alert Event - HardWiredMonitor</t>
  </si>
  <si>
    <t>TC_N_45_CS</t>
  </si>
  <si>
    <t>Alert Event - Delta value exceeded</t>
  </si>
  <si>
    <t>TC_N_48_CS</t>
  </si>
  <si>
    <t>Alert Event - Variable monitoring on write only</t>
  </si>
  <si>
    <t>TC_N_53_CS</t>
  </si>
  <si>
    <t>Alert Event - Persistant over reboot</t>
  </si>
  <si>
    <t>TC_N_56_CS</t>
  </si>
  <si>
    <t>Alert Event - Delta value NOT numeric exceeded</t>
  </si>
  <si>
    <t>TC_N_22_CS</t>
  </si>
  <si>
    <t>Offline Notification - OfflineMonitoringEventQueuingSeverity set equal or lower</t>
  </si>
  <si>
    <t>OfflineMonitoringEventQueuingSeverity</t>
  </si>
  <si>
    <t>TC_N_23_CS</t>
  </si>
  <si>
    <t>Offline Notification - OfflineMonitoringEventQueuingSeverity set higher</t>
  </si>
  <si>
    <t>TC_I_01_CS</t>
  </si>
  <si>
    <t>Show costs to EV Driver - Show EV Driver running total cost during charging</t>
  </si>
  <si>
    <t>TC_I_02_CS</t>
  </si>
  <si>
    <t>Show costs to EV Driver - Show EV Driver Final Total Cost After Charging</t>
  </si>
  <si>
    <t>TC_I_07_CS</t>
  </si>
  <si>
    <t>Show costs to EV Driver - Show EV Driver running total cost during charging - transactionEventResponse</t>
  </si>
  <si>
    <t>TC_O_01_CS</t>
  </si>
  <si>
    <t>Set Display Message - Success</t>
  </si>
  <si>
    <t>UI-1 and UI-2: Supported MessagePriorities &amp; Supported MessageFormats</t>
  </si>
  <si>
    <t>TC_O_13_CS</t>
  </si>
  <si>
    <t>Set Display Message - Display message at StartTime</t>
  </si>
  <si>
    <t>TC_O_14_CS</t>
  </si>
  <si>
    <t>Set Display Message - Remove message after EndTime</t>
  </si>
  <si>
    <t>TC_O_17_CS</t>
  </si>
  <si>
    <t>Set Display Message - NotSupportedPriority</t>
  </si>
  <si>
    <t>TC_O_19_CS</t>
  </si>
  <si>
    <t>Set Display Message - NotSupportedMessageFormat</t>
  </si>
  <si>
    <t>TC_O_20_CS</t>
  </si>
  <si>
    <t>Set Display Message - Persistent over reboot</t>
  </si>
  <si>
    <t>TC_O_22_CS</t>
  </si>
  <si>
    <t>Set Display Message - Multiple In front priority</t>
  </si>
  <si>
    <t>Supported MessagePriorities InFront</t>
  </si>
  <si>
    <t>TC_O_24_CS</t>
  </si>
  <si>
    <t>Set Display Message - Second Alwaysfront priority</t>
  </si>
  <si>
    <t>Supported MessagePriorities AlwaysFront</t>
  </si>
  <si>
    <t>TC_O_36_CS</t>
  </si>
  <si>
    <t>Set Display Message - State Charging</t>
  </si>
  <si>
    <t>TC_O_37_CS</t>
  </si>
  <si>
    <t>Set Display Message - State Idle</t>
  </si>
  <si>
    <t>TC_O_38_CS</t>
  </si>
  <si>
    <t>Set Display Message - State Unavailable</t>
  </si>
  <si>
    <t>TC_O_12_CS</t>
  </si>
  <si>
    <t>Set Display Message - Replace DisplayMessage</t>
  </si>
  <si>
    <t>TC_O_100_CS</t>
  </si>
  <si>
    <t>Set Display Message - unsupported language</t>
  </si>
  <si>
    <t>TC_O_101_CS</t>
  </si>
  <si>
    <t>Set Display Message - Language preference of the EV Driver</t>
  </si>
  <si>
    <t>TC_O_06_CS</t>
  </si>
  <si>
    <t>Set Display Message - Specific transaction - Success</t>
  </si>
  <si>
    <t>TC_O_10_CS</t>
  </si>
  <si>
    <t>Set Display Message - Specific transaction - UnknownTransaction</t>
  </si>
  <si>
    <t>TC_O_27_CS</t>
  </si>
  <si>
    <t>Set Display Message - Specific transaction - Display message at StartTime</t>
  </si>
  <si>
    <t>TC_O_28_CS</t>
  </si>
  <si>
    <t>Set Display Message - Specific transaction - Remove message after EndTime</t>
  </si>
  <si>
    <t>TC_O_30_CS</t>
  </si>
  <si>
    <t>Set Display Message - Specific transaction - Multiple In front priority</t>
  </si>
  <si>
    <t>TC_O_32_CS</t>
  </si>
  <si>
    <t>Set Display Message - Specific transaction - Second Alwaysfront priority</t>
  </si>
  <si>
    <t>TC_O_02_CS</t>
  </si>
  <si>
    <t>Get all Display Messages - Success</t>
  </si>
  <si>
    <t>TC_O_03_CS</t>
  </si>
  <si>
    <t>Get all Display Messages - No DisplayMessages configured</t>
  </si>
  <si>
    <t>TC_O_07_CS</t>
  </si>
  <si>
    <t>Get a Specific Display Message - Id</t>
  </si>
  <si>
    <t>TC_O_08_CS</t>
  </si>
  <si>
    <t>Get a Specific Display Message - Priority</t>
  </si>
  <si>
    <t>UI-1: Supported MessagePriorities</t>
  </si>
  <si>
    <t>TC_O_09_CS</t>
  </si>
  <si>
    <t>Get a Specific Display Message - State</t>
  </si>
  <si>
    <t>TC_O_11_CS</t>
  </si>
  <si>
    <t>Get a Specific Display Message - Unknown parameters</t>
  </si>
  <si>
    <t>TC_O_33_CS</t>
  </si>
  <si>
    <t>Get a Specific Display Message - No DisplayMessages configured</t>
  </si>
  <si>
    <t>TC_O_34_CS</t>
  </si>
  <si>
    <t>Get a Specific Display Message - Known Id, but not matching State</t>
  </si>
  <si>
    <t>TC_O_35_CS</t>
  </si>
  <si>
    <t>Get a Specific Display Message - Known Id, but not matching Priority</t>
  </si>
  <si>
    <t>Supported MessagePriorities</t>
  </si>
  <si>
    <t>TC_O_04_CS</t>
  </si>
  <si>
    <t>Clear Display Message - Success</t>
  </si>
  <si>
    <t>TC_O_05_CS</t>
  </si>
  <si>
    <t>Clear Display Message - Unknown Key</t>
  </si>
  <si>
    <t>TC_A_07_CS</t>
  </si>
  <si>
    <t>TLS - Client-side certificate - valid certificate</t>
  </si>
  <si>
    <t>TC_A_11_CS</t>
  </si>
  <si>
    <t>Update Charging Station Certificate by request of CSMS - Success - Charging Station Certificate</t>
  </si>
  <si>
    <t>TC_A_14_CS</t>
  </si>
  <si>
    <t>Update Charging Station Certificate by request of CSMS - Invalid certificate</t>
  </si>
  <si>
    <t>TC_A_15_CS</t>
  </si>
  <si>
    <t>Update Charging Station Certificate by request of CSMS - SignCertificateRequest Rejected</t>
  </si>
  <si>
    <t>TC_A_23_CS</t>
  </si>
  <si>
    <t>Update Charging Station Certificate by request of CSMS - CertificateSignedRequest Timeout</t>
  </si>
  <si>
    <t>TC_A_21_CS</t>
  </si>
  <si>
    <t>Upgrade Charging Station Security Profile - No valid ChargingStationCertificate installed</t>
  </si>
  <si>
    <t>TC_M_23_CS</t>
  </si>
  <si>
    <t>Delete a certificate from a Charging Station - Unable to delete the Charging Station Certificate</t>
  </si>
  <si>
    <t>TC_B_112_CS</t>
  </si>
  <si>
    <t>TC_B_113_CS</t>
  </si>
  <si>
    <t>TC_K_01_CS</t>
  </si>
  <si>
    <t>Set Charging Profile - TxDefaultProfile - Specific EVSE</t>
  </si>
  <si>
    <t>TC_K_10_CS</t>
  </si>
  <si>
    <t>Set Charging Profile - TxDefaultProfile - All EVSE</t>
  </si>
  <si>
    <t>TC_K_60_CS</t>
  </si>
  <si>
    <t>Set Charging Profile - TxProfile with ongoing transaction on the specified EVSE</t>
  </si>
  <si>
    <t>TC_K_02_CS</t>
  </si>
  <si>
    <t>Set Charging Profile - TxProfile without ongoing transaction on the specified EVSE</t>
  </si>
  <si>
    <t>TC_K_11_CS</t>
  </si>
  <si>
    <t>Set Charging Profile - Unable to set TxProfile on all EVSE at once</t>
  </si>
  <si>
    <t>TC_K_03_CS</t>
  </si>
  <si>
    <t>Set Charging Profile - ChargingStationMaxProfile</t>
  </si>
  <si>
    <t>TC_K_19_CS</t>
  </si>
  <si>
    <t>Set Charging Profile - ChargingProfileKind is Recurring</t>
  </si>
  <si>
    <t>TC_K_12_CS</t>
  </si>
  <si>
    <t>Set Charging Profile - ChargerRateUnit Rejected</t>
  </si>
  <si>
    <t>TC_K_13_CS</t>
  </si>
  <si>
    <t>Set Charging Profile - Persistent over reboot</t>
  </si>
  <si>
    <t>TC_K_14_CS</t>
  </si>
  <si>
    <t>Set Charging Profile - Unexisting EVSEid</t>
  </si>
  <si>
    <t>TC_K_28_CS</t>
  </si>
  <si>
    <t>Set Charging Profile - TxDefaultProfile with transaction ongoing</t>
  </si>
  <si>
    <t>TC_K_16_CS</t>
  </si>
  <si>
    <t>Set Charging Profile - Unknown transactionId</t>
  </si>
  <si>
    <t>TC_K_21_CS</t>
  </si>
  <si>
    <t>Set Charging Profile - ValidFrom</t>
  </si>
  <si>
    <t>TC_K_22_CS</t>
  </si>
  <si>
    <t>Set Charging Profile - ValidTo</t>
  </si>
  <si>
    <t>TC_K_23_CS</t>
  </si>
  <si>
    <t>Set Charging Profile - StartSchedule</t>
  </si>
  <si>
    <t>TC_K_100_CS</t>
  </si>
  <si>
    <t>Set Charging Profile - maxOfflineDuration</t>
  </si>
  <si>
    <t>TC_K_102_CS</t>
  </si>
  <si>
    <t>Set Charging Profile - limitAtSoc</t>
  </si>
  <si>
    <t>TC_K_103_CS</t>
  </si>
  <si>
    <t>Set Charging Profile - Local time - TimeOffset</t>
  </si>
  <si>
    <t>Support for using local time (TimeOffset)</t>
  </si>
  <si>
    <t>TC_K_136_CS</t>
  </si>
  <si>
    <t>Set Charging Profile - Local time - TimeZone</t>
  </si>
  <si>
    <t>Support for using local time (TimeZone)</t>
  </si>
  <si>
    <t>TC_K_104_CS</t>
  </si>
  <si>
    <t>Set Charging Profile - PriorityCharging</t>
  </si>
  <si>
    <t>TC_K_105_CS</t>
  </si>
  <si>
    <t>Set Charging Profile - ChargingStationMaxProfile persistent over reboot</t>
  </si>
  <si>
    <t>TC_K_106_CS</t>
  </si>
  <si>
    <t>Set Charging Profile - randomizedDelay</t>
  </si>
  <si>
    <t>TC_K_107_CS</t>
  </si>
  <si>
    <t>Set Charging Profile - randomizedDelay - validations</t>
  </si>
  <si>
    <t>TC_K_108_CS</t>
  </si>
  <si>
    <t>Set Charging Profile - randomizedDelay - random for each tx</t>
  </si>
  <si>
    <t>TC_K_129_CS</t>
  </si>
  <si>
    <t>Set Charging Profile - PriorityCharging persistent over reboot</t>
  </si>
  <si>
    <t>TC_K_130_CS</t>
  </si>
  <si>
    <t>Set Charging Profile - PriorityCharging unsupported</t>
  </si>
  <si>
    <t>NOT SC-6</t>
  </si>
  <si>
    <t>TC_K_131_CS</t>
  </si>
  <si>
    <t>Set Charging Profile - LocalGeneration unsupported</t>
  </si>
  <si>
    <t>Not supporting Bidirectional Power Transfer</t>
  </si>
  <si>
    <t>TC_K_132_CS</t>
  </si>
  <si>
    <t>Set Charging Profile - useLocalTime unsupported</t>
  </si>
  <si>
    <t>NOT SC-5</t>
  </si>
  <si>
    <t>TC_K_133_CS</t>
  </si>
  <si>
    <t>Set Charging Profile - RandomizedDelay unsupported</t>
  </si>
  <si>
    <t>NOT SC-7</t>
  </si>
  <si>
    <t>TC_K_134_CS</t>
  </si>
  <si>
    <t>Set Charging Profile - LimitAtSoC unsupported</t>
  </si>
  <si>
    <t>NOT SC-3</t>
  </si>
  <si>
    <t>TC_K_04_CS</t>
  </si>
  <si>
    <t>Replace charging profile - With chargingProfileId</t>
  </si>
  <si>
    <t>TC_K_37_CS</t>
  </si>
  <si>
    <t>Remote start transaction with charging profile - Success</t>
  </si>
  <si>
    <t>TC_K_39_CS</t>
  </si>
  <si>
    <t>Get Composite Schedule - No ChargingProfile installed on Charging Station</t>
  </si>
  <si>
    <t>TC_K_40_CS</t>
  </si>
  <si>
    <t>Get Composite Schedule - Stacking ChargingProfiles</t>
  </si>
  <si>
    <t>TC_K_41_CS</t>
  </si>
  <si>
    <t>Get Composite Schedule - Combining chargingProfilePurposes</t>
  </si>
  <si>
    <t>TC_K_42_CS</t>
  </si>
  <si>
    <t>Get Composite Schedule - chargingRateUnit not supported</t>
  </si>
  <si>
    <t>TC_K_47_CS</t>
  </si>
  <si>
    <t>Get Composite Schedule - Unknown EVSEId</t>
  </si>
  <si>
    <t>TC_K_112_CS</t>
  </si>
  <si>
    <t>Get Composite Schedule - randomizedDelay</t>
  </si>
  <si>
    <t>TC_K_29_CS</t>
  </si>
  <si>
    <t>Get Charging Profile - EvseId 0</t>
  </si>
  <si>
    <t>TC_K_30_CS</t>
  </si>
  <si>
    <t>Get Charging Profile - EvseId &gt; 0</t>
  </si>
  <si>
    <t>TC_K_31_CS</t>
  </si>
  <si>
    <t>Get Charging Profile - No EvseId</t>
  </si>
  <si>
    <t>TC_K_32_CS</t>
  </si>
  <si>
    <t>Get Charging Profile - chargingProfileId</t>
  </si>
  <si>
    <t>TC_K_33_CS</t>
  </si>
  <si>
    <t>Get Charging Profile - EvseId &gt; 0 + stackLevel</t>
  </si>
  <si>
    <t>TC_K_34_CS</t>
  </si>
  <si>
    <t>Get Charging Profile - EvseId &gt; 0 + chargingLimitSource</t>
  </si>
  <si>
    <t>TC_K_35_CS</t>
  </si>
  <si>
    <t>Get Charging Profile - EvseId &gt; 0 + chargingProfilePurpose</t>
  </si>
  <si>
    <t>TC_K_36_CS</t>
  </si>
  <si>
    <t>Get Charging Profile - EvseId &gt; 0 + chargingProfilePurpose + stackLevel</t>
  </si>
  <si>
    <t>TC_K_05_CS</t>
  </si>
  <si>
    <t>Clear Charging Profile - With chargingProfileId</t>
  </si>
  <si>
    <t>TC_K_06_CS</t>
  </si>
  <si>
    <t>Clear Charging Profile - With stackLevel/purpose combination for one profile</t>
  </si>
  <si>
    <t>TC_K_07_CS</t>
  </si>
  <si>
    <t>Clear Charging Profile - With unknown stackLevel/purpose combination</t>
  </si>
  <si>
    <t>TC_K_08_CS</t>
  </si>
  <si>
    <t>Clear Charging Profile - Without previous charging profile</t>
  </si>
  <si>
    <t>TC_K_09_CS</t>
  </si>
  <si>
    <t>Clear Charging Profile - Clearing a TxDefaultProfile - With ongoing transaction</t>
  </si>
  <si>
    <t>TC_K_24_CS</t>
  </si>
  <si>
    <t>Clear Charging Profile - With stackLevel/purpose combination for multiple profiles</t>
  </si>
  <si>
    <t>TC_K_118_CS</t>
  </si>
  <si>
    <t>Priority charging - Requesting priority charging remotely</t>
  </si>
  <si>
    <t>TC_K_119_CS</t>
  </si>
  <si>
    <t>Priority charging - Requesting priority charging locally</t>
  </si>
  <si>
    <t>TC_K_121_CS</t>
  </si>
  <si>
    <t>Dynamic charging profiles from CSMS - Pull</t>
  </si>
  <si>
    <t>TC_K_122_CS</t>
  </si>
  <si>
    <t>Dynamic charging profiles from CSMS - Push</t>
  </si>
  <si>
    <t>TC_K_123_CS</t>
  </si>
  <si>
    <t>Dynamic charging profiles from CSMS - validations</t>
  </si>
  <si>
    <t>TC_Q_125_CS</t>
  </si>
  <si>
    <t>Idle operationMode - Idle, minimizing energy consumption - Idle with EvseSleep</t>
  </si>
  <si>
    <t>TC_Q_126_CS</t>
  </si>
  <si>
    <t>Idle operationMode - Idle, minimizing energy consumption - Idle with EvseSleep unsupported</t>
  </si>
  <si>
    <t>SC-9 AND NOT SC-9.1</t>
  </si>
  <si>
    <t>TC_Q_127_CS</t>
  </si>
  <si>
    <t>Idle operationMode - Idle, minimizing energy consumption - Charging profile validations</t>
  </si>
  <si>
    <t>TC_K_135_CS</t>
  </si>
  <si>
    <t>Idle operationMode - Set Charging Profile - EvseSleep unsupported</t>
  </si>
  <si>
    <t>NOT SC-9.1</t>
  </si>
  <si>
    <t>TC_K_52_CS</t>
  </si>
  <si>
    <t>EMS Control - Set External Charging Limit (not on a transaction) - ChargingStationExternalConstraints in report</t>
  </si>
  <si>
    <t>TC_K_120_CS</t>
  </si>
  <si>
    <t>EMS Control - Smart Charging with EMS and LocalGeneration</t>
  </si>
  <si>
    <t>TC_K_109_CS</t>
  </si>
  <si>
    <t>EMS Control - Set Charging Profile - MaxExternalConstraintsId</t>
  </si>
  <si>
    <t>TC_K_110_CS</t>
  </si>
  <si>
    <t>EMS Control - Set Charging Profile - MaxExternalConstraintsId - validations</t>
  </si>
  <si>
    <t>TC_K_124_CS</t>
  </si>
  <si>
    <t>Dynamic charging profiles by external system - No Dynamic charging profile configured</t>
  </si>
  <si>
    <t>TC_K_125_CS</t>
  </si>
  <si>
    <t>Dynamic charging profiles by external system - Dynamic charging profile configured</t>
  </si>
  <si>
    <t>TC_Q_114_CS</t>
  </si>
  <si>
    <t>External V2X control - With a charging profile from an External System - Dynamic external limits control</t>
  </si>
  <si>
    <t>SC-10 AND Bidirectional Power Transfer</t>
  </si>
  <si>
    <t>EMS Control</t>
  </si>
  <si>
    <t>TC_Q_115_CS</t>
  </si>
  <si>
    <t>External V2X control - With a charging profile from an External System - Dynamic setpoint control</t>
  </si>
  <si>
    <t>TC_Q_116_CS</t>
  </si>
  <si>
    <t>External V2X control - With a charging profile from an External System - Scheduled external limits control</t>
  </si>
  <si>
    <t>TC_Q_111_CS</t>
  </si>
  <si>
    <t>External V2X control - With a charging profile from CSMS - setpoint</t>
  </si>
  <si>
    <t>TC_Q_112_CS</t>
  </si>
  <si>
    <t>External V2X control - With a charging profile from CSMS - limit</t>
  </si>
  <si>
    <t>TC_Q_113_CS</t>
  </si>
  <si>
    <t>External V2X control - With a charging profile from CSMS - Duration expired</t>
  </si>
  <si>
    <t>TC_A_12_CS</t>
  </si>
  <si>
    <t>Update Charging Station Certificate by request of CSMS - Success - V2G Certificate</t>
  </si>
  <si>
    <t>TC_C_50_CS</t>
  </si>
  <si>
    <t>Authorization using Contract Certificates 15118 - Online - Local contract certificate validation - Accepted</t>
  </si>
  <si>
    <t>TC_C_51_CS</t>
  </si>
  <si>
    <t>Authorization using Contract Certificates 15118 - Online - Local contract certificate validation - Rejected</t>
  </si>
  <si>
    <t>TC_C_52_CS</t>
  </si>
  <si>
    <t>Authorization using Contract Certificates 15118 - Online - Central contract certificate validation - Accepted</t>
  </si>
  <si>
    <t>TC_C_53_CS</t>
  </si>
  <si>
    <t>Authorization using Contract Certificates 15118 - Online - Central contract validation fails</t>
  </si>
  <si>
    <t>TC_C_54_CS</t>
  </si>
  <si>
    <t>Authorization using Contract Certificates 15118 - Offline - ContractValidationOffline is true</t>
  </si>
  <si>
    <t>TC_C_55_CS</t>
  </si>
  <si>
    <t>Authorization using Contract Certificates 15118 - Offline - ContractValidationOffline is false</t>
  </si>
  <si>
    <t>TC_E_46_CS</t>
  </si>
  <si>
    <t>End of charging process 15118 - End of charging process 15118</t>
  </si>
  <si>
    <t>Get Composite Schedule - chargingRateUnit  not supported</t>
  </si>
  <si>
    <t>TC_K_53_CS</t>
  </si>
  <si>
    <t>Charging with load leveling based on High Level Communication - Success</t>
  </si>
  <si>
    <t>TC_K_54_CS</t>
  </si>
  <si>
    <t>Charging with load leveling based on High Level Communication - No SASchedule (rejected)</t>
  </si>
  <si>
    <t>TC_K_56_CS</t>
  </si>
  <si>
    <t>Charging with load leveling based on High Level Communication - Offline</t>
  </si>
  <si>
    <t>TC_K_57_CS</t>
  </si>
  <si>
    <t>Renegotiating a Charging Schedule ISO 15118-2 - Initiated by EV</t>
  </si>
  <si>
    <t>TC_K_58_CS</t>
  </si>
  <si>
    <t>Renegotiating a Charging Schedule ISO 15118-2 - Initiated by CSMS</t>
  </si>
  <si>
    <t>TC_K_113_CS</t>
  </si>
  <si>
    <t>Renegotiating a Charging Schedule ISO 15118-20 - Initiated by CSMS</t>
  </si>
  <si>
    <t>TC_K_114_CS</t>
  </si>
  <si>
    <t>Renegotiating a Charging Schedule ISO 15118-20 - Initiated by EV</t>
  </si>
  <si>
    <t>TC_K_116_CS</t>
  </si>
  <si>
    <t>Renegotiating a Charging Schedule ISO 15118-20 - Adjusting charging schedule when energy needs change</t>
  </si>
  <si>
    <t>TC_K_115_CS</t>
  </si>
  <si>
    <t>ISO 15118-20 Dynamic Control Mode - Success</t>
  </si>
  <si>
    <t>TC_M_26_CS</t>
  </si>
  <si>
    <t>Certificate Installation EV - Success</t>
  </si>
  <si>
    <t>TC_M_100_CS</t>
  </si>
  <si>
    <t>Certificate Installation EV - ISO 15118-20 - Success</t>
  </si>
  <si>
    <t>TC_M_27_CS</t>
  </si>
  <si>
    <t>Certificate Installation EV - Failed</t>
  </si>
  <si>
    <t>TC_M_28_CS</t>
  </si>
  <si>
    <t>Certificate Update EV - Success</t>
  </si>
  <si>
    <t>TC_M_29_CS</t>
  </si>
  <si>
    <t>Certificate Update EV - Failed</t>
  </si>
  <si>
    <t>TC_M_14_CS</t>
  </si>
  <si>
    <t>Retrieve certificates from Charging Station - V2GRootCertificate</t>
  </si>
  <si>
    <t>TC_M_15_CS</t>
  </si>
  <si>
    <t>Retrieve certificates from Charging Station - V2GCertificateChain</t>
  </si>
  <si>
    <t>TC_M_16_CS</t>
  </si>
  <si>
    <t>Retrieve certificates from Charging Station - MORootCertificate</t>
  </si>
  <si>
    <t>TC_M_03_CS</t>
  </si>
  <si>
    <t>Install CA certificate - V2GRootCertificate</t>
  </si>
  <si>
    <t>TC_M_04_CS</t>
  </si>
  <si>
    <t>Install CA certificate - MORootCertificate</t>
  </si>
  <si>
    <t>TC_M_101_CS</t>
  </si>
  <si>
    <t>Install CA certificate - OEMRootCertificate</t>
  </si>
  <si>
    <t>TC_M_24_CS</t>
  </si>
  <si>
    <t>Get Charging Station Certificate status - Success</t>
  </si>
  <si>
    <t>TC_M_25_CS</t>
  </si>
  <si>
    <t>Get Charging Station Certificate status - Rejected</t>
  </si>
  <si>
    <t>TC_N_63_CS</t>
  </si>
  <si>
    <t>Clear Customer Information - Clear and report - customerCertificate</t>
  </si>
  <si>
    <t>TC_Q_109_CS</t>
  </si>
  <si>
    <t>Central V2X control with dynamic CSMS setpoint - push</t>
  </si>
  <si>
    <t>TC_Q_110_CS</t>
  </si>
  <si>
    <t>Central V2X control with dynamic CSMS setpoint - pull</t>
  </si>
  <si>
    <t>TC_Q_122_CS</t>
  </si>
  <si>
    <t>Local V2X control for load balancing - threshold validations</t>
  </si>
  <si>
    <t>TC_Q_123_CS</t>
  </si>
  <si>
    <t>Local V2X control for load balancing - not supported</t>
  </si>
  <si>
    <t>NOT BPT-2</t>
  </si>
  <si>
    <t>TC_Q_128_CS</t>
  </si>
  <si>
    <t>Going offline during V2X operation - invalidAfterOfflineDuration = true</t>
  </si>
  <si>
    <t>TC_K_101_CS</t>
  </si>
  <si>
    <t>Set Charging Profile - Change operation mode</t>
  </si>
  <si>
    <t>TC_Q_100_CS</t>
  </si>
  <si>
    <t>V2X Authorisation - V2X Tx Measurands defined</t>
  </si>
  <si>
    <t>TC_Q_101_CS</t>
  </si>
  <si>
    <t>V2X Authorisation - ISO15118-20 - Processing charging needs</t>
  </si>
  <si>
    <t>TC_Q_102_CS</t>
  </si>
  <si>
    <t>V2X Authorisation - ISO15118-20 - Charging only (V2X control) before starting V2X - Allowed Energy Transfer modes omitted</t>
  </si>
  <si>
    <t>TC_Q_103_CS</t>
  </si>
  <si>
    <t>V2X Authorisation - ISO15118-20 - Charging needs rejected</t>
  </si>
  <si>
    <t>TC_Q_130_CS</t>
  </si>
  <si>
    <t>V2X Authorisation - ISO15118-20 - has ISO15118ServiceRenegotiationSupport - Charging needs rejected</t>
  </si>
  <si>
    <t>ISO-1.2 AND ISO-6</t>
  </si>
  <si>
    <t>TC_Q_104_CS</t>
  </si>
  <si>
    <t>V2X Authorisation - ISO15118-20 - Scheduled Control</t>
  </si>
  <si>
    <t>TC_Q_107_CS</t>
  </si>
  <si>
    <t>V2X Authorisation - ISO15118-20 - Charging only (V2X control) before starting V2X</t>
  </si>
  <si>
    <t>TC_Q_117_CS</t>
  </si>
  <si>
    <t>Frequency support - Central V2X control - push</t>
  </si>
  <si>
    <t>TC_Q_118_CS</t>
  </si>
  <si>
    <t>Frequency support - Central V2X control - Duration expired</t>
  </si>
  <si>
    <t>TC_Q_119_CS</t>
  </si>
  <si>
    <t>Frequency support - Local V2X control - Charging profile validations</t>
  </si>
  <si>
    <t>TC_Q_120_CS</t>
  </si>
  <si>
    <t>Frequency support - Local V2X control - AFRR support</t>
  </si>
  <si>
    <t>TC_R_100_CS</t>
  </si>
  <si>
    <t>Starting a V2X session with DER control in EVSE - Persistent DERControls</t>
  </si>
  <si>
    <t>TC_R_102_CS</t>
  </si>
  <si>
    <t>Configure DER control settings at CS - clearing controlTypes</t>
  </si>
  <si>
    <t>TC_R_103_CS</t>
  </si>
  <si>
    <t>Configure DER control settings at CS - validations</t>
  </si>
  <si>
    <t>TC_R_104_CS</t>
  </si>
  <si>
    <t>Configure DER control settings at CS - superseding future DER control</t>
  </si>
  <si>
    <t>TC_R_105_CS</t>
  </si>
  <si>
    <t>Configure DER control settings at CS - superseding active DER control</t>
  </si>
  <si>
    <t>TC_R_106_CS</t>
  </si>
  <si>
    <t>Configure DER control settings at CS - Active DER control supersedes new DER control</t>
  </si>
  <si>
    <t>TC_R_108_CS</t>
  </si>
  <si>
    <t>Charging station reporting a DER event</t>
  </si>
  <si>
    <t>ISO-1.2 AND HFS-4</t>
  </si>
  <si>
    <t>Mandatory test for a mandatory feature</t>
  </si>
  <si>
    <t>AC</t>
  </si>
  <si>
    <t>TLS_ECDHE_ECDSA_WITH_AES_128_GCM_SHA256 + TLS_ECDHE_ECDSA_WITH_AES_256_GCM_SHA384</t>
  </si>
  <si>
    <t>Heartbeat</t>
  </si>
  <si>
    <t>HTTP</t>
  </si>
  <si>
    <t>cCCS1</t>
  </si>
  <si>
    <t>cCCS1-NACS</t>
  </si>
  <si>
    <t>None</t>
  </si>
  <si>
    <t>One per EVSE</t>
  </si>
  <si>
    <t>Possibly mandatory, depending on your system</t>
  </si>
  <si>
    <t>DC</t>
  </si>
  <si>
    <t>TLS_RSA_WITH_AES_128_GCM_SHA256 + TLS_RSA_WITH_AES_256_GCM_SHA384</t>
  </si>
  <si>
    <t>Heartbeat,GPS</t>
  </si>
  <si>
    <t>HTTPS</t>
  </si>
  <si>
    <t>cChaoJi</t>
  </si>
  <si>
    <t>Single</t>
  </si>
  <si>
    <t>Ethernet</t>
  </si>
  <si>
    <t>Mandatory for optional feature</t>
  </si>
  <si>
    <t>AC &amp; DC</t>
  </si>
  <si>
    <t>TLS_ECDHE_ECDSA_WITH_AES_128_GCM_SHA256 + TLS_ECDHE_ECDSA_WITH_AES_256_GCM_SHA384 + TLS_RSA_WITH_AES_128_GCM_SHA256 + TLS_RSA_WITH_AES_256_GCM_SHA384</t>
  </si>
  <si>
    <t>Heartbeat,GPS,MobileNetwork</t>
  </si>
  <si>
    <t>SFTP</t>
  </si>
  <si>
    <t>cCCS2</t>
  </si>
  <si>
    <t>cGBT</t>
  </si>
  <si>
    <t>Mobile network</t>
  </si>
  <si>
    <t>Heartbeat,GPS,MobileNetwork,RadioTimeTransmitter</t>
  </si>
  <si>
    <t>FTP</t>
  </si>
  <si>
    <t>cGBT-AC</t>
  </si>
  <si>
    <t>WiFi</t>
  </si>
  <si>
    <t>Heartbeat,GPS,RadioTimeTransmitter</t>
  </si>
  <si>
    <t>FTPS</t>
  </si>
  <si>
    <t>cG105</t>
  </si>
  <si>
    <t>cGBT-DC</t>
  </si>
  <si>
    <t>Ethernet, Mobile network</t>
  </si>
  <si>
    <t>Heartbeat,GPS,RealTimeClock</t>
  </si>
  <si>
    <t>HTTP, HTTPS</t>
  </si>
  <si>
    <t>cLECCS</t>
  </si>
  <si>
    <t>Ethernet, WiFi</t>
  </si>
  <si>
    <t>Heartbeat,GPS,RealTimeClock,MobileNetwork</t>
  </si>
  <si>
    <t>HTTP, SFTP</t>
  </si>
  <si>
    <t>cMCS</t>
  </si>
  <si>
    <t>Ethernet, Mobile network, WiFi</t>
  </si>
  <si>
    <t>Heartbeat,GPS,RealTimeClock,MobileNetwork,RadioTimeTransmitter</t>
  </si>
  <si>
    <t>HTTP, FTP</t>
  </si>
  <si>
    <t>cNACS</t>
  </si>
  <si>
    <t>Mobile network, WiFi</t>
  </si>
  <si>
    <t>Heartbeat,GPS,RealTimeClock,RadioTimeTransmitter</t>
  </si>
  <si>
    <t>HTTP, FTPS</t>
  </si>
  <si>
    <t>cNACS-CCS1</t>
  </si>
  <si>
    <t>Heartbeat,MobileNetwork</t>
  </si>
  <si>
    <t>HTTPS, SFTP</t>
  </si>
  <si>
    <t>cUltraChaoJi</t>
  </si>
  <si>
    <t>Heartbeat,MobileNetwork,RadioTimeTransmitter</t>
  </si>
  <si>
    <t>HTTPS, FTP</t>
  </si>
  <si>
    <t>OppCharge</t>
  </si>
  <si>
    <t>Heartbeat,NTP</t>
  </si>
  <si>
    <t>HTTPS, FTPS</t>
  </si>
  <si>
    <t>sGBT-AC</t>
  </si>
  <si>
    <t>Heartbeat,NTP,GPS</t>
  </si>
  <si>
    <t>SFTP, FTP</t>
  </si>
  <si>
    <t>cTesla</t>
  </si>
  <si>
    <t>sType1</t>
  </si>
  <si>
    <t>Heartbeat,NTP,GPS,MobileNetwork</t>
  </si>
  <si>
    <t>SFTP, FTPS</t>
  </si>
  <si>
    <t>cType1</t>
  </si>
  <si>
    <t>Heartbeat,NTP,GPS,MobileNetwork,RadioTimeTransmitter</t>
  </si>
  <si>
    <t>FTP, FTPS</t>
  </si>
  <si>
    <t>cType2</t>
  </si>
  <si>
    <t>Heartbeat,NTP,GPS,RadioTimeTransmitter</t>
  </si>
  <si>
    <t>HTTP, HTTPS, SFTP</t>
  </si>
  <si>
    <t>Heartbeat,NTP,GPS,RealTimeClock</t>
  </si>
  <si>
    <t>HTTP, HTTPS, FTP</t>
  </si>
  <si>
    <t>s309-1P-16A</t>
  </si>
  <si>
    <t>Heartbeat,NTP,GPS,RealTimeClock,MobileNetwork</t>
  </si>
  <si>
    <t>HTTP, HTTPS, FTPS</t>
  </si>
  <si>
    <t>s309-1P-32A</t>
  </si>
  <si>
    <t>Heartbeat,NTP,GPS,RealTimeClock,MobileNetwork,RadioTimeTransmitter</t>
  </si>
  <si>
    <t>HTTP, SFTP, FTP</t>
  </si>
  <si>
    <t>s309-3P-16A</t>
  </si>
  <si>
    <t>Heartbeat,NTP,GPS,RealTimeClock,RadioTimeTransmitter</t>
  </si>
  <si>
    <t>HTTP, SFTP, FTPS</t>
  </si>
  <si>
    <t>s309-3P-32A</t>
  </si>
  <si>
    <t>Heartbeat,NTP,MobileNetwork</t>
  </si>
  <si>
    <t>HTTP, FTP, FTPS</t>
  </si>
  <si>
    <t>sBS1361</t>
  </si>
  <si>
    <t>Heartbeat,NTP,MobileNetwork,RadioTimeTransmitter</t>
  </si>
  <si>
    <t>HTTPS, SFTP, FTP</t>
  </si>
  <si>
    <t>sCEE-7-7</t>
  </si>
  <si>
    <t>Heartbeat,NTP,RadioTimeTransmitter</t>
  </si>
  <si>
    <t>HTTPS, SFTP, FTPS</t>
  </si>
  <si>
    <t>Heartbeat,NTP,RealTimeClock</t>
  </si>
  <si>
    <t>HTTPS, FTP, FTPS</t>
  </si>
  <si>
    <t>Heartbeat,NTP,RealTimeClock,MobileNetwork</t>
  </si>
  <si>
    <t>SFTP, FTP, FTPS</t>
  </si>
  <si>
    <t>sType2</t>
  </si>
  <si>
    <t>Heartbeat,NTP,RealTimeClock,MobileNetwork,RadioTimeTransmitter</t>
  </si>
  <si>
    <t>HTTP, HTTPS, SFTP, FTP</t>
  </si>
  <si>
    <t>sType3</t>
  </si>
  <si>
    <t>Heartbeat,NTP,RealTimeClock,RadioTimeTransmitter</t>
  </si>
  <si>
    <t>HTTP, HTTPS, SFTP, FTPS</t>
  </si>
  <si>
    <t>Heartbeat,RadioTimeTransmitter</t>
  </si>
  <si>
    <t>HTTP, HTTPS, FTP, FTPS</t>
  </si>
  <si>
    <t>Other1PhMax16A</t>
  </si>
  <si>
    <t>Heartbeat,RealTimeClock</t>
  </si>
  <si>
    <t>HTTP, SFTP, FTP, FTPS</t>
  </si>
  <si>
    <t>Other1PhOver16A</t>
  </si>
  <si>
    <t>Heartbeat,RealTimeClock,MobileNetwork</t>
  </si>
  <si>
    <t>HTTPS, SFTP, FTP, FTPS</t>
  </si>
  <si>
    <t>Other3Ph</t>
  </si>
  <si>
    <t>Heartbeat,RealTimeClock,MobileNetwork,RadioTimeTransmitter</t>
  </si>
  <si>
    <t>HTTP, HTTPS, SFTP, FTP, FTPS</t>
  </si>
  <si>
    <t>Pan</t>
  </si>
  <si>
    <t>Heartbeat,RealTimeClock,RadioTimeTransmitter</t>
  </si>
  <si>
    <t>wInductive</t>
  </si>
  <si>
    <t>wResonant</t>
  </si>
  <si>
    <t>bBatterySlot</t>
  </si>
  <si>
    <t>OCPP 2.1 Certification</t>
  </si>
  <si>
    <t>Battery Swapping Charging Station</t>
  </si>
  <si>
    <t>Mode 1/2-only Charging Station</t>
  </si>
  <si>
    <t>1 &amp; 3</t>
  </si>
  <si>
    <t>1 &amp; 2 &amp; 3</t>
  </si>
  <si>
    <t>Detachable Cable</t>
  </si>
  <si>
    <t>Fixed Cable</t>
  </si>
  <si>
    <t>Other</t>
  </si>
  <si>
    <t>N/A</t>
  </si>
  <si>
    <t>Wireless Charging Station</t>
  </si>
  <si>
    <t>Additional Network Communication Ports
Please list all communication ports besides the OCPP connection for this device 
(excl. ntp &amp; log upload / firmware download)</t>
  </si>
  <si>
    <t>Test laboratory signature</t>
  </si>
  <si>
    <t>Vendor signature</t>
  </si>
  <si>
    <t>Vendor provided photo of tested Charging Station 
(will be visible on certificate, do not use picture in cell)</t>
  </si>
  <si>
    <t>C-65</t>
  </si>
  <si>
    <t>P-0 and NOT P-1</t>
  </si>
  <si>
    <t>P-0 and P-1</t>
  </si>
  <si>
    <t>P-0 and P-2.1</t>
  </si>
  <si>
    <t>UI-0 and AQ-19</t>
  </si>
  <si>
    <t>UI-0 and UI-3</t>
  </si>
  <si>
    <t>ISO-1.2 AND NOT ISO-6</t>
  </si>
  <si>
    <t>Battery Swap - Charging - Battery Swap Charging</t>
  </si>
  <si>
    <t>Set Default Tariff - validFrom</t>
  </si>
  <si>
    <t>Set Default Tariff - startTimeOfDay, endTimeOfDay</t>
  </si>
  <si>
    <t>Set Default Tariff - TariffMaxElements</t>
  </si>
  <si>
    <t>Set Default Tariff - transaction with default tariff</t>
  </si>
  <si>
    <t>Set Default Tariff - TariffConditionsSupported is false</t>
  </si>
  <si>
    <t>Set Default Tariff - validations</t>
  </si>
  <si>
    <t>Receive Driver Tariff - CS cannot process tariff - UseDefault/CentralCost</t>
  </si>
  <si>
    <t>Receive Driver Tariff - CS cannot process tariff - Deauthorize</t>
  </si>
  <si>
    <t>Receive Driver Tariff - Goodflow</t>
  </si>
  <si>
    <t>Clear Tariffs - DefaultTariff</t>
  </si>
  <si>
    <t>Clear Tariffs - Tariff in use</t>
  </si>
  <si>
    <t>Can the last CSMSRootCertificate be removed?</t>
  </si>
  <si>
    <t/>
  </si>
  <si>
    <t>Does the Charging Station have a cable lock, which prevents the EV driver to connect the EV and EVSE before authorization?</t>
  </si>
  <si>
    <t>Can the last ChargingStationCertificate be removed (via other means than OCPP)?</t>
  </si>
  <si>
    <t>Is there at least one unsupported NumberOfPhases?</t>
  </si>
  <si>
    <t>Does the Charging Station have at least one hardWired monitor? If yes, which hardWired monitor should be used for the certification test</t>
  </si>
  <si>
    <t>Does the Charging Station have a pre-configured monitor? If yes, which pre-configured monitor should be used for the certification test</t>
  </si>
  <si>
    <t>Does your Charging Station have at least one connector with an (automatic) mechanized locking mechanism on Charging Station side? (this is always true for connectorTypes; sType2 and sType3)</t>
  </si>
  <si>
    <t>Charging Station has a detachable cable</t>
  </si>
  <si>
    <t>Charging Station has a fixed cable</t>
  </si>
  <si>
    <t>Charging Station has AC support</t>
  </si>
  <si>
    <t>Charging Station has DC support</t>
  </si>
  <si>
    <t>Charging Station has 1 phase support</t>
  </si>
  <si>
    <t>Charging Station has 2 phase support</t>
  </si>
  <si>
    <t>Charging Station has 3 phase support</t>
  </si>
  <si>
    <t>No. EVSEs of Charging Station</t>
  </si>
  <si>
    <t>Communication technology</t>
  </si>
  <si>
    <t>RFID readers</t>
  </si>
  <si>
    <t>Authorization options for remote start (mandatory to support at least one)</t>
  </si>
  <si>
    <t>Multi-language support</t>
  </si>
  <si>
    <t>Optional, based on AQ-20</t>
  </si>
  <si>
    <t>Support for limiting based on SoC (limitAtSoC)</t>
  </si>
  <si>
    <t>Support for using local time (useLocalTime)</t>
  </si>
  <si>
    <t>Support for using priority charging (PriorityCharging)</t>
  </si>
  <si>
    <t>Support for using randomized delays  (randomizedDelay)</t>
  </si>
  <si>
    <t>Support for operationMode Idle</t>
  </si>
  <si>
    <t>Support for operationMode Idle with EvseSleep</t>
  </si>
  <si>
    <t>Support for EMS Control</t>
  </si>
  <si>
    <t>Supported ISO 15118 version</t>
  </si>
  <si>
    <t>Optional, required if ISO-1.2 is supported</t>
  </si>
  <si>
    <t>Support for ServiceRenegotiation</t>
  </si>
  <si>
    <t>Support for local loadbalancing (LocalLoadBalancing)</t>
  </si>
  <si>
    <t>Charging Station has Battery Swapping support</t>
  </si>
  <si>
    <t>I hereby declare that the information provided in the document is correct and complete and that I approve this document to be submitted for OCPP 2.1 certification based on this information.</t>
  </si>
  <si>
    <t>Profile selection is currently:</t>
  </si>
  <si>
    <t>The complete PICS is currently:</t>
  </si>
  <si>
    <t>1.0.1</t>
  </si>
  <si>
    <t>Maintainability changes</t>
  </si>
  <si>
    <t>1.0.2</t>
  </si>
  <si>
    <t>Sheet</t>
  </si>
  <si>
    <t>Family part</t>
  </si>
  <si>
    <t>Member part</t>
  </si>
  <si>
    <t>Optional features main A</t>
  </si>
  <si>
    <t>Optional features main B</t>
  </si>
  <si>
    <t>Additional Questions</t>
  </si>
  <si>
    <t>Tested during Certification **</t>
  </si>
  <si>
    <t>Optiona features measurands</t>
  </si>
  <si>
    <t>Other relevant settings</t>
  </si>
  <si>
    <t>Edition 2 FINAL, 2025-12-03</t>
  </si>
  <si>
    <t>Specify which optional features you have implemented in your Charging Station in column D of the tab "Optional features". Fill in all black fields, purple fields in column E will be populated during certification</t>
  </si>
  <si>
    <t>Double-check the selected values entered in the steps above and be sure that the configuration specified will allow all required testcases to PASS. Please note that all values provided in the PICS will be shown on the Certificate.</t>
  </si>
  <si>
    <t>Support for resuming transactions on reset or power interruption</t>
  </si>
  <si>
    <t>Set new NetworkConnectionProfile - Identity and password</t>
  </si>
  <si>
    <t>Set new NetworkConnectionProfile - Add new NetworkConfiguration using SetVariables</t>
  </si>
  <si>
    <t>Set new NetworkConnectionProfile - Add and remove slot from NetworkConfigurationPriority</t>
  </si>
  <si>
    <t>Set new NetworkConnectionProfile - Prevent overwriting configured Network Profile slot</t>
  </si>
  <si>
    <t>Set new NetworkConnectionProfile - When changing SecurityCtrlr.Identity/BasicAuthPassword the NetworkProfiles.Identity/BasicAuthPassword must be cleared</t>
  </si>
  <si>
    <t>Set new NetworkConnectionProfile - No security downgrade to profile #1</t>
  </si>
  <si>
    <t>Set new NetworkConnectionProfile - No security downgrade to profile #1 - DM</t>
  </si>
  <si>
    <t>C-10.2 AND NOT HFS-13</t>
  </si>
  <si>
    <t>Support for resuming power transfer on reset or power interruption</t>
  </si>
  <si>
    <t>No support for resuming transactions on reset or power interruption &amp; No support for resuming power transfer on reset or power interruption</t>
  </si>
  <si>
    <t>Battery Swap - Remote Start - not enough batteries</t>
  </si>
  <si>
    <t>Battery Swap - Charging - Variables validation</t>
  </si>
  <si>
    <t>Local Cost Calculation - Change transaction tariff - TariffMaxElements</t>
  </si>
  <si>
    <t>Local Cost Calculation - Change transaction tariff - TariffConditionsSupported is false</t>
  </si>
  <si>
    <t>Local Cost Calculation - Change transaction tariff - TariffConditionsSupported is true</t>
  </si>
  <si>
    <t>Local Cost Calculation - Change transaction tariff - goodflow</t>
  </si>
  <si>
    <t>Local Cost Calculation - Change transaction tariff - validations</t>
  </si>
  <si>
    <t>Local Cost Calculation - Cost Details of Transaction - no tariff conditions</t>
  </si>
  <si>
    <t>Local Cost Calculation - Cost Details of Transaction - with tariff conditions</t>
  </si>
  <si>
    <t>Local Cost Calculation - Cost Details of Transaction - reservation</t>
  </si>
  <si>
    <t>Local Cost Calculation - Cost Details of Transaction - minCost/maxCost</t>
  </si>
  <si>
    <t>Authorization with Prepaid card - Success</t>
  </si>
  <si>
    <t>Authorization with Prepaid card - No credit</t>
  </si>
  <si>
    <t>Integrated Payment Terminal - CSMS rejects authorization</t>
  </si>
  <si>
    <t>Integrated Payment Terminal - Only Payment Terminal authorises</t>
  </si>
  <si>
    <t>Integrated Payment Terminal - Payment Terminal and CSMS authorises</t>
  </si>
  <si>
    <t>Integrated Payment Terminal - VAT number validation</t>
  </si>
  <si>
    <t>Integrated Payment Terminal - Cancelation prior to transaction - Only Payment Terminal authorised - EVConnectionTimeout</t>
  </si>
  <si>
    <t>Integrated Payment Terminal - Cancelation prior to transaction - Payment Terminal and CSMS authorised - stopped by EV driver</t>
  </si>
  <si>
    <t>Integrated Payment Terminal - Cancelation prior to transaction - Only Payment Terminal authorised - stopped by EV driver</t>
  </si>
  <si>
    <t>Integrated Payment Terminal - Cancelation prior to transaction - Payment Terminal and CSMS authorised - EVConnectionTimeout</t>
  </si>
  <si>
    <t>Integrated Payment Terminal - Cancelation after start of transaction - stopped by EV driver</t>
  </si>
  <si>
    <t>Settlement at end of transaction - Settled by CS, receipt by CS</t>
  </si>
  <si>
    <t>Settlement at end of transaction - Settled by CSMS</t>
  </si>
  <si>
    <t>Settlement at end of transaction - Settled by CS, receipt by CSMS</t>
  </si>
  <si>
    <t>Settlement - Is rejected or fails - Failed</t>
  </si>
  <si>
    <t>Settlement - Is rejected or fails - Rejected</t>
  </si>
  <si>
    <t>Incremental authorization - increasing enabled</t>
  </si>
  <si>
    <t>Incremental authorization - increasing disabled</t>
  </si>
  <si>
    <t>Ad hoc payment via stand-alone payment terminal - Local cost calculation</t>
  </si>
  <si>
    <t>Ad hoc payment via stand-alone payment terminal - Central cost calculation</t>
  </si>
  <si>
    <t>Ad hoc payment via static or dynamic QR code - No URL parameters</t>
  </si>
  <si>
    <t>Ad hoc payment via static or dynamic QR code - URL parameter maxTime</t>
  </si>
  <si>
    <t>Ad hoc payment via static or dynamic QR code - URL parameter maxCost</t>
  </si>
  <si>
    <t>Ad hoc payment via static or dynamic QR code - URL parameter maxEnergy</t>
  </si>
  <si>
    <t>Set new NetworkConnectionProfile - AllowSecurityDowngrade is false</t>
  </si>
  <si>
    <t>Set new NetworkConnectionProfile - AllowSecurityDowngrade = false - DM</t>
  </si>
  <si>
    <t>NOT BPT-3.1</t>
  </si>
  <si>
    <t>BPT-3.1</t>
  </si>
  <si>
    <t>BPT-3 AND NOT BPT-3.1</t>
  </si>
  <si>
    <t>BPT-3</t>
  </si>
  <si>
    <t>NOT ( NOT ((C-30 and C-70) or (C-31 and C-71) or (C-32 and C-72) or (C-35 and C-75)) AND (NOT C-10.1 AND NOT C-10.3 AND NOT C-10.4 AND NOT C-10.5) AND NOT C-06.2 )</t>
  </si>
  <si>
    <t>Fix issues found from internal review and updates on part 5 included</t>
  </si>
  <si>
    <t>1.0.3</t>
  </si>
  <si>
    <t>Bug fixs -&gt; BPT named range, C-58 validation, SC-5 required at least one bug</t>
  </si>
  <si>
    <t>1.0.4</t>
  </si>
  <si>
    <t>Certification tab</t>
  </si>
  <si>
    <t>Vendor provided photo of tested Charging Station</t>
  </si>
  <si>
    <t>Overview of Charging Station Properties</t>
  </si>
  <si>
    <t>Cable type</t>
  </si>
  <si>
    <t>Authorization support</t>
  </si>
  <si>
    <t>DC Power Level</t>
  </si>
  <si>
    <t>Highest supported security profile</t>
  </si>
  <si>
    <t>Secure file transfer supported</t>
  </si>
  <si>
    <t>Support for Bi-Directional Power Transfer</t>
  </si>
  <si>
    <t>Supported ISO 15118 versions</t>
  </si>
  <si>
    <t>Supported payment options</t>
  </si>
  <si>
    <t>EMS control</t>
  </si>
  <si>
    <t>RFID authorization (start)</t>
  </si>
  <si>
    <t>RFID authorization (stop)</t>
  </si>
  <si>
    <t>Connector locking</t>
  </si>
  <si>
    <t>TC_A_112_CS</t>
  </si>
  <si>
    <t>Update Charging Station Certificate by request of CSMS - Success - V2G Certificate -20</t>
  </si>
  <si>
    <t>1.0.5</t>
  </si>
  <si>
    <t>Errata 2026-09</t>
  </si>
  <si>
    <t>1038c41219b4eaf1b0fa347afa4ce0d635de33456c23d64ee865851efbf09f02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</si>
</sst>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mm\-dd;@"/>
  </numFmts>
  <fonts count="5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sz val="12"/>
      <color rgb="FF000000"/>
      <name val="Calibri"/>
      <family val="2"/>
    </font>
    <font>
      <b/>
      <sz val="11"/>
      <color rgb="FF7030A0"/>
      <name val="Arial"/>
      <family val="2"/>
    </font>
    <font>
      <b/>
      <sz val="11"/>
      <name val="Arial"/>
      <family val="2"/>
    </font>
    <font>
      <sz val="11"/>
      <name val="Arial"/>
      <family val="2"/>
    </font>
    <font>
      <sz val="11"/>
      <color rgb="FF7030A0"/>
      <name val="Arial"/>
      <family val="2"/>
    </font>
    <font>
      <sz val="11"/>
      <color rgb="FF000000"/>
      <name val="Arial"/>
      <family val="2"/>
    </font>
    <font>
      <i/>
      <sz val="11"/>
      <color rgb="FF000000"/>
      <name val="Arial"/>
      <family val="2"/>
    </font>
    <font>
      <i/>
      <sz val="10"/>
      <name val="Arial"/>
      <family val="2"/>
    </font>
    <font>
      <i/>
      <sz val="11"/>
      <name val="Arial"/>
      <family val="2"/>
    </font>
    <font>
      <b/>
      <sz val="11"/>
      <color theme="1"/>
      <name val="Arial"/>
      <family val="2"/>
    </font>
    <font>
      <sz val="16"/>
      <color theme="1"/>
      <name val="Calibri"/>
      <family val="2"/>
      <scheme val="minor"/>
    </font>
    <font>
      <sz val="28"/>
      <color theme="1"/>
      <name val="Calibri"/>
      <family val="2"/>
      <scheme val="minor"/>
    </font>
    <font>
      <i/>
      <sz val="12"/>
      <color theme="1"/>
      <name val="Calibri"/>
      <family val="2"/>
      <scheme val="minor"/>
    </font>
    <font>
      <b/>
      <sz val="16"/>
      <color theme="1"/>
      <name val="Calibri"/>
      <family val="2"/>
      <scheme val="minor"/>
    </font>
    <font>
      <b/>
      <sz val="28"/>
      <color theme="1"/>
      <name val="Calibri"/>
      <family val="2"/>
      <scheme val="minor"/>
    </font>
    <font>
      <b/>
      <sz val="18"/>
      <color theme="1"/>
      <name val="Calibri"/>
      <family val="2"/>
      <scheme val="minor"/>
    </font>
    <font>
      <b/>
      <sz val="18"/>
      <name val="Arial"/>
      <family val="2"/>
    </font>
    <font>
      <sz val="11"/>
      <color theme="0" tint="-0.34998626667073579"/>
      <name val="Arial"/>
      <family val="2"/>
    </font>
    <font>
      <b/>
      <sz val="12"/>
      <color rgb="FFFF0000"/>
      <name val="Calibri"/>
      <family val="2"/>
      <scheme val="minor"/>
    </font>
    <font>
      <b/>
      <sz val="11"/>
      <color theme="1"/>
      <name val="Calibri"/>
      <family val="2"/>
      <scheme val="minor"/>
    </font>
    <font>
      <b/>
      <sz val="14"/>
      <color rgb="FF7030A0"/>
      <name val="Calibri"/>
      <family val="2"/>
      <scheme val="minor"/>
    </font>
    <font>
      <b/>
      <sz val="12"/>
      <name val="Arial"/>
      <family val="2"/>
    </font>
    <font>
      <b/>
      <sz val="14"/>
      <color rgb="FFFF0000"/>
      <name val="Calibri"/>
      <family val="2"/>
      <scheme val="minor"/>
    </font>
    <font>
      <b/>
      <sz val="11"/>
      <color theme="0" tint="-0.34998626667073579"/>
      <name val="Arial"/>
      <family val="2"/>
    </font>
    <font>
      <sz val="11"/>
      <color theme="1"/>
      <name val="Arial"/>
      <family val="2"/>
    </font>
    <font>
      <sz val="8"/>
      <color theme="1"/>
      <name val="Calibri"/>
      <family val="2"/>
      <scheme val="minor"/>
    </font>
    <font>
      <b/>
      <i/>
      <sz val="14"/>
      <color rgb="FF7030A0"/>
      <name val="Arial"/>
      <family val="2"/>
    </font>
    <font>
      <b/>
      <sz val="12"/>
      <name val="Calibri"/>
      <family val="2"/>
      <scheme val="minor"/>
    </font>
    <font>
      <b/>
      <i/>
      <sz val="11"/>
      <name val="Arial"/>
      <family val="2"/>
    </font>
    <font>
      <b/>
      <sz val="9"/>
      <color rgb="FF7030A0"/>
      <name val="Arial"/>
      <family val="2"/>
    </font>
    <font>
      <i/>
      <sz val="11"/>
      <color theme="1"/>
      <name val="Calibri"/>
      <family val="2"/>
      <scheme val="minor"/>
    </font>
    <font>
      <b/>
      <sz val="11"/>
      <color theme="0"/>
      <name val="Arial"/>
      <family val="2"/>
    </font>
    <font>
      <b/>
      <i/>
      <sz val="11"/>
      <color rgb="FFFFF2CC"/>
      <name val="Arial"/>
      <family val="2"/>
    </font>
    <font>
      <sz val="12"/>
      <color theme="1"/>
      <name val="Calibri"/>
      <family val="2"/>
    </font>
    <font>
      <i/>
      <sz val="12"/>
      <color rgb="FF000000"/>
      <name val="Calibri"/>
      <family val="2"/>
      <scheme val="minor"/>
    </font>
    <font>
      <b/>
      <sz val="11"/>
      <color rgb="FFFF0000"/>
      <name val="Arial"/>
      <family val="2"/>
    </font>
    <font>
      <b/>
      <sz val="11"/>
      <color rgb="FF000000"/>
      <name val="Arial"/>
      <family val="2"/>
    </font>
    <font>
      <b/>
      <i/>
      <sz val="11"/>
      <color rgb="FF000000"/>
      <name val="Arial"/>
      <family val="2"/>
    </font>
    <font>
      <i/>
      <sz val="11"/>
      <color theme="1"/>
      <name val="Arial"/>
      <family val="2"/>
    </font>
    <font>
      <sz val="14"/>
      <color theme="1"/>
      <name val="Calibri"/>
      <family val="2"/>
      <scheme val="minor"/>
    </font>
    <font>
      <sz val="8"/>
      <name val="Calibri"/>
      <family val="2"/>
      <scheme val="minor"/>
    </font>
    <font>
      <sz val="12"/>
      <color rgb="FF000000"/>
      <name val="Calibri"/>
      <family val="2"/>
      <scheme val="minor"/>
    </font>
    <font>
      <sz val="11"/>
      <color rgb="FF7030A0"/>
      <name val="Calibri"/>
      <family val="2"/>
      <scheme val="minor"/>
    </font>
    <font>
      <sz val="12"/>
      <color rgb="FF7030A0"/>
      <name val="Calibri"/>
      <family val="2"/>
      <scheme val="minor"/>
    </font>
    <font>
      <sz val="9"/>
      <color theme="1"/>
      <name val="Arial"/>
      <family val="2"/>
    </font>
    <font>
      <sz val="12"/>
      <color theme="0"/>
      <name val="Calibri"/>
      <family val="2"/>
      <scheme val="minor"/>
    </font>
    <font>
      <b/>
      <sz val="12"/>
      <color rgb="FF7030A0"/>
      <name val="Calibri"/>
      <family val="2"/>
      <scheme val="minor"/>
    </font>
  </fonts>
  <fills count="7">
    <fill>
      <patternFill patternType="none"/>
    </fill>
    <fill>
      <patternFill patternType="gray125"/>
    </fill>
    <fill>
      <patternFill patternType="solid">
        <fgColor rgb="FFFFF2CC"/>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3CC"/>
        <bgColor indexed="64"/>
      </patternFill>
    </fill>
    <fill>
      <patternFill patternType="solid">
        <fgColor theme="0"/>
        <bgColor indexed="64"/>
      </patternFill>
    </fill>
  </fills>
  <borders count="92">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rgb="FF000000"/>
      </right>
      <top style="medium">
        <color rgb="FF000000"/>
      </top>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indexed="64"/>
      </top>
      <bottom/>
      <diagonal/>
    </border>
    <border>
      <left style="medium">
        <color indexed="64"/>
      </left>
      <right style="medium">
        <color rgb="FF000000"/>
      </right>
      <top style="medium">
        <color indexed="64"/>
      </top>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top style="medium">
        <color indexed="64"/>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indexed="64"/>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top/>
      <bottom style="thin">
        <color theme="1"/>
      </bottom>
      <diagonal/>
    </border>
    <border>
      <left/>
      <right/>
      <top style="thin">
        <color theme="1"/>
      </top>
      <bottom style="thin">
        <color theme="1"/>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indexed="64"/>
      </bottom>
      <diagonal/>
    </border>
    <border>
      <left/>
      <right/>
      <top style="thin">
        <color theme="2" tint="-0.499984740745262"/>
      </top>
      <bottom style="thin">
        <color indexed="64"/>
      </bottom>
      <diagonal/>
    </border>
    <border>
      <left/>
      <right style="thin">
        <color theme="2" tint="-0.499984740745262"/>
      </right>
      <top style="thin">
        <color theme="2" tint="-0.499984740745262"/>
      </top>
      <bottom style="thin">
        <color indexed="64"/>
      </bottom>
      <diagonal/>
    </border>
    <border>
      <left style="thin">
        <color theme="2" tint="-0.499984740745262"/>
      </left>
      <right style="thin">
        <color indexed="64"/>
      </right>
      <top style="thin">
        <color indexed="64"/>
      </top>
      <bottom style="thin">
        <color indexed="64"/>
      </bottom>
      <diagonal/>
    </border>
    <border>
      <left style="thin">
        <color indexed="64"/>
      </left>
      <right style="thin">
        <color theme="2" tint="-0.499984740745262"/>
      </right>
      <top style="thin">
        <color indexed="64"/>
      </top>
      <bottom style="thin">
        <color indexed="64"/>
      </bottom>
      <diagonal/>
    </border>
    <border>
      <left style="thin">
        <color theme="2" tint="-0.499984740745262"/>
      </left>
      <right style="thin">
        <color indexed="64"/>
      </right>
      <top style="thin">
        <color indexed="64"/>
      </top>
      <bottom style="thin">
        <color theme="2" tint="-0.499984740745262"/>
      </bottom>
      <diagonal/>
    </border>
    <border>
      <left style="thin">
        <color indexed="64"/>
      </left>
      <right style="thin">
        <color indexed="64"/>
      </right>
      <top style="thin">
        <color indexed="64"/>
      </top>
      <bottom style="thin">
        <color theme="2" tint="-0.499984740745262"/>
      </bottom>
      <diagonal/>
    </border>
    <border>
      <left style="thin">
        <color indexed="64"/>
      </left>
      <right style="thin">
        <color theme="2" tint="-0.499984740745262"/>
      </right>
      <top style="thin">
        <color indexed="64"/>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5">
    <xf numFmtId="0" fontId="0" fillId="0" borderId="0"/>
    <xf numFmtId="0" fontId="4" fillId="0" borderId="0"/>
    <xf numFmtId="0" fontId="4" fillId="0" borderId="0"/>
    <xf numFmtId="0" fontId="4" fillId="0" borderId="0"/>
    <xf numFmtId="0" fontId="4" fillId="0" borderId="0"/>
  </cellStyleXfs>
  <cellXfs count="506">
    <xf numFmtId="0" fontId="0" fillId="0" borderId="0" xfId="0"/>
    <xf numFmtId="0" fontId="5" fillId="0" borderId="0" xfId="0" applyFont="1"/>
    <xf numFmtId="0" fontId="9" fillId="0" borderId="0" xfId="0" applyFont="1" applyAlignment="1">
      <alignment horizontal="left" vertical="center" wrapText="1"/>
    </xf>
    <xf numFmtId="0" fontId="0" fillId="0" borderId="0" xfId="0" applyAlignment="1">
      <alignment horizontal="center"/>
    </xf>
    <xf numFmtId="0" fontId="5" fillId="0" borderId="0" xfId="0" applyFont="1" applyAlignment="1">
      <alignment horizontal="center"/>
    </xf>
    <xf numFmtId="0" fontId="8" fillId="0" borderId="0" xfId="0" applyFont="1" applyAlignment="1">
      <alignment horizontal="left" vertical="center" wrapText="1"/>
    </xf>
    <xf numFmtId="0" fontId="7" fillId="0" borderId="4" xfId="0" applyFont="1" applyBorder="1" applyAlignment="1">
      <alignment horizontal="left" vertical="center" wrapText="1"/>
    </xf>
    <xf numFmtId="0" fontId="0" fillId="0" borderId="0" xfId="0" applyProtection="1">
      <protection locked="0"/>
    </xf>
    <xf numFmtId="0" fontId="11" fillId="2" borderId="7" xfId="0" applyFont="1" applyFill="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24" fillId="0" borderId="0" xfId="0" applyFont="1"/>
    <xf numFmtId="0" fontId="11" fillId="0" borderId="7" xfId="0" applyFont="1" applyBorder="1" applyAlignment="1" applyProtection="1">
      <alignment horizontal="left" vertical="center" wrapText="1"/>
      <protection locked="0"/>
    </xf>
    <xf numFmtId="0" fontId="10" fillId="0" borderId="2" xfId="0" applyFont="1" applyBorder="1" applyAlignment="1" applyProtection="1">
      <alignment horizontal="left" vertical="center" wrapText="1"/>
      <protection locked="0"/>
    </xf>
    <xf numFmtId="0" fontId="3" fillId="0" borderId="29" xfId="1" applyFont="1" applyBorder="1" applyAlignment="1" applyProtection="1">
      <alignment vertical="center"/>
      <protection locked="0"/>
    </xf>
    <xf numFmtId="0" fontId="5" fillId="0" borderId="0" xfId="0" applyFont="1" applyAlignment="1">
      <alignment vertical="center"/>
    </xf>
    <xf numFmtId="0" fontId="24" fillId="0" borderId="0" xfId="0" applyFont="1" applyAlignment="1">
      <alignment vertical="center"/>
    </xf>
    <xf numFmtId="0" fontId="0" fillId="0" borderId="0" xfId="0" applyAlignment="1">
      <alignment horizontal="center" wrapText="1"/>
    </xf>
    <xf numFmtId="0" fontId="0" fillId="0" borderId="6" xfId="0" applyBorder="1" applyAlignment="1">
      <alignment horizontal="center"/>
    </xf>
    <xf numFmtId="0" fontId="9" fillId="2" borderId="7" xfId="0" applyFont="1" applyFill="1" applyBorder="1" applyAlignment="1" applyProtection="1">
      <alignment horizontal="center" vertical="center" wrapText="1"/>
      <protection locked="0"/>
    </xf>
    <xf numFmtId="0" fontId="21" fillId="0" borderId="0" xfId="0" applyFont="1" applyAlignment="1">
      <alignment horizontal="center"/>
    </xf>
    <xf numFmtId="0" fontId="25" fillId="0" borderId="42" xfId="1" applyFont="1" applyBorder="1" applyAlignment="1" applyProtection="1">
      <alignment horizontal="left"/>
      <protection locked="0"/>
    </xf>
    <xf numFmtId="14" fontId="3" fillId="0" borderId="35" xfId="1" applyNumberFormat="1" applyFont="1" applyBorder="1" applyAlignment="1" applyProtection="1">
      <alignment horizontal="left" vertical="center"/>
      <protection locked="0"/>
    </xf>
    <xf numFmtId="0" fontId="4" fillId="0" borderId="35" xfId="1" applyBorder="1" applyAlignment="1" applyProtection="1">
      <alignment horizontal="left"/>
      <protection locked="0"/>
    </xf>
    <xf numFmtId="0" fontId="4" fillId="0" borderId="43" xfId="1" applyBorder="1" applyAlignment="1" applyProtection="1">
      <alignment horizontal="left"/>
      <protection locked="0"/>
    </xf>
    <xf numFmtId="0" fontId="25" fillId="0" borderId="44" xfId="1" applyFont="1" applyBorder="1" applyAlignment="1" applyProtection="1">
      <alignment horizontal="left" vertical="center"/>
      <protection locked="0"/>
    </xf>
    <xf numFmtId="0" fontId="3" fillId="0" borderId="45" xfId="1" applyFont="1" applyBorder="1" applyAlignment="1" applyProtection="1">
      <alignment horizontal="left" vertical="center"/>
      <protection locked="0"/>
    </xf>
    <xf numFmtId="0" fontId="4" fillId="0" borderId="45" xfId="1" applyBorder="1" applyAlignment="1" applyProtection="1">
      <alignment horizontal="left"/>
      <protection locked="0"/>
    </xf>
    <xf numFmtId="0" fontId="4" fillId="0" borderId="46" xfId="1" applyBorder="1" applyAlignment="1" applyProtection="1">
      <alignment horizontal="left"/>
      <protection locked="0"/>
    </xf>
    <xf numFmtId="0" fontId="0" fillId="0" borderId="7" xfId="0" applyBorder="1" applyAlignment="1">
      <alignment horizontal="center"/>
    </xf>
    <xf numFmtId="0" fontId="0" fillId="0" borderId="35" xfId="0" applyBorder="1" applyProtection="1">
      <protection locked="0"/>
    </xf>
    <xf numFmtId="0" fontId="0" fillId="0" borderId="13" xfId="0" applyBorder="1" applyProtection="1">
      <protection locked="0"/>
    </xf>
    <xf numFmtId="0" fontId="9" fillId="2" borderId="7" xfId="0" applyFont="1" applyFill="1" applyBorder="1" applyAlignment="1" applyProtection="1">
      <alignment horizontal="left" vertical="center" wrapText="1"/>
      <protection locked="0"/>
    </xf>
    <xf numFmtId="0" fontId="5" fillId="0" borderId="0" xfId="0" applyFont="1" applyAlignment="1">
      <alignment horizontal="right" vertical="center"/>
    </xf>
    <xf numFmtId="11" fontId="0" fillId="0" borderId="0" xfId="0" applyNumberFormat="1" applyAlignment="1">
      <alignment horizontal="center"/>
    </xf>
    <xf numFmtId="0" fontId="39" fillId="0" borderId="0" xfId="0" applyFont="1" applyAlignment="1">
      <alignment vertical="center"/>
    </xf>
    <xf numFmtId="0" fontId="11" fillId="2" borderId="13" xfId="0" applyFont="1" applyFill="1" applyBorder="1" applyAlignment="1" applyProtection="1">
      <alignment horizontal="center" vertical="center" wrapText="1"/>
      <protection locked="0"/>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49" fontId="0" fillId="0" borderId="0" xfId="0" applyNumberFormat="1"/>
    <xf numFmtId="0" fontId="7" fillId="0" borderId="12" xfId="0" applyFont="1" applyBorder="1" applyAlignment="1">
      <alignment horizontal="left" vertical="center" wrapText="1"/>
    </xf>
    <xf numFmtId="0" fontId="11" fillId="0" borderId="0" xfId="0" applyFont="1" applyAlignment="1">
      <alignment horizontal="center" vertical="center" wrapText="1"/>
    </xf>
    <xf numFmtId="0" fontId="7" fillId="0" borderId="12" xfId="0" applyFont="1" applyBorder="1" applyAlignment="1">
      <alignment vertical="center" wrapText="1"/>
    </xf>
    <xf numFmtId="0" fontId="0" fillId="0" borderId="0" xfId="0" applyAlignment="1">
      <alignment vertical="center"/>
    </xf>
    <xf numFmtId="0" fontId="11" fillId="2" borderId="5" xfId="0" applyFont="1" applyFill="1" applyBorder="1" applyAlignment="1" applyProtection="1">
      <alignment horizontal="center" vertical="center" wrapText="1"/>
      <protection locked="0"/>
    </xf>
    <xf numFmtId="0" fontId="7" fillId="0" borderId="13" xfId="0" applyFont="1" applyBorder="1" applyAlignment="1">
      <alignment horizontal="left" vertical="center" wrapText="1"/>
    </xf>
    <xf numFmtId="0" fontId="8" fillId="2" borderId="4"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9" xfId="0" applyFont="1" applyFill="1" applyBorder="1" applyAlignment="1">
      <alignment horizontal="left" vertical="center" wrapText="1"/>
    </xf>
    <xf numFmtId="0" fontId="15" fillId="0" borderId="0" xfId="0" applyFont="1" applyAlignment="1" applyProtection="1">
      <alignment horizontal="left" vertical="center" wrapText="1"/>
      <protection locked="0"/>
    </xf>
    <xf numFmtId="0" fontId="8" fillId="2" borderId="0" xfId="0" applyFont="1" applyFill="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7" fillId="0" borderId="11" xfId="0" applyFont="1" applyBorder="1" applyAlignment="1">
      <alignment horizontal="left" vertical="center" wrapText="1"/>
    </xf>
    <xf numFmtId="0" fontId="9" fillId="0" borderId="7" xfId="0" applyFont="1" applyBorder="1" applyAlignment="1" applyProtection="1">
      <alignment horizontal="left" vertical="center" wrapText="1"/>
      <protection locked="0"/>
    </xf>
    <xf numFmtId="0" fontId="9" fillId="2" borderId="10" xfId="0" applyFont="1" applyFill="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15" fillId="2" borderId="0" xfId="0" applyFont="1" applyFill="1" applyAlignment="1">
      <alignment horizontal="left" vertical="center" wrapText="1"/>
    </xf>
    <xf numFmtId="0" fontId="9" fillId="2" borderId="13"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0" fontId="9" fillId="2" borderId="6" xfId="0" applyFont="1" applyFill="1" applyBorder="1" applyAlignment="1" applyProtection="1">
      <alignment vertical="center" wrapText="1"/>
      <protection locked="0"/>
    </xf>
    <xf numFmtId="0" fontId="9" fillId="2" borderId="7" xfId="0" applyFont="1" applyFill="1" applyBorder="1" applyAlignment="1" applyProtection="1">
      <alignment vertical="center" wrapText="1"/>
      <protection locked="0"/>
    </xf>
    <xf numFmtId="0" fontId="9" fillId="0" borderId="6" xfId="0" applyFont="1" applyBorder="1" applyAlignment="1" applyProtection="1">
      <alignment horizontal="left" vertical="center" wrapText="1"/>
      <protection locked="0"/>
    </xf>
    <xf numFmtId="0" fontId="9" fillId="2" borderId="8" xfId="0" applyFont="1" applyFill="1" applyBorder="1" applyAlignment="1" applyProtection="1">
      <alignment vertical="center" wrapText="1"/>
      <protection locked="0"/>
    </xf>
    <xf numFmtId="0" fontId="9" fillId="4" borderId="9" xfId="0" applyFont="1" applyFill="1" applyBorder="1" applyAlignment="1" applyProtection="1">
      <alignment horizontal="left" vertical="center" wrapText="1"/>
      <protection locked="0"/>
    </xf>
    <xf numFmtId="0" fontId="9" fillId="2" borderId="10" xfId="0" applyFont="1" applyFill="1" applyBorder="1" applyAlignment="1" applyProtection="1">
      <alignment vertical="center" wrapText="1"/>
      <protection locked="0"/>
    </xf>
    <xf numFmtId="0" fontId="9" fillId="2" borderId="0" xfId="0"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25" fillId="5" borderId="25" xfId="1" applyFont="1" applyFill="1" applyBorder="1" applyAlignment="1" applyProtection="1">
      <alignment horizontal="left"/>
      <protection locked="0"/>
    </xf>
    <xf numFmtId="14" fontId="3" fillId="5" borderId="40" xfId="1" applyNumberFormat="1" applyFont="1" applyFill="1" applyBorder="1" applyAlignment="1" applyProtection="1">
      <alignment horizontal="left" vertical="center"/>
      <protection locked="0"/>
    </xf>
    <xf numFmtId="0" fontId="4" fillId="5" borderId="40" xfId="1" applyFill="1" applyBorder="1" applyAlignment="1" applyProtection="1">
      <alignment horizontal="left"/>
      <protection locked="0"/>
    </xf>
    <xf numFmtId="0" fontId="4" fillId="5" borderId="41" xfId="1" applyFill="1" applyBorder="1" applyAlignment="1" applyProtection="1">
      <alignment horizontal="left"/>
      <protection locked="0"/>
    </xf>
    <xf numFmtId="0" fontId="25" fillId="5" borderId="42" xfId="1" applyFont="1" applyFill="1" applyBorder="1" applyAlignment="1" applyProtection="1">
      <alignment horizontal="left"/>
      <protection locked="0"/>
    </xf>
    <xf numFmtId="14" fontId="3" fillId="5" borderId="35" xfId="1" applyNumberFormat="1" applyFont="1" applyFill="1" applyBorder="1" applyAlignment="1" applyProtection="1">
      <alignment horizontal="left" vertical="center"/>
      <protection locked="0"/>
    </xf>
    <xf numFmtId="0" fontId="4" fillId="5" borderId="35" xfId="1" applyFill="1" applyBorder="1" applyAlignment="1" applyProtection="1">
      <alignment horizontal="left"/>
      <protection locked="0"/>
    </xf>
    <xf numFmtId="0" fontId="4" fillId="5" borderId="43" xfId="1" applyFill="1" applyBorder="1" applyAlignment="1" applyProtection="1">
      <alignment horizontal="left"/>
      <protection locked="0"/>
    </xf>
    <xf numFmtId="0" fontId="3" fillId="5" borderId="27" xfId="1" applyFont="1" applyFill="1" applyBorder="1" applyAlignment="1" applyProtection="1">
      <alignment vertical="center"/>
      <protection locked="0"/>
    </xf>
    <xf numFmtId="0" fontId="3" fillId="5" borderId="29" xfId="1" applyFont="1" applyFill="1" applyBorder="1" applyAlignment="1" applyProtection="1">
      <alignment vertical="center"/>
      <protection locked="0"/>
    </xf>
    <xf numFmtId="0" fontId="3" fillId="5" borderId="31" xfId="1" applyFont="1" applyFill="1" applyBorder="1" applyAlignment="1" applyProtection="1">
      <alignment vertical="center"/>
      <protection locked="0"/>
    </xf>
    <xf numFmtId="0" fontId="11" fillId="5" borderId="10" xfId="0" applyFont="1" applyFill="1" applyBorder="1" applyAlignment="1" applyProtection="1">
      <alignment horizontal="center" vertical="center" wrapText="1"/>
      <protection locked="0"/>
    </xf>
    <xf numFmtId="0" fontId="47" fillId="0" borderId="0" xfId="0" applyFont="1"/>
    <xf numFmtId="0" fontId="0" fillId="0" borderId="0" xfId="0" applyAlignment="1">
      <alignment horizontal="left" vertical="center"/>
    </xf>
    <xf numFmtId="0" fontId="30" fillId="2" borderId="0" xfId="0" applyFont="1" applyFill="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0" fontId="30" fillId="0" borderId="9" xfId="0" applyFont="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1" fillId="2" borderId="0" xfId="0" applyFont="1" applyFill="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0" fillId="0" borderId="9" xfId="0" applyBorder="1"/>
    <xf numFmtId="0" fontId="7" fillId="0" borderId="13" xfId="0" applyFont="1" applyBorder="1" applyAlignment="1" applyProtection="1">
      <alignment horizontal="left" vertical="center" wrapText="1"/>
      <protection locked="0"/>
    </xf>
    <xf numFmtId="0" fontId="20" fillId="0" borderId="0" xfId="0" applyFont="1"/>
    <xf numFmtId="0" fontId="17" fillId="0" borderId="0" xfId="0" applyFont="1"/>
    <xf numFmtId="0" fontId="19" fillId="0" borderId="0" xfId="0" applyFont="1"/>
    <xf numFmtId="0" fontId="16" fillId="0" borderId="0" xfId="0" applyFont="1"/>
    <xf numFmtId="0" fontId="18" fillId="0" borderId="0" xfId="0" applyFont="1"/>
    <xf numFmtId="164" fontId="18" fillId="0" borderId="0" xfId="0" quotePrefix="1" applyNumberFormat="1" applyFont="1" applyAlignment="1">
      <alignment horizontal="left"/>
    </xf>
    <xf numFmtId="165" fontId="40" fillId="0" borderId="0" xfId="0" applyNumberFormat="1" applyFont="1" applyAlignment="1">
      <alignment horizontal="left"/>
    </xf>
    <xf numFmtId="14" fontId="0" fillId="0" borderId="0" xfId="0" applyNumberFormat="1" applyAlignment="1">
      <alignment horizontal="left"/>
    </xf>
    <xf numFmtId="0" fontId="0" fillId="0" borderId="0" xfId="0" applyAlignment="1">
      <alignment vertical="top" wrapText="1"/>
    </xf>
    <xf numFmtId="0" fontId="0" fillId="0" borderId="0" xfId="0" applyAlignment="1">
      <alignment vertical="top"/>
    </xf>
    <xf numFmtId="0" fontId="6" fillId="0" borderId="0" xfId="0" applyFont="1" applyAlignment="1">
      <alignment wrapText="1"/>
    </xf>
    <xf numFmtId="0" fontId="0" fillId="0" borderId="0" xfId="0" applyAlignment="1">
      <alignment wrapText="1"/>
    </xf>
    <xf numFmtId="0" fontId="18" fillId="0" borderId="0" xfId="0" applyFont="1" applyAlignment="1">
      <alignment horizontal="right"/>
    </xf>
    <xf numFmtId="0" fontId="5" fillId="0" borderId="0" xfId="0" applyFont="1" applyAlignment="1">
      <alignment horizontal="right"/>
    </xf>
    <xf numFmtId="0" fontId="8" fillId="2" borderId="6" xfId="0" applyFont="1" applyFill="1" applyBorder="1" applyAlignment="1">
      <alignment horizontal="left" vertical="center" wrapText="1"/>
    </xf>
    <xf numFmtId="0" fontId="8" fillId="0" borderId="6" xfId="0" applyFont="1" applyBorder="1" applyAlignment="1">
      <alignment horizontal="left" vertical="center" wrapText="1"/>
    </xf>
    <xf numFmtId="0" fontId="28" fillId="0" borderId="0" xfId="0" applyFont="1"/>
    <xf numFmtId="0" fontId="8" fillId="2" borderId="8" xfId="0" applyFont="1" applyFill="1" applyBorder="1" applyAlignment="1">
      <alignment horizontal="left" vertical="center" wrapText="1"/>
    </xf>
    <xf numFmtId="0" fontId="7" fillId="0" borderId="0" xfId="0" applyFont="1" applyAlignment="1">
      <alignment vertical="center" wrapText="1"/>
    </xf>
    <xf numFmtId="49" fontId="7" fillId="0" borderId="11" xfId="0" applyNumberFormat="1" applyFont="1" applyBorder="1" applyAlignment="1">
      <alignment horizontal="center" vertical="center" wrapText="1"/>
    </xf>
    <xf numFmtId="0" fontId="13" fillId="2" borderId="3" xfId="0" applyFont="1" applyFill="1" applyBorder="1" applyAlignment="1">
      <alignment horizontal="center" vertical="center" wrapText="1" indent="1"/>
    </xf>
    <xf numFmtId="0" fontId="29" fillId="2" borderId="5" xfId="0" applyFont="1" applyFill="1" applyBorder="1" applyAlignment="1">
      <alignment horizontal="left" vertical="center" wrapText="1"/>
    </xf>
    <xf numFmtId="0" fontId="13" fillId="0" borderId="6" xfId="0" applyFont="1" applyBorder="1" applyAlignment="1">
      <alignment horizontal="center" vertical="center"/>
    </xf>
    <xf numFmtId="0" fontId="29" fillId="0" borderId="7" xfId="0" applyFont="1" applyBorder="1" applyAlignment="1">
      <alignment horizontal="left" vertical="center" wrapText="1"/>
    </xf>
    <xf numFmtId="0" fontId="13" fillId="2" borderId="6" xfId="0" applyFont="1" applyFill="1" applyBorder="1" applyAlignment="1">
      <alignment horizontal="center" vertical="center" wrapText="1" indent="1"/>
    </xf>
    <xf numFmtId="0" fontId="29" fillId="2" borderId="7" xfId="0" applyFont="1" applyFill="1" applyBorder="1" applyAlignment="1">
      <alignment horizontal="left" vertical="center" wrapText="1"/>
    </xf>
    <xf numFmtId="0" fontId="41" fillId="0" borderId="0" xfId="0" applyFont="1" applyAlignment="1">
      <alignment horizontal="left" vertical="center" wrapText="1"/>
    </xf>
    <xf numFmtId="0" fontId="13" fillId="2" borderId="8" xfId="0" applyFont="1" applyFill="1" applyBorder="1" applyAlignment="1">
      <alignment horizontal="center" vertical="center" wrapText="1" indent="1"/>
    </xf>
    <xf numFmtId="0" fontId="29" fillId="2" borderId="10" xfId="0" applyFont="1" applyFill="1" applyBorder="1" applyAlignment="1">
      <alignment horizontal="left" vertical="center" wrapText="1"/>
    </xf>
    <xf numFmtId="0" fontId="14" fillId="0" borderId="0" xfId="0" applyFont="1" applyAlignment="1">
      <alignment horizontal="center" vertical="center" wrapText="1" indent="1"/>
    </xf>
    <xf numFmtId="0" fontId="14" fillId="0" borderId="0" xfId="0" applyFont="1" applyAlignment="1">
      <alignment horizontal="left" vertical="center" wrapText="1" indent="1"/>
    </xf>
    <xf numFmtId="0" fontId="11" fillId="0" borderId="0" xfId="0" applyFont="1" applyAlignment="1">
      <alignment horizontal="left" vertical="center" wrapText="1"/>
    </xf>
    <xf numFmtId="0" fontId="13" fillId="0" borderId="0" xfId="0" applyFont="1" applyAlignment="1">
      <alignment horizontal="center" vertical="center" indent="2"/>
    </xf>
    <xf numFmtId="0" fontId="8" fillId="0" borderId="0" xfId="0" applyFont="1" applyAlignment="1">
      <alignment vertical="center" wrapText="1"/>
    </xf>
    <xf numFmtId="0" fontId="11" fillId="0" borderId="0" xfId="0" applyFont="1" applyAlignment="1">
      <alignment horizontal="left" vertical="center"/>
    </xf>
    <xf numFmtId="49" fontId="7" fillId="0" borderId="3" xfId="0" applyNumberFormat="1" applyFont="1" applyBorder="1" applyAlignment="1">
      <alignment horizontal="left" vertical="center" wrapText="1"/>
    </xf>
    <xf numFmtId="0" fontId="7" fillId="0" borderId="5" xfId="0" applyFont="1" applyBorder="1" applyAlignment="1">
      <alignment horizontal="left" vertical="center" wrapText="1"/>
    </xf>
    <xf numFmtId="0" fontId="15" fillId="2" borderId="3" xfId="0" applyFont="1" applyFill="1" applyBorder="1" applyAlignment="1">
      <alignment horizontal="left" vertical="center" wrapText="1"/>
    </xf>
    <xf numFmtId="0" fontId="15" fillId="2" borderId="5" xfId="0" applyFont="1" applyFill="1" applyBorder="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2" borderId="6"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10" xfId="0" applyFont="1" applyBorder="1" applyAlignment="1">
      <alignment horizontal="left" vertical="center" wrapText="1"/>
    </xf>
    <xf numFmtId="49" fontId="21" fillId="0" borderId="0" xfId="0" applyNumberFormat="1" applyFont="1" applyAlignment="1">
      <alignment horizontal="center"/>
    </xf>
    <xf numFmtId="0" fontId="7" fillId="0" borderId="13" xfId="0" applyFont="1" applyBorder="1" applyAlignment="1">
      <alignment horizontal="center" vertical="center" wrapText="1"/>
    </xf>
    <xf numFmtId="49" fontId="12" fillId="2" borderId="3" xfId="0" applyNumberFormat="1" applyFont="1" applyFill="1" applyBorder="1" applyAlignment="1">
      <alignment horizontal="left" vertical="center" wrapText="1"/>
    </xf>
    <xf numFmtId="49" fontId="42" fillId="2" borderId="4" xfId="0" applyNumberFormat="1" applyFont="1" applyFill="1" applyBorder="1" applyAlignment="1">
      <alignment horizontal="left" vertical="center" wrapText="1"/>
    </xf>
    <xf numFmtId="0" fontId="23" fillId="5" borderId="5" xfId="0" applyFont="1" applyFill="1" applyBorder="1" applyAlignment="1">
      <alignment horizontal="center" vertical="center" wrapText="1"/>
    </xf>
    <xf numFmtId="49" fontId="12" fillId="0" borderId="6" xfId="0" applyNumberFormat="1" applyFont="1" applyBorder="1" applyAlignment="1">
      <alignment horizontal="left" vertical="center" wrapText="1"/>
    </xf>
    <xf numFmtId="49" fontId="42" fillId="0" borderId="0" xfId="0" applyNumberFormat="1" applyFont="1" applyAlignment="1">
      <alignment horizontal="left" vertical="center" wrapText="1"/>
    </xf>
    <xf numFmtId="0" fontId="11" fillId="0" borderId="7" xfId="0" applyFont="1" applyBorder="1" applyAlignment="1">
      <alignment horizontal="center" vertical="center" wrapText="1"/>
    </xf>
    <xf numFmtId="49" fontId="12" fillId="2" borderId="6" xfId="0" applyNumberFormat="1" applyFont="1" applyFill="1" applyBorder="1" applyAlignment="1">
      <alignment horizontal="left" vertical="center" wrapText="1"/>
    </xf>
    <xf numFmtId="49" fontId="42" fillId="2" borderId="0" xfId="0" applyNumberFormat="1" applyFont="1" applyFill="1" applyAlignment="1">
      <alignment horizontal="left" vertical="center" wrapText="1"/>
    </xf>
    <xf numFmtId="0" fontId="11" fillId="2" borderId="7" xfId="0" applyFont="1" applyFill="1" applyBorder="1" applyAlignment="1">
      <alignment horizontal="center" vertical="center" wrapText="1"/>
    </xf>
    <xf numFmtId="49" fontId="12" fillId="0" borderId="6" xfId="0" applyNumberFormat="1" applyFont="1" applyBorder="1" applyAlignment="1">
      <alignment horizontal="center" vertical="center" wrapText="1"/>
    </xf>
    <xf numFmtId="49" fontId="43" fillId="0" borderId="0" xfId="0" applyNumberFormat="1" applyFont="1" applyAlignment="1">
      <alignment horizontal="left" vertical="center" wrapText="1" indent="2"/>
    </xf>
    <xf numFmtId="49" fontId="12" fillId="2" borderId="6" xfId="0" applyNumberFormat="1" applyFont="1" applyFill="1" applyBorder="1" applyAlignment="1">
      <alignment horizontal="center" vertical="center" wrapText="1"/>
    </xf>
    <xf numFmtId="49" fontId="43" fillId="2" borderId="0" xfId="0" applyNumberFormat="1" applyFont="1" applyFill="1" applyAlignment="1">
      <alignment horizontal="left" vertical="center" wrapText="1" indent="2"/>
    </xf>
    <xf numFmtId="49" fontId="12" fillId="2" borderId="8" xfId="0" applyNumberFormat="1" applyFont="1" applyFill="1" applyBorder="1" applyAlignment="1">
      <alignment horizontal="center" vertical="center" wrapText="1"/>
    </xf>
    <xf numFmtId="49" fontId="43" fillId="2" borderId="9" xfId="0" applyNumberFormat="1" applyFont="1" applyFill="1" applyBorder="1" applyAlignment="1">
      <alignment horizontal="left" vertical="center" wrapText="1" indent="2"/>
    </xf>
    <xf numFmtId="49" fontId="11" fillId="0" borderId="0" xfId="0" applyNumberFormat="1" applyFont="1" applyAlignment="1">
      <alignment horizontal="left" vertical="center" wrapText="1"/>
    </xf>
    <xf numFmtId="0" fontId="42" fillId="0" borderId="0" xfId="0" applyFont="1" applyAlignment="1">
      <alignment horizontal="left" vertical="center" wrapText="1"/>
    </xf>
    <xf numFmtId="0" fontId="7" fillId="0" borderId="12" xfId="0" applyFont="1" applyBorder="1" applyAlignment="1">
      <alignment horizontal="center" vertical="center" wrapText="1"/>
    </xf>
    <xf numFmtId="0" fontId="10" fillId="2" borderId="7" xfId="0" applyFont="1" applyFill="1" applyBorder="1" applyAlignment="1">
      <alignment horizontal="center" vertical="center" wrapText="1"/>
    </xf>
    <xf numFmtId="0" fontId="10" fillId="0" borderId="7" xfId="0" applyFont="1" applyBorder="1" applyAlignment="1">
      <alignment horizontal="center" vertical="center" wrapText="1"/>
    </xf>
    <xf numFmtId="49" fontId="12" fillId="0" borderId="8" xfId="0" applyNumberFormat="1" applyFont="1" applyBorder="1" applyAlignment="1">
      <alignment horizontal="left" vertical="center" wrapText="1"/>
    </xf>
    <xf numFmtId="49" fontId="42" fillId="0" borderId="9" xfId="0" applyNumberFormat="1" applyFont="1" applyBorder="1" applyAlignment="1">
      <alignment horizontal="left" vertical="center" wrapText="1"/>
    </xf>
    <xf numFmtId="0" fontId="10" fillId="0" borderId="10" xfId="0" applyFont="1" applyBorder="1" applyAlignment="1">
      <alignment horizontal="center" vertical="center" wrapText="1"/>
    </xf>
    <xf numFmtId="49" fontId="7" fillId="0" borderId="12" xfId="0" applyNumberFormat="1" applyFont="1" applyBorder="1" applyAlignment="1">
      <alignment horizontal="left" vertical="center" wrapText="1"/>
    </xf>
    <xf numFmtId="0" fontId="7" fillId="0" borderId="4" xfId="0" applyFont="1" applyBorder="1" applyAlignment="1">
      <alignment vertical="center" wrapText="1"/>
    </xf>
    <xf numFmtId="0" fontId="7" fillId="0" borderId="4" xfId="0" applyFont="1" applyBorder="1" applyAlignment="1">
      <alignment horizontal="center" vertical="center" wrapText="1"/>
    </xf>
    <xf numFmtId="0" fontId="11"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49" fontId="12" fillId="0" borderId="8" xfId="0" applyNumberFormat="1" applyFont="1" applyBorder="1" applyAlignment="1">
      <alignment horizontal="center" vertical="center" wrapText="1"/>
    </xf>
    <xf numFmtId="49" fontId="11" fillId="0" borderId="0" xfId="0" applyNumberFormat="1" applyFont="1" applyAlignment="1">
      <alignment horizontal="left" vertical="center"/>
    </xf>
    <xf numFmtId="49" fontId="9" fillId="0" borderId="0" xfId="0" applyNumberFormat="1" applyFont="1" applyAlignment="1">
      <alignment horizontal="left" vertical="center" wrapText="1"/>
    </xf>
    <xf numFmtId="49" fontId="12" fillId="2" borderId="11" xfId="0" applyNumberFormat="1" applyFont="1" applyFill="1" applyBorder="1" applyAlignment="1">
      <alignment horizontal="left" vertical="center" wrapText="1"/>
    </xf>
    <xf numFmtId="49" fontId="42" fillId="2" borderId="12" xfId="0" applyNumberFormat="1" applyFont="1" applyFill="1" applyBorder="1" applyAlignment="1">
      <alignment horizontal="left" vertical="center" wrapText="1"/>
    </xf>
    <xf numFmtId="0" fontId="11" fillId="2" borderId="5" xfId="0" applyFont="1" applyFill="1" applyBorder="1" applyAlignment="1">
      <alignment horizontal="center" vertical="center" wrapText="1"/>
    </xf>
    <xf numFmtId="49" fontId="9" fillId="0" borderId="7" xfId="0" applyNumberFormat="1" applyFont="1" applyBorder="1" applyAlignment="1">
      <alignment horizontal="center" vertical="center" wrapText="1"/>
    </xf>
    <xf numFmtId="49" fontId="12" fillId="5" borderId="8" xfId="0" applyNumberFormat="1" applyFont="1" applyFill="1" applyBorder="1" applyAlignment="1">
      <alignment horizontal="left" vertical="center" wrapText="1"/>
    </xf>
    <xf numFmtId="49" fontId="42" fillId="5" borderId="9" xfId="0" applyNumberFormat="1" applyFont="1" applyFill="1" applyBorder="1" applyAlignment="1">
      <alignment horizontal="left" vertical="center" wrapText="1"/>
    </xf>
    <xf numFmtId="49" fontId="7" fillId="0" borderId="3" xfId="0" applyNumberFormat="1" applyFont="1" applyBorder="1" applyAlignment="1">
      <alignment horizontal="center" vertical="center" wrapText="1"/>
    </xf>
    <xf numFmtId="49" fontId="12" fillId="2" borderId="8" xfId="0" applyNumberFormat="1" applyFont="1" applyFill="1" applyBorder="1" applyAlignment="1">
      <alignment horizontal="left" vertical="center" wrapText="1"/>
    </xf>
    <xf numFmtId="49" fontId="42" fillId="2" borderId="9" xfId="0" applyNumberFormat="1" applyFont="1" applyFill="1" applyBorder="1" applyAlignment="1">
      <alignment horizontal="left" vertical="center" wrapText="1"/>
    </xf>
    <xf numFmtId="49" fontId="12" fillId="5" borderId="6" xfId="0" applyNumberFormat="1" applyFont="1" applyFill="1" applyBorder="1" applyAlignment="1">
      <alignment horizontal="left" vertical="center" wrapText="1"/>
    </xf>
    <xf numFmtId="49" fontId="42" fillId="5" borderId="0" xfId="0" applyNumberFormat="1" applyFont="1" applyFill="1" applyAlignment="1">
      <alignment horizontal="left" vertical="center" wrapText="1"/>
    </xf>
    <xf numFmtId="0" fontId="11" fillId="5" borderId="7" xfId="0" applyFont="1" applyFill="1" applyBorder="1" applyAlignment="1">
      <alignment horizontal="center" vertical="center" wrapText="1"/>
    </xf>
    <xf numFmtId="49" fontId="12" fillId="5" borderId="8" xfId="0" applyNumberFormat="1" applyFont="1" applyFill="1" applyBorder="1" applyAlignment="1">
      <alignment horizontal="center" vertical="center" wrapText="1"/>
    </xf>
    <xf numFmtId="49" fontId="43" fillId="5" borderId="9" xfId="0" applyNumberFormat="1" applyFont="1" applyFill="1" applyBorder="1" applyAlignment="1">
      <alignment horizontal="left" vertical="center" wrapText="1" indent="2"/>
    </xf>
    <xf numFmtId="49" fontId="44" fillId="2" borderId="6" xfId="0" applyNumberFormat="1" applyFont="1" applyFill="1" applyBorder="1" applyAlignment="1">
      <alignment horizontal="left" vertical="center" wrapText="1"/>
    </xf>
    <xf numFmtId="0" fontId="15" fillId="2" borderId="0" xfId="0" applyFont="1" applyFill="1" applyAlignment="1">
      <alignment horizontal="left" vertical="center"/>
    </xf>
    <xf numFmtId="0" fontId="23" fillId="0" borderId="7" xfId="0" applyFont="1" applyBorder="1" applyAlignment="1">
      <alignment horizontal="center" vertical="center" wrapText="1"/>
    </xf>
    <xf numFmtId="49" fontId="44" fillId="2" borderId="3" xfId="0" applyNumberFormat="1" applyFont="1" applyFill="1" applyBorder="1" applyAlignment="1">
      <alignment horizontal="left" vertical="center" wrapText="1"/>
    </xf>
    <xf numFmtId="0" fontId="15" fillId="2" borderId="4" xfId="0" applyFont="1" applyFill="1" applyBorder="1" applyAlignment="1">
      <alignment horizontal="left" vertical="center"/>
    </xf>
    <xf numFmtId="0" fontId="15" fillId="2" borderId="4" xfId="0" applyFont="1" applyFill="1" applyBorder="1"/>
    <xf numFmtId="49" fontId="44" fillId="2" borderId="8" xfId="0" applyNumberFormat="1" applyFont="1" applyFill="1" applyBorder="1" applyAlignment="1">
      <alignment horizontal="left" vertical="center" wrapText="1"/>
    </xf>
    <xf numFmtId="0" fontId="15" fillId="2" borderId="9" xfId="0" applyFont="1" applyFill="1" applyBorder="1"/>
    <xf numFmtId="0" fontId="30" fillId="2" borderId="5" xfId="0" applyFont="1" applyFill="1" applyBorder="1" applyAlignment="1" applyProtection="1">
      <alignment horizontal="center" vertical="center" wrapText="1"/>
      <protection locked="0"/>
    </xf>
    <xf numFmtId="0" fontId="30" fillId="2" borderId="7" xfId="0" applyFont="1" applyFill="1" applyBorder="1" applyAlignment="1" applyProtection="1">
      <alignment horizontal="center" vertical="center" wrapText="1"/>
      <protection locked="0"/>
    </xf>
    <xf numFmtId="0" fontId="21" fillId="0" borderId="0" xfId="0" applyFont="1" applyAlignment="1">
      <alignment horizontal="center" vertical="center"/>
    </xf>
    <xf numFmtId="0" fontId="18" fillId="0" borderId="0" xfId="0" applyFont="1" applyAlignment="1">
      <alignment wrapText="1"/>
    </xf>
    <xf numFmtId="0" fontId="14" fillId="2" borderId="3"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2" borderId="6" xfId="0" applyFont="1" applyFill="1" applyBorder="1" applyAlignment="1">
      <alignment horizontal="center" vertical="center" wrapText="1"/>
    </xf>
    <xf numFmtId="0" fontId="14" fillId="0" borderId="0" xfId="0" applyFont="1" applyAlignment="1">
      <alignment horizontal="left" vertical="center" indent="2"/>
    </xf>
    <xf numFmtId="0" fontId="8" fillId="0" borderId="7" xfId="0" applyFont="1" applyBorder="1" applyAlignment="1">
      <alignment vertical="center" wrapText="1"/>
    </xf>
    <xf numFmtId="0" fontId="14" fillId="0" borderId="8" xfId="0" applyFont="1" applyBorder="1" applyAlignment="1">
      <alignment horizontal="center" vertical="center" wrapText="1"/>
    </xf>
    <xf numFmtId="0" fontId="8" fillId="0" borderId="9" xfId="0" applyFont="1" applyBorder="1" applyAlignment="1">
      <alignment horizontal="left" vertical="center" wrapText="1"/>
    </xf>
    <xf numFmtId="0" fontId="8" fillId="0" borderId="0" xfId="0" applyFont="1" applyAlignment="1">
      <alignment horizontal="center" vertical="center" wrapText="1"/>
    </xf>
    <xf numFmtId="0" fontId="14" fillId="0" borderId="0" xfId="0" applyFont="1" applyAlignment="1">
      <alignment horizontal="left" vertical="center" wrapText="1"/>
    </xf>
    <xf numFmtId="0" fontId="7" fillId="0" borderId="11"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0" borderId="6" xfId="0" applyFont="1" applyBorder="1" applyAlignment="1">
      <alignment horizontal="center" vertical="center" wrapText="1"/>
    </xf>
    <xf numFmtId="0" fontId="15" fillId="0" borderId="0" xfId="0" applyFont="1" applyAlignment="1">
      <alignment horizontal="left" vertical="center" wrapText="1"/>
    </xf>
    <xf numFmtId="0" fontId="9" fillId="2" borderId="8" xfId="0" applyFont="1" applyFill="1" applyBorder="1" applyAlignment="1">
      <alignment horizontal="center" vertical="center" wrapText="1"/>
    </xf>
    <xf numFmtId="0" fontId="15" fillId="2" borderId="9" xfId="0" applyFont="1" applyFill="1" applyBorder="1" applyAlignment="1">
      <alignment horizontal="left" vertical="center" wrapText="1"/>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9" fillId="2" borderId="11" xfId="0" applyFont="1" applyFill="1" applyBorder="1" applyAlignment="1">
      <alignment horizontal="center" vertical="center" wrapText="1"/>
    </xf>
    <xf numFmtId="0" fontId="8" fillId="2" borderId="12" xfId="0" applyFont="1" applyFill="1" applyBorder="1" applyAlignment="1">
      <alignment horizontal="left" vertical="center" wrapText="1"/>
    </xf>
    <xf numFmtId="0" fontId="9" fillId="2" borderId="3" xfId="0" applyFont="1" applyFill="1" applyBorder="1" applyAlignment="1">
      <alignment horizontal="center" vertical="center" wrapText="1"/>
    </xf>
    <xf numFmtId="0" fontId="9" fillId="0" borderId="0" xfId="0" applyFont="1" applyAlignment="1">
      <alignment vertical="center" wrapText="1"/>
    </xf>
    <xf numFmtId="0" fontId="27" fillId="0" borderId="0" xfId="0" applyFont="1" applyAlignment="1">
      <alignment horizontal="left" vertical="center" wrapText="1"/>
    </xf>
    <xf numFmtId="0" fontId="7" fillId="0" borderId="11" xfId="0" applyFont="1" applyBorder="1" applyAlignment="1">
      <alignment vertical="center" wrapText="1"/>
    </xf>
    <xf numFmtId="0" fontId="0" fillId="0" borderId="12" xfId="0" applyBorder="1"/>
    <xf numFmtId="0" fontId="0" fillId="0" borderId="13" xfId="0" applyBorder="1"/>
    <xf numFmtId="0" fontId="8" fillId="4" borderId="6" xfId="0" applyFont="1" applyFill="1" applyBorder="1" applyAlignment="1">
      <alignment vertical="center" wrapText="1"/>
    </xf>
    <xf numFmtId="0" fontId="8" fillId="0" borderId="6" xfId="0" applyFont="1" applyBorder="1" applyAlignment="1">
      <alignment vertical="center" wrapText="1"/>
    </xf>
    <xf numFmtId="0" fontId="8" fillId="0" borderId="8" xfId="0" applyFont="1" applyBorder="1" applyAlignment="1">
      <alignment vertical="center" wrapText="1"/>
    </xf>
    <xf numFmtId="0" fontId="7" fillId="0" borderId="13" xfId="0" applyFont="1" applyBorder="1" applyAlignment="1">
      <alignment vertical="center" wrapText="1"/>
    </xf>
    <xf numFmtId="0" fontId="8" fillId="4" borderId="3" xfId="0" applyFont="1" applyFill="1" applyBorder="1" applyAlignment="1">
      <alignment vertical="center" wrapText="1"/>
    </xf>
    <xf numFmtId="0" fontId="10" fillId="2" borderId="4" xfId="0" applyFont="1" applyFill="1" applyBorder="1" applyAlignment="1">
      <alignment horizontal="center" vertical="center" wrapText="1"/>
    </xf>
    <xf numFmtId="0" fontId="10" fillId="4" borderId="4" xfId="0" applyFont="1" applyFill="1" applyBorder="1" applyAlignment="1">
      <alignment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10" fillId="2" borderId="0" xfId="0" applyFont="1" applyFill="1" applyAlignment="1">
      <alignment horizontal="center" vertical="center" wrapText="1"/>
    </xf>
    <xf numFmtId="0" fontId="10" fillId="4" borderId="0" xfId="0" applyFont="1" applyFill="1" applyAlignment="1">
      <alignment vertical="center" wrapText="1"/>
    </xf>
    <xf numFmtId="0" fontId="10" fillId="0" borderId="9" xfId="0" applyFont="1" applyBorder="1" applyAlignment="1">
      <alignment horizontal="center" vertical="center" wrapText="1"/>
    </xf>
    <xf numFmtId="0" fontId="10" fillId="0" borderId="9" xfId="0" applyFont="1" applyBorder="1" applyAlignment="1">
      <alignment vertical="center" wrapText="1"/>
    </xf>
    <xf numFmtId="0" fontId="8" fillId="0" borderId="1" xfId="0" applyFont="1" applyBorder="1" applyAlignment="1">
      <alignment horizontal="left" vertical="center" wrapText="1"/>
    </xf>
    <xf numFmtId="0" fontId="5" fillId="3" borderId="0" xfId="0" applyFont="1" applyFill="1"/>
    <xf numFmtId="0" fontId="5" fillId="3" borderId="0" xfId="0" applyFont="1" applyFill="1" applyAlignment="1">
      <alignment horizontal="center"/>
    </xf>
    <xf numFmtId="0" fontId="4" fillId="0" borderId="0" xfId="1"/>
    <xf numFmtId="0" fontId="0" fillId="0" borderId="0" xfId="0" applyAlignment="1">
      <alignment horizontal="right" vertical="center"/>
    </xf>
    <xf numFmtId="0" fontId="25" fillId="5" borderId="22" xfId="1" applyFont="1" applyFill="1" applyBorder="1" applyAlignment="1">
      <alignment vertical="center"/>
    </xf>
    <xf numFmtId="0" fontId="25" fillId="0" borderId="44" xfId="1" applyFont="1" applyBorder="1" applyAlignment="1">
      <alignment vertical="center"/>
    </xf>
    <xf numFmtId="0" fontId="25" fillId="0" borderId="48" xfId="1" applyFont="1" applyBorder="1" applyAlignment="1">
      <alignment horizontal="left"/>
    </xf>
    <xf numFmtId="0" fontId="25" fillId="0" borderId="49" xfId="1" applyFont="1" applyBorder="1" applyAlignment="1">
      <alignment horizontal="left"/>
    </xf>
    <xf numFmtId="0" fontId="25" fillId="0" borderId="50" xfId="1" applyFont="1" applyBorder="1" applyAlignment="1">
      <alignment horizontal="left"/>
    </xf>
    <xf numFmtId="0" fontId="25" fillId="0" borderId="0" xfId="1" applyFont="1" applyAlignment="1">
      <alignment horizontal="left"/>
    </xf>
    <xf numFmtId="0" fontId="25" fillId="5" borderId="25" xfId="1" applyFont="1" applyFill="1" applyBorder="1" applyAlignment="1">
      <alignment horizontal="left"/>
    </xf>
    <xf numFmtId="0" fontId="4" fillId="0" borderId="0" xfId="1" applyAlignment="1">
      <alignment horizontal="left"/>
    </xf>
    <xf numFmtId="0" fontId="25" fillId="0" borderId="42" xfId="1" applyFont="1" applyBorder="1" applyAlignment="1">
      <alignment horizontal="left"/>
    </xf>
    <xf numFmtId="0" fontId="25" fillId="0" borderId="0" xfId="1" applyFont="1" applyAlignment="1">
      <alignment horizontal="left" vertical="center"/>
    </xf>
    <xf numFmtId="0" fontId="3" fillId="0" borderId="0" xfId="1" applyFont="1" applyAlignment="1">
      <alignment horizontal="left" vertical="center"/>
    </xf>
    <xf numFmtId="0" fontId="25" fillId="5" borderId="26" xfId="1" applyFont="1" applyFill="1" applyBorder="1" applyAlignment="1">
      <alignment vertical="center"/>
    </xf>
    <xf numFmtId="0" fontId="4" fillId="2" borderId="14" xfId="1" applyFill="1" applyBorder="1" applyAlignment="1">
      <alignment vertical="center"/>
    </xf>
    <xf numFmtId="0" fontId="25" fillId="0" borderId="28" xfId="1" applyFont="1" applyBorder="1" applyAlignment="1">
      <alignment vertical="center"/>
    </xf>
    <xf numFmtId="0" fontId="25" fillId="5" borderId="28" xfId="1" applyFont="1" applyFill="1" applyBorder="1" applyAlignment="1">
      <alignment vertical="center"/>
    </xf>
    <xf numFmtId="0" fontId="25" fillId="5" borderId="30" xfId="1" applyFont="1" applyFill="1" applyBorder="1" applyAlignment="1">
      <alignment vertical="center"/>
    </xf>
    <xf numFmtId="0" fontId="4" fillId="2" borderId="62" xfId="1" applyFill="1" applyBorder="1" applyAlignment="1">
      <alignment vertical="center"/>
    </xf>
    <xf numFmtId="0" fontId="25" fillId="0" borderId="22" xfId="1" applyFont="1" applyBorder="1" applyAlignment="1">
      <alignment horizontal="left"/>
    </xf>
    <xf numFmtId="0" fontId="25" fillId="5" borderId="22" xfId="1" applyFont="1" applyFill="1" applyBorder="1" applyAlignment="1">
      <alignment horizontal="left"/>
    </xf>
    <xf numFmtId="0" fontId="25" fillId="0" borderId="26" xfId="1" applyFont="1" applyBorder="1" applyAlignment="1">
      <alignment vertical="center"/>
    </xf>
    <xf numFmtId="0" fontId="25" fillId="5" borderId="44" xfId="1" applyFont="1" applyFill="1" applyBorder="1" applyAlignment="1">
      <alignment vertical="center"/>
    </xf>
    <xf numFmtId="14" fontId="48" fillId="5" borderId="15" xfId="1" applyNumberFormat="1" applyFont="1" applyFill="1" applyBorder="1" applyAlignment="1" applyProtection="1">
      <alignment horizontal="left" vertical="center"/>
      <protection locked="0"/>
    </xf>
    <xf numFmtId="14" fontId="48" fillId="0" borderId="23" xfId="1" applyNumberFormat="1" applyFont="1" applyBorder="1" applyAlignment="1" applyProtection="1">
      <alignment horizontal="left" vertical="center"/>
      <protection locked="0"/>
    </xf>
    <xf numFmtId="0" fontId="48" fillId="5" borderId="23" xfId="1" applyFont="1" applyFill="1" applyBorder="1" applyAlignment="1" applyProtection="1">
      <alignment horizontal="left" vertical="center"/>
      <protection locked="0"/>
    </xf>
    <xf numFmtId="0" fontId="48" fillId="0" borderId="27" xfId="1" applyFont="1" applyBorder="1" applyAlignment="1" applyProtection="1">
      <alignment vertical="center"/>
      <protection locked="0"/>
    </xf>
    <xf numFmtId="0" fontId="48" fillId="5" borderId="27" xfId="1" applyFont="1" applyFill="1" applyBorder="1" applyAlignment="1" applyProtection="1">
      <alignment vertical="center"/>
      <protection locked="0"/>
    </xf>
    <xf numFmtId="0" fontId="48" fillId="0" borderId="29" xfId="1" applyFont="1" applyBorder="1" applyAlignment="1" applyProtection="1">
      <alignment vertical="center"/>
      <protection locked="0"/>
    </xf>
    <xf numFmtId="0" fontId="48" fillId="5" borderId="29" xfId="1" applyFont="1" applyFill="1" applyBorder="1" applyAlignment="1" applyProtection="1">
      <alignment vertical="center"/>
      <protection locked="0"/>
    </xf>
    <xf numFmtId="0" fontId="48" fillId="5" borderId="31" xfId="1" applyFont="1" applyFill="1" applyBorder="1" applyAlignment="1" applyProtection="1">
      <alignment vertical="center"/>
      <protection locked="0"/>
    </xf>
    <xf numFmtId="14" fontId="48" fillId="5" borderId="41" xfId="1" applyNumberFormat="1" applyFont="1" applyFill="1" applyBorder="1" applyAlignment="1" applyProtection="1">
      <alignment horizontal="left" vertical="center"/>
      <protection locked="0"/>
    </xf>
    <xf numFmtId="14" fontId="48" fillId="0" borderId="43" xfId="1" applyNumberFormat="1" applyFont="1" applyBorder="1" applyAlignment="1" applyProtection="1">
      <alignment horizontal="left" vertical="center"/>
      <protection locked="0"/>
    </xf>
    <xf numFmtId="0" fontId="3" fillId="5" borderId="46" xfId="1" applyFont="1" applyFill="1" applyBorder="1" applyAlignment="1" applyProtection="1">
      <alignment vertical="center"/>
      <protection locked="0"/>
    </xf>
    <xf numFmtId="0" fontId="31" fillId="0" borderId="0" xfId="0" applyFont="1" applyAlignment="1">
      <alignment wrapText="1"/>
    </xf>
    <xf numFmtId="0" fontId="5" fillId="0" borderId="0" xfId="0" applyFont="1" applyAlignment="1">
      <alignment horizontal="center" vertical="center"/>
    </xf>
    <xf numFmtId="0" fontId="33" fillId="0" borderId="0" xfId="0" applyFont="1" applyAlignment="1">
      <alignment vertical="center"/>
    </xf>
    <xf numFmtId="49" fontId="7" fillId="0" borderId="0" xfId="0" applyNumberFormat="1" applyFont="1" applyAlignment="1">
      <alignment horizontal="center" vertical="center" wrapText="1"/>
    </xf>
    <xf numFmtId="0" fontId="7" fillId="0" borderId="0" xfId="0" applyFont="1" applyAlignment="1">
      <alignment horizontal="left" vertical="center" wrapText="1"/>
    </xf>
    <xf numFmtId="0" fontId="38" fillId="2" borderId="35" xfId="0" applyFont="1" applyFill="1" applyBorder="1" applyAlignment="1">
      <alignment horizontal="center" vertical="center" wrapText="1" indent="1"/>
    </xf>
    <xf numFmtId="0" fontId="34" fillId="2" borderId="13" xfId="0" applyFont="1" applyFill="1" applyBorder="1" applyAlignment="1">
      <alignment horizontal="center" vertical="center" wrapText="1" indent="1"/>
    </xf>
    <xf numFmtId="0" fontId="34" fillId="2" borderId="35" xfId="0" applyFont="1" applyFill="1" applyBorder="1" applyAlignment="1">
      <alignment horizontal="center" vertical="center" wrapText="1" indent="1"/>
    </xf>
    <xf numFmtId="0" fontId="37" fillId="0" borderId="36" xfId="0" applyFont="1" applyBorder="1" applyAlignment="1">
      <alignment horizontal="center" vertical="center" wrapText="1"/>
    </xf>
    <xf numFmtId="0" fontId="7" fillId="0" borderId="0" xfId="0" applyFont="1" applyAlignment="1">
      <alignment horizontal="center" vertical="center" wrapText="1"/>
    </xf>
    <xf numFmtId="0" fontId="37" fillId="0" borderId="37"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xf numFmtId="49" fontId="8" fillId="0" borderId="35" xfId="0" applyNumberFormat="1" applyFont="1" applyBorder="1" applyAlignment="1">
      <alignment horizontal="center" vertical="center" wrapText="1"/>
    </xf>
    <xf numFmtId="0" fontId="8" fillId="0" borderId="35" xfId="0" applyFont="1" applyBorder="1" applyAlignment="1">
      <alignment horizontal="center" vertical="center" wrapText="1"/>
    </xf>
    <xf numFmtId="0" fontId="5" fillId="0" borderId="13" xfId="0" applyFont="1" applyBorder="1"/>
    <xf numFmtId="0" fontId="35" fillId="0" borderId="0" xfId="0" applyFont="1" applyAlignment="1">
      <alignment horizontal="center" vertical="center" wrapText="1"/>
    </xf>
    <xf numFmtId="0" fontId="8" fillId="0" borderId="11" xfId="0" applyFont="1" applyBorder="1" applyAlignment="1">
      <alignment horizontal="left" vertical="center"/>
    </xf>
    <xf numFmtId="0" fontId="2" fillId="0" borderId="0" xfId="2" applyFont="1"/>
    <xf numFmtId="0" fontId="25" fillId="5" borderId="26" xfId="2" applyFont="1" applyFill="1" applyBorder="1" applyAlignment="1">
      <alignment vertical="center"/>
    </xf>
    <xf numFmtId="0" fontId="25" fillId="0" borderId="28" xfId="2" applyFont="1" applyBorder="1" applyAlignment="1">
      <alignment vertical="center"/>
    </xf>
    <xf numFmtId="0" fontId="25" fillId="5" borderId="28" xfId="2" applyFont="1" applyFill="1" applyBorder="1" applyAlignment="1">
      <alignment vertical="center"/>
    </xf>
    <xf numFmtId="0" fontId="25" fillId="5" borderId="30" xfId="2" applyFont="1" applyFill="1" applyBorder="1" applyAlignment="1">
      <alignment vertical="center"/>
    </xf>
    <xf numFmtId="0" fontId="2" fillId="0" borderId="47" xfId="2" applyFont="1" applyBorder="1" applyAlignment="1">
      <alignment vertical="center"/>
    </xf>
    <xf numFmtId="0" fontId="2" fillId="5" borderId="67" xfId="2" applyFont="1" applyFill="1" applyBorder="1" applyAlignment="1" applyProtection="1">
      <alignment vertical="center"/>
      <protection locked="0"/>
    </xf>
    <xf numFmtId="0" fontId="2" fillId="0" borderId="1" xfId="2" applyFont="1" applyBorder="1" applyAlignment="1" applyProtection="1">
      <alignment vertical="center"/>
      <protection locked="0"/>
    </xf>
    <xf numFmtId="0" fontId="2" fillId="5" borderId="1" xfId="2" applyFont="1" applyFill="1" applyBorder="1" applyAlignment="1" applyProtection="1">
      <alignment vertical="center"/>
      <protection locked="0"/>
    </xf>
    <xf numFmtId="0" fontId="2" fillId="5" borderId="68" xfId="2" applyFont="1" applyFill="1" applyBorder="1" applyAlignment="1" applyProtection="1">
      <alignment vertical="center"/>
      <protection locked="0"/>
    </xf>
    <xf numFmtId="0" fontId="15" fillId="0" borderId="35" xfId="0" applyFont="1" applyBorder="1" applyAlignment="1">
      <alignment horizontal="center" vertical="center" wrapText="1"/>
    </xf>
    <xf numFmtId="0" fontId="30" fillId="0" borderId="35" xfId="0" applyFont="1" applyBorder="1" applyAlignment="1">
      <alignment horizontal="center" vertical="center" wrapText="1"/>
    </xf>
    <xf numFmtId="0" fontId="30" fillId="0" borderId="35" xfId="0" applyFont="1" applyBorder="1" applyAlignment="1" applyProtection="1">
      <alignment horizontal="center" vertical="center" wrapText="1"/>
      <protection locked="0"/>
    </xf>
    <xf numFmtId="0" fontId="50" fillId="0" borderId="35" xfId="0" applyFont="1" applyBorder="1" applyAlignment="1">
      <alignment horizontal="center" vertical="center" wrapText="1"/>
    </xf>
    <xf numFmtId="0" fontId="50" fillId="0" borderId="0" xfId="0" applyFont="1" applyAlignment="1">
      <alignment horizontal="center" vertical="center" wrapText="1"/>
    </xf>
    <xf numFmtId="0" fontId="24" fillId="0" borderId="0" xfId="0" applyFont="1" applyAlignment="1">
      <alignment wrapText="1"/>
    </xf>
    <xf numFmtId="0" fontId="51" fillId="0" borderId="0" xfId="0" applyFont="1"/>
    <xf numFmtId="0" fontId="15" fillId="2" borderId="4" xfId="0" applyFont="1" applyFill="1" applyBorder="1" applyAlignment="1">
      <alignment horizontal="left" vertical="center" wrapText="1"/>
    </xf>
    <xf numFmtId="0" fontId="0" fillId="2" borderId="6" xfId="0" applyFill="1" applyBorder="1" applyAlignment="1" applyProtection="1">
      <alignment horizontal="center"/>
      <protection locked="0"/>
    </xf>
    <xf numFmtId="0" fontId="0" fillId="2" borderId="0" xfId="0" applyFill="1" applyAlignment="1" applyProtection="1">
      <alignment horizontal="center"/>
      <protection locked="0"/>
    </xf>
    <xf numFmtId="0" fontId="0" fillId="2" borderId="7" xfId="0" applyFill="1" applyBorder="1" applyAlignment="1" applyProtection="1">
      <alignment horizontal="center"/>
      <protection locked="0"/>
    </xf>
    <xf numFmtId="0" fontId="0" fillId="0" borderId="6" xfId="0" applyBorder="1" applyAlignment="1" applyProtection="1">
      <alignment horizontal="center"/>
      <protection locked="0"/>
    </xf>
    <xf numFmtId="0" fontId="0" fillId="0" borderId="0" xfId="0" applyAlignment="1" applyProtection="1">
      <alignment horizontal="center"/>
      <protection locked="0"/>
    </xf>
    <xf numFmtId="0" fontId="0" fillId="0" borderId="7" xfId="0" applyBorder="1" applyAlignment="1" applyProtection="1">
      <alignment horizontal="center"/>
      <protection locked="0"/>
    </xf>
    <xf numFmtId="0" fontId="0" fillId="2" borderId="8" xfId="0" applyFill="1" applyBorder="1" applyAlignment="1" applyProtection="1">
      <alignment horizontal="center"/>
      <protection locked="0"/>
    </xf>
    <xf numFmtId="0" fontId="0" fillId="2" borderId="9" xfId="0" applyFill="1" applyBorder="1" applyAlignment="1" applyProtection="1">
      <alignment horizontal="center"/>
      <protection locked="0"/>
    </xf>
    <xf numFmtId="0" fontId="0" fillId="2" borderId="10" xfId="0" applyFill="1" applyBorder="1" applyAlignment="1" applyProtection="1">
      <alignment horizontal="center"/>
      <protection locked="0"/>
    </xf>
    <xf numFmtId="0" fontId="9" fillId="4" borderId="0" xfId="0" applyFont="1" applyFill="1" applyAlignment="1">
      <alignment vertical="center" wrapText="1"/>
    </xf>
    <xf numFmtId="0" fontId="9" fillId="0" borderId="9" xfId="0" applyFont="1" applyBorder="1" applyAlignment="1">
      <alignment vertical="center" wrapText="1"/>
    </xf>
    <xf numFmtId="0" fontId="10" fillId="4" borderId="5" xfId="0" applyFont="1" applyFill="1" applyBorder="1" applyAlignment="1">
      <alignment vertical="center" wrapText="1"/>
    </xf>
    <xf numFmtId="0" fontId="10" fillId="0" borderId="7" xfId="0" applyFont="1" applyBorder="1" applyAlignment="1">
      <alignment vertical="center" wrapText="1"/>
    </xf>
    <xf numFmtId="0" fontId="10" fillId="4" borderId="7" xfId="0" applyFont="1" applyFill="1" applyBorder="1" applyAlignment="1">
      <alignment vertical="center" wrapText="1"/>
    </xf>
    <xf numFmtId="0" fontId="10" fillId="0" borderId="10" xfId="0" applyFont="1" applyBorder="1" applyAlignment="1">
      <alignment vertical="center" wrapText="1"/>
    </xf>
    <xf numFmtId="0" fontId="0" fillId="0" borderId="0" xfId="0" applyAlignment="1">
      <alignment horizontal="left"/>
    </xf>
    <xf numFmtId="0" fontId="0" fillId="0" borderId="0" xfId="0" applyAlignment="1">
      <alignment horizontal="right"/>
    </xf>
    <xf numFmtId="0" fontId="4" fillId="0" borderId="29" xfId="1" applyBorder="1" applyAlignment="1">
      <alignment vertical="center"/>
    </xf>
    <xf numFmtId="0" fontId="15" fillId="2" borderId="0" xfId="0" applyFont="1" applyFill="1"/>
    <xf numFmtId="49" fontId="43" fillId="0" borderId="9" xfId="0" applyNumberFormat="1" applyFont="1" applyBorder="1" applyAlignment="1">
      <alignment horizontal="left" vertical="center" wrapText="1" indent="2"/>
    </xf>
    <xf numFmtId="0" fontId="1" fillId="0" borderId="0" xfId="1" applyFont="1" applyProtection="1">
      <protection locked="0"/>
    </xf>
    <xf numFmtId="0" fontId="45" fillId="0" borderId="0" xfId="1" applyFont="1" applyAlignment="1">
      <alignment vertical="center" wrapText="1"/>
    </xf>
    <xf numFmtId="0" fontId="30" fillId="4" borderId="69" xfId="0" applyFont="1" applyFill="1" applyBorder="1" applyAlignment="1">
      <alignment horizontal="left" vertical="center" wrapText="1"/>
    </xf>
    <xf numFmtId="0" fontId="30" fillId="4" borderId="70" xfId="0" applyFont="1" applyFill="1" applyBorder="1" applyAlignment="1">
      <alignment horizontal="left" vertical="center" wrapText="1"/>
    </xf>
    <xf numFmtId="0" fontId="30" fillId="6" borderId="69" xfId="0" applyFont="1" applyFill="1" applyBorder="1" applyAlignment="1">
      <alignment horizontal="left" vertical="center" wrapText="1"/>
    </xf>
    <xf numFmtId="0" fontId="30" fillId="6" borderId="70" xfId="0" applyFont="1" applyFill="1" applyBorder="1" applyAlignment="1">
      <alignment horizontal="left" vertical="center" wrapText="1"/>
    </xf>
    <xf numFmtId="0" fontId="30" fillId="6" borderId="71" xfId="0" applyFont="1" applyFill="1" applyBorder="1" applyAlignment="1">
      <alignment horizontal="left" vertical="center" wrapText="1"/>
    </xf>
    <xf numFmtId="0" fontId="30" fillId="6" borderId="72" xfId="0" applyFont="1" applyFill="1" applyBorder="1" applyAlignment="1">
      <alignment horizontal="left" vertical="center" wrapText="1"/>
    </xf>
    <xf numFmtId="0" fontId="30" fillId="5" borderId="69" xfId="0" applyFont="1" applyFill="1" applyBorder="1" applyAlignment="1">
      <alignment horizontal="left" vertical="center" wrapText="1"/>
    </xf>
    <xf numFmtId="0" fontId="30" fillId="5" borderId="70" xfId="0" applyFont="1" applyFill="1" applyBorder="1" applyAlignment="1">
      <alignment horizontal="left" vertical="center" wrapText="1"/>
    </xf>
    <xf numFmtId="0" fontId="0" fillId="5" borderId="75" xfId="0" applyFill="1" applyBorder="1" applyAlignment="1" applyProtection="1">
      <alignment horizontal="center"/>
      <protection locked="0"/>
    </xf>
    <xf numFmtId="0" fontId="0" fillId="5" borderId="76" xfId="0" applyFill="1" applyBorder="1" applyAlignment="1" applyProtection="1">
      <alignment horizontal="center"/>
      <protection locked="0"/>
    </xf>
    <xf numFmtId="0" fontId="0" fillId="5" borderId="77" xfId="0" applyFill="1" applyBorder="1" applyAlignment="1" applyProtection="1">
      <alignment horizontal="center"/>
      <protection locked="0"/>
    </xf>
    <xf numFmtId="0" fontId="0" fillId="5" borderId="69" xfId="0" applyFill="1" applyBorder="1" applyAlignment="1" applyProtection="1">
      <alignment horizontal="center"/>
      <protection locked="0"/>
    </xf>
    <xf numFmtId="0" fontId="0" fillId="5" borderId="0" xfId="0" applyFill="1" applyAlignment="1" applyProtection="1">
      <alignment horizontal="center"/>
      <protection locked="0"/>
    </xf>
    <xf numFmtId="0" fontId="0" fillId="5" borderId="70" xfId="0" applyFill="1" applyBorder="1" applyAlignment="1" applyProtection="1">
      <alignment horizontal="center"/>
      <protection locked="0"/>
    </xf>
    <xf numFmtId="0" fontId="0" fillId="6" borderId="69" xfId="0" applyFill="1" applyBorder="1" applyAlignment="1" applyProtection="1">
      <alignment horizontal="center"/>
      <protection locked="0"/>
    </xf>
    <xf numFmtId="0" fontId="0" fillId="6" borderId="0" xfId="0" applyFill="1" applyAlignment="1" applyProtection="1">
      <alignment horizontal="center"/>
      <protection locked="0"/>
    </xf>
    <xf numFmtId="0" fontId="0" fillId="6" borderId="70" xfId="0" applyFill="1" applyBorder="1" applyAlignment="1" applyProtection="1">
      <alignment horizontal="center"/>
      <protection locked="0"/>
    </xf>
    <xf numFmtId="0" fontId="0" fillId="6" borderId="71" xfId="0" applyFill="1" applyBorder="1" applyAlignment="1" applyProtection="1">
      <alignment horizontal="center"/>
      <protection locked="0"/>
    </xf>
    <xf numFmtId="0" fontId="0" fillId="6" borderId="78" xfId="0" applyFill="1" applyBorder="1" applyAlignment="1" applyProtection="1">
      <alignment horizontal="center"/>
      <protection locked="0"/>
    </xf>
    <xf numFmtId="0" fontId="0" fillId="6" borderId="72" xfId="0" applyFill="1" applyBorder="1" applyAlignment="1" applyProtection="1">
      <alignment horizontal="center"/>
      <protection locked="0"/>
    </xf>
    <xf numFmtId="0" fontId="7" fillId="6" borderId="71" xfId="0" applyFont="1" applyFill="1" applyBorder="1" applyAlignment="1">
      <alignment horizontal="left" vertical="center" wrapText="1"/>
    </xf>
    <xf numFmtId="0" fontId="7" fillId="6" borderId="78" xfId="0" applyFont="1" applyFill="1" applyBorder="1" applyAlignment="1">
      <alignment horizontal="left" vertical="center" wrapText="1"/>
    </xf>
    <xf numFmtId="0" fontId="7" fillId="6" borderId="72" xfId="0" applyFont="1" applyFill="1" applyBorder="1" applyAlignment="1">
      <alignment horizontal="left" vertical="center" wrapText="1"/>
    </xf>
    <xf numFmtId="0" fontId="0" fillId="5" borderId="75" xfId="0" applyFill="1" applyBorder="1"/>
    <xf numFmtId="0" fontId="0" fillId="5" borderId="77" xfId="0" applyFill="1" applyBorder="1"/>
    <xf numFmtId="0" fontId="0" fillId="5" borderId="69" xfId="0" applyFill="1" applyBorder="1"/>
    <xf numFmtId="0" fontId="0" fillId="5" borderId="70" xfId="0" applyFill="1" applyBorder="1"/>
    <xf numFmtId="0" fontId="0" fillId="5" borderId="71" xfId="0" applyFill="1" applyBorder="1"/>
    <xf numFmtId="0" fontId="0" fillId="5" borderId="72" xfId="0" applyFill="1" applyBorder="1"/>
    <xf numFmtId="0" fontId="0" fillId="6" borderId="69" xfId="0" applyFill="1" applyBorder="1"/>
    <xf numFmtId="0" fontId="0" fillId="6" borderId="70" xfId="0" applyFill="1" applyBorder="1"/>
    <xf numFmtId="0" fontId="0" fillId="6" borderId="0" xfId="0" applyFill="1"/>
    <xf numFmtId="0" fontId="5" fillId="0" borderId="81" xfId="0" applyFont="1" applyBorder="1" applyAlignment="1">
      <alignment horizontal="center" vertical="center"/>
    </xf>
    <xf numFmtId="0" fontId="5" fillId="0" borderId="82" xfId="0" applyFont="1" applyBorder="1"/>
    <xf numFmtId="0" fontId="0" fillId="0" borderId="83" xfId="0" applyBorder="1"/>
    <xf numFmtId="0" fontId="8" fillId="0" borderId="84" xfId="0" applyFont="1" applyBorder="1" applyAlignment="1">
      <alignment horizontal="center" vertical="center" wrapText="1"/>
    </xf>
    <xf numFmtId="0" fontId="30" fillId="0" borderId="85" xfId="0" applyFont="1" applyBorder="1" applyAlignment="1">
      <alignment horizontal="center" vertical="center" wrapText="1"/>
    </xf>
    <xf numFmtId="0" fontId="8" fillId="0" borderId="86" xfId="0" applyFont="1" applyBorder="1" applyAlignment="1">
      <alignment horizontal="center" vertical="center" wrapText="1"/>
    </xf>
    <xf numFmtId="0" fontId="34" fillId="2" borderId="87" xfId="0" applyFont="1" applyFill="1" applyBorder="1" applyAlignment="1">
      <alignment horizontal="center" vertical="center" wrapText="1" indent="1"/>
    </xf>
    <xf numFmtId="0" fontId="30" fillId="0" borderId="88" xfId="0" applyFont="1" applyBorder="1" applyAlignment="1">
      <alignment horizontal="center" vertical="center" wrapText="1"/>
    </xf>
    <xf numFmtId="49" fontId="0" fillId="2" borderId="80" xfId="0" applyNumberFormat="1" applyFill="1" applyBorder="1" applyProtection="1">
      <protection locked="0"/>
    </xf>
    <xf numFmtId="0" fontId="0" fillId="2" borderId="89" xfId="0" applyFill="1" applyBorder="1" applyAlignment="1" applyProtection="1">
      <alignment horizontal="center"/>
      <protection locked="0"/>
    </xf>
    <xf numFmtId="0" fontId="0" fillId="0" borderId="90" xfId="0" applyBorder="1" applyAlignment="1" applyProtection="1">
      <alignment horizontal="center" vertical="center" wrapText="1"/>
      <protection locked="0"/>
    </xf>
    <xf numFmtId="0" fontId="0" fillId="2" borderId="90" xfId="0" applyFill="1" applyBorder="1" applyProtection="1">
      <protection locked="0"/>
    </xf>
    <xf numFmtId="0" fontId="0" fillId="0" borderId="90" xfId="0" applyBorder="1" applyProtection="1">
      <protection locked="0"/>
    </xf>
    <xf numFmtId="0" fontId="0" fillId="0" borderId="90" xfId="0" applyBorder="1" applyAlignment="1" applyProtection="1">
      <alignment wrapText="1"/>
      <protection locked="0"/>
    </xf>
    <xf numFmtId="0" fontId="0" fillId="0" borderId="90" xfId="0" applyBorder="1" applyAlignment="1" applyProtection="1">
      <alignment horizontal="center" vertical="center"/>
      <protection locked="0"/>
    </xf>
    <xf numFmtId="0" fontId="0" fillId="2" borderId="90" xfId="0" applyFill="1" applyBorder="1" applyAlignment="1" applyProtection="1">
      <alignment horizontal="center" vertical="center"/>
      <protection locked="0"/>
    </xf>
    <xf numFmtId="0" fontId="34" fillId="0" borderId="0" xfId="0" applyFont="1" applyAlignment="1">
      <alignment horizontal="center" vertical="center" wrapText="1" indent="1"/>
    </xf>
    <xf numFmtId="0" fontId="30" fillId="0" borderId="0" xfId="0" applyFont="1" applyAlignment="1">
      <alignment horizontal="center" vertical="center" wrapText="1"/>
    </xf>
    <xf numFmtId="0" fontId="0" fillId="2" borderId="91" xfId="0" applyFill="1" applyBorder="1" applyProtection="1">
      <protection locked="0"/>
    </xf>
    <xf numFmtId="0" fontId="30" fillId="0" borderId="9" xfId="0" applyFont="1" applyBorder="1" applyAlignment="1">
      <alignment horizontal="center" vertical="center" wrapText="1"/>
    </xf>
    <xf numFmtId="0" fontId="8" fillId="0" borderId="9" xfId="0" applyFont="1" applyBorder="1" applyAlignment="1">
      <alignment horizontal="center" vertical="center" wrapText="1"/>
    </xf>
    <xf numFmtId="0" fontId="34" fillId="0" borderId="9" xfId="0" applyFont="1" applyBorder="1" applyAlignment="1">
      <alignment horizontal="center" vertical="center" wrapText="1" indent="1"/>
    </xf>
    <xf numFmtId="0" fontId="0" fillId="0" borderId="0" xfId="0" applyAlignment="1">
      <alignment horizontal="center"/>
    </xf>
    <xf numFmtId="0" fontId="0" fillId="0" borderId="0" xfId="0"/>
    <xf numFmtId="0" fontId="21" fillId="0" borderId="0" xfId="0" applyFont="1" applyAlignment="1">
      <alignment horizontal="center"/>
    </xf>
    <xf numFmtId="0" fontId="7" fillId="0" borderId="36" xfId="0" applyFont="1" applyBorder="1" applyAlignment="1">
      <alignment horizontal="center" vertical="center" wrapText="1"/>
    </xf>
    <xf numFmtId="0" fontId="0" fillId="0" borderId="4" xfId="0" applyBorder="1"/>
    <xf numFmtId="0" fontId="0" fillId="0" borderId="5" xfId="0" applyBorder="1"/>
    <xf numFmtId="0" fontId="36" fillId="0" borderId="0" xfId="0" applyFont="1" applyAlignment="1">
      <alignment wrapText="1"/>
    </xf>
    <xf numFmtId="49" fontId="21" fillId="0" borderId="0" xfId="0" applyNumberFormat="1" applyFont="1" applyAlignment="1">
      <alignment horizontal="center"/>
    </xf>
    <xf numFmtId="0" fontId="9" fillId="0" borderId="0" xfId="0" applyFont="1" applyAlignment="1">
      <alignment vertical="center" wrapText="1"/>
    </xf>
    <xf numFmtId="0" fontId="22" fillId="0" borderId="0" xfId="0" applyFont="1" applyAlignment="1">
      <alignment horizontal="center" vertical="center"/>
    </xf>
    <xf numFmtId="0" fontId="9" fillId="4" borderId="0" xfId="0" applyFont="1" applyFill="1" applyAlignment="1">
      <alignment vertical="center" wrapText="1"/>
    </xf>
    <xf numFmtId="0" fontId="0" fillId="0" borderId="7" xfId="0" applyBorder="1"/>
    <xf numFmtId="0" fontId="22" fillId="0" borderId="0" xfId="0" applyFont="1" applyAlignment="1">
      <alignment horizontal="center" vertical="center" wrapText="1"/>
    </xf>
    <xf numFmtId="0" fontId="27" fillId="0" borderId="0" xfId="0" applyFont="1" applyAlignment="1">
      <alignment vertical="center" wrapText="1"/>
    </xf>
    <xf numFmtId="0" fontId="9" fillId="0" borderId="9" xfId="0" applyFont="1" applyBorder="1" applyAlignment="1">
      <alignment vertical="center" wrapText="1"/>
    </xf>
    <xf numFmtId="0" fontId="0" fillId="0" borderId="9" xfId="0" applyBorder="1"/>
    <xf numFmtId="0" fontId="0" fillId="0" borderId="10" xfId="0" applyBorder="1"/>
    <xf numFmtId="0" fontId="7" fillId="0" borderId="12" xfId="0" applyFont="1" applyBorder="1" applyAlignment="1">
      <alignment vertical="center" wrapText="1"/>
    </xf>
    <xf numFmtId="0" fontId="0" fillId="0" borderId="12" xfId="0" applyBorder="1"/>
    <xf numFmtId="0" fontId="0" fillId="0" borderId="13" xfId="0" applyBorder="1"/>
    <xf numFmtId="0" fontId="18" fillId="0" borderId="0" xfId="0" applyFont="1" applyAlignment="1">
      <alignment vertical="top" wrapText="1"/>
    </xf>
    <xf numFmtId="0" fontId="1" fillId="0" borderId="0" xfId="0" applyFont="1" applyAlignment="1">
      <alignment horizontal="left" wrapText="1"/>
    </xf>
    <xf numFmtId="0" fontId="4" fillId="0" borderId="16" xfId="1" applyBorder="1" applyAlignment="1" applyProtection="1">
      <alignment horizontal="left" vertical="top"/>
      <protection locked="0"/>
    </xf>
    <xf numFmtId="0" fontId="4" fillId="0" borderId="4" xfId="1" applyBorder="1" applyAlignment="1" applyProtection="1">
      <alignment horizontal="left" vertical="top"/>
      <protection locked="0"/>
    </xf>
    <xf numFmtId="0" fontId="4" fillId="0" borderId="17" xfId="1" applyBorder="1" applyAlignment="1" applyProtection="1">
      <alignment horizontal="left" vertical="top"/>
      <protection locked="0"/>
    </xf>
    <xf numFmtId="0" fontId="4" fillId="0" borderId="18" xfId="1" applyBorder="1" applyAlignment="1" applyProtection="1">
      <alignment horizontal="left" vertical="top"/>
      <protection locked="0"/>
    </xf>
    <xf numFmtId="0" fontId="4" fillId="0" borderId="0" xfId="1" applyAlignment="1" applyProtection="1">
      <alignment horizontal="left" vertical="top"/>
      <protection locked="0"/>
    </xf>
    <xf numFmtId="0" fontId="4" fillId="0" borderId="19" xfId="1" applyBorder="1" applyAlignment="1" applyProtection="1">
      <alignment horizontal="left" vertical="top"/>
      <protection locked="0"/>
    </xf>
    <xf numFmtId="0" fontId="4" fillId="0" borderId="20" xfId="1" applyBorder="1" applyAlignment="1" applyProtection="1">
      <alignment horizontal="left" vertical="top"/>
      <protection locked="0"/>
    </xf>
    <xf numFmtId="0" fontId="4" fillId="0" borderId="32" xfId="1" applyBorder="1" applyAlignment="1" applyProtection="1">
      <alignment horizontal="left" vertical="top"/>
      <protection locked="0"/>
    </xf>
    <xf numFmtId="0" fontId="4" fillId="0" borderId="21" xfId="1" applyBorder="1" applyAlignment="1" applyProtection="1">
      <alignment horizontal="left" vertical="top"/>
      <protection locked="0"/>
    </xf>
    <xf numFmtId="0" fontId="4" fillId="0" borderId="16" xfId="1" applyBorder="1" applyAlignment="1" applyProtection="1">
      <alignment horizontal="center"/>
      <protection locked="0"/>
    </xf>
    <xf numFmtId="0" fontId="4" fillId="0" borderId="4" xfId="1" applyBorder="1" applyAlignment="1" applyProtection="1">
      <alignment horizontal="center"/>
      <protection locked="0"/>
    </xf>
    <xf numFmtId="0" fontId="4" fillId="0" borderId="17" xfId="1" applyBorder="1" applyAlignment="1" applyProtection="1">
      <alignment horizontal="center"/>
      <protection locked="0"/>
    </xf>
    <xf numFmtId="0" fontId="4" fillId="0" borderId="18" xfId="1" applyBorder="1" applyAlignment="1" applyProtection="1">
      <alignment horizontal="center"/>
      <protection locked="0"/>
    </xf>
    <xf numFmtId="0" fontId="4" fillId="0" borderId="0" xfId="1" applyAlignment="1" applyProtection="1">
      <alignment horizontal="center"/>
      <protection locked="0"/>
    </xf>
    <xf numFmtId="0" fontId="4" fillId="0" borderId="19" xfId="1" applyBorder="1" applyAlignment="1" applyProtection="1">
      <alignment horizontal="center"/>
      <protection locked="0"/>
    </xf>
    <xf numFmtId="0" fontId="4" fillId="0" borderId="20" xfId="1" applyBorder="1" applyAlignment="1" applyProtection="1">
      <alignment horizontal="center"/>
      <protection locked="0"/>
    </xf>
    <xf numFmtId="0" fontId="4" fillId="0" borderId="32" xfId="1" applyBorder="1" applyAlignment="1" applyProtection="1">
      <alignment horizontal="center"/>
      <protection locked="0"/>
    </xf>
    <xf numFmtId="0" fontId="4" fillId="0" borderId="21" xfId="1" applyBorder="1" applyAlignment="1" applyProtection="1">
      <alignment horizontal="center"/>
      <protection locked="0"/>
    </xf>
    <xf numFmtId="0" fontId="26" fillId="0" borderId="64" xfId="1" applyFont="1" applyBorder="1" applyAlignment="1">
      <alignment horizontal="center" vertical="center"/>
    </xf>
    <xf numFmtId="0" fontId="26" fillId="0" borderId="33" xfId="1" applyFont="1" applyBorder="1" applyAlignment="1">
      <alignment horizontal="center" vertical="center"/>
    </xf>
    <xf numFmtId="0" fontId="26" fillId="0" borderId="65" xfId="1" applyFont="1" applyBorder="1" applyAlignment="1">
      <alignment horizontal="center" vertical="center"/>
    </xf>
    <xf numFmtId="0" fontId="26" fillId="0" borderId="60" xfId="1" applyFont="1" applyBorder="1" applyAlignment="1">
      <alignment horizontal="center" vertical="center"/>
    </xf>
    <xf numFmtId="0" fontId="0" fillId="0" borderId="61" xfId="0" applyBorder="1" applyAlignment="1">
      <alignment horizontal="center"/>
    </xf>
    <xf numFmtId="0" fontId="25" fillId="0" borderId="49" xfId="1" applyFont="1" applyBorder="1" applyAlignment="1">
      <alignment horizontal="left"/>
    </xf>
    <xf numFmtId="0" fontId="0" fillId="0" borderId="55" xfId="0" applyBorder="1"/>
    <xf numFmtId="14" fontId="4" fillId="2" borderId="39" xfId="1" applyNumberFormat="1" applyFill="1" applyBorder="1" applyAlignment="1" applyProtection="1">
      <alignment horizontal="left" vertical="center"/>
      <protection locked="0"/>
    </xf>
    <xf numFmtId="14" fontId="4" fillId="2" borderId="15" xfId="1" applyNumberFormat="1" applyFill="1" applyBorder="1" applyAlignment="1" applyProtection="1">
      <alignment horizontal="left" vertical="center"/>
      <protection locked="0"/>
    </xf>
    <xf numFmtId="0" fontId="26" fillId="0" borderId="63" xfId="1" applyFont="1" applyBorder="1" applyAlignment="1">
      <alignment horizontal="center" vertical="center"/>
    </xf>
    <xf numFmtId="0" fontId="0" fillId="0" borderId="52" xfId="0" applyBorder="1" applyAlignment="1">
      <alignment horizontal="center"/>
    </xf>
    <xf numFmtId="0" fontId="4" fillId="0" borderId="45" xfId="1" applyBorder="1" applyAlignment="1" applyProtection="1">
      <alignment horizontal="left"/>
      <protection locked="0"/>
    </xf>
    <xf numFmtId="0" fontId="0" fillId="0" borderId="57" xfId="0" applyBorder="1" applyProtection="1">
      <protection locked="0"/>
    </xf>
    <xf numFmtId="0" fontId="4" fillId="2" borderId="53" xfId="1" applyFill="1" applyBorder="1" applyAlignment="1" applyProtection="1">
      <alignment horizontal="center"/>
      <protection locked="0"/>
    </xf>
    <xf numFmtId="0" fontId="0" fillId="2" borderId="51" xfId="0" applyFill="1" applyBorder="1" applyProtection="1">
      <protection locked="0"/>
    </xf>
    <xf numFmtId="0" fontId="0" fillId="2" borderId="52" xfId="0" applyFill="1" applyBorder="1" applyProtection="1">
      <protection locked="0"/>
    </xf>
    <xf numFmtId="0" fontId="0" fillId="2" borderId="18" xfId="0" applyFill="1" applyBorder="1" applyProtection="1">
      <protection locked="0"/>
    </xf>
    <xf numFmtId="0" fontId="0" fillId="2" borderId="0" xfId="0" applyFill="1" applyProtection="1">
      <protection locked="0"/>
    </xf>
    <xf numFmtId="0" fontId="0" fillId="2" borderId="19" xfId="0" applyFill="1" applyBorder="1" applyProtection="1">
      <protection locked="0"/>
    </xf>
    <xf numFmtId="0" fontId="0" fillId="2" borderId="20" xfId="0" applyFill="1" applyBorder="1" applyProtection="1">
      <protection locked="0"/>
    </xf>
    <xf numFmtId="0" fontId="0" fillId="2" borderId="32" xfId="0" applyFill="1" applyBorder="1" applyProtection="1">
      <protection locked="0"/>
    </xf>
    <xf numFmtId="0" fontId="0" fillId="2" borderId="21" xfId="0" applyFill="1" applyBorder="1" applyProtection="1">
      <protection locked="0"/>
    </xf>
    <xf numFmtId="0" fontId="4" fillId="5" borderId="35" xfId="1" applyFill="1" applyBorder="1" applyAlignment="1" applyProtection="1">
      <alignment horizontal="left"/>
      <protection locked="0"/>
    </xf>
    <xf numFmtId="0" fontId="0" fillId="5" borderId="13" xfId="0" applyFill="1" applyBorder="1" applyProtection="1">
      <protection locked="0"/>
    </xf>
    <xf numFmtId="0" fontId="4" fillId="5" borderId="40" xfId="1" applyFill="1" applyBorder="1" applyAlignment="1" applyProtection="1">
      <alignment horizontal="left"/>
      <protection locked="0"/>
    </xf>
    <xf numFmtId="0" fontId="0" fillId="5" borderId="56" xfId="0" applyFill="1" applyBorder="1" applyProtection="1">
      <protection locked="0"/>
    </xf>
    <xf numFmtId="0" fontId="26" fillId="0" borderId="47" xfId="1" applyFont="1" applyBorder="1" applyAlignment="1">
      <alignment horizontal="center" vertical="center" wrapText="1"/>
    </xf>
    <xf numFmtId="0" fontId="0" fillId="0" borderId="33" xfId="0" applyBorder="1" applyAlignment="1">
      <alignment horizontal="center"/>
    </xf>
    <xf numFmtId="0" fontId="0" fillId="0" borderId="34" xfId="0" applyBorder="1" applyAlignment="1">
      <alignment horizontal="center"/>
    </xf>
    <xf numFmtId="0" fontId="26" fillId="0" borderId="54" xfId="1" applyFont="1" applyBorder="1" applyAlignment="1">
      <alignment horizontal="center" vertical="center"/>
    </xf>
    <xf numFmtId="0" fontId="0" fillId="0" borderId="24" xfId="0" applyBorder="1" applyAlignment="1">
      <alignment horizontal="center"/>
    </xf>
    <xf numFmtId="0" fontId="26" fillId="0" borderId="53" xfId="1" applyFont="1" applyBorder="1" applyAlignment="1">
      <alignment horizontal="center" vertical="center" wrapText="1"/>
    </xf>
    <xf numFmtId="0" fontId="45" fillId="0" borderId="33" xfId="0" applyFont="1" applyBorder="1"/>
    <xf numFmtId="0" fontId="45" fillId="0" borderId="34" xfId="0" applyFont="1" applyBorder="1"/>
    <xf numFmtId="0" fontId="26" fillId="0" borderId="62" xfId="1" applyFont="1" applyBorder="1" applyAlignment="1">
      <alignment horizontal="center" vertical="center" wrapText="1"/>
    </xf>
    <xf numFmtId="0" fontId="26" fillId="0" borderId="51" xfId="1" applyFont="1" applyBorder="1" applyAlignment="1">
      <alignment horizontal="center" vertical="center" wrapText="1"/>
    </xf>
    <xf numFmtId="0" fontId="26" fillId="0" borderId="52" xfId="1" applyFont="1" applyBorder="1" applyAlignment="1">
      <alignment horizontal="center" vertical="center" wrapText="1"/>
    </xf>
    <xf numFmtId="0" fontId="26" fillId="0" borderId="18" xfId="1" applyFont="1" applyBorder="1" applyAlignment="1">
      <alignment horizontal="center" vertical="center" wrapText="1"/>
    </xf>
    <xf numFmtId="0" fontId="26" fillId="0" borderId="0" xfId="1" applyFont="1" applyAlignment="1">
      <alignment horizontal="center" vertical="center" wrapText="1"/>
    </xf>
    <xf numFmtId="0" fontId="26" fillId="0" borderId="19" xfId="1" applyFont="1" applyBorder="1" applyAlignment="1">
      <alignment horizontal="center" vertical="center" wrapText="1"/>
    </xf>
    <xf numFmtId="0" fontId="26" fillId="0" borderId="53" xfId="1" applyFont="1" applyBorder="1" applyAlignment="1">
      <alignment horizontal="center" vertical="center"/>
    </xf>
    <xf numFmtId="0" fontId="0" fillId="0" borderId="33" xfId="0" applyBorder="1"/>
    <xf numFmtId="0" fontId="0" fillId="0" borderId="34" xfId="0" applyBorder="1"/>
    <xf numFmtId="0" fontId="4" fillId="0" borderId="0" xfId="1"/>
    <xf numFmtId="0" fontId="4" fillId="0" borderId="35" xfId="1" applyBorder="1" applyAlignment="1" applyProtection="1">
      <alignment horizontal="left"/>
      <protection locked="0"/>
    </xf>
    <xf numFmtId="0" fontId="0" fillId="0" borderId="13" xfId="0" applyBorder="1" applyProtection="1">
      <protection locked="0"/>
    </xf>
    <xf numFmtId="14" fontId="48" fillId="0" borderId="45" xfId="1" applyNumberFormat="1" applyFont="1" applyBorder="1" applyAlignment="1">
      <alignment vertical="center"/>
    </xf>
    <xf numFmtId="0" fontId="49" fillId="0" borderId="58" xfId="0" applyFont="1" applyBorder="1"/>
    <xf numFmtId="0" fontId="49" fillId="0" borderId="59" xfId="0" applyFont="1" applyBorder="1"/>
    <xf numFmtId="0" fontId="9" fillId="0" borderId="0" xfId="0" applyFont="1" applyAlignment="1">
      <alignment horizontal="left" vertical="center" wrapText="1"/>
    </xf>
    <xf numFmtId="0" fontId="48" fillId="5" borderId="37" xfId="1" applyFont="1" applyFill="1" applyBorder="1" applyAlignment="1">
      <alignment horizontal="left" vertical="center"/>
    </xf>
    <xf numFmtId="0" fontId="49" fillId="5" borderId="9" xfId="0" applyFont="1" applyFill="1" applyBorder="1"/>
    <xf numFmtId="0" fontId="49" fillId="5" borderId="23" xfId="0" applyFont="1" applyFill="1" applyBorder="1"/>
    <xf numFmtId="0" fontId="26" fillId="0" borderId="73" xfId="1" applyFont="1" applyBorder="1" applyAlignment="1">
      <alignment horizontal="center" vertical="center" wrapText="1"/>
    </xf>
    <xf numFmtId="0" fontId="26" fillId="0" borderId="74" xfId="1" applyFont="1" applyBorder="1" applyAlignment="1">
      <alignment horizontal="center" vertical="center" wrapText="1"/>
    </xf>
    <xf numFmtId="49" fontId="7" fillId="6" borderId="73" xfId="0" applyNumberFormat="1" applyFont="1" applyFill="1" applyBorder="1" applyAlignment="1">
      <alignment horizontal="center" vertical="center" wrapText="1"/>
    </xf>
    <xf numFmtId="49" fontId="7" fillId="6" borderId="74" xfId="0" applyNumberFormat="1" applyFont="1" applyFill="1" applyBorder="1" applyAlignment="1">
      <alignment horizontal="center" vertical="center" wrapText="1"/>
    </xf>
    <xf numFmtId="0" fontId="7" fillId="6" borderId="73" xfId="0" applyFont="1" applyFill="1" applyBorder="1" applyAlignment="1">
      <alignment horizontal="center" vertical="center" wrapText="1"/>
    </xf>
    <xf numFmtId="0" fontId="7" fillId="6" borderId="79" xfId="0" applyFont="1" applyFill="1" applyBorder="1" applyAlignment="1">
      <alignment horizontal="center" vertical="center" wrapText="1"/>
    </xf>
    <xf numFmtId="0" fontId="7" fillId="6" borderId="74" xfId="0" applyFont="1" applyFill="1" applyBorder="1" applyAlignment="1">
      <alignment horizontal="center" vertical="center" wrapText="1"/>
    </xf>
    <xf numFmtId="0" fontId="52" fillId="0" borderId="73" xfId="0" applyFont="1" applyBorder="1" applyAlignment="1">
      <alignment horizontal="center"/>
    </xf>
    <xf numFmtId="0" fontId="52" fillId="0" borderId="74" xfId="0" applyFont="1" applyBorder="1" applyAlignment="1">
      <alignment horizontal="center"/>
    </xf>
    <xf numFmtId="0" fontId="2" fillId="0" borderId="62" xfId="2" applyFont="1" applyBorder="1" applyAlignment="1" applyProtection="1">
      <alignment horizontal="left" vertical="top"/>
      <protection locked="0"/>
    </xf>
    <xf numFmtId="0" fontId="2" fillId="0" borderId="51" xfId="2" applyFont="1" applyBorder="1" applyAlignment="1" applyProtection="1">
      <alignment horizontal="left" vertical="top"/>
      <protection locked="0"/>
    </xf>
    <xf numFmtId="0" fontId="2" fillId="0" borderId="52" xfId="2" applyFont="1" applyBorder="1" applyAlignment="1" applyProtection="1">
      <alignment horizontal="left" vertical="top"/>
      <protection locked="0"/>
    </xf>
    <xf numFmtId="0" fontId="2" fillId="0" borderId="18" xfId="2" applyFont="1" applyBorder="1" applyAlignment="1" applyProtection="1">
      <alignment horizontal="left" vertical="top"/>
      <protection locked="0"/>
    </xf>
    <xf numFmtId="0" fontId="2" fillId="0" borderId="0" xfId="2" applyFont="1" applyAlignment="1" applyProtection="1">
      <alignment horizontal="left" vertical="top"/>
      <protection locked="0"/>
    </xf>
    <xf numFmtId="0" fontId="2" fillId="0" borderId="19" xfId="2" applyFont="1" applyBorder="1" applyAlignment="1" applyProtection="1">
      <alignment horizontal="left" vertical="top"/>
      <protection locked="0"/>
    </xf>
    <xf numFmtId="0" fontId="2" fillId="0" borderId="20" xfId="2" applyFont="1" applyBorder="1" applyAlignment="1" applyProtection="1">
      <alignment horizontal="left" vertical="top"/>
      <protection locked="0"/>
    </xf>
    <xf numFmtId="0" fontId="2" fillId="0" borderId="32" xfId="2" applyFont="1" applyBorder="1" applyAlignment="1" applyProtection="1">
      <alignment horizontal="left" vertical="top"/>
      <protection locked="0"/>
    </xf>
    <xf numFmtId="0" fontId="2" fillId="0" borderId="21" xfId="2" applyFont="1" applyBorder="1" applyAlignment="1" applyProtection="1">
      <alignment horizontal="left" vertical="top"/>
      <protection locked="0"/>
    </xf>
    <xf numFmtId="0" fontId="32" fillId="0" borderId="35" xfId="0" applyFont="1" applyBorder="1" applyAlignment="1">
      <alignment horizontal="center" vertical="center" wrapText="1"/>
    </xf>
    <xf numFmtId="0" fontId="9" fillId="0" borderId="0" xfId="0" applyFont="1" applyAlignment="1">
      <alignment horizontal="center" vertical="center" wrapText="1"/>
    </xf>
    <xf numFmtId="0" fontId="26" fillId="0" borderId="38" xfId="2" applyFont="1" applyBorder="1" applyAlignment="1">
      <alignment horizontal="left" vertical="center"/>
    </xf>
    <xf numFmtId="0" fontId="0" fillId="0" borderId="66" xfId="0" applyBorder="1"/>
    <xf numFmtId="14" fontId="2" fillId="0" borderId="51" xfId="2" applyNumberFormat="1" applyFont="1" applyBorder="1" applyAlignment="1" applyProtection="1">
      <alignment horizontal="left" vertical="center"/>
      <protection locked="0"/>
    </xf>
    <xf numFmtId="14" fontId="2" fillId="0" borderId="52" xfId="2" applyNumberFormat="1" applyFont="1" applyBorder="1" applyAlignment="1" applyProtection="1">
      <alignment horizontal="left" vertical="center"/>
      <protection locked="0"/>
    </xf>
  </cellXfs>
  <cellStyles count="5">
    <cellStyle name="Normal" xfId="0" builtinId="0"/>
    <cellStyle name="Normal 2" xfId="1" xr:uid="{00000000-0005-0000-0000-000001000000}"/>
    <cellStyle name="Normal 2 2" xfId="2" xr:uid="{00000000-0005-0000-0000-000002000000}"/>
    <cellStyle name="Normal 2 2 2" xfId="4" xr:uid="{00000000-0005-0000-0000-000004000000}"/>
    <cellStyle name="Normal 2 3" xfId="3" xr:uid="{00000000-0005-0000-0000-000003000000}"/>
  </cellStyles>
  <dxfs count="30">
    <dxf>
      <font>
        <color rgb="FF006100"/>
      </font>
      <fill>
        <patternFill>
          <bgColor rgb="FFC6EFCE"/>
        </patternFill>
      </fill>
    </dxf>
    <dxf>
      <font>
        <color rgb="FF9C0006"/>
      </font>
      <fill>
        <patternFill>
          <bgColor rgb="FFFFC7CE"/>
        </patternFill>
      </fill>
    </dxf>
    <dxf>
      <font>
        <color theme="7" tint="-0.499984740745262"/>
      </font>
      <fill>
        <patternFill>
          <bgColor theme="7"/>
        </patternFill>
      </fill>
    </dxf>
    <dxf>
      <font>
        <color rgb="FF006100"/>
      </font>
      <fill>
        <patternFill>
          <bgColor rgb="FFC6EFCE"/>
        </patternFill>
      </fill>
    </dxf>
    <dxf>
      <font>
        <color rgb="FF9C0006"/>
      </font>
      <fill>
        <patternFill>
          <bgColor rgb="FFFFC7CE"/>
        </patternFill>
      </fill>
    </dxf>
    <dxf>
      <font>
        <color rgb="FF006100"/>
      </font>
      <fill>
        <patternFill>
          <bgColor theme="9" tint="0.79998168889431442"/>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theme="9" tint="0.79998168889431442"/>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F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emf"/></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76200</xdr:rowOff>
    </xdr:from>
    <xdr:to>
      <xdr:col>1</xdr:col>
      <xdr:colOff>326649</xdr:colOff>
      <xdr:row>2</xdr:row>
      <xdr:rowOff>359934</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76200"/>
          <a:ext cx="966729" cy="672354"/>
        </a:xfrm>
        <a:prstGeom prst="rect">
          <a:avLst/>
        </a:prstGeom>
        <a:noFill/>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701934</xdr:colOff>
      <xdr:row>1</xdr:row>
      <xdr:rowOff>289449</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966729" cy="672354"/>
        </a:xfrm>
        <a:prstGeom prst="rect">
          <a:avLst/>
        </a:prstGeom>
        <a:noFill/>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47626</xdr:colOff>
      <xdr:row>0</xdr:row>
      <xdr:rowOff>38100</xdr:rowOff>
    </xdr:from>
    <xdr:to>
      <xdr:col>1</xdr:col>
      <xdr:colOff>286671</xdr:colOff>
      <xdr:row>1</xdr:row>
      <xdr:rowOff>281940</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6" y="38100"/>
          <a:ext cx="903890" cy="628650"/>
        </a:xfrm>
        <a:prstGeom prst="rect">
          <a:avLst/>
        </a:prstGeom>
        <a:noFill/>
        <a:ln>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0</xdr:col>
      <xdr:colOff>1048644</xdr:colOff>
      <xdr:row>1</xdr:row>
      <xdr:rowOff>321834</xdr:rowOff>
    </xdr:to>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66675"/>
          <a:ext cx="966729" cy="672354"/>
        </a:xfrm>
        <a:prstGeom prst="rect">
          <a:avLst/>
        </a:prstGeom>
        <a:noFill/>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1</xdr:col>
      <xdr:colOff>136149</xdr:colOff>
      <xdr:row>1</xdr:row>
      <xdr:rowOff>2429</xdr:rowOff>
    </xdr:to>
    <xdr:pic>
      <xdr:nvPicPr>
        <xdr:cNvPr id="3" name="Picture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66675"/>
          <a:ext cx="966729" cy="672354"/>
        </a:xfrm>
        <a:prstGeom prst="rect">
          <a:avLst/>
        </a:prstGeom>
        <a:noFill/>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29469</xdr:colOff>
      <xdr:row>2</xdr:row>
      <xdr:rowOff>3699</xdr:rowOff>
    </xdr:to>
    <xdr:pic>
      <xdr:nvPicPr>
        <xdr:cNvPr id="2" name="Picture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57150"/>
          <a:ext cx="966729" cy="672354"/>
        </a:xfrm>
        <a:prstGeom prst="rect">
          <a:avLst/>
        </a:prstGeom>
        <a:noFill/>
        <a:ln>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xdr:colOff>
      <xdr:row>0</xdr:row>
      <xdr:rowOff>47625</xdr:rowOff>
    </xdr:from>
    <xdr:to>
      <xdr:col>0</xdr:col>
      <xdr:colOff>1052454</xdr:colOff>
      <xdr:row>1</xdr:row>
      <xdr:rowOff>519954</xdr:rowOff>
    </xdr:to>
    <xdr:pic>
      <xdr:nvPicPr>
        <xdr:cNvPr id="3" name="Picture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 y="47625"/>
          <a:ext cx="966729" cy="672354"/>
        </a:xfrm>
        <a:prstGeom prst="rect">
          <a:avLst/>
        </a:prstGeom>
        <a:noFill/>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104775</xdr:colOff>
      <xdr:row>0</xdr:row>
      <xdr:rowOff>104775</xdr:rowOff>
    </xdr:from>
    <xdr:to>
      <xdr:col>0</xdr:col>
      <xdr:colOff>1071504</xdr:colOff>
      <xdr:row>0</xdr:row>
      <xdr:rowOff>777129</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4775" y="104775"/>
          <a:ext cx="966729" cy="672354"/>
        </a:xfrm>
        <a:prstGeom prst="rect">
          <a:avLst/>
        </a:prstGeom>
        <a:noFill/>
        <a:ln>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95250</xdr:colOff>
      <xdr:row>0</xdr:row>
      <xdr:rowOff>95250</xdr:rowOff>
    </xdr:from>
    <xdr:to>
      <xdr:col>1</xdr:col>
      <xdr:colOff>888624</xdr:colOff>
      <xdr:row>1</xdr:row>
      <xdr:rowOff>524</xdr:rowOff>
    </xdr:to>
    <xdr:pic>
      <xdr:nvPicPr>
        <xdr:cNvPr id="2" name="Picture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0" y="95250"/>
          <a:ext cx="966729" cy="672354"/>
        </a:xfrm>
        <a:prstGeom prst="rect">
          <a:avLst/>
        </a:prstGeom>
        <a:noFill/>
        <a:ln>
          <a:prstDash val="solid"/>
        </a:ln>
      </xdr:spPr>
    </xdr:pic>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26</xdr:row>
          <xdr:rowOff>12699</xdr:rowOff>
        </xdr:from>
        <xdr:to>
          <xdr:col>3</xdr:col>
          <xdr:colOff>12700</xdr:colOff>
          <xdr:row>42</xdr:row>
          <xdr:rowOff>21806</xdr:rowOff>
        </xdr:to>
        <xdr:pic>
          <xdr:nvPicPr>
            <xdr:cNvPr id="2" name="Picture 1">
              <a:extLst>
                <a:ext uri="{FF2B5EF4-FFF2-40B4-BE49-F238E27FC236}">
                  <a16:creationId xmlns:a16="http://schemas.microsoft.com/office/drawing/2014/main" id="{73C9DF58-1C79-CB01-4F41-F1B9CF5AFB98}"/>
                </a:ext>
              </a:extLst>
            </xdr:cNvPr>
            <xdr:cNvPicPr>
              <a:picLocks noChangeAspect="1" noChangeArrowheads="1"/>
              <a:extLst>
                <a:ext uri="{84589F7E-364E-4C9E-8A38-B11213B215E9}">
                  <a14:cameraTool cellRange="'Statement of Approval'!$I$7" spid="_x0000_s17767"/>
                </a:ext>
              </a:extLst>
            </xdr:cNvPicPr>
          </xdr:nvPicPr>
          <xdr:blipFill>
            <a:blip xmlns:r="http://schemas.openxmlformats.org/officeDocument/2006/relationships" r:embed="rId1"/>
            <a:srcRect/>
            <a:stretch>
              <a:fillRect/>
            </a:stretch>
          </xdr:blipFill>
          <xdr:spPr bwMode="auto">
            <a:xfrm>
              <a:off x="825500" y="5295899"/>
              <a:ext cx="6502400" cy="326030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editAs="oneCell">
    <xdr:from>
      <xdr:col>0</xdr:col>
      <xdr:colOff>22778</xdr:colOff>
      <xdr:row>0</xdr:row>
      <xdr:rowOff>49696</xdr:rowOff>
    </xdr:from>
    <xdr:to>
      <xdr:col>1</xdr:col>
      <xdr:colOff>58383</xdr:colOff>
      <xdr:row>1</xdr:row>
      <xdr:rowOff>98728</xdr:rowOff>
    </xdr:to>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778" y="49696"/>
          <a:ext cx="774082" cy="538369"/>
        </a:xfrm>
        <a:prstGeom prst="rect">
          <a:avLst/>
        </a:prstGeom>
        <a:noFill/>
        <a:ln>
          <a:prstDash val="solid"/>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E38"/>
  <sheetViews>
    <sheetView showGridLines="0" tabSelected="1" workbookViewId="0">
      <selection activeCell="D21" sqref="D21"/>
    </sheetView>
  </sheetViews>
  <sheetFormatPr defaultColWidth="8.625" defaultRowHeight="15.75" x14ac:dyDescent="0.25"/>
  <cols>
    <col min="3" max="3" width="18.125" customWidth="1"/>
    <col min="4" max="4" width="94.625" customWidth="1"/>
  </cols>
  <sheetData>
    <row r="3" spans="3:4" ht="36.950000000000003" customHeight="1" x14ac:dyDescent="0.55000000000000004">
      <c r="C3" s="97" t="s">
        <v>279</v>
      </c>
      <c r="D3" s="98"/>
    </row>
    <row r="5" spans="3:4" ht="21" customHeight="1" x14ac:dyDescent="0.35">
      <c r="C5" s="99" t="s">
        <v>2043</v>
      </c>
      <c r="D5" s="100"/>
    </row>
    <row r="6" spans="3:4" x14ac:dyDescent="0.25">
      <c r="C6" s="101" t="s">
        <v>280</v>
      </c>
      <c r="D6" s="102" t="s">
        <v>2201</v>
      </c>
    </row>
    <row r="7" spans="3:4" x14ac:dyDescent="0.25">
      <c r="C7" s="101" t="s">
        <v>281</v>
      </c>
      <c r="D7" s="103">
        <v>46294</v>
      </c>
    </row>
    <row r="8" spans="3:4" x14ac:dyDescent="0.25">
      <c r="D8" s="104"/>
    </row>
    <row r="9" spans="3:4" x14ac:dyDescent="0.25">
      <c r="C9" s="101" t="s">
        <v>282</v>
      </c>
      <c r="D9" s="104" t="s">
        <v>2124</v>
      </c>
    </row>
    <row r="10" spans="3:4" x14ac:dyDescent="0.25">
      <c r="C10" s="101" t="s">
        <v>283</v>
      </c>
      <c r="D10" s="104" t="s">
        <v>2202</v>
      </c>
    </row>
    <row r="12" spans="3:4" x14ac:dyDescent="0.25">
      <c r="D12" s="101" t="s">
        <v>284</v>
      </c>
    </row>
    <row r="13" spans="3:4" ht="255" customHeight="1" x14ac:dyDescent="0.25">
      <c r="D13" s="105" t="s">
        <v>285</v>
      </c>
    </row>
    <row r="15" spans="3:4" x14ac:dyDescent="0.25">
      <c r="D15" s="1" t="s">
        <v>286</v>
      </c>
    </row>
    <row r="16" spans="3:4" ht="17.100000000000001" customHeight="1" x14ac:dyDescent="0.25">
      <c r="C16" s="106">
        <v>1</v>
      </c>
      <c r="D16" s="107" t="s">
        <v>287</v>
      </c>
    </row>
    <row r="17" spans="3:5" ht="33.950000000000003" customHeight="1" x14ac:dyDescent="0.25">
      <c r="C17" s="106">
        <v>2</v>
      </c>
      <c r="D17" s="107" t="s">
        <v>288</v>
      </c>
    </row>
    <row r="18" spans="3:5" ht="33.950000000000003" customHeight="1" x14ac:dyDescent="0.25">
      <c r="C18" s="106">
        <v>3</v>
      </c>
      <c r="D18" s="107" t="s">
        <v>2125</v>
      </c>
    </row>
    <row r="19" spans="3:5" ht="17.100000000000001" customHeight="1" x14ac:dyDescent="0.25">
      <c r="C19" s="106">
        <v>4</v>
      </c>
      <c r="D19" s="108" t="s">
        <v>289</v>
      </c>
      <c r="E19" s="108"/>
    </row>
    <row r="20" spans="3:5" ht="17.100000000000001" customHeight="1" x14ac:dyDescent="0.25">
      <c r="C20" s="106">
        <v>5</v>
      </c>
      <c r="D20" s="107" t="s">
        <v>290</v>
      </c>
    </row>
    <row r="21" spans="3:5" ht="33.950000000000003" customHeight="1" x14ac:dyDescent="0.25">
      <c r="C21" s="106">
        <v>6</v>
      </c>
      <c r="D21" s="107" t="s">
        <v>291</v>
      </c>
    </row>
    <row r="22" spans="3:5" ht="33.950000000000003" customHeight="1" x14ac:dyDescent="0.25">
      <c r="C22" s="106">
        <v>7</v>
      </c>
      <c r="D22" s="107" t="s">
        <v>292</v>
      </c>
    </row>
    <row r="24" spans="3:5" x14ac:dyDescent="0.25">
      <c r="D24" s="1" t="s">
        <v>293</v>
      </c>
    </row>
    <row r="25" spans="3:5" ht="36" customHeight="1" x14ac:dyDescent="0.25">
      <c r="C25" s="106">
        <v>8</v>
      </c>
      <c r="D25" s="105" t="s">
        <v>2126</v>
      </c>
    </row>
    <row r="26" spans="3:5" ht="33.950000000000003" customHeight="1" x14ac:dyDescent="0.25">
      <c r="C26" s="106">
        <v>9</v>
      </c>
      <c r="D26" s="108" t="s">
        <v>294</v>
      </c>
    </row>
    <row r="27" spans="3:5" x14ac:dyDescent="0.25">
      <c r="C27" s="106">
        <v>10</v>
      </c>
      <c r="D27" t="s">
        <v>295</v>
      </c>
    </row>
    <row r="30" spans="3:5" x14ac:dyDescent="0.25">
      <c r="C30" s="101" t="s">
        <v>296</v>
      </c>
      <c r="D30" s="1"/>
    </row>
    <row r="31" spans="3:5" x14ac:dyDescent="0.25">
      <c r="C31" s="329" t="s">
        <v>2201</v>
      </c>
      <c r="D31" t="s">
        <v>2202</v>
      </c>
    </row>
    <row r="32" spans="3:5" x14ac:dyDescent="0.25">
      <c r="C32" s="329" t="s">
        <v>2183</v>
      </c>
      <c r="D32" t="s">
        <v>2184</v>
      </c>
    </row>
    <row r="33" spans="3:4" x14ac:dyDescent="0.25">
      <c r="C33" s="329" t="s">
        <v>2181</v>
      </c>
      <c r="D33" t="s">
        <v>2182</v>
      </c>
    </row>
    <row r="34" spans="3:4" x14ac:dyDescent="0.25">
      <c r="C34" s="329" t="s">
        <v>2114</v>
      </c>
      <c r="D34" s="328" t="s">
        <v>2180</v>
      </c>
    </row>
    <row r="35" spans="3:4" x14ac:dyDescent="0.25">
      <c r="C35" s="329" t="s">
        <v>2112</v>
      </c>
      <c r="D35" s="328" t="s">
        <v>2113</v>
      </c>
    </row>
    <row r="36" spans="3:4" x14ac:dyDescent="0.25">
      <c r="C36" s="329" t="s">
        <v>297</v>
      </c>
      <c r="D36" s="328" t="s">
        <v>298</v>
      </c>
    </row>
    <row r="38" spans="3:4" x14ac:dyDescent="0.25">
      <c r="C38" s="109" t="s">
        <v>299</v>
      </c>
      <c r="D38" t="s">
        <v>2203</v>
      </c>
    </row>
  </sheetData>
  <sheetProtection algorithmName="SHA-512" hashValue="tmbgIZ5tLmKQX3NTnMk0m9xHyezXQduLEAKrdfHIgvGuf4A1/6jVkpeE4WdPMxGp7fQIj/I2SBwwLmEOgnRrwA==" saltValue="lvRHpqz1l/ULudpRAFtVTg==" spinCount="100000" sheet="1" objects="1" scenarios="1"/>
  <pageMargins left="0.7" right="0.7" top="0.75" bottom="0.75" header="0.3" footer="0.3"/>
  <pageSetup paperSize="9" orientation="portrait"/>
  <headerFooter>
    <oddHeader>&amp;L&amp;"Aptos"&amp;10&amp;K000000 TLP: GREEN&amp;1#_x000D_&amp;"Calibri"&amp;12&amp;K000000&amp;"Calibri"&amp;12&amp;K000000&amp;"Calibri"&amp;12&amp;K000000&amp;"Aptos"&amp;1 &amp;K000000 TLP: GREEN#_x000D_</oddHeader>
    <oddFooter>&amp;C&amp;"Arial"&amp;9 &amp;K000000_x000D_# Internal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W48"/>
  <sheetViews>
    <sheetView showGridLines="0" zoomScaleNormal="100" workbookViewId="0">
      <selection activeCell="D4" sqref="D4"/>
    </sheetView>
  </sheetViews>
  <sheetFormatPr defaultColWidth="28.125" defaultRowHeight="15.75" customHeight="1" x14ac:dyDescent="0.25"/>
  <cols>
    <col min="1" max="1" width="3.125" customWidth="1"/>
    <col min="2" max="2" width="11.5" style="3" customWidth="1"/>
    <col min="4" max="4" width="54.625" customWidth="1"/>
    <col min="5" max="5" width="55.125" customWidth="1"/>
    <col min="6" max="6" width="27.625" hidden="1" customWidth="1"/>
    <col min="7" max="7" width="8" style="3" bestFit="1" customWidth="1"/>
    <col min="8" max="8" width="7.875" style="3" bestFit="1" customWidth="1"/>
    <col min="9" max="9" width="7.5" style="3" bestFit="1" customWidth="1"/>
    <col min="10" max="10" width="10.5" style="3" bestFit="1" customWidth="1"/>
    <col min="11" max="11" width="17.5" style="3" customWidth="1"/>
    <col min="12" max="12" width="11" style="3" bestFit="1" customWidth="1"/>
    <col min="13" max="13" width="4.625" customWidth="1"/>
    <col min="15" max="15" width="8" customWidth="1"/>
    <col min="16" max="16" width="13.125" hidden="1" customWidth="1"/>
    <col min="17" max="17" width="10.875" hidden="1" customWidth="1"/>
    <col min="18" max="18" width="14" hidden="1" customWidth="1"/>
    <col min="19" max="19" width="10" hidden="1" customWidth="1"/>
    <col min="20" max="23" width="13" hidden="1" customWidth="1"/>
  </cols>
  <sheetData>
    <row r="1" spans="2:21" ht="30.75" customHeight="1" x14ac:dyDescent="0.35">
      <c r="B1" s="391" t="s">
        <v>300</v>
      </c>
      <c r="C1" s="390"/>
      <c r="D1" s="390"/>
      <c r="F1" s="3"/>
      <c r="L1"/>
      <c r="M1" s="110" t="s">
        <v>301</v>
      </c>
      <c r="N1" s="1" t="str">
        <f>IF(AND(_xlfn.CONCAT(M4:M60,E4:E60)="",ISERROR(FIND("&lt;",_xlfn.CONCAT(D5:D7,D9,D4,D21:D24)))),"VALID","INVALID")</f>
        <v>INVALID</v>
      </c>
    </row>
    <row r="2" spans="2:21" ht="49.5" customHeight="1" x14ac:dyDescent="0.35">
      <c r="B2" s="22"/>
      <c r="C2" s="395" t="s">
        <v>302</v>
      </c>
      <c r="D2" s="390"/>
      <c r="F2" s="3"/>
      <c r="L2"/>
      <c r="M2" s="35" t="s">
        <v>303</v>
      </c>
      <c r="N2" s="17" t="str">
        <f>'Statement of Approval'!$O$2</f>
        <v>INVALID</v>
      </c>
    </row>
    <row r="3" spans="2:21" ht="15.75" customHeight="1" x14ac:dyDescent="0.25">
      <c r="G3" s="95"/>
      <c r="H3" s="95"/>
      <c r="I3" s="95"/>
      <c r="J3" s="95"/>
      <c r="K3" s="95"/>
      <c r="L3" s="95"/>
      <c r="P3" s="389" t="s">
        <v>304</v>
      </c>
      <c r="Q3" s="390"/>
      <c r="R3" s="390"/>
      <c r="S3" s="390"/>
      <c r="T3" s="390"/>
      <c r="U3" s="390"/>
    </row>
    <row r="4" spans="2:21" ht="31.35" customHeight="1" x14ac:dyDescent="0.25">
      <c r="C4" s="56" t="s">
        <v>305</v>
      </c>
      <c r="D4" s="96" t="s">
        <v>306</v>
      </c>
      <c r="E4" s="18" t="str">
        <f>IF(ISBLANK(D4),"&lt;---- This field cannot be left empty!","")</f>
        <v/>
      </c>
      <c r="F4" s="45" t="str">
        <f>IF(COUNTIF('OCPP family members'!$B$13:$B$41,'Hardware Feature set'!C4)&gt;0, "Member", "")</f>
        <v/>
      </c>
      <c r="G4" s="392" t="s">
        <v>307</v>
      </c>
      <c r="H4" s="393"/>
      <c r="I4" s="393"/>
      <c r="J4" s="393"/>
      <c r="K4" s="393"/>
      <c r="L4" s="394"/>
      <c r="P4" t="s">
        <v>308</v>
      </c>
      <c r="Q4" t="s">
        <v>309</v>
      </c>
      <c r="R4" t="s">
        <v>310</v>
      </c>
      <c r="S4" t="s">
        <v>311</v>
      </c>
      <c r="T4" t="s">
        <v>312</v>
      </c>
      <c r="U4" t="s">
        <v>313</v>
      </c>
    </row>
    <row r="5" spans="2:21" ht="17.100000000000001" customHeight="1" x14ac:dyDescent="0.25">
      <c r="C5" s="111" t="s">
        <v>314</v>
      </c>
      <c r="D5" s="34" t="s">
        <v>315</v>
      </c>
      <c r="E5" s="18" t="str">
        <f>IF(ISBLANK(D5),"&lt;---- This field cannot be left empty!",IF(AND(D5 &lt;&gt; "Charging Station", D5 &lt;&gt; "Charging Station Software Stack"),"&lt;---- This field must be filled from the drop-down menu",""))</f>
        <v>&lt;---- This field must be filled from the drop-down menu</v>
      </c>
      <c r="F5" s="45" t="str">
        <f>IF(COUNTIF('OCPP family members'!$B$13:$B$41,'Hardware Feature set'!C5)&gt;0, "Member", "")</f>
        <v/>
      </c>
      <c r="G5" s="56" t="s">
        <v>316</v>
      </c>
      <c r="H5" s="42" t="s">
        <v>317</v>
      </c>
      <c r="I5" s="42" t="s">
        <v>318</v>
      </c>
      <c r="J5" s="42" t="s">
        <v>319</v>
      </c>
      <c r="K5" s="42" t="s">
        <v>320</v>
      </c>
      <c r="L5" s="47" t="s">
        <v>321</v>
      </c>
    </row>
    <row r="6" spans="2:21" ht="20.100000000000001" customHeight="1" x14ac:dyDescent="0.3">
      <c r="C6" s="112" t="s">
        <v>322</v>
      </c>
      <c r="D6" s="57" t="s">
        <v>323</v>
      </c>
      <c r="E6" s="18" t="str">
        <f>IF(ISBLANK(D6),"&lt;---- This field cannot be left empty!",IF(AND(SUMPRODUCT(--ISNUMBER(MATCH("wInductive", EVSE_ConnectorTypes, 0))+--ISNUMBER(MATCH("wResonant", EVSE_ConnectorTypes, 0))) &lt;&gt; 0, D6 &lt;&gt; "Wireless Charging Station"),"&lt;---- This field must be set to Wireles Charging Station",IF(AND(NOT(ISERROR(FIND(MD!Q34,_xlfn.CONCAT(K:K)))), D6 &lt;&gt; "Battery Swapping Charging Station"),"&lt;---- This field must be set to Battery Swapping Charging Station",IF(AND(D6 &lt;&gt; "N/A", D6 &lt;&gt; "Mode 1/2-only Charging Station", D6 &lt;&gt; "Wireless Charging Station", D6 &lt;&gt; "Battery Swapping Charging Station"), "&lt;---- This field must be filled from the drop-down menu", ""))))</f>
        <v>&lt;---- This field must be filled from the drop-down menu</v>
      </c>
      <c r="F6" s="45" t="str">
        <f>IF(COUNTIF('OCPP family members'!$B$13:$B$41,'Hardware Feature set'!C6)&gt;0, "Member", "")</f>
        <v/>
      </c>
      <c r="G6" s="313">
        <v>1</v>
      </c>
      <c r="H6" s="314"/>
      <c r="I6" s="314"/>
      <c r="J6" s="314"/>
      <c r="K6" s="314"/>
      <c r="L6" s="315" t="str">
        <f>IF(OR(LEFT(K6,1)= "s",LEFT(K6,1)="O"), "Detachable Cable",IF(LEFT(K6,1)="c", "Fixed Cable",IF(OR(LEFT(K6,1)="w",LEFT(K6,1)="P"),"Other","")))</f>
        <v/>
      </c>
      <c r="M6" s="113" t="str">
        <f t="shared" ref="M6:M42" si="0">IF(P6&lt;&gt;"",P6,IF(Q6&lt;&gt;"",Q6,IF(R6&lt;&gt;"",R6,IF(S6&lt;&gt;"",S6,IF(T6&lt;&gt;"",T6,U6)))))</f>
        <v>Please specify Current Type</v>
      </c>
      <c r="P6" t="str">
        <f>IF(AND($H6=MD!$E$3,OR($D$5&lt;&gt;"Charging Station Software Stack",COUNTA($G$7:$K$42)&gt;0)),"AC &amp; DC is only allowed for a single-EVSE Software Stack",IF(AND(ISBLANK(G5),ISNUMBER(G6)),"Empty lines are not allowed in this table",IF(AND(NOT(ISNUMBER(G5)),G6&lt;&gt;1),"First EVSE must be EVSE1",IF(AND(ISNUMBER(G5),NOT(OR(G6=G5,G6-1=G5))),"Next EVSE must be same id or id + 1",""))))</f>
        <v/>
      </c>
      <c r="Q6" t="str">
        <f t="shared" ref="Q6:Q42" si="1">IF(K6&lt;&gt;"bBatterySlot","",IF(NOT(ISBLANK(H6)),"Battery Slot cannot have a Current Type",IF(NOT(ISBLANK(I6)),"Battery Slot cannot have Phases",IF(L6&lt;&gt;"","Battery Slot cannot have a Cable Type",""))))</f>
        <v/>
      </c>
      <c r="R6" t="str">
        <f>IF(K6="bBatterySlot","",IF(ISBLANK(H6),"Please specify Current Type",IF(AND(G5=G6,H5&lt;&gt;H6),"Current Type must be the same for all connectors of an EVSE","")))</f>
        <v>Please specify Current Type</v>
      </c>
      <c r="S6" t="str">
        <f>IF(AND(G6=G5,J6&lt;&gt;IF(ISNUMBER(J5),J5+1,1)),_xlfn.CONCAT("Connector id on same EVSE must be ",IF(ISNUMBER(J5),J5+1,1)),IF(AND(G6&lt;&gt;G5,J6&lt;&gt;1),"First Connector of an EVSE must be 1",""))</f>
        <v>First Connector of an EVSE must be 1</v>
      </c>
      <c r="T6" t="str">
        <f>IF(K6="bBatterySlot","",IF(AND(H6="DC",NOT(ISBLANK(I6))),"You cannot specify number of phases for DC!",IF(AND(OR(H6=MD!$E$3,H6="AC"),ISBLANK(I6)),"You Must specify number of phases for AC!",IF(ISBLANK(K6),"Please fill in Connector Type",IF(AND(SUMPRODUCT(--ISNUMBER(MATCH("wInductive",EVSE_ConnectorTypes,0))+--ISNUMBER(MATCH("wResonant",EVSE_ConnectorTypes,0)))=0,D6="Wireless Charging Station"),"You must have at least one connector of type wInductive or wResonant",IF(ISBLANK(L6),"Please fill in Cable Type",IF(ISERROR(MATCH(H6,MD_CurrentTypes,0)),"Current must be filled from the drop-down menu",IF(AND(H6="AC",I6&lt;&gt;1,I6&lt;&gt;"1 &amp; 3",I6&lt;&gt;"1 &amp; 2 &amp; 3",I6&lt;&gt;3),"&lt;---- Phases must be filled from the drop-down menu",""))))))))</f>
        <v>Please fill in Connector Type</v>
      </c>
      <c r="U6" t="str">
        <f>IF(ISERROR(MATCH(K6,MD_ConnectorTypes,0)),"Type must be filled from the drop-down menu","")</f>
        <v>Type must be filled from the drop-down menu</v>
      </c>
    </row>
    <row r="7" spans="2:21" ht="20.100000000000001" customHeight="1" x14ac:dyDescent="0.3">
      <c r="C7" s="111" t="s">
        <v>324</v>
      </c>
      <c r="D7" s="34" t="s">
        <v>325</v>
      </c>
      <c r="E7" s="18" t="str">
        <f>IF(ISBLANK(D7),"&lt;---- This field cannot be left empty!","")</f>
        <v/>
      </c>
      <c r="F7" s="45" t="str">
        <f>IF(COUNTIF('OCPP family members'!$B$13:$B$41,'Hardware Feature set'!C7)&gt;0, "Member", "")</f>
        <v/>
      </c>
      <c r="G7" s="316"/>
      <c r="H7" s="317"/>
      <c r="I7" s="317"/>
      <c r="J7" s="317"/>
      <c r="K7" s="317"/>
      <c r="L7" s="318" t="str">
        <f t="shared" ref="L7:L42" si="2">IF(OR(LEFT(K7,1)= "s",LEFT(K7,1)="O"), "Detachable Cable",IF(LEFT(K7,1)="c", "Fixed Cable",IF(OR(LEFT(K7,1)="w",LEFT(K7,1)="P"),"Other","")))</f>
        <v/>
      </c>
      <c r="M7" s="113" t="str">
        <f t="shared" si="0"/>
        <v/>
      </c>
      <c r="P7" t="str">
        <f t="shared" ref="P7:P42" si="3">IF(_xlfn.CONCAT(G7:L7)="","",IF(AND(ISBLANK(G6),ISNUMBER(G7)),"Empty lines are not allowed in this table",IF(AND(NOT(ISNUMBER(G6)),G7&lt;&gt;1),"First EVSE must be EVSE1",IF(AND(ISNUMBER(G6),NOT(OR(G7=G6,G7-1=G6))),"Next EVSE must be same id or id + 1",""))))</f>
        <v/>
      </c>
      <c r="Q7" t="str">
        <f t="shared" si="1"/>
        <v/>
      </c>
      <c r="R7" t="str">
        <f t="shared" ref="R7:R42" si="4">IF(OR(K7="bBatterySlot",_xlfn.CONCAT(G7:L7)=""),"",IF(ISBLANK(H7),"Please specify Current Type",IF(AND(G6=G7,H6&lt;&gt;H7),"Current Type must be the same for all connectors of an EVSE","")))</f>
        <v/>
      </c>
      <c r="S7" t="str">
        <f t="shared" ref="S7:S42" si="5">IF(_xlfn.CONCAT(G7:L7)="","",IF(AND(G7=G6,J7&lt;&gt;IF(ISNUMBER(J6),J6+1,1)),_xlfn.CONCAT("Connector id on same EVSE must be ",IF(ISNUMBER(J6),J6+1,1)),IF(AND(G7&lt;&gt;G6,J7&lt;&gt;1),"First Connector of an EVSE must be 1","")))</f>
        <v/>
      </c>
      <c r="T7" t="str">
        <f t="shared" ref="T7:T42" si="6">IF(OR(K7="bBatterySlot",_xlfn.CONCAT(G7:L7)=""),"",IF(AND(H7="DC",NOT(ISBLANK(I7))),"You cannot specify number of phases for DC!",IF(AND(H7="AC",ISBLANK(I7)),"You Must specify number of phases for AC!",IF(ISBLANK(K7),"Please fill in Connector Type",IF(ISBLANK(L7),"Please fill in Cable Type",IF(ISERROR(MATCH(H7,MD_CurrentTypes,0)),"Current must be filled from the drop-down menu",IF(AND(H7="AC",I7&lt;&gt;1,I7&lt;&gt;"1 &amp; 3",I7&lt;&gt;"1 &amp; 2 &amp; 3",I7&lt;&gt;3),"&lt;---- Phases must be filled from the drop-down menu","")))))))</f>
        <v/>
      </c>
      <c r="U7" t="str">
        <f t="shared" ref="U7:U42" si="7">IF(_xlfn.CONCAT(G7:L7)="","",IF(ISERROR(MATCH(K7,MD_ConnectorTypes,0)),"Type must be filled from the drop-down menu",""))</f>
        <v/>
      </c>
    </row>
    <row r="8" spans="2:21" ht="20.100000000000001" customHeight="1" x14ac:dyDescent="0.3">
      <c r="C8" s="112" t="s">
        <v>326</v>
      </c>
      <c r="D8" s="57" t="s">
        <v>327</v>
      </c>
      <c r="E8" s="18" t="str">
        <f t="array" ref="E8">IF(SUMPRODUCT((LEFT('OCPP family members'!F7:M7,1)&lt;&gt;"&lt;")*('OCPP family members'!F7:M7&lt;&gt;""))&gt;0, IF(OR(AND(LEFT(D8,1)="&lt;", RIGHT(D8,1)="&gt;"), D8=""), "&lt;---- This field must be filled when family members are defined", ""), "")</f>
        <v/>
      </c>
      <c r="F8" s="45" t="str">
        <f>IF(COUNTIF('OCPP family members'!$B$13:$B$41,'Hardware Feature set'!C8)&gt;0, "Member", "")</f>
        <v/>
      </c>
      <c r="G8" s="313"/>
      <c r="H8" s="314"/>
      <c r="I8" s="314"/>
      <c r="J8" s="314"/>
      <c r="K8" s="314"/>
      <c r="L8" s="315" t="str">
        <f t="shared" si="2"/>
        <v/>
      </c>
      <c r="M8" s="113" t="str">
        <f t="shared" si="0"/>
        <v/>
      </c>
      <c r="P8" t="str">
        <f t="shared" si="3"/>
        <v/>
      </c>
      <c r="Q8" t="str">
        <f t="shared" si="1"/>
        <v/>
      </c>
      <c r="R8" t="str">
        <f t="shared" si="4"/>
        <v/>
      </c>
      <c r="S8" t="str">
        <f t="shared" si="5"/>
        <v/>
      </c>
      <c r="T8" t="str">
        <f t="shared" si="6"/>
        <v/>
      </c>
      <c r="U8" t="str">
        <f t="shared" si="7"/>
        <v/>
      </c>
    </row>
    <row r="9" spans="2:21" ht="18.95" customHeight="1" x14ac:dyDescent="0.3">
      <c r="C9" s="114" t="str">
        <f>IF(D5="Charging Station","Firmware Version","OCPP Software Version")</f>
        <v>OCPP Software Version</v>
      </c>
      <c r="D9" s="58" t="s">
        <v>328</v>
      </c>
      <c r="E9" s="18" t="str">
        <f>IF(ISBLANK(D9),"&lt;---- This field cannot be left empty!",IF(D9="&lt;type software version of the product&gt;","",IF(ISERROR(VLOOKUP("firmwareVersion",'HIDDEN Testrun Results'!A:B,2,FALSE)),"",IF(VLOOKUP("firmwareVersion",'HIDDEN Testrun Results'!A:B,2,FALSE)=D9,"","&lt;---- Version does not match firmware version from log files"))))</f>
        <v/>
      </c>
      <c r="F9" s="45" t="str">
        <f>IF(COUNTIF('OCPP family members'!$B$13:$B$41,'Hardware Feature set'!C9)&gt;0, "Member", "")</f>
        <v/>
      </c>
      <c r="G9" s="316"/>
      <c r="H9" s="317"/>
      <c r="I9" s="317"/>
      <c r="J9" s="317"/>
      <c r="K9" s="317"/>
      <c r="L9" s="318" t="str">
        <f t="shared" si="2"/>
        <v/>
      </c>
      <c r="M9" s="113" t="str">
        <f t="shared" si="0"/>
        <v/>
      </c>
      <c r="P9" t="str">
        <f t="shared" si="3"/>
        <v/>
      </c>
      <c r="Q9" t="str">
        <f t="shared" si="1"/>
        <v/>
      </c>
      <c r="R9" t="str">
        <f t="shared" si="4"/>
        <v/>
      </c>
      <c r="S9" t="str">
        <f t="shared" si="5"/>
        <v/>
      </c>
      <c r="T9" t="str">
        <f t="shared" si="6"/>
        <v/>
      </c>
      <c r="U9" t="str">
        <f t="shared" si="7"/>
        <v/>
      </c>
    </row>
    <row r="10" spans="2:21" ht="18.95" customHeight="1" x14ac:dyDescent="0.3">
      <c r="E10" s="13"/>
      <c r="F10" s="45" t="str">
        <f>IF(COUNTIF('OCPP family members'!$B$13:$B$41,'Hardware Feature set'!C10)&gt;0, "Member", "")</f>
        <v/>
      </c>
      <c r="G10" s="313"/>
      <c r="H10" s="314"/>
      <c r="I10" s="314"/>
      <c r="J10" s="314"/>
      <c r="K10" s="314"/>
      <c r="L10" s="315" t="str">
        <f t="shared" si="2"/>
        <v/>
      </c>
      <c r="M10" s="113" t="str">
        <f t="shared" si="0"/>
        <v/>
      </c>
      <c r="P10" t="str">
        <f t="shared" si="3"/>
        <v/>
      </c>
      <c r="Q10" t="str">
        <f t="shared" si="1"/>
        <v/>
      </c>
      <c r="R10" t="str">
        <f t="shared" si="4"/>
        <v/>
      </c>
      <c r="S10" t="str">
        <f t="shared" si="5"/>
        <v/>
      </c>
      <c r="T10" t="str">
        <f t="shared" si="6"/>
        <v/>
      </c>
      <c r="U10" t="str">
        <f t="shared" si="7"/>
        <v/>
      </c>
    </row>
    <row r="11" spans="2:21" ht="15.75" customHeight="1" x14ac:dyDescent="0.3">
      <c r="C11" s="2"/>
      <c r="E11" s="13"/>
      <c r="F11" s="45" t="str">
        <f>IF(COUNTIF('OCPP family members'!$B$13:$B$41,'Hardware Feature set'!C11)&gt;0, "Member", "")</f>
        <v/>
      </c>
      <c r="G11" s="316"/>
      <c r="H11" s="317"/>
      <c r="I11" s="317"/>
      <c r="J11" s="317"/>
      <c r="K11" s="317"/>
      <c r="L11" s="318" t="str">
        <f t="shared" si="2"/>
        <v/>
      </c>
      <c r="M11" s="113" t="str">
        <f t="shared" si="0"/>
        <v/>
      </c>
      <c r="N11" s="115"/>
      <c r="O11" s="115"/>
      <c r="P11" t="str">
        <f t="shared" si="3"/>
        <v/>
      </c>
      <c r="Q11" t="str">
        <f t="shared" si="1"/>
        <v/>
      </c>
      <c r="R11" t="str">
        <f t="shared" si="4"/>
        <v/>
      </c>
      <c r="S11" t="str">
        <f t="shared" si="5"/>
        <v/>
      </c>
      <c r="T11" t="str">
        <f t="shared" si="6"/>
        <v/>
      </c>
      <c r="U11" t="str">
        <f t="shared" si="7"/>
        <v/>
      </c>
    </row>
    <row r="12" spans="2:21" ht="18.95" customHeight="1" x14ac:dyDescent="0.3">
      <c r="B12" s="116" t="s">
        <v>329</v>
      </c>
      <c r="C12" s="42" t="s">
        <v>0</v>
      </c>
      <c r="D12" s="47" t="s">
        <v>330</v>
      </c>
      <c r="E12" s="13"/>
      <c r="F12" s="45" t="str">
        <f>IF(COUNTIF('OCPP family members'!$B$13:$B$41,'Hardware Feature set'!C12)&gt;0, "Member", "")</f>
        <v/>
      </c>
      <c r="G12" s="313"/>
      <c r="H12" s="314"/>
      <c r="I12" s="314"/>
      <c r="J12" s="314"/>
      <c r="K12" s="314"/>
      <c r="L12" s="315" t="str">
        <f t="shared" si="2"/>
        <v/>
      </c>
      <c r="M12" s="113" t="str">
        <f t="shared" si="0"/>
        <v/>
      </c>
      <c r="P12" t="str">
        <f t="shared" si="3"/>
        <v/>
      </c>
      <c r="Q12" t="str">
        <f t="shared" si="1"/>
        <v/>
      </c>
      <c r="R12" t="str">
        <f t="shared" si="4"/>
        <v/>
      </c>
      <c r="S12" t="str">
        <f t="shared" si="5"/>
        <v/>
      </c>
      <c r="T12" t="str">
        <f t="shared" si="6"/>
        <v/>
      </c>
      <c r="U12" t="str">
        <f t="shared" si="7"/>
        <v/>
      </c>
    </row>
    <row r="13" spans="2:21" ht="18.95" customHeight="1" x14ac:dyDescent="0.3">
      <c r="B13" s="117" t="s">
        <v>331</v>
      </c>
      <c r="C13" s="48" t="s">
        <v>332</v>
      </c>
      <c r="D13" s="118" t="str">
        <f>IF(NOT(ISERROR(VLOOKUP("Detachable Cable",L:L,1,FALSE))),"Yes","No")</f>
        <v>No</v>
      </c>
      <c r="E13" s="13"/>
      <c r="F13" s="45" t="str">
        <f>IF(COUNTIF('OCPP family members'!$B$13:$B$41,'Hardware Feature set'!B13)&gt;0, "Member", "")</f>
        <v/>
      </c>
      <c r="G13" s="316"/>
      <c r="H13" s="317"/>
      <c r="I13" s="317"/>
      <c r="J13" s="317"/>
      <c r="K13" s="317"/>
      <c r="L13" s="318" t="str">
        <f t="shared" si="2"/>
        <v/>
      </c>
      <c r="M13" s="113" t="str">
        <f t="shared" si="0"/>
        <v/>
      </c>
      <c r="P13" t="str">
        <f t="shared" si="3"/>
        <v/>
      </c>
      <c r="Q13" t="str">
        <f t="shared" si="1"/>
        <v/>
      </c>
      <c r="R13" t="str">
        <f t="shared" si="4"/>
        <v/>
      </c>
      <c r="S13" t="str">
        <f t="shared" si="5"/>
        <v/>
      </c>
      <c r="T13" t="str">
        <f t="shared" si="6"/>
        <v/>
      </c>
      <c r="U13" t="str">
        <f t="shared" si="7"/>
        <v/>
      </c>
    </row>
    <row r="14" spans="2:21" ht="18.95" customHeight="1" x14ac:dyDescent="0.3">
      <c r="B14" s="119" t="s">
        <v>333</v>
      </c>
      <c r="C14" s="5" t="s">
        <v>334</v>
      </c>
      <c r="D14" s="120" t="str">
        <f>IF(NOT(ISERROR(VLOOKUP("Fixed Cable",L:L,1,FALSE))),"Yes","No")</f>
        <v>No</v>
      </c>
      <c r="E14" s="13"/>
      <c r="F14" s="45" t="str">
        <f>IF(COUNTIF('OCPP family members'!$B$13:$B$41,'Hardware Feature set'!B14)&gt;0, "Member", "")</f>
        <v/>
      </c>
      <c r="G14" s="313"/>
      <c r="H14" s="314"/>
      <c r="I14" s="314"/>
      <c r="J14" s="314"/>
      <c r="K14" s="314"/>
      <c r="L14" s="315" t="str">
        <f t="shared" si="2"/>
        <v/>
      </c>
      <c r="M14" s="113" t="str">
        <f t="shared" si="0"/>
        <v/>
      </c>
      <c r="P14" t="str">
        <f t="shared" si="3"/>
        <v/>
      </c>
      <c r="Q14" t="str">
        <f t="shared" si="1"/>
        <v/>
      </c>
      <c r="R14" t="str">
        <f t="shared" si="4"/>
        <v/>
      </c>
      <c r="S14" t="str">
        <f t="shared" si="5"/>
        <v/>
      </c>
      <c r="T14" t="str">
        <f t="shared" si="6"/>
        <v/>
      </c>
      <c r="U14" t="str">
        <f t="shared" si="7"/>
        <v/>
      </c>
    </row>
    <row r="15" spans="2:21" ht="16.350000000000001" customHeight="1" x14ac:dyDescent="0.3">
      <c r="B15" s="121" t="s">
        <v>335</v>
      </c>
      <c r="C15" s="49" t="s">
        <v>336</v>
      </c>
      <c r="D15" s="122" t="str">
        <f>IF(NOT(AND(ISERROR(VLOOKUP("AC",H:H,1,FALSE)),ISERROR(VLOOKUP("AC &amp; DC",H:H,1,FALSE)))),"Yes","No")</f>
        <v>No</v>
      </c>
      <c r="E15" s="13"/>
      <c r="F15" s="45" t="str">
        <f>IF(COUNTIF('OCPP family members'!$B$13:$B$41,'Hardware Feature set'!B15)&gt;0, "Member", "")</f>
        <v/>
      </c>
      <c r="G15" s="316"/>
      <c r="H15" s="317"/>
      <c r="I15" s="317"/>
      <c r="J15" s="317"/>
      <c r="K15" s="317"/>
      <c r="L15" s="318" t="str">
        <f t="shared" si="2"/>
        <v/>
      </c>
      <c r="M15" s="113" t="str">
        <f t="shared" si="0"/>
        <v/>
      </c>
      <c r="P15" t="str">
        <f t="shared" si="3"/>
        <v/>
      </c>
      <c r="Q15" t="str">
        <f t="shared" si="1"/>
        <v/>
      </c>
      <c r="R15" t="str">
        <f t="shared" si="4"/>
        <v/>
      </c>
      <c r="S15" t="str">
        <f t="shared" si="5"/>
        <v/>
      </c>
      <c r="T15" t="str">
        <f t="shared" si="6"/>
        <v/>
      </c>
      <c r="U15" t="str">
        <f t="shared" si="7"/>
        <v/>
      </c>
    </row>
    <row r="16" spans="2:21" ht="16.350000000000001" customHeight="1" x14ac:dyDescent="0.3">
      <c r="B16" s="119" t="s">
        <v>337</v>
      </c>
      <c r="C16" s="5" t="s">
        <v>338</v>
      </c>
      <c r="D16" s="120" t="str">
        <f>IF(NOT(AND(ISERROR(VLOOKUP("DC",H:H,1,FALSE)),ISERROR(VLOOKUP("AC &amp; DC",H:H,1,FALSE)))),"Yes","No")</f>
        <v>No</v>
      </c>
      <c r="E16" s="13"/>
      <c r="F16" s="45" t="str">
        <f>IF(COUNTIF('OCPP family members'!$B$13:$B$41,'Hardware Feature set'!B16)&gt;0, "Member", "")</f>
        <v/>
      </c>
      <c r="G16" s="313"/>
      <c r="H16" s="314"/>
      <c r="I16" s="314"/>
      <c r="J16" s="314"/>
      <c r="K16" s="314"/>
      <c r="L16" s="315" t="str">
        <f t="shared" si="2"/>
        <v/>
      </c>
      <c r="M16" s="113" t="str">
        <f t="shared" si="0"/>
        <v/>
      </c>
      <c r="P16" t="str">
        <f t="shared" si="3"/>
        <v/>
      </c>
      <c r="Q16" t="str">
        <f t="shared" si="1"/>
        <v/>
      </c>
      <c r="R16" t="str">
        <f t="shared" si="4"/>
        <v/>
      </c>
      <c r="S16" t="str">
        <f t="shared" si="5"/>
        <v/>
      </c>
      <c r="T16" t="str">
        <f t="shared" si="6"/>
        <v/>
      </c>
      <c r="U16" t="str">
        <f t="shared" si="7"/>
        <v/>
      </c>
    </row>
    <row r="17" spans="2:21" ht="16.350000000000001" customHeight="1" x14ac:dyDescent="0.3">
      <c r="B17" s="121" t="s">
        <v>339</v>
      </c>
      <c r="C17" s="49" t="s">
        <v>340</v>
      </c>
      <c r="D17" s="122" t="str">
        <f>IF(NOT(ISERROR(FIND("1",_xlfn.CONCAT(I:I)))),"Yes","No")</f>
        <v>No</v>
      </c>
      <c r="E17" s="13"/>
      <c r="F17" s="45" t="str">
        <f>IF(COUNTIF('OCPP family members'!$B$13:$B$41,'Hardware Feature set'!B17)&gt;0, "Member", "")</f>
        <v/>
      </c>
      <c r="G17" s="316"/>
      <c r="H17" s="317"/>
      <c r="I17" s="317"/>
      <c r="J17" s="317"/>
      <c r="K17" s="317"/>
      <c r="L17" s="318" t="str">
        <f t="shared" si="2"/>
        <v/>
      </c>
      <c r="M17" s="113" t="str">
        <f t="shared" si="0"/>
        <v/>
      </c>
      <c r="P17" t="str">
        <f t="shared" si="3"/>
        <v/>
      </c>
      <c r="Q17" t="str">
        <f t="shared" si="1"/>
        <v/>
      </c>
      <c r="R17" t="str">
        <f t="shared" si="4"/>
        <v/>
      </c>
      <c r="S17" t="str">
        <f t="shared" si="5"/>
        <v/>
      </c>
      <c r="T17" t="str">
        <f t="shared" si="6"/>
        <v/>
      </c>
      <c r="U17" t="str">
        <f t="shared" si="7"/>
        <v/>
      </c>
    </row>
    <row r="18" spans="2:21" ht="16.350000000000001" customHeight="1" x14ac:dyDescent="0.3">
      <c r="B18" s="119" t="s">
        <v>341</v>
      </c>
      <c r="C18" s="5" t="s">
        <v>342</v>
      </c>
      <c r="D18" s="120" t="str">
        <f>IF(NOT(ISERROR(FIND("2",_xlfn.CONCAT(I:I)))),"Yes","No")</f>
        <v>No</v>
      </c>
      <c r="E18" s="13"/>
      <c r="F18" s="45" t="str">
        <f>IF(COUNTIF('OCPP family members'!$B$13:$B$41,'Hardware Feature set'!B18)&gt;0, "Member", "")</f>
        <v/>
      </c>
      <c r="G18" s="313"/>
      <c r="H18" s="314"/>
      <c r="I18" s="314"/>
      <c r="J18" s="314"/>
      <c r="K18" s="314"/>
      <c r="L18" s="315" t="str">
        <f t="shared" si="2"/>
        <v/>
      </c>
      <c r="M18" s="113" t="str">
        <f t="shared" si="0"/>
        <v/>
      </c>
      <c r="P18" t="str">
        <f t="shared" si="3"/>
        <v/>
      </c>
      <c r="Q18" t="str">
        <f t="shared" si="1"/>
        <v/>
      </c>
      <c r="R18" t="str">
        <f t="shared" si="4"/>
        <v/>
      </c>
      <c r="S18" t="str">
        <f t="shared" si="5"/>
        <v/>
      </c>
      <c r="T18" t="str">
        <f t="shared" si="6"/>
        <v/>
      </c>
      <c r="U18" t="str">
        <f t="shared" si="7"/>
        <v/>
      </c>
    </row>
    <row r="19" spans="2:21" ht="16.350000000000001" customHeight="1" x14ac:dyDescent="0.3">
      <c r="B19" s="121" t="s">
        <v>343</v>
      </c>
      <c r="C19" s="49" t="s">
        <v>344</v>
      </c>
      <c r="D19" s="122" t="str">
        <f>IF(NOT(ISERROR(FIND("3",_xlfn.CONCAT(I:I)))),"Yes","No")</f>
        <v>No</v>
      </c>
      <c r="E19" s="123"/>
      <c r="F19" s="45" t="str">
        <f>IF(COUNTIF('OCPP family members'!$B$13:$B$41,'Hardware Feature set'!B19)&gt;0, "Member", "")</f>
        <v/>
      </c>
      <c r="G19" s="316"/>
      <c r="H19" s="317"/>
      <c r="I19" s="317"/>
      <c r="J19" s="317"/>
      <c r="K19" s="317"/>
      <c r="L19" s="318" t="str">
        <f t="shared" si="2"/>
        <v/>
      </c>
      <c r="M19" s="113" t="str">
        <f t="shared" si="0"/>
        <v/>
      </c>
      <c r="P19" t="str">
        <f t="shared" si="3"/>
        <v/>
      </c>
      <c r="Q19" t="str">
        <f t="shared" si="1"/>
        <v/>
      </c>
      <c r="R19" t="str">
        <f t="shared" si="4"/>
        <v/>
      </c>
      <c r="S19" t="str">
        <f t="shared" si="5"/>
        <v/>
      </c>
      <c r="T19" t="str">
        <f t="shared" si="6"/>
        <v/>
      </c>
      <c r="U19" t="str">
        <f t="shared" si="7"/>
        <v/>
      </c>
    </row>
    <row r="20" spans="2:21" ht="18.95" customHeight="1" x14ac:dyDescent="0.3">
      <c r="B20" s="119" t="s">
        <v>345</v>
      </c>
      <c r="C20" s="5" t="s">
        <v>346</v>
      </c>
      <c r="D20" s="120">
        <f>MAX(G:G)</f>
        <v>1</v>
      </c>
      <c r="E20" s="13"/>
      <c r="F20" s="45" t="str">
        <f>IF(COUNTIF('OCPP family members'!$B$13:$B$41,'Hardware Feature set'!B20)&gt;0, "Member", "")</f>
        <v>Member</v>
      </c>
      <c r="G20" s="313"/>
      <c r="H20" s="314"/>
      <c r="I20" s="314"/>
      <c r="J20" s="314"/>
      <c r="K20" s="314"/>
      <c r="L20" s="315" t="str">
        <f t="shared" si="2"/>
        <v/>
      </c>
      <c r="M20" s="113" t="str">
        <f t="shared" si="0"/>
        <v/>
      </c>
      <c r="P20" t="str">
        <f t="shared" si="3"/>
        <v/>
      </c>
      <c r="Q20" t="str">
        <f t="shared" si="1"/>
        <v/>
      </c>
      <c r="R20" t="str">
        <f t="shared" si="4"/>
        <v/>
      </c>
      <c r="S20" t="str">
        <f t="shared" si="5"/>
        <v/>
      </c>
      <c r="T20" t="str">
        <f t="shared" si="6"/>
        <v/>
      </c>
      <c r="U20" t="str">
        <f t="shared" si="7"/>
        <v/>
      </c>
    </row>
    <row r="21" spans="2:21" ht="18.95" customHeight="1" x14ac:dyDescent="0.3">
      <c r="B21" s="121" t="s">
        <v>347</v>
      </c>
      <c r="C21" s="49" t="s">
        <v>348</v>
      </c>
      <c r="D21" s="34" t="s">
        <v>349</v>
      </c>
      <c r="E21" s="18" t="str">
        <f>IF(AND(NOT(ISBLANK(B21)),ISBLANK(D21)),"&lt;---- This field cannot be left empty!",IF(NOT(ISERROR(FIND("&lt;",D21))),"&lt;---- Please enter a valid value or list",""))</f>
        <v>&lt;---- Please enter a valid value or list</v>
      </c>
      <c r="F21" s="45" t="str">
        <f>IF(COUNTIF('OCPP family members'!$B$13:$B$41,'Hardware Feature set'!B21)&gt;0, "Member", "")</f>
        <v>Member</v>
      </c>
      <c r="G21" s="316"/>
      <c r="H21" s="317"/>
      <c r="I21" s="317"/>
      <c r="J21" s="317"/>
      <c r="K21" s="317"/>
      <c r="L21" s="318" t="str">
        <f t="shared" si="2"/>
        <v/>
      </c>
      <c r="M21" s="113" t="str">
        <f t="shared" si="0"/>
        <v/>
      </c>
      <c r="P21" t="str">
        <f t="shared" si="3"/>
        <v/>
      </c>
      <c r="Q21" t="str">
        <f t="shared" si="1"/>
        <v/>
      </c>
      <c r="R21" t="str">
        <f t="shared" si="4"/>
        <v/>
      </c>
      <c r="S21" t="str">
        <f t="shared" si="5"/>
        <v/>
      </c>
      <c r="T21" t="str">
        <f t="shared" si="6"/>
        <v/>
      </c>
      <c r="U21" t="str">
        <f t="shared" si="7"/>
        <v/>
      </c>
    </row>
    <row r="22" spans="2:21" ht="18.95" customHeight="1" x14ac:dyDescent="0.3">
      <c r="B22" s="119" t="s">
        <v>350</v>
      </c>
      <c r="C22" s="5" t="s">
        <v>351</v>
      </c>
      <c r="D22" s="14" t="s">
        <v>352</v>
      </c>
      <c r="E22" s="18" t="str">
        <f>IF(AND(NOT(ISBLANK(B22)),ISBLANK(D22)),"&lt;---- This field cannot be left empty!",IF(NOT(ISERROR(FIND("&lt;",D22))),"&lt;---- Please enter a valid value",IF(ISERROR(MATCH(D22, MD_RFIDOptions, 0)), "&lt;---- This field must be filled from the drop-down menu", "")))</f>
        <v>&lt;---- Please enter a valid value</v>
      </c>
      <c r="F22" s="45" t="str">
        <f>IF(COUNTIF('OCPP family members'!$B$13:$B$41,'Hardware Feature set'!B22)&gt;0, "Member", "")</f>
        <v>Member</v>
      </c>
      <c r="G22" s="313"/>
      <c r="H22" s="314"/>
      <c r="I22" s="314"/>
      <c r="J22" s="314"/>
      <c r="K22" s="314"/>
      <c r="L22" s="315" t="str">
        <f t="shared" si="2"/>
        <v/>
      </c>
      <c r="M22" s="113" t="str">
        <f t="shared" si="0"/>
        <v/>
      </c>
      <c r="P22" t="str">
        <f t="shared" si="3"/>
        <v/>
      </c>
      <c r="Q22" t="str">
        <f t="shared" si="1"/>
        <v/>
      </c>
      <c r="R22" t="str">
        <f t="shared" si="4"/>
        <v/>
      </c>
      <c r="S22" t="str">
        <f t="shared" si="5"/>
        <v/>
      </c>
      <c r="T22" t="str">
        <f t="shared" si="6"/>
        <v/>
      </c>
      <c r="U22" t="str">
        <f t="shared" si="7"/>
        <v/>
      </c>
    </row>
    <row r="23" spans="2:21" ht="18.95" customHeight="1" x14ac:dyDescent="0.3">
      <c r="B23" s="121" t="s">
        <v>353</v>
      </c>
      <c r="C23" s="49" t="s">
        <v>354</v>
      </c>
      <c r="D23" s="34" t="s">
        <v>355</v>
      </c>
      <c r="E23" s="18" t="str">
        <f>IF(VLOOKUP("HFS-4",B12:D25,3,TRUE)="No",IF(NOT(ISBLANK(D23)),"&lt;---- This field must be left empty for non-DC chargers",""),IF(AND(NOT(ISBLANK(B23)),ISBLANK(D23)),"&lt;---- This field cannot be left empty!",IF(NOT(ISERROR(FIND("&lt;",D23))),"&lt;---- Please enter a valid value","")))</f>
        <v>&lt;---- This field must be left empty for non-DC chargers</v>
      </c>
      <c r="F23" s="45" t="str">
        <f>IF(COUNTIF('OCPP family members'!$B$13:$B$41,'Hardware Feature set'!B23)&gt;0, "Member", "")</f>
        <v>Member</v>
      </c>
      <c r="G23" s="316"/>
      <c r="H23" s="317"/>
      <c r="I23" s="317"/>
      <c r="J23" s="317"/>
      <c r="K23" s="317"/>
      <c r="L23" s="318" t="str">
        <f t="shared" si="2"/>
        <v/>
      </c>
      <c r="M23" s="113" t="str">
        <f t="shared" si="0"/>
        <v/>
      </c>
      <c r="P23" t="str">
        <f t="shared" si="3"/>
        <v/>
      </c>
      <c r="Q23" t="str">
        <f t="shared" si="1"/>
        <v/>
      </c>
      <c r="R23" t="str">
        <f t="shared" si="4"/>
        <v/>
      </c>
      <c r="S23" t="str">
        <f t="shared" si="5"/>
        <v/>
      </c>
      <c r="T23" t="str">
        <f t="shared" si="6"/>
        <v/>
      </c>
      <c r="U23" t="str">
        <f t="shared" si="7"/>
        <v/>
      </c>
    </row>
    <row r="24" spans="2:21" ht="18.95" customHeight="1" x14ac:dyDescent="0.3">
      <c r="B24" s="119" t="s">
        <v>356</v>
      </c>
      <c r="C24" s="5" t="s">
        <v>357</v>
      </c>
      <c r="D24" s="14" t="s">
        <v>358</v>
      </c>
      <c r="E24" s="18" t="str">
        <f>IF(AND(NOT(ISBLANK(B24)),ISBLANK(D24)),"&lt;---- This field cannot be left empty!",IF(NOT(ISERROR(FIND("&lt;",D24))),"&lt;---- Please enter a valid value",""))</f>
        <v>&lt;---- Please enter a valid value</v>
      </c>
      <c r="F24" s="45" t="str">
        <f>IF(COUNTIF('OCPP family members'!$B$13:$B$41,'Hardware Feature set'!B24)&gt;0, "Member", "")</f>
        <v>Member</v>
      </c>
      <c r="G24" s="313"/>
      <c r="H24" s="314"/>
      <c r="I24" s="314"/>
      <c r="J24" s="314"/>
      <c r="K24" s="314"/>
      <c r="L24" s="315" t="str">
        <f t="shared" si="2"/>
        <v/>
      </c>
      <c r="M24" s="113" t="str">
        <f t="shared" si="0"/>
        <v/>
      </c>
      <c r="P24" t="str">
        <f t="shared" si="3"/>
        <v/>
      </c>
      <c r="Q24" t="str">
        <f t="shared" si="1"/>
        <v/>
      </c>
      <c r="R24" t="str">
        <f t="shared" si="4"/>
        <v/>
      </c>
      <c r="S24" t="str">
        <f t="shared" si="5"/>
        <v/>
      </c>
      <c r="T24" t="str">
        <f t="shared" si="6"/>
        <v/>
      </c>
      <c r="U24" t="str">
        <f t="shared" si="7"/>
        <v/>
      </c>
    </row>
    <row r="25" spans="2:21" ht="18.95" customHeight="1" x14ac:dyDescent="0.3">
      <c r="B25" s="124" t="s">
        <v>359</v>
      </c>
      <c r="C25" s="50" t="s">
        <v>360</v>
      </c>
      <c r="D25" s="125" t="str">
        <f>IF(NOT(ISERROR(FIND(MD!Q34,_xlfn.CONCAT(K:K)))),"Yes","No")</f>
        <v>No</v>
      </c>
      <c r="E25" s="13" t="str">
        <f>IF(AND(D6="Battery Swapping Charging Station", D25&lt;&gt;"Yes"),"&lt;---- HFS-13 must be 'Yes' when Product Subtype is 'Battery Swapping Charging Station'","")</f>
        <v/>
      </c>
      <c r="F25" s="45" t="str">
        <f>IF(COUNTIF('OCPP family members'!$B$13:$B$41,'Hardware Feature set'!B25)&gt;0, "Member", "")</f>
        <v/>
      </c>
      <c r="G25" s="316"/>
      <c r="H25" s="317"/>
      <c r="I25" s="317"/>
      <c r="J25" s="317"/>
      <c r="K25" s="317"/>
      <c r="L25" s="318" t="str">
        <f t="shared" si="2"/>
        <v/>
      </c>
      <c r="M25" s="113" t="str">
        <f t="shared" si="0"/>
        <v/>
      </c>
      <c r="P25" t="str">
        <f t="shared" si="3"/>
        <v/>
      </c>
      <c r="Q25" t="str">
        <f t="shared" si="1"/>
        <v/>
      </c>
      <c r="R25" t="str">
        <f t="shared" si="4"/>
        <v/>
      </c>
      <c r="S25" t="str">
        <f t="shared" si="5"/>
        <v/>
      </c>
      <c r="T25" t="str">
        <f t="shared" si="6"/>
        <v/>
      </c>
      <c r="U25" t="str">
        <f t="shared" si="7"/>
        <v/>
      </c>
    </row>
    <row r="26" spans="2:21" ht="18.95" customHeight="1" x14ac:dyDescent="0.3">
      <c r="G26" s="313"/>
      <c r="H26" s="314"/>
      <c r="I26" s="314"/>
      <c r="J26" s="314"/>
      <c r="K26" s="314"/>
      <c r="L26" s="315" t="str">
        <f t="shared" si="2"/>
        <v/>
      </c>
      <c r="M26" s="113" t="str">
        <f t="shared" si="0"/>
        <v/>
      </c>
      <c r="P26" t="str">
        <f t="shared" si="3"/>
        <v/>
      </c>
      <c r="Q26" t="str">
        <f t="shared" si="1"/>
        <v/>
      </c>
      <c r="R26" t="str">
        <f t="shared" si="4"/>
        <v/>
      </c>
      <c r="S26" t="str">
        <f t="shared" si="5"/>
        <v/>
      </c>
      <c r="T26" t="str">
        <f t="shared" si="6"/>
        <v/>
      </c>
      <c r="U26" t="str">
        <f t="shared" si="7"/>
        <v/>
      </c>
    </row>
    <row r="27" spans="2:21" ht="18.95" customHeight="1" x14ac:dyDescent="0.3">
      <c r="B27" s="126"/>
      <c r="C27" s="127"/>
      <c r="D27" s="128"/>
      <c r="E27" s="13"/>
      <c r="F27" s="13"/>
      <c r="G27" s="316"/>
      <c r="H27" s="317"/>
      <c r="I27" s="317"/>
      <c r="J27" s="317"/>
      <c r="K27" s="317"/>
      <c r="L27" s="318" t="str">
        <f t="shared" si="2"/>
        <v/>
      </c>
      <c r="M27" s="113" t="str">
        <f t="shared" si="0"/>
        <v/>
      </c>
      <c r="P27" t="str">
        <f t="shared" si="3"/>
        <v/>
      </c>
      <c r="Q27" t="str">
        <f t="shared" si="1"/>
        <v/>
      </c>
      <c r="R27" t="str">
        <f t="shared" si="4"/>
        <v/>
      </c>
      <c r="S27" t="str">
        <f t="shared" si="5"/>
        <v/>
      </c>
      <c r="T27" t="str">
        <f t="shared" si="6"/>
        <v/>
      </c>
      <c r="U27" t="str">
        <f t="shared" si="7"/>
        <v/>
      </c>
    </row>
    <row r="28" spans="2:21" ht="18.95" customHeight="1" x14ac:dyDescent="0.3">
      <c r="B28" s="129"/>
      <c r="C28" s="5"/>
      <c r="D28" s="128"/>
      <c r="E28" s="13"/>
      <c r="F28" s="13"/>
      <c r="G28" s="313"/>
      <c r="H28" s="314"/>
      <c r="I28" s="314"/>
      <c r="J28" s="314"/>
      <c r="K28" s="314"/>
      <c r="L28" s="315" t="str">
        <f t="shared" si="2"/>
        <v/>
      </c>
      <c r="M28" s="113" t="str">
        <f t="shared" si="0"/>
        <v/>
      </c>
      <c r="P28" t="str">
        <f t="shared" si="3"/>
        <v/>
      </c>
      <c r="Q28" t="str">
        <f t="shared" si="1"/>
        <v/>
      </c>
      <c r="R28" t="str">
        <f t="shared" si="4"/>
        <v/>
      </c>
      <c r="S28" t="str">
        <f t="shared" si="5"/>
        <v/>
      </c>
      <c r="T28" t="str">
        <f t="shared" si="6"/>
        <v/>
      </c>
      <c r="U28" t="str">
        <f t="shared" si="7"/>
        <v/>
      </c>
    </row>
    <row r="29" spans="2:21" ht="18.95" customHeight="1" x14ac:dyDescent="0.3">
      <c r="E29" s="13"/>
      <c r="F29" s="13"/>
      <c r="G29" s="316"/>
      <c r="H29" s="317"/>
      <c r="I29" s="317"/>
      <c r="J29" s="317"/>
      <c r="K29" s="317"/>
      <c r="L29" s="318" t="str">
        <f t="shared" si="2"/>
        <v/>
      </c>
      <c r="M29" s="113" t="str">
        <f t="shared" si="0"/>
        <v/>
      </c>
      <c r="P29" t="str">
        <f t="shared" si="3"/>
        <v/>
      </c>
      <c r="Q29" t="str">
        <f t="shared" si="1"/>
        <v/>
      </c>
      <c r="R29" t="str">
        <f t="shared" si="4"/>
        <v/>
      </c>
      <c r="S29" t="str">
        <f t="shared" si="5"/>
        <v/>
      </c>
      <c r="T29" t="str">
        <f t="shared" si="6"/>
        <v/>
      </c>
      <c r="U29" t="str">
        <f t="shared" si="7"/>
        <v/>
      </c>
    </row>
    <row r="30" spans="2:21" ht="18.95" customHeight="1" x14ac:dyDescent="0.3">
      <c r="B30" s="129"/>
      <c r="C30" s="5"/>
      <c r="D30" s="128"/>
      <c r="E30" s="13"/>
      <c r="F30" s="13"/>
      <c r="G30" s="313"/>
      <c r="H30" s="314"/>
      <c r="I30" s="314"/>
      <c r="J30" s="314"/>
      <c r="K30" s="314"/>
      <c r="L30" s="315" t="str">
        <f t="shared" si="2"/>
        <v/>
      </c>
      <c r="M30" s="113" t="str">
        <f t="shared" si="0"/>
        <v/>
      </c>
      <c r="P30" t="str">
        <f t="shared" si="3"/>
        <v/>
      </c>
      <c r="Q30" t="str">
        <f t="shared" si="1"/>
        <v/>
      </c>
      <c r="R30" t="str">
        <f t="shared" si="4"/>
        <v/>
      </c>
      <c r="S30" t="str">
        <f t="shared" si="5"/>
        <v/>
      </c>
      <c r="T30" t="str">
        <f t="shared" si="6"/>
        <v/>
      </c>
      <c r="U30" t="str">
        <f t="shared" si="7"/>
        <v/>
      </c>
    </row>
    <row r="31" spans="2:21" ht="17.100000000000001" customHeight="1" x14ac:dyDescent="0.3">
      <c r="B31" s="126"/>
      <c r="C31" s="5"/>
      <c r="D31" s="128"/>
      <c r="E31" s="13"/>
      <c r="F31" s="13"/>
      <c r="G31" s="316"/>
      <c r="H31" s="317"/>
      <c r="I31" s="317"/>
      <c r="J31" s="317"/>
      <c r="K31" s="317"/>
      <c r="L31" s="318" t="str">
        <f t="shared" si="2"/>
        <v/>
      </c>
      <c r="M31" s="113" t="str">
        <f t="shared" si="0"/>
        <v/>
      </c>
      <c r="P31" t="str">
        <f t="shared" si="3"/>
        <v/>
      </c>
      <c r="Q31" t="str">
        <f t="shared" si="1"/>
        <v/>
      </c>
      <c r="R31" t="str">
        <f t="shared" si="4"/>
        <v/>
      </c>
      <c r="S31" t="str">
        <f t="shared" si="5"/>
        <v/>
      </c>
      <c r="T31" t="str">
        <f t="shared" si="6"/>
        <v/>
      </c>
      <c r="U31" t="str">
        <f t="shared" si="7"/>
        <v/>
      </c>
    </row>
    <row r="32" spans="2:21" ht="16.350000000000001" customHeight="1" x14ac:dyDescent="0.3">
      <c r="E32" s="13"/>
      <c r="F32" s="13"/>
      <c r="G32" s="313"/>
      <c r="H32" s="314"/>
      <c r="I32" s="314"/>
      <c r="J32" s="314"/>
      <c r="K32" s="314"/>
      <c r="L32" s="315" t="str">
        <f t="shared" si="2"/>
        <v/>
      </c>
      <c r="M32" s="113" t="str">
        <f t="shared" si="0"/>
        <v/>
      </c>
      <c r="P32" t="str">
        <f t="shared" si="3"/>
        <v/>
      </c>
      <c r="Q32" t="str">
        <f t="shared" si="1"/>
        <v/>
      </c>
      <c r="R32" t="str">
        <f t="shared" si="4"/>
        <v/>
      </c>
      <c r="S32" t="str">
        <f t="shared" si="5"/>
        <v/>
      </c>
      <c r="T32" t="str">
        <f t="shared" si="6"/>
        <v/>
      </c>
      <c r="U32" t="str">
        <f t="shared" si="7"/>
        <v/>
      </c>
    </row>
    <row r="33" spans="2:21" ht="16.350000000000001" customHeight="1" x14ac:dyDescent="0.3">
      <c r="E33" s="13"/>
      <c r="F33" s="13"/>
      <c r="G33" s="316"/>
      <c r="H33" s="317"/>
      <c r="I33" s="317"/>
      <c r="J33" s="317"/>
      <c r="K33" s="317"/>
      <c r="L33" s="318" t="str">
        <f t="shared" si="2"/>
        <v/>
      </c>
      <c r="M33" s="113" t="str">
        <f t="shared" si="0"/>
        <v/>
      </c>
      <c r="P33" t="str">
        <f t="shared" si="3"/>
        <v/>
      </c>
      <c r="Q33" t="str">
        <f t="shared" si="1"/>
        <v/>
      </c>
      <c r="R33" t="str">
        <f t="shared" si="4"/>
        <v/>
      </c>
      <c r="S33" t="str">
        <f t="shared" si="5"/>
        <v/>
      </c>
      <c r="T33" t="str">
        <f t="shared" si="6"/>
        <v/>
      </c>
      <c r="U33" t="str">
        <f t="shared" si="7"/>
        <v/>
      </c>
    </row>
    <row r="34" spans="2:21" ht="18.95" customHeight="1" x14ac:dyDescent="0.3">
      <c r="G34" s="313"/>
      <c r="H34" s="314"/>
      <c r="I34" s="314"/>
      <c r="J34" s="314"/>
      <c r="K34" s="314"/>
      <c r="L34" s="315" t="str">
        <f t="shared" si="2"/>
        <v/>
      </c>
      <c r="M34" s="113" t="str">
        <f t="shared" si="0"/>
        <v/>
      </c>
      <c r="P34" t="str">
        <f t="shared" si="3"/>
        <v/>
      </c>
      <c r="Q34" t="str">
        <f t="shared" si="1"/>
        <v/>
      </c>
      <c r="R34" t="str">
        <f t="shared" si="4"/>
        <v/>
      </c>
      <c r="S34" t="str">
        <f t="shared" si="5"/>
        <v/>
      </c>
      <c r="T34" t="str">
        <f t="shared" si="6"/>
        <v/>
      </c>
      <c r="U34" t="str">
        <f t="shared" si="7"/>
        <v/>
      </c>
    </row>
    <row r="35" spans="2:21" ht="15.75" customHeight="1" x14ac:dyDescent="0.3">
      <c r="B35" s="126"/>
      <c r="C35" s="5"/>
      <c r="G35" s="316"/>
      <c r="H35" s="317"/>
      <c r="I35" s="317"/>
      <c r="J35" s="317"/>
      <c r="K35" s="317"/>
      <c r="L35" s="318" t="str">
        <f t="shared" si="2"/>
        <v/>
      </c>
      <c r="M35" s="113" t="str">
        <f t="shared" si="0"/>
        <v/>
      </c>
      <c r="P35" t="str">
        <f t="shared" si="3"/>
        <v/>
      </c>
      <c r="Q35" t="str">
        <f t="shared" si="1"/>
        <v/>
      </c>
      <c r="R35" t="str">
        <f t="shared" si="4"/>
        <v/>
      </c>
      <c r="S35" t="str">
        <f t="shared" si="5"/>
        <v/>
      </c>
      <c r="T35" t="str">
        <f t="shared" si="6"/>
        <v/>
      </c>
      <c r="U35" t="str">
        <f t="shared" si="7"/>
        <v/>
      </c>
    </row>
    <row r="36" spans="2:21" ht="15.75" customHeight="1" x14ac:dyDescent="0.3">
      <c r="B36" s="129"/>
      <c r="C36" s="5"/>
      <c r="D36" s="2"/>
      <c r="G36" s="313"/>
      <c r="H36" s="314"/>
      <c r="I36" s="314"/>
      <c r="J36" s="314"/>
      <c r="K36" s="314"/>
      <c r="L36" s="315" t="str">
        <f t="shared" si="2"/>
        <v/>
      </c>
      <c r="M36" s="113" t="str">
        <f t="shared" si="0"/>
        <v/>
      </c>
      <c r="P36" t="str">
        <f t="shared" si="3"/>
        <v/>
      </c>
      <c r="Q36" t="str">
        <f t="shared" si="1"/>
        <v/>
      </c>
      <c r="R36" t="str">
        <f t="shared" si="4"/>
        <v/>
      </c>
      <c r="S36" t="str">
        <f t="shared" si="5"/>
        <v/>
      </c>
      <c r="T36" t="str">
        <f t="shared" si="6"/>
        <v/>
      </c>
      <c r="U36" t="str">
        <f t="shared" si="7"/>
        <v/>
      </c>
    </row>
    <row r="37" spans="2:21" ht="15.75" customHeight="1" x14ac:dyDescent="0.3">
      <c r="C37" s="130"/>
      <c r="D37" s="2"/>
      <c r="G37" s="316"/>
      <c r="H37" s="317"/>
      <c r="I37" s="317"/>
      <c r="J37" s="317"/>
      <c r="K37" s="317"/>
      <c r="L37" s="318" t="str">
        <f t="shared" si="2"/>
        <v/>
      </c>
      <c r="M37" s="113" t="str">
        <f t="shared" si="0"/>
        <v/>
      </c>
      <c r="P37" t="str">
        <f t="shared" si="3"/>
        <v/>
      </c>
      <c r="Q37" t="str">
        <f t="shared" si="1"/>
        <v/>
      </c>
      <c r="R37" t="str">
        <f t="shared" si="4"/>
        <v/>
      </c>
      <c r="S37" t="str">
        <f t="shared" si="5"/>
        <v/>
      </c>
      <c r="T37" t="str">
        <f t="shared" si="6"/>
        <v/>
      </c>
      <c r="U37" t="str">
        <f t="shared" si="7"/>
        <v/>
      </c>
    </row>
    <row r="38" spans="2:21" ht="15.75" customHeight="1" x14ac:dyDescent="0.3">
      <c r="G38" s="313"/>
      <c r="H38" s="314"/>
      <c r="I38" s="314"/>
      <c r="J38" s="314"/>
      <c r="K38" s="314"/>
      <c r="L38" s="315" t="str">
        <f t="shared" si="2"/>
        <v/>
      </c>
      <c r="M38" s="113" t="str">
        <f t="shared" si="0"/>
        <v/>
      </c>
      <c r="P38" t="str">
        <f t="shared" si="3"/>
        <v/>
      </c>
      <c r="Q38" t="str">
        <f t="shared" si="1"/>
        <v/>
      </c>
      <c r="R38" t="str">
        <f t="shared" si="4"/>
        <v/>
      </c>
      <c r="S38" t="str">
        <f t="shared" si="5"/>
        <v/>
      </c>
      <c r="T38" t="str">
        <f t="shared" si="6"/>
        <v/>
      </c>
      <c r="U38" t="str">
        <f t="shared" si="7"/>
        <v/>
      </c>
    </row>
    <row r="39" spans="2:21" ht="15.75" customHeight="1" x14ac:dyDescent="0.3">
      <c r="G39" s="316"/>
      <c r="H39" s="317"/>
      <c r="I39" s="317"/>
      <c r="J39" s="317"/>
      <c r="K39" s="317"/>
      <c r="L39" s="318" t="str">
        <f t="shared" si="2"/>
        <v/>
      </c>
      <c r="M39" s="113" t="str">
        <f t="shared" si="0"/>
        <v/>
      </c>
      <c r="P39" t="str">
        <f t="shared" si="3"/>
        <v/>
      </c>
      <c r="Q39" t="str">
        <f t="shared" si="1"/>
        <v/>
      </c>
      <c r="R39" t="str">
        <f t="shared" si="4"/>
        <v/>
      </c>
      <c r="S39" t="str">
        <f t="shared" si="5"/>
        <v/>
      </c>
      <c r="T39" t="str">
        <f t="shared" si="6"/>
        <v/>
      </c>
      <c r="U39" t="str">
        <f t="shared" si="7"/>
        <v/>
      </c>
    </row>
    <row r="40" spans="2:21" ht="15.75" customHeight="1" x14ac:dyDescent="0.3">
      <c r="G40" s="313"/>
      <c r="H40" s="314"/>
      <c r="I40" s="314"/>
      <c r="J40" s="314"/>
      <c r="K40" s="314"/>
      <c r="L40" s="315" t="str">
        <f t="shared" si="2"/>
        <v/>
      </c>
      <c r="M40" s="113" t="str">
        <f t="shared" si="0"/>
        <v/>
      </c>
      <c r="P40" t="str">
        <f t="shared" si="3"/>
        <v/>
      </c>
      <c r="Q40" t="str">
        <f t="shared" si="1"/>
        <v/>
      </c>
      <c r="R40" t="str">
        <f t="shared" si="4"/>
        <v/>
      </c>
      <c r="S40" t="str">
        <f t="shared" si="5"/>
        <v/>
      </c>
      <c r="T40" t="str">
        <f t="shared" si="6"/>
        <v/>
      </c>
      <c r="U40" t="str">
        <f t="shared" si="7"/>
        <v/>
      </c>
    </row>
    <row r="41" spans="2:21" ht="15.75" customHeight="1" x14ac:dyDescent="0.3">
      <c r="G41" s="316"/>
      <c r="H41" s="317"/>
      <c r="I41" s="317"/>
      <c r="J41" s="317"/>
      <c r="K41" s="317"/>
      <c r="L41" s="318" t="str">
        <f t="shared" si="2"/>
        <v/>
      </c>
      <c r="M41" s="113" t="str">
        <f t="shared" si="0"/>
        <v/>
      </c>
      <c r="P41" t="str">
        <f t="shared" si="3"/>
        <v/>
      </c>
      <c r="Q41" t="str">
        <f t="shared" si="1"/>
        <v/>
      </c>
      <c r="R41" t="str">
        <f t="shared" si="4"/>
        <v/>
      </c>
      <c r="S41" t="str">
        <f t="shared" si="5"/>
        <v/>
      </c>
      <c r="T41" t="str">
        <f t="shared" si="6"/>
        <v/>
      </c>
      <c r="U41" t="str">
        <f t="shared" si="7"/>
        <v/>
      </c>
    </row>
    <row r="42" spans="2:21" ht="15.75" customHeight="1" x14ac:dyDescent="0.3">
      <c r="G42" s="319"/>
      <c r="H42" s="320"/>
      <c r="I42" s="320"/>
      <c r="J42" s="320"/>
      <c r="K42" s="320"/>
      <c r="L42" s="321" t="str">
        <f t="shared" si="2"/>
        <v/>
      </c>
      <c r="M42" s="113" t="str">
        <f t="shared" si="0"/>
        <v/>
      </c>
      <c r="P42" t="str">
        <f t="shared" si="3"/>
        <v/>
      </c>
      <c r="Q42" t="str">
        <f t="shared" si="1"/>
        <v/>
      </c>
      <c r="R42" t="str">
        <f t="shared" si="4"/>
        <v/>
      </c>
      <c r="S42" t="str">
        <f t="shared" si="5"/>
        <v/>
      </c>
      <c r="T42" t="str">
        <f t="shared" si="6"/>
        <v/>
      </c>
      <c r="U42" t="str">
        <f t="shared" si="7"/>
        <v/>
      </c>
    </row>
    <row r="43" spans="2:21" ht="15.75" customHeight="1" x14ac:dyDescent="0.3">
      <c r="M43" s="113"/>
      <c r="P43" t="e">
        <f>IF(_xlfn.CONCAT(#REF!)="","",IF(AND(ISBLANK(G42),ISNUMBER(#REF!)),"Empty lines are not allowed in this table",IF(AND(NOT(ISNUMBER(G42)),#REF!&lt;&gt;1),"First EVSE must be EVSE1",IF(AND(ISNUMBER(G42),NOT(OR(#REF!=G42,#REF!-1=G42))),"Next EVSE must be same id or id + 1",""))))</f>
        <v>#REF!</v>
      </c>
      <c r="Q43" t="e">
        <f>IF(#REF!&lt;&gt;"bBatterySlot","",IF(NOT(ISBLANK(#REF!)),"Battery Slot cannot have a Current Type",IF(NOT(ISBLANK(#REF!)),"Battery Slot cannot have Phases",IF(#REF!&lt;&gt;"","Battery Slot cannot have a Cable Type",""))))</f>
        <v>#REF!</v>
      </c>
      <c r="R43" t="e">
        <f>IF(OR(#REF!="bBatterySlot",_xlfn.CONCAT(#REF!)=""),"",IF(ISBLANK(#REF!),"Please specify Current Type",IF(AND(G42=#REF!,H42&lt;&gt;#REF!),"Current Type must be the same for all connectors of an EVSE","")))</f>
        <v>#REF!</v>
      </c>
      <c r="S43" t="e">
        <f>IF(_xlfn.CONCAT(#REF!)="","",IF(AND(#REF!=G42,#REF!&lt;&gt;IF(ISNUMBER(J42),J42+1,1)),_xlfn.CONCAT("Connector id on same EVSE must be ",IF(ISNUMBER(J42),J42+1,1)),IF(AND(#REF!&lt;&gt;G42,#REF!&lt;&gt;1),"First Connector of an EVSE must be 1","")))</f>
        <v>#REF!</v>
      </c>
      <c r="T43" t="e">
        <f>IF(OR(#REF!="bBatterySlot",_xlfn.CONCAT(#REF!)=""),"",IF(AND(#REF!="DC",NOT(ISBLANK(#REF!))),"You cannot specify number of phases for DC!",IF(AND(#REF!="AC",ISBLANK(#REF!)),"You Must specify number of phases for AC!",IF(ISBLANK(#REF!),"Please fill in Connector Type",IF(ISBLANK(#REF!),"Please fill in Cable Type",IF(ISERROR(MATCH(#REF!,MD_CurrentTypes,0)),"Current must be filled from the drop-down menu",IF(AND(#REF!="AC",#REF!&lt;&gt;1,#REF!&lt;&gt;"1 &amp; 3",#REF!&lt;&gt;"1 &amp; 2 &amp; 3",#REF!&lt;&gt;3),"&lt;---- Phases must be filled from the drop-down menu","")))))))</f>
        <v>#REF!</v>
      </c>
      <c r="U43" t="e">
        <f>IF(_xlfn.CONCAT(#REF!)="","",IF(ISERROR(MATCH(#REF!,MD_ConnectorTypes,0)),"Type must be filled from the drop-down menu",""))</f>
        <v>#REF!</v>
      </c>
    </row>
    <row r="48" spans="2:21" ht="15.75" customHeight="1" x14ac:dyDescent="0.25">
      <c r="D48" s="131"/>
    </row>
  </sheetData>
  <sheetProtection algorithmName="SHA-512" hashValue="dAq9QzoaDHV/Dp/zcJiXiEUYiWT55iLcy81VnOW9bixDwDMZNVZkkH8tcDJdA14UjLPzIfkaFeLYColGYxhVvA==" saltValue="ZL3n51AUK/075V6/L5/7mA==" spinCount="100000" sheet="1" objects="1" scenarios="1"/>
  <mergeCells count="4">
    <mergeCell ref="P3:U3"/>
    <mergeCell ref="B1:D1"/>
    <mergeCell ref="G4:L4"/>
    <mergeCell ref="C2:D2"/>
  </mergeCells>
  <conditionalFormatting sqref="N1">
    <cfRule type="cellIs" dxfId="29" priority="5" operator="equal">
      <formula>"VALID"</formula>
    </cfRule>
  </conditionalFormatting>
  <conditionalFormatting sqref="N1:N2">
    <cfRule type="cellIs" dxfId="28" priority="2" operator="equal">
      <formula>"INVALID"</formula>
    </cfRule>
  </conditionalFormatting>
  <conditionalFormatting sqref="N2">
    <cfRule type="cellIs" dxfId="27" priority="1" operator="equal">
      <formula>"VALID for a VDoC"</formula>
    </cfRule>
    <cfRule type="cellIs" dxfId="26" priority="3" operator="equal">
      <formula>"VALID for Certification"</formula>
    </cfRule>
  </conditionalFormatting>
  <dataValidations count="8">
    <dataValidation type="whole" operator="greaterThanOrEqual" allowBlank="1" showInputMessage="1" showErrorMessage="1" sqref="I1:I2 F1:F2 J4 G4 G6:G1048576 J6:J1048576" xr:uid="{00000000-0002-0000-0100-000001000000}">
      <formula1>1</formula1>
    </dataValidation>
    <dataValidation type="list" allowBlank="1" showInputMessage="1" showErrorMessage="1" sqref="I43:I1048576 H1:H2 I4" xr:uid="{00000000-0002-0000-0100-000002000000}">
      <formula1>"1,1 &amp; 3,1 &amp; 2 &amp; 3,3"</formula1>
    </dataValidation>
    <dataValidation type="list" allowBlank="1" showInputMessage="1" showErrorMessage="1" sqref="K43:K1048576 J1:J2 K4" xr:uid="{00000000-0002-0000-0100-000003000000}">
      <formula1>"cCCS1,cCCS2,cG105,cTesla,cType1,cType2,s309-1P-16A,s309-1P-32A,s309-3P-16A,s309-3P-32A,sBS1361,sCEE-7-7,sType2,sType3,Other1PhMax16A,Other1PhOver16A,Other3Ph,Pan,wInductive,wResonant"</formula1>
    </dataValidation>
    <dataValidation type="list" allowBlank="1" showInputMessage="1" showErrorMessage="1" sqref="L43:L1048576 K1:K2 L4" xr:uid="{00000000-0002-0000-0100-000004000000}">
      <formula1>"Fixed Cable,Detachable Cable,Other"</formula1>
    </dataValidation>
    <dataValidation type="list" allowBlank="1" showInputMessage="1" showErrorMessage="1" sqref="H43:H1048576 G1:G2 H4" xr:uid="{00000000-0002-0000-0100-000005000000}">
      <formula1>"AC,DC"</formula1>
    </dataValidation>
    <dataValidation type="list" showInputMessage="1" showErrorMessage="1" sqref="D5" xr:uid="{00000000-0002-0000-0100-000006000000}">
      <formula1>"Charging Station,Charging Station Software Stack"</formula1>
    </dataValidation>
    <dataValidation type="whole" allowBlank="1" showInputMessage="1" showErrorMessage="1" sqref="D24" xr:uid="{00000000-0002-0000-0100-000007000000}">
      <formula1>0</formula1>
      <formula2>50</formula2>
    </dataValidation>
    <dataValidation type="whole" operator="greaterThan" allowBlank="1" showInputMessage="1" showErrorMessage="1" sqref="D23" xr:uid="{00000000-0002-0000-0100-000008000000}">
      <formula1>0</formula1>
    </dataValidation>
  </dataValidations>
  <pageMargins left="0.7" right="0.7" top="0.75" bottom="0.75" header="0.3" footer="0.3"/>
  <pageSetup paperSize="9" orientation="portrait"/>
  <headerFooter>
    <oddHeader>&amp;L&amp;"Aptos"&amp;10&amp;K000000 TLP: GREEN&amp;1#_x000D_&amp;"Calibri"&amp;12&amp;K000000&amp;"Calibri"&amp;12&amp;K000000&amp;"Calibri"&amp;12&amp;K000000&amp;"Aptos"&amp;1 &amp;K000000 TLP: GREEN#_x000D_</oddHeader>
    <oddFooter>&amp;C&amp;"Arial"&amp;9 &amp;K000000_x000D_# Internal</oddFooter>
  </headerFooter>
  <drawing r:id="rId1"/>
  <extLst>
    <ext xmlns:x14="http://schemas.microsoft.com/office/spreadsheetml/2009/9/main" uri="{CCE6A557-97BC-4b89-ADB6-D9C93CAAB3DF}">
      <x14:dataValidations xmlns:xm="http://schemas.microsoft.com/office/excel/2006/main" count="6">
        <x14:dataValidation type="list" showInputMessage="1" showErrorMessage="1" xr:uid="{00000000-0002-0000-0100-000000000000}">
          <x14:formula1>
            <xm:f>MD!$D$1:$D$4</xm:f>
          </x14:formula1>
          <xm:sqref>D6</xm:sqref>
        </x14:dataValidation>
        <x14:dataValidation type="list" allowBlank="1" showInputMessage="1" showErrorMessage="1" xr:uid="{A25FFDCB-59BE-C94C-AA63-695AD023696E}">
          <x14:formula1>
            <xm:f>MD!$F$1:$F$4</xm:f>
          </x14:formula1>
          <xm:sqref>I6:I42</xm:sqref>
        </x14:dataValidation>
        <x14:dataValidation type="list" allowBlank="1" showInputMessage="1" showErrorMessage="1" xr:uid="{703D9E19-75EA-0749-A35C-5667DE4CCACB}">
          <x14:formula1>
            <xm:f>MD!$Q$1:$Q$34</xm:f>
          </x14:formula1>
          <xm:sqref>K6:K42</xm:sqref>
        </x14:dataValidation>
        <x14:dataValidation type="list" allowBlank="1" showInputMessage="1" showErrorMessage="1" xr:uid="{9CCF5BF3-A632-AF45-9E4F-E6BEBB23CA7B}">
          <x14:formula1>
            <xm:f>MD!$U$1:$U$8</xm:f>
          </x14:formula1>
          <xm:sqref>D21</xm:sqref>
        </x14:dataValidation>
        <x14:dataValidation type="list" allowBlank="1" showInputMessage="1" showErrorMessage="1" xr:uid="{761D1B3A-C461-6644-9C5F-68C45352F2E9}">
          <x14:formula1>
            <xm:f>MD!$S$1:$S$3</xm:f>
          </x14:formula1>
          <xm:sqref>D22</xm:sqref>
        </x14:dataValidation>
        <x14:dataValidation type="list" allowBlank="1" showInputMessage="1" showErrorMessage="1" xr:uid="{3747C2F7-646E-2547-B8D2-F873EBE38BF9}">
          <x14:formula1>
            <xm:f>IF(AND($D$5="Charging Station Software Stack",COUNTA($G$7:$K$42)=0),MD!$E$1:$E$3,MD!$E$1:$E$2)</xm:f>
          </x14:formula1>
          <xm:sqref>H6:H42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9"/>
  <sheetViews>
    <sheetView showGridLines="0" workbookViewId="0">
      <selection activeCell="C5" sqref="C5"/>
    </sheetView>
  </sheetViews>
  <sheetFormatPr defaultColWidth="8.625" defaultRowHeight="15.75" x14ac:dyDescent="0.25"/>
  <cols>
    <col min="2" max="2" width="34.125" bestFit="1" customWidth="1"/>
    <col min="3" max="3" width="17.625" customWidth="1"/>
    <col min="4" max="4" width="69.125" customWidth="1"/>
  </cols>
  <sheetData>
    <row r="1" spans="2:6" ht="30.75" customHeight="1" x14ac:dyDescent="0.35">
      <c r="B1" s="391" t="s">
        <v>361</v>
      </c>
      <c r="C1" s="390"/>
      <c r="D1" s="390"/>
      <c r="E1" s="35" t="s">
        <v>2110</v>
      </c>
      <c r="F1" s="17" t="str">
        <f>IF(_xlfn.CONCAT(Profile_Selection_Validation)="","VALID","INVALID")</f>
        <v>VALID</v>
      </c>
    </row>
    <row r="2" spans="2:6" ht="38.25" customHeight="1" x14ac:dyDescent="0.25">
      <c r="E2" s="35" t="s">
        <v>2111</v>
      </c>
      <c r="F2" s="17" t="str">
        <f>'Statement of Approval'!$O$2</f>
        <v>INVALID</v>
      </c>
    </row>
    <row r="3" spans="2:6" ht="17.100000000000001" customHeight="1" x14ac:dyDescent="0.25">
      <c r="B3" s="132" t="s">
        <v>1</v>
      </c>
      <c r="C3" s="6" t="s">
        <v>362</v>
      </c>
      <c r="D3" s="133" t="s">
        <v>363</v>
      </c>
      <c r="E3" s="13"/>
    </row>
    <row r="4" spans="2:6" ht="41.25" customHeight="1" x14ac:dyDescent="0.25">
      <c r="B4" s="134" t="s">
        <v>5</v>
      </c>
      <c r="C4" s="312" t="s">
        <v>364</v>
      </c>
      <c r="D4" s="135" t="s">
        <v>365</v>
      </c>
      <c r="E4" s="18" t="str">
        <f>IF(ISBLANK(C4),"&lt;---- This field cannot be left empty!",IF(AND(C4 &lt;&gt; "Yes", C4 &lt;&gt; "No"),"&lt;---- This field must be filled from the drop-down menu", ""))</f>
        <v/>
      </c>
      <c r="F4" s="311" t="str">
        <f>IF(COUNTIF('OCPP family members'!$B$13:$B$41,B4)&gt;0, "Member", "")</f>
        <v/>
      </c>
    </row>
    <row r="5" spans="2:6" ht="41.25" customHeight="1" x14ac:dyDescent="0.25">
      <c r="B5" s="136" t="s">
        <v>217</v>
      </c>
      <c r="C5" s="51" t="s">
        <v>364</v>
      </c>
      <c r="D5" s="137" t="s">
        <v>367</v>
      </c>
      <c r="E5" s="18" t="str">
        <f>IF(ISBLANK(C5),"&lt;---- This field cannot be left empty!",IF(AND(C5 &lt;&gt; "Yes", C5 &lt;&gt; "No"),"&lt;---- This field must be filled from the drop-down menu", ""))</f>
        <v/>
      </c>
      <c r="F5" s="311" t="str">
        <f>IF(COUNTIF('OCPP family members'!$B$13:$B$41,B5)&gt;0, "Member", "")</f>
        <v/>
      </c>
    </row>
    <row r="6" spans="2:6" ht="41.25" customHeight="1" x14ac:dyDescent="0.25">
      <c r="B6" s="138" t="s">
        <v>228</v>
      </c>
      <c r="C6" s="52" t="s">
        <v>366</v>
      </c>
      <c r="D6" s="139" t="s">
        <v>368</v>
      </c>
      <c r="E6" s="18" t="str">
        <f>IF(ISBLANK(C6),"&lt;---- This field cannot be left empty!",IF(AND(C6 &lt;&gt; "Yes", C6 &lt;&gt; "No"),"&lt;---- This field must be filled from the drop-down menu", ""))</f>
        <v/>
      </c>
      <c r="F6" s="311" t="str">
        <f>IF(COUNTIF('OCPP family members'!$B$13:$B$41,B6)&gt;0, "Member", "")</f>
        <v/>
      </c>
    </row>
    <row r="7" spans="2:6" ht="41.25" customHeight="1" x14ac:dyDescent="0.25">
      <c r="B7" s="112" t="s">
        <v>369</v>
      </c>
      <c r="C7" s="53" t="s">
        <v>366</v>
      </c>
      <c r="D7" s="140" t="s">
        <v>370</v>
      </c>
      <c r="E7" s="18" t="str">
        <f>IF(ISBLANK(C7),"&lt;---- This field cannot be left empty!",IF(AND(C7 &lt;&gt; "Yes", C7 &lt;&gt; "No"),"&lt;---- This field must be filled from the drop-down menu", ""))</f>
        <v/>
      </c>
      <c r="F7" s="311" t="str">
        <f>IF(COUNTIF('OCPP family members'!$B$13:$B$41,B7)&gt;0, "Member", "")</f>
        <v/>
      </c>
    </row>
    <row r="8" spans="2:6" ht="30" x14ac:dyDescent="0.25">
      <c r="B8" s="138" t="s">
        <v>275</v>
      </c>
      <c r="C8" s="52" t="s">
        <v>366</v>
      </c>
      <c r="D8" s="139" t="s">
        <v>371</v>
      </c>
      <c r="E8" s="13" t="str">
        <f>IF(ISBLANK(C8),"&lt;---- This field cannot be left empty!",IF(AND(C8 &lt;&gt; "Yes", C8 &lt;&gt; "No"),"&lt;---- This field must be filled from the drop-down menu",IF(AND(C8="Yes",C6&lt;&gt;"Yes"),"&lt;---- Bidirectional Power Transfer requires Smart Charging to be supported","")))</f>
        <v/>
      </c>
      <c r="F8" s="311" t="str">
        <f>IF(COUNTIF('OCPP family members'!$B$13:$B$41,B8)&gt;0, "Member", "")</f>
        <v/>
      </c>
    </row>
    <row r="9" spans="2:6" ht="45" x14ac:dyDescent="0.25">
      <c r="B9" s="141" t="s">
        <v>372</v>
      </c>
      <c r="C9" s="54" t="s">
        <v>366</v>
      </c>
      <c r="D9" s="142" t="s">
        <v>373</v>
      </c>
      <c r="E9" s="13" t="str">
        <f>IF(ISBLANK(C9),"&lt;---- This field cannot be left empty!",IF(AND(C9 &lt;&gt; "Yes", C9 &lt;&gt; "No"),"&lt;---- This field must be filled from the drop-down menu", ""))</f>
        <v/>
      </c>
      <c r="F9" s="311" t="str">
        <f>IF(COUNTIF('OCPP family members'!$B$13:$B$41,B9)&gt;0, "Member", "")</f>
        <v/>
      </c>
    </row>
  </sheetData>
  <sheetProtection algorithmName="SHA-512" hashValue="VGMnbaAPfynQG8hxIIO2GxT4iNjScR4Tpwg1m3mP74VRlaHwEyrRjoMJ4iwW7lzmfYVgNsnBs860TK7ZJeDiYQ==" saltValue="pI+jY1P+Q4uoM/sg0okUQw==" spinCount="100000" sheet="1" objects="1" scenarios="1"/>
  <mergeCells count="1">
    <mergeCell ref="B1:D1"/>
  </mergeCells>
  <conditionalFormatting sqref="F1">
    <cfRule type="cellIs" dxfId="25" priority="4" operator="equal">
      <formula>"VALID"</formula>
    </cfRule>
  </conditionalFormatting>
  <conditionalFormatting sqref="F1:F2">
    <cfRule type="cellIs" dxfId="24" priority="2" operator="equal">
      <formula>"INVALID"</formula>
    </cfRule>
  </conditionalFormatting>
  <conditionalFormatting sqref="F2">
    <cfRule type="cellIs" dxfId="23" priority="1" operator="equal">
      <formula>"VALID for a VDoC"</formula>
    </cfRule>
    <cfRule type="cellIs" dxfId="22" priority="3" operator="equal">
      <formula>"VALID for Certification"</formula>
    </cfRule>
  </conditionalFormatting>
  <dataValidations count="2">
    <dataValidation type="list" showInputMessage="1" showErrorMessage="1" sqref="C5:C7" xr:uid="{00000000-0002-0000-0200-000000000000}">
      <formula1>"Yes,No"</formula1>
    </dataValidation>
    <dataValidation type="list" allowBlank="1" showInputMessage="1" showErrorMessage="1" sqref="C8:C9" xr:uid="{24452A0F-5B35-954B-AA8E-BC8A46E45139}">
      <formula1>"Yes,No"</formula1>
    </dataValidation>
  </dataValidations>
  <pageMargins left="0.7" right="0.7" top="0.75" bottom="0.75" header="0.3" footer="0.3"/>
  <pageSetup paperSize="9" orientation="portrait"/>
  <headerFooter>
    <oddHeader>&amp;L&amp;"Aptos"&amp;10&amp;K000000 TLP: GREEN&amp;1#_x000D_&amp;"Calibri"&amp;12&amp;K000000&amp;"Calibri"&amp;12&amp;K000000&amp;"Calibri"&amp;12&amp;K000000&amp;"Aptos"&amp;1 &amp;K000000 TLP: GREEN#_x000D_</oddHeader>
    <oddFooter>&amp;C&amp;"Arial"&amp;9 &amp;K000000_x000D_# Internal</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H265"/>
  <sheetViews>
    <sheetView showGridLines="0" zoomScale="110" zoomScaleNormal="110" workbookViewId="0">
      <selection activeCell="D6" sqref="D6"/>
    </sheetView>
  </sheetViews>
  <sheetFormatPr defaultColWidth="28.125" defaultRowHeight="15.75" outlineLevelRow="1" x14ac:dyDescent="0.25"/>
  <cols>
    <col min="1" max="1" width="14.125" customWidth="1"/>
    <col min="2" max="2" width="8" style="41" customWidth="1"/>
    <col min="3" max="3" width="102.625" style="1" bestFit="1" customWidth="1"/>
    <col min="4" max="4" width="47.875" style="3" customWidth="1"/>
    <col min="5" max="5" width="40" customWidth="1"/>
    <col min="6" max="6" width="8.5" bestFit="1" customWidth="1"/>
    <col min="8" max="8" width="28.125" hidden="1" customWidth="1"/>
  </cols>
  <sheetData>
    <row r="1" spans="2:8" ht="32.85" customHeight="1" x14ac:dyDescent="0.35">
      <c r="B1" s="396" t="s">
        <v>374</v>
      </c>
      <c r="C1" s="390"/>
      <c r="D1" s="389"/>
      <c r="E1" s="35" t="s">
        <v>375</v>
      </c>
      <c r="F1" s="17" t="str">
        <f>IF(_xlfn.CONCAT(E4,OF_Validation_Core,OF_Validation_AuthMeter,OF_Validation_Core2,OF_Validation_Profiles,OF_Validation_Payment, OF_Validation_Bidirectional,E83)="","VALID","INVALID")</f>
        <v>INVALID</v>
      </c>
    </row>
    <row r="2" spans="2:8" ht="86.25" customHeight="1" x14ac:dyDescent="0.35">
      <c r="B2" s="143"/>
      <c r="C2" s="395" t="s">
        <v>376</v>
      </c>
      <c r="D2" s="389"/>
      <c r="E2" s="35" t="s">
        <v>303</v>
      </c>
      <c r="F2" s="17" t="str">
        <f>'Statement of Approval'!$O$2</f>
        <v>INVALID</v>
      </c>
    </row>
    <row r="3" spans="2:8" ht="24" customHeight="1" x14ac:dyDescent="0.25"/>
    <row r="4" spans="2:8" x14ac:dyDescent="0.25">
      <c r="B4" s="116" t="s">
        <v>329</v>
      </c>
      <c r="C4" s="42" t="s">
        <v>377</v>
      </c>
      <c r="D4" s="144" t="s">
        <v>330</v>
      </c>
      <c r="E4" s="13" t="str">
        <f>IF(NOT(AND(VLOOKUP("C-01",'Optional features'!B:D,3,FALSE)="Yes",VLOOKUP("C-30",'Optional features'!B:D,3,FALSE)="No",VLOOKUP("C-31",'Optional features'!B:D,3,FALSE)="No",VLOOKUP("C-32",'Optional features'!B:D,3,FALSE)="No",VLOOKUP("C-34",'Optional features'!B:D,3,FALSE)="No")),"","C-01: missing (at least) 1 local authorization option")</f>
        <v/>
      </c>
    </row>
    <row r="5" spans="2:8" x14ac:dyDescent="0.25">
      <c r="B5" s="145" t="s">
        <v>4</v>
      </c>
      <c r="C5" s="146" t="str">
        <f>VLOOKUP(B5,'HIDDEN features'!A:D,3,FALSE)</f>
        <v>Support for offline authorization of transactions</v>
      </c>
      <c r="D5" s="147" t="str">
        <f>IF(OR(VLOOKUP("C-35",'Optional features'!B:D,3,FALSE)="Yes",AND(OR(VLOOKUP("LA-0",'Optional features'!B:D,3,FALSE)="Yes",VLOOKUP("C-49",'Optional features'!B:D,3,FALSE)="Yes"),OR(VLOOKUP("C-30",'Optional features'!B:D,3,FALSE)="Yes",VLOOKUP("C-31",'Optional features'!B:D,3,FALSE)="Yes",VLOOKUP("C-32",'Optional features'!B:D,3,FALSE)="Yes",VLOOKUP("C-34",'Optional features'!B:D,3,FALSE)="Yes")),AND(VLOOKUP("C-02",'Optional features'!B:D,3,FALSE)="Yes",OR(VLOOKUP("C-30",'Optional features'!B:D,3,FALSE)="Yes",VLOOKUP("C-31",'Optional features'!B:D,3,FALSE)="Yes",VLOOKUP("C-32",'Optional features'!B:D,3,FALSE)="Yes",VLOOKUP("C-33",'Optional features'!B:D,3,FALSE)="Yes",VLOOKUP("C-34",'Optional features'!B:D,3,FALSE)="Yes"))),"Yes","No")</f>
        <v>No</v>
      </c>
      <c r="E5" s="13"/>
      <c r="H5" t="str">
        <f>IF(COUNTIF('OCPP family members'!$B$13:$B$41,B5)&gt;0, "Member", "")</f>
        <v/>
      </c>
    </row>
    <row r="6" spans="2:8" x14ac:dyDescent="0.25">
      <c r="B6" s="148" t="s">
        <v>8</v>
      </c>
      <c r="C6" s="149" t="str">
        <f>VLOOKUP(B6,'HIDDEN features'!A:D,3,FALSE)</f>
        <v>Support for allowing Offline Authorization for Unknown Ids (OfflineTxForUnknownIdEnabled)</v>
      </c>
      <c r="D6" s="9" t="s">
        <v>366</v>
      </c>
      <c r="E6" s="18" t="str">
        <f>IF(AND(VLOOKUP("C-01",'Optional features'!B:D,3,FALSE)="No",VLOOKUP("C-02",'Optional features'!B:D,3,FALSE)="Yes"),"&lt;-- C-02 cannot be Yes, when no local authorization method is supported",IF(AND(NOT(ISBLANK(B6)),ISBLANK(D6)),"&lt;---- This field cannot be left empty!",IF(AND(D6 &lt;&gt; "Yes", D6 &lt;&gt; "No"),"&lt;---- This field must be filled from the drop-down menu", "")))</f>
        <v/>
      </c>
      <c r="H6" t="str">
        <f>IF(COUNTIF('OCPP family members'!$B$13:$B$41,B6)&gt;0, "Member", "")</f>
        <v/>
      </c>
    </row>
    <row r="7" spans="2:8" x14ac:dyDescent="0.25">
      <c r="B7" s="151" t="s">
        <v>11</v>
      </c>
      <c r="C7" s="152" t="str">
        <f>VLOOKUP(B7,'HIDDEN features'!A:D,3,FALSE)</f>
        <v>Support for maximizing energy for invalid ids (MaxEnergyOnInvalidId)</v>
      </c>
      <c r="D7" s="8" t="s">
        <v>366</v>
      </c>
      <c r="E7" s="18" t="str">
        <f>IF(AND(NOT(ISBLANK(B7)),ISBLANK(D7)),"&lt;---- This field cannot be left empty!",IF(AND(D7 &lt;&gt; "Yes", D7 &lt;&gt; "No"),"&lt;---- This field must be filled from the drop-down menu", ""))</f>
        <v/>
      </c>
      <c r="H7" t="str">
        <f>IF(COUNTIF('OCPP family members'!$B$13:$B$41,B7)&gt;0, "Member", "")</f>
        <v/>
      </c>
    </row>
    <row r="8" spans="2:8" x14ac:dyDescent="0.25">
      <c r="B8" s="148" t="s">
        <v>13</v>
      </c>
      <c r="C8" s="149" t="str">
        <f>VLOOKUP(B8,'HIDDEN features'!A:D,3,FALSE)</f>
        <v>Support to limit StatusNotifications (MinimumStatusDuration)</v>
      </c>
      <c r="D8" s="9" t="s">
        <v>366</v>
      </c>
      <c r="E8" s="18" t="str">
        <f>IF(AND(NOT(ISBLANK(B8)),ISBLANK(D8)),"&lt;---- This field cannot be left empty!",IF(AND(D8 &lt;&gt; "Yes", D8 &lt;&gt; "No"),"&lt;---- This field must be filled from the drop-down menu", ""))</f>
        <v/>
      </c>
      <c r="H8" t="str">
        <f>IF(COUNTIF('OCPP family members'!$B$13:$B$41,B8)&gt;0, "Member", "")</f>
        <v/>
      </c>
    </row>
    <row r="9" spans="2:8" x14ac:dyDescent="0.25">
      <c r="B9" s="151" t="s">
        <v>15</v>
      </c>
      <c r="C9" s="152" t="str">
        <f>VLOOKUP(B9,'HIDDEN features'!A:D,3,FALSE)</f>
        <v>Authorization status after cable disconnected on EV side (StopTxOnEVSideDisconnect)</v>
      </c>
      <c r="D9" s="153" t="str">
        <f>VLOOKUP(B9,'HIDDEN features'!A:D,4,FALSE)</f>
        <v>(At least one of the suboptions below is required)</v>
      </c>
      <c r="E9" s="13" t="str">
        <f>IF(AND(D10="No",D11="No"),"&lt;-- Please select at least one option from C-06.1 and C-06.2","")</f>
        <v/>
      </c>
      <c r="H9" t="str">
        <f>IF(COUNTIF('OCPP family members'!$B$13:$B$41,B9)&gt;0, "Member", "")</f>
        <v/>
      </c>
    </row>
    <row r="10" spans="2:8" outlineLevel="1" x14ac:dyDescent="0.25">
      <c r="B10" s="154" t="s">
        <v>18</v>
      </c>
      <c r="C10" s="155" t="str">
        <f>VLOOKUP(B10,'HIDDEN features'!A:D,3,FALSE)</f>
        <v>Support for maintaining authorization when cable disconnected on EV side</v>
      </c>
      <c r="D10" s="9" t="s">
        <v>366</v>
      </c>
      <c r="E10" s="18" t="str">
        <f>IF(AND(NOT(ISBLANK(B11)),ISBLANK(D11)),"&lt;---- This field cannot be left empty!",IF(AND(D10="Yes",D11="No",D28="Yes",D29="No"),"&lt;---- The values C-06.1=Yes and C-06.2=No with C-12.1=Yes and C12.2=No, is not a valid combination.",IF(AND(D10 &lt;&gt; "Yes", D10 &lt;&gt; "No"),"&lt;---- This field must be filled from the drop-down menu", "")))</f>
        <v/>
      </c>
      <c r="H10" t="str">
        <f>IF(COUNTIF('OCPP family members'!$B$13:$B$41,B10)&gt;0, "Member", "")</f>
        <v/>
      </c>
    </row>
    <row r="11" spans="2:8" outlineLevel="1" x14ac:dyDescent="0.25">
      <c r="B11" s="156" t="s">
        <v>20</v>
      </c>
      <c r="C11" s="157" t="str">
        <f>VLOOKUP(B11,'HIDDEN features'!A:D,3,FALSE)</f>
        <v>Support for not maintaining authorization when cable disconnected on EV side</v>
      </c>
      <c r="D11" s="8" t="s">
        <v>364</v>
      </c>
      <c r="E11" s="18" t="str">
        <f>IF(AND(NOT(ISBLANK(B11)),ISBLANK(D11)),"&lt;---- This field cannot be left empty!",IF(AND(D11 &lt;&gt; "Yes", D11 &lt;&gt; "No"),"&lt;---- This field must be filled from the drop-down menu", ""))</f>
        <v/>
      </c>
      <c r="H11" t="str">
        <f>IF(COUNTIF('OCPP family members'!$B$13:$B$41,B11)&gt;0, "Member", "")</f>
        <v/>
      </c>
    </row>
    <row r="12" spans="2:8" x14ac:dyDescent="0.25">
      <c r="B12" s="148" t="s">
        <v>22</v>
      </c>
      <c r="C12" s="149" t="str">
        <f>VLOOKUP(B12,'HIDDEN features'!A:D,3,FALSE)</f>
        <v>Support for using a Master Pass for charging stations with UI (MasterPassGroupId)</v>
      </c>
      <c r="D12" s="9" t="s">
        <v>364</v>
      </c>
      <c r="E12" s="18" t="str">
        <f>IF(AND(NOT(ISBLANK(B12)),ISBLANK(D12)),"&lt;---- This field cannot be left empty!",IF(AND(D12 &lt;&gt; "Yes", D12 &lt;&gt; "No"),"&lt;---- This field must be filled from the drop-down menu", ""))</f>
        <v/>
      </c>
      <c r="H12" t="str">
        <f>IF(COUNTIF('OCPP family members'!$B$13:$B$41,B12)&gt;0, "Member", "")</f>
        <v/>
      </c>
    </row>
    <row r="13" spans="2:8" x14ac:dyDescent="0.25">
      <c r="B13" s="151" t="s">
        <v>24</v>
      </c>
      <c r="C13" s="152" t="str">
        <f>VLOOKUP(B13,'HIDDEN features'!A:D,3,FALSE)</f>
        <v>Support for using a Master Pass for charging stations without UI (MasterPassGroupId)</v>
      </c>
      <c r="D13" s="8" t="s">
        <v>366</v>
      </c>
      <c r="E13" s="18" t="str">
        <f>IF(AND(NOT(ISBLANK(B13)),ISBLANK(D13)),"&lt;---- This field cannot be left empty!",IF(AND(D13 &lt;&gt; "Yes", D13 &lt;&gt; "No"),"&lt;---- This field must be filled from the drop-down menu", ""))</f>
        <v/>
      </c>
      <c r="H13" t="str">
        <f>IF(COUNTIF('OCPP family members'!$B$13:$B$41,B13)&gt;0, "Member", "")</f>
        <v/>
      </c>
    </row>
    <row r="14" spans="2:8" x14ac:dyDescent="0.25">
      <c r="B14" s="148" t="s">
        <v>26</v>
      </c>
      <c r="C14" s="149" t="str">
        <f>VLOOKUP(B14,'HIDDEN features'!A:D,3,FALSE)</f>
        <v>Supported Transaction Start points (TxStartPoint)</v>
      </c>
      <c r="D14" s="150" t="str">
        <f>VLOOKUP(B14,'HIDDEN features'!A:D,4,FALSE)</f>
        <v>(At least one of the suboptions below is required)</v>
      </c>
      <c r="E14" s="13" t="str">
        <f>IF(AND(D15="No",D16="No",D17="No",D18="No",D19="No",D20="No"),"&lt;-- Please select at least one TxStartPoint","")</f>
        <v/>
      </c>
      <c r="H14" t="str">
        <f>IF(COUNTIF('OCPP family members'!$B$13:$B$41,B14)&gt;0, "Member", "")</f>
        <v/>
      </c>
    </row>
    <row r="15" spans="2:8" outlineLevel="1" x14ac:dyDescent="0.25">
      <c r="B15" s="156" t="s">
        <v>28</v>
      </c>
      <c r="C15" s="157" t="str">
        <f>VLOOKUP(B15,'HIDDEN features'!A:D,3,FALSE)</f>
        <v>Start transaction options - EVConnected</v>
      </c>
      <c r="D15" s="8" t="s">
        <v>366</v>
      </c>
      <c r="E15" s="13" t="str">
        <f>IF(VLOOKUP("C-09.1",'Optional features'!B:E,3,FALSE)="No","",IF(NOT(AND(VLOOKUP("C-51",'Optional features'!B:E,3,FALSE)="No",VLOOKUP("C-09.1",'Optional features'!B:E,3,FALSE)="Yes",VLOOKUP("C-09.6",'Optional features'!B:E,3,FALSE)="Yes")),IF(AND(D15 &lt;&gt; "Yes", D15 &lt;&gt; "No"),"&lt;---- This field must be filled from the drop-down menu", ""),"&lt;-- the combination of TxStartPoints seems invalid (taking into account that C-51 = No)"))</f>
        <v/>
      </c>
      <c r="H15" t="str">
        <f>IF(COUNTIF('OCPP family members'!$B$13:$B$41,B15)&gt;0, "Member", "")</f>
        <v/>
      </c>
    </row>
    <row r="16" spans="2:8" outlineLevel="1" x14ac:dyDescent="0.25">
      <c r="B16" s="154" t="s">
        <v>30</v>
      </c>
      <c r="C16" s="155" t="str">
        <f>VLOOKUP(B16,'HIDDEN features'!A:D,3,FALSE)</f>
        <v>Start transaction options - Authorized</v>
      </c>
      <c r="D16" s="9" t="s">
        <v>366</v>
      </c>
      <c r="E16" s="13" t="str">
        <f>IF(VLOOKUP("C-09.2",'Optional features'!B:E,3,FALSE)="No","",IF(NOT(AND(VLOOKUP("C-51",'Optional features'!B:E,3,FALSE)="No",VLOOKUP("C-09.2",'Optional features'!B:E,3,FALSE)="Yes",VLOOKUP("C-09.6",'Optional features'!B:E,3,FALSE)="Yes")),IF(AND(D16 &lt;&gt; "Yes", D16 &lt;&gt; "No"),"&lt;---- This field must be filled from the drop-down menu", ""),"&lt;-- the combination of TxStartPoints seems invalid (taking into account that C-51 = No)"))</f>
        <v/>
      </c>
      <c r="H16" t="str">
        <f>IF(COUNTIF('OCPP family members'!$B$13:$B$41,B16)&gt;0, "Member", "")</f>
        <v/>
      </c>
    </row>
    <row r="17" spans="2:8" outlineLevel="1" x14ac:dyDescent="0.25">
      <c r="B17" s="156" t="s">
        <v>32</v>
      </c>
      <c r="C17" s="157" t="str">
        <f>VLOOKUP(B17,'HIDDEN features'!A:D,3,FALSE)</f>
        <v>Start transaction options - DataSigned</v>
      </c>
      <c r="D17" s="8" t="s">
        <v>366</v>
      </c>
      <c r="E17" s="13" t="str">
        <f>IF(OR(VLOOKUP("C-09.3",'Optional features'!B:E,3,FALSE)="No",VLOOKUP("C-51",'Optional features'!B:E,3,FALSE)="Yes"),"",IF(NOT(AND(VLOOKUP("C-51",'Optional features'!B:E,3,FALSE)="No",VLOOKUP("C-09.3",'Optional features'!B:E,3,FALSE)="Yes",VLOOKUP("C-09.1",'Optional features'!B:E,3,FALSE)="No",VLOOKUP("C-09.2",'Optional features'!B:E,3,FALSE)="No",VLOOKUP("C-09.6",'Optional features'!B:E,3,FALSE)="No")),"&lt;-- the combination of TxStartPoints seems invalid (taking into account that C-51 = No)",IF(AND(D17 &lt;&gt; "Yes", D17 &lt;&gt; "No"),"&lt;---- This field must be filled from the drop-down menu", "")))</f>
        <v/>
      </c>
      <c r="H17" t="str">
        <f>IF(COUNTIF('OCPP family members'!$B$13:$B$41,B17)&gt;0, "Member", "")</f>
        <v/>
      </c>
    </row>
    <row r="18" spans="2:8" outlineLevel="1" x14ac:dyDescent="0.25">
      <c r="B18" s="154" t="s">
        <v>34</v>
      </c>
      <c r="C18" s="155" t="str">
        <f>VLOOKUP(B18,'HIDDEN features'!A:D,3,FALSE)</f>
        <v>Start transaction options - PowerPathClosed</v>
      </c>
      <c r="D18" s="9" t="s">
        <v>364</v>
      </c>
      <c r="E18" s="13" t="str">
        <f>IF(OR(VLOOKUP("C-09.4",'Optional features'!B:E,3,FALSE)="No",VLOOKUP("C-51",'Optional features'!B:E,3,FALSE)="Yes"),"",IF(NOT(AND(VLOOKUP("C-51",'Optional features'!B:E,3,FALSE)="No",VLOOKUP("C-09.4",'Optional features'!B:E,3,FALSE)="Yes",VLOOKUP("C-09.1",'Optional features'!B:E,3,FALSE)="No",VLOOKUP("C-09.2",'Optional features'!B:E,3,FALSE)="No",VLOOKUP("C-09.6",'Optional features'!B:E,3,FALSE)="No")),"&lt;-- the combination of TxStartPoints seems invalid (taking into account that C-51 = No)",IF(AND(D18 &lt;&gt; "Yes", D18 &lt;&gt; "No"),"&lt;---- This field must be filled from the drop-down menu", "")))</f>
        <v/>
      </c>
      <c r="H18" t="str">
        <f>IF(COUNTIF('OCPP family members'!$B$13:$B$41,B18)&gt;0, "Member", "")</f>
        <v/>
      </c>
    </row>
    <row r="19" spans="2:8" outlineLevel="1" x14ac:dyDescent="0.25">
      <c r="B19" s="156" t="s">
        <v>36</v>
      </c>
      <c r="C19" s="157" t="str">
        <f>VLOOKUP(B19,'HIDDEN features'!A:D,3,FALSE)</f>
        <v>Start transaction options - EnergyTransfer</v>
      </c>
      <c r="D19" s="8" t="s">
        <v>366</v>
      </c>
      <c r="E19" s="13" t="str">
        <f>IF(OR(VLOOKUP("C-09.5",'Optional features'!B:E,3,FALSE)="No",VLOOKUP("C-51",'Optional features'!B:E,3,FALSE)="Yes"),"",IF(NOT(AND(VLOOKUP("C-51",'Optional features'!B:E,3,FALSE)="No",VLOOKUP("C-09.5",'Optional features'!B:E,3,FALSE)="Yes",VLOOKUP("C-09.1",'Optional features'!B:E,3,FALSE)="No",VLOOKUP("C-09.2",'Optional features'!B:E,3,FALSE)="No",VLOOKUP("C-09.3",'Optional features'!B:E,3,FALSE)="No",VLOOKUP("C-09.4",'Optional features'!B:E,3,FALSE)="No",VLOOKUP("C-09.6",'Optional features'!B:E,3,FALSE)="No")),"&lt;-- the combination of TxStartPoints seems invalid (taking into account that C-51 = No)",IF(AND(D19 &lt;&gt; "Yes", D19 &lt;&gt; "No"),"&lt;---- This field must be filled from the drop-down menu", "")))</f>
        <v/>
      </c>
      <c r="H19" t="str">
        <f>IF(COUNTIF('OCPP family members'!$B$13:$B$41,B19)&gt;0, "Member", "")</f>
        <v/>
      </c>
    </row>
    <row r="20" spans="2:8" outlineLevel="1" x14ac:dyDescent="0.25">
      <c r="B20" s="154" t="s">
        <v>38</v>
      </c>
      <c r="C20" s="155" t="str">
        <f>VLOOKUP(B20,'HIDDEN features'!A:D,3,FALSE)</f>
        <v>Start transaction options - ParkingBayOccupancy</v>
      </c>
      <c r="D20" s="9" t="s">
        <v>366</v>
      </c>
      <c r="E20" s="18" t="str">
        <f>IF(AND(NOT(ISBLANK(B20)),ISBLANK(D20)),"&lt;---- This field cannot be left empty!",IF(AND(D20 &lt;&gt; "Yes", D20 &lt;&gt; "No"),"&lt;---- This field must be filled from the drop-down menu", ""))</f>
        <v/>
      </c>
      <c r="H20" t="str">
        <f>IF(COUNTIF('OCPP family members'!$B$13:$B$41,B20)&gt;0, "Member", "")</f>
        <v/>
      </c>
    </row>
    <row r="21" spans="2:8" x14ac:dyDescent="0.25">
      <c r="B21" s="151" t="s">
        <v>40</v>
      </c>
      <c r="C21" s="152" t="str">
        <f>VLOOKUP(B21,'HIDDEN features'!A:D,3,FALSE)</f>
        <v>Supported Transaction Stop points (TxStopPoint)</v>
      </c>
      <c r="D21" s="153" t="str">
        <f>VLOOKUP(B21,'HIDDEN features'!A:D,4,FALSE)</f>
        <v>(At least one of the suboptions below is required)</v>
      </c>
      <c r="E21" s="13" t="str">
        <f>IF(AND(D22="No",D23="No",D24="No",D25="No",D26="No"),"&lt;-- Please select at least one TxStopPoint","")</f>
        <v/>
      </c>
      <c r="H21" t="str">
        <f>IF(COUNTIF('OCPP family members'!$B$13:$B$41,B21)&gt;0, "Member", "")</f>
        <v/>
      </c>
    </row>
    <row r="22" spans="2:8" outlineLevel="1" x14ac:dyDescent="0.25">
      <c r="B22" s="154" t="s">
        <v>42</v>
      </c>
      <c r="C22" s="155" t="str">
        <f>VLOOKUP(B22,'HIDDEN features'!A:D,3,FALSE)</f>
        <v>Stop transaction options - EVConnected</v>
      </c>
      <c r="D22" s="9" t="s">
        <v>364</v>
      </c>
      <c r="E22" s="13" t="str">
        <f>IF(OR(VLOOKUP("C-10.1",'Optional features'!B:E,3,FALSE)="No",VLOOKUP("C-52",'Optional features'!B:E,3,FALSE)="Yes"),"",IF(NOT(AND(VLOOKUP("C-52",'Optional features'!B:E,3,FALSE)="No",VLOOKUP("C-10.1",'Optional features'!B:E,3,FALSE)="Yes",VLOOKUP("C-10.4",'Optional features'!B:E,3,FALSE)="No")),"&lt;-- the combination of TxStopPoints seems invalid (taking into account that C-52 = No)",IF(AND(D22 &lt;&gt; "Yes", D22 &lt;&gt; "No"),"&lt;---- This field must be filled from the drop-down menu", "")))</f>
        <v/>
      </c>
      <c r="H22" t="str">
        <f>IF(COUNTIF('OCPP family members'!$B$13:$B$41,B22)&gt;0, "Member", "")</f>
        <v/>
      </c>
    </row>
    <row r="23" spans="2:8" outlineLevel="1" x14ac:dyDescent="0.25">
      <c r="B23" s="156" t="s">
        <v>44</v>
      </c>
      <c r="C23" s="157" t="str">
        <f>VLOOKUP(B23,'HIDDEN features'!A:D,3,FALSE)</f>
        <v>Stop transaction options - Authorized</v>
      </c>
      <c r="D23" s="8" t="s">
        <v>364</v>
      </c>
      <c r="E23" s="13" t="str">
        <f>IF(AND(D23 &lt;&gt; "Yes", D23 &lt;&gt; "No"),"&lt;---- This field must be filled from the drop-down menu", "")</f>
        <v/>
      </c>
      <c r="H23" t="str">
        <f>IF(COUNTIF('OCPP family members'!$B$13:$B$41,B23)&gt;0, "Member", "")</f>
        <v/>
      </c>
    </row>
    <row r="24" spans="2:8" outlineLevel="1" x14ac:dyDescent="0.25">
      <c r="B24" s="154" t="s">
        <v>46</v>
      </c>
      <c r="C24" s="155" t="str">
        <f>VLOOKUP(B24,'HIDDEN features'!A:D,3,FALSE)</f>
        <v>Stop transaction options - PowerPathClosed</v>
      </c>
      <c r="D24" s="9" t="s">
        <v>366</v>
      </c>
      <c r="E24" s="13" t="str">
        <f>IF(AND(D24 &lt;&gt; "Yes", D24 &lt;&gt; "No"),"&lt;---- This field must be filled from the drop-down menu", "")</f>
        <v/>
      </c>
      <c r="H24" t="str">
        <f>IF(COUNTIF('OCPP family members'!$B$13:$B$41,B24)&gt;0, "Member", "")</f>
        <v/>
      </c>
    </row>
    <row r="25" spans="2:8" outlineLevel="1" x14ac:dyDescent="0.25">
      <c r="B25" s="156" t="s">
        <v>48</v>
      </c>
      <c r="C25" s="157" t="str">
        <f>VLOOKUP(B25,'HIDDEN features'!A:D,3,FALSE)</f>
        <v>Stop transaction options - EnergyTransfer</v>
      </c>
      <c r="D25" s="8" t="s">
        <v>366</v>
      </c>
      <c r="E25" s="13" t="str">
        <f>IF(AND(D25 &lt;&gt; "Yes", D25 &lt;&gt; "No"),"&lt;---- This field must be filled from the drop-down menu", "")</f>
        <v/>
      </c>
      <c r="H25" t="str">
        <f>IF(COUNTIF('OCPP family members'!$B$13:$B$41,B25)&gt;0, "Member", "")</f>
        <v/>
      </c>
    </row>
    <row r="26" spans="2:8" outlineLevel="1" x14ac:dyDescent="0.25">
      <c r="B26" s="154" t="s">
        <v>50</v>
      </c>
      <c r="C26" s="155" t="str">
        <f>VLOOKUP(B26,'HIDDEN features'!A:D,3,FALSE)</f>
        <v>Stop transaction options - ParkingBayOccupancy</v>
      </c>
      <c r="D26" s="9" t="s">
        <v>366</v>
      </c>
      <c r="E26" s="13" t="str">
        <f>IF(OR(VLOOKUP("C-10.5",'Optional features'!B:E,3,FALSE)="No",VLOOKUP("C-52",'Optional features'!B:E,3,FALSE)="Yes"),"",IF(NOT(AND(VLOOKUP("C-52",'Optional features'!B:E,3,FALSE)="No",VLOOKUP("C-10.5",'Optional features'!B:E,3,FALSE)="Yes",VLOOKUP("C-10.1",'Optional features'!B:E,3,FALSE)="No",VLOOKUP("C-10.2",'Optional features'!B:E,3,FALSE)="No",VLOOKUP("C-10.3",'Optional features'!B:E,3,FALSE)="No",VLOOKUP("C-10.4",'Optional features'!B:E,3,FALSE)="No")),"&lt;-- the combination of TxStopPoints seems invalid (taking into account that C-52 = No)",IF(AND(D26 &lt;&gt; "Yes", D26 &lt;&gt; "No"),"&lt;---- This field must be filled from the drop-down menu", "")))</f>
        <v/>
      </c>
      <c r="H26" t="str">
        <f>IF(COUNTIF('OCPP family members'!$B$13:$B$41,B26)&gt;0, "Member", "")</f>
        <v/>
      </c>
    </row>
    <row r="27" spans="2:8" x14ac:dyDescent="0.25">
      <c r="B27" s="151" t="s">
        <v>52</v>
      </c>
      <c r="C27" s="152" t="str">
        <f>VLOOKUP(B27,'HIDDEN features'!A:D,3,FALSE)</f>
        <v>Unlocking of connector when cable disconnected on EV side (UnlockOnEVSideDisconnect)</v>
      </c>
      <c r="D27" s="153" t="str">
        <f>VLOOKUP(B27,'HIDDEN features'!A:D,4,FALSE)</f>
        <v>(At least one of the suboptions below is required)</v>
      </c>
      <c r="E27" s="13" t="str">
        <f>IF(AND(D28="No",D29="No"),"&lt;-- Please select at least one option from C-12.1 and C-12.2","")</f>
        <v/>
      </c>
      <c r="H27" t="str">
        <f>IF(COUNTIF('OCPP family members'!$B$13:$B$41,B27)&gt;0, "Member", "")</f>
        <v/>
      </c>
    </row>
    <row r="28" spans="2:8" outlineLevel="1" x14ac:dyDescent="0.25">
      <c r="B28" s="154" t="s">
        <v>54</v>
      </c>
      <c r="C28" s="155" t="str">
        <f>VLOOKUP(B28,'HIDDEN features'!A:D,3,FALSE)</f>
        <v>Support for unlocking connector when cable disconnected on EV side</v>
      </c>
      <c r="D28" s="9" t="s">
        <v>364</v>
      </c>
      <c r="E28" s="18" t="str">
        <f>IF(AND(D28="Yes",'Hardware Feature set'!D13="No"),"&lt;--- Support for unlocking a connector requires a Detachable Cable", IF(AND(NOT(ISBLANK(B28)),ISBLANK(D28)),"&lt;---- This field cannot be left empty!",IF(AND(D28 &lt;&gt; "Yes", D28 &lt;&gt; "No"),"&lt;---- This field must be filled from the drop-down menu", "")))</f>
        <v>&lt;--- Support for unlocking a connector requires a Detachable Cable</v>
      </c>
      <c r="H28" t="str">
        <f>IF(COUNTIF('OCPP family members'!$B$13:$B$41,B28)&gt;0, "Member", "")</f>
        <v/>
      </c>
    </row>
    <row r="29" spans="2:8" outlineLevel="1" x14ac:dyDescent="0.25">
      <c r="B29" s="156" t="s">
        <v>56</v>
      </c>
      <c r="C29" s="157" t="str">
        <f>VLOOKUP(B29,'HIDDEN features'!A:D,3,FALSE)</f>
        <v>Support for not unlocking when cable disconnected on EV side</v>
      </c>
      <c r="D29" s="8" t="s">
        <v>364</v>
      </c>
      <c r="E29" s="18" t="str">
        <f>IF(AND(NOT(ISBLANK(B29)),ISBLANK(D29)),"&lt;---- This field cannot be left empty!",IF(AND(D29 &lt;&gt; "Yes", D29 &lt;&gt; "No"),"&lt;---- This field must be filled from the drop-down menu", ""))</f>
        <v/>
      </c>
      <c r="H29" t="str">
        <f>IF(COUNTIF('OCPP family members'!$B$13:$B$41,B29)&gt;0, "Member", "")</f>
        <v/>
      </c>
    </row>
    <row r="30" spans="2:8" x14ac:dyDescent="0.25">
      <c r="B30" s="148" t="s">
        <v>58</v>
      </c>
      <c r="C30" s="149" t="str">
        <f>VLOOKUP(B30,'HIDDEN features'!A:D,3,FALSE)</f>
        <v>Support for Reset per EVSE (AllowReset)</v>
      </c>
      <c r="D30" s="9" t="s">
        <v>366</v>
      </c>
      <c r="E30" s="18" t="str">
        <f>IF(AND(NOT(ISBLANK(B30)),ISBLANK(D30)),"&lt;---- This field cannot be left empty!",IF(AND(D30 &lt;&gt; "Yes", D30 &lt;&gt; "No"),"&lt;---- This field must be filled from the drop-down menu", ""))</f>
        <v/>
      </c>
      <c r="H30" t="str">
        <f>IF(COUNTIF('OCPP family members'!$B$13:$B$41,B30)&gt;0, "Member", "")</f>
        <v/>
      </c>
    </row>
    <row r="31" spans="2:8" x14ac:dyDescent="0.25">
      <c r="B31" s="151" t="s">
        <v>60</v>
      </c>
      <c r="C31" s="152" t="str">
        <f>VLOOKUP(B31,'HIDDEN features'!A:D,3,FALSE)</f>
        <v>Support for retrieving / deleting CustomerInformation - CustomerIdentifier</v>
      </c>
      <c r="D31" s="8" t="s">
        <v>366</v>
      </c>
      <c r="E31" s="18" t="str">
        <f>IF(AND(NOT(ISBLANK(B31)),ISBLANK(D31)),"&lt;---- This field cannot be left empty!",IF(AND(D31 &lt;&gt; "Yes", D31 &lt;&gt; "No"),"&lt;---- This field must be filled from the drop-down menu", ""))</f>
        <v/>
      </c>
      <c r="H31" t="str">
        <f>IF(COUNTIF('OCPP family members'!$B$13:$B$41,B31)&gt;0, "Member", "")</f>
        <v/>
      </c>
    </row>
    <row r="32" spans="2:8" x14ac:dyDescent="0.25">
      <c r="B32" s="148" t="s">
        <v>62</v>
      </c>
      <c r="C32" s="149" t="str">
        <f>VLOOKUP(B32,'HIDDEN features'!A:D,3,FALSE)</f>
        <v>Allowing New Sessions Pending a FirmwareUpdate (AllowNewSessionsPendingFirmwareUpdate )</v>
      </c>
      <c r="D32" s="9" t="s">
        <v>364</v>
      </c>
      <c r="E32" s="18" t="str">
        <f>IF(AND(NOT(ISBLANK(B32)),ISBLANK(D32)),"&lt;---- This field cannot be left empty!",IF(AND(D32 &lt;&gt; "Yes", D32 &lt;&gt; "No"),"&lt;---- This field must be filled from the drop-down menu", ""))</f>
        <v/>
      </c>
      <c r="H32" t="str">
        <f>IF(COUNTIF('OCPP family members'!$B$13:$B$41,B32)&gt;0, "Member", "")</f>
        <v/>
      </c>
    </row>
    <row r="33" spans="2:8" ht="30" x14ac:dyDescent="0.25">
      <c r="B33" s="151" t="s">
        <v>64</v>
      </c>
      <c r="C33" s="152" t="str">
        <f>VLOOKUP(B33,'HIDDEN features'!A:D,3,FALSE)</f>
        <v>Support for queuing all or only Transaction related messages until they are delivered to the CSMS (QueueAllMessages)</v>
      </c>
      <c r="D33" s="8" t="s">
        <v>366</v>
      </c>
      <c r="E33" s="18" t="str">
        <f>IF(AND(NOT(ISBLANK(B33)),ISBLANK(D33)),"&lt;---- This field cannot be left empty!",IF(AND(D33 &lt;&gt; "Yes", D33 &lt;&gt; "No"),"&lt;---- This field must be filled from the drop-down menu", ""))</f>
        <v/>
      </c>
      <c r="H33" t="str">
        <f>IF(COUNTIF('OCPP family members'!$B$13:$B$41,B33)&gt;0, "Member", "")</f>
        <v/>
      </c>
    </row>
    <row r="34" spans="2:8" x14ac:dyDescent="0.25">
      <c r="B34" s="148" t="s">
        <v>66</v>
      </c>
      <c r="C34" s="149" t="str">
        <f>VLOOKUP(B34,'HIDDEN features'!A:D,3,FALSE)</f>
        <v>Supported time sources (TimeSource)</v>
      </c>
      <c r="D34" s="9" t="s">
        <v>378</v>
      </c>
      <c r="E34" s="18" t="str">
        <f>IF(AND(NOT(ISBLANK(B34)),ISBLANK(D34)),"&lt;---- Please enter a valid value or list of supporteded time sources (valid values are (case sensitive!): 'Heartbeat', 'NTP', 'GPS', 'RealTimeClock', 'MobileNetwork', 'RadioTimeTransmitter')",IF(NOT(ISERROR(FIND("&lt;",D34))),"&lt;---- Please enter a valid value or list of supporteded time sources (valid values are (case sensitive!): 'Heartbeat', 'NTP', 'GPS', 'RealTimeClock', 'MobileNetwork', 'RadioTimeTransmitter')",IF(ISERROR(MATCH(D34, MD!$O$1:$O$32, 0)), "&lt;---- This field must be filled from the drop-down menu", "")))</f>
        <v>&lt;---- Please enter a valid value or list of supporteded time sources (valid values are (case sensitive!): 'Heartbeat', 'NTP', 'GPS', 'RealTimeClock', 'MobileNetwork', 'RadioTimeTransmitter')</v>
      </c>
      <c r="H34" t="str">
        <f>IF(COUNTIF('OCPP family members'!$B$13:$B$41,B34)&gt;0, "Member", "")</f>
        <v/>
      </c>
    </row>
    <row r="35" spans="2:8" x14ac:dyDescent="0.25">
      <c r="B35" s="151" t="s">
        <v>70</v>
      </c>
      <c r="C35" s="152" t="str">
        <f>VLOOKUP(B35,'HIDDEN features'!A:D,3,FALSE)</f>
        <v>Support for setting a TimeOffset (TimeOffset)</v>
      </c>
      <c r="D35" s="8" t="s">
        <v>366</v>
      </c>
      <c r="E35" s="18" t="str">
        <f>IF(AND(NOT(ISBLANK(B35)),ISBLANK(D35)),"&lt;---- This field cannot be left empty!",IF(AND(D35 &lt;&gt; "Yes", D35 &lt;&gt; "No"),"&lt;---- This field must be filled from the drop-down menu", ""))</f>
        <v/>
      </c>
      <c r="H35" t="str">
        <f>IF(COUNTIF('OCPP family members'!$B$13:$B$41,B35)&gt;0, "Member", "")</f>
        <v/>
      </c>
    </row>
    <row r="36" spans="2:8" x14ac:dyDescent="0.25">
      <c r="B36" s="148" t="s">
        <v>72</v>
      </c>
      <c r="C36" s="149" t="str">
        <f>VLOOKUP(B36,'HIDDEN features'!A:D,3,FALSE)</f>
        <v>Support for setting the TimeZone (TimeZone)</v>
      </c>
      <c r="D36" s="9" t="s">
        <v>366</v>
      </c>
      <c r="E36" s="18" t="str">
        <f>IF(AND(NOT(ISBLANK(B36)),ISBLANK(D36)),"&lt;---- This field cannot be left empty!",IF(AND(D36 &lt;&gt; "Yes", D36 &lt;&gt; "No"),"&lt;---- This field must be filled from the drop-down menu", ""))</f>
        <v/>
      </c>
      <c r="H36" t="str">
        <f>IF(COUNTIF('OCPP family members'!$B$13:$B$41,B36)&gt;0, "Member", "")</f>
        <v/>
      </c>
    </row>
    <row r="37" spans="2:8" x14ac:dyDescent="0.25">
      <c r="B37" s="151" t="s">
        <v>74</v>
      </c>
      <c r="C37" s="152" t="str">
        <f>VLOOKUP(B37,'HIDDEN features'!A:D,3,FALSE)</f>
        <v>Toggle sending clock aligned meter values when a transaction is ongoing / Idle (AlignedDataSendDuringIdle)</v>
      </c>
      <c r="D37" s="8" t="s">
        <v>366</v>
      </c>
      <c r="E37" s="18" t="str">
        <f>IF(AND(NOT(ISBLANK(B37)),ISBLANK(D37)),"&lt;---- This field cannot be left empty!",IF(AND(D37 &lt;&gt; "Yes", D37 &lt;&gt; "No"),"&lt;---- This field must be filled from the drop-down menu", ""))</f>
        <v/>
      </c>
      <c r="H37" t="str">
        <f>IF(COUNTIF('OCPP family members'!$B$13:$B$41,B37)&gt;0, "Member", "")</f>
        <v/>
      </c>
    </row>
    <row r="38" spans="2:8" x14ac:dyDescent="0.25">
      <c r="B38" s="148" t="s">
        <v>76</v>
      </c>
      <c r="C38" s="149" t="str">
        <f>VLOOKUP(B38,'HIDDEN features'!A:D,3,FALSE)</f>
        <v>TriggerMessage</v>
      </c>
      <c r="D38" s="150" t="str">
        <f>VLOOKUP(B38,'HIDDEN features'!A:D,4,FALSE)</f>
        <v>(Select all supported suboptions)</v>
      </c>
      <c r="E38" s="13"/>
      <c r="H38" t="str">
        <f>IF(COUNTIF('OCPP family members'!$B$13:$B$41,B38)&gt;0, "Member", "")</f>
        <v/>
      </c>
    </row>
    <row r="39" spans="2:8" outlineLevel="1" x14ac:dyDescent="0.25">
      <c r="B39" s="156" t="s">
        <v>79</v>
      </c>
      <c r="C39" s="157" t="str">
        <f>VLOOKUP(B39,'HIDDEN features'!A:D,3,FALSE)</f>
        <v>Trigger message - MeterValues</v>
      </c>
      <c r="D39" s="8" t="s">
        <v>366</v>
      </c>
      <c r="E39" s="18" t="str">
        <f t="shared" ref="E39:E45" si="0">IF(AND(NOT(ISBLANK(B39)),ISBLANK(D39)),"&lt;---- This field cannot be left empty!",IF(AND(D39 &lt;&gt; "Yes", D39 &lt;&gt; "No"),"&lt;---- This field must be filled from the drop-down menu", ""))</f>
        <v/>
      </c>
      <c r="H39" t="str">
        <f>IF(COUNTIF('OCPP family members'!$B$13:$B$41,B39)&gt;0, "Member", "")</f>
        <v/>
      </c>
    </row>
    <row r="40" spans="2:8" outlineLevel="1" x14ac:dyDescent="0.25">
      <c r="B40" s="154" t="s">
        <v>81</v>
      </c>
      <c r="C40" s="155" t="str">
        <f>VLOOKUP(B40,'HIDDEN features'!A:D,3,FALSE)</f>
        <v>Trigger message - TransactionEvent</v>
      </c>
      <c r="D40" s="9" t="s">
        <v>366</v>
      </c>
      <c r="E40" s="18" t="str">
        <f t="shared" si="0"/>
        <v/>
      </c>
      <c r="H40" t="str">
        <f>IF(COUNTIF('OCPP family members'!$B$13:$B$41,B40)&gt;0, "Member", "")</f>
        <v/>
      </c>
    </row>
    <row r="41" spans="2:8" outlineLevel="1" x14ac:dyDescent="0.25">
      <c r="B41" s="156" t="s">
        <v>83</v>
      </c>
      <c r="C41" s="157" t="str">
        <f>VLOOKUP(B41,'HIDDEN features'!A:D,3,FALSE)</f>
        <v>Trigger message - LogStatusNotification</v>
      </c>
      <c r="D41" s="8" t="s">
        <v>366</v>
      </c>
      <c r="E41" s="18" t="str">
        <f t="shared" si="0"/>
        <v/>
      </c>
      <c r="H41" t="str">
        <f>IF(COUNTIF('OCPP family members'!$B$13:$B$41,B41)&gt;0, "Member", "")</f>
        <v/>
      </c>
    </row>
    <row r="42" spans="2:8" outlineLevel="1" x14ac:dyDescent="0.25">
      <c r="B42" s="154" t="s">
        <v>85</v>
      </c>
      <c r="C42" s="155" t="str">
        <f>VLOOKUP(B42,'HIDDEN features'!A:D,3,FALSE)</f>
        <v>Trigger message - FirmwareStatusNotification</v>
      </c>
      <c r="D42" s="9" t="s">
        <v>366</v>
      </c>
      <c r="E42" s="18" t="str">
        <f t="shared" si="0"/>
        <v/>
      </c>
      <c r="H42" t="str">
        <f>IF(COUNTIF('OCPP family members'!$B$13:$B$41,B42)&gt;0, "Member", "")</f>
        <v/>
      </c>
    </row>
    <row r="43" spans="2:8" outlineLevel="1" x14ac:dyDescent="0.25">
      <c r="B43" s="156" t="s">
        <v>87</v>
      </c>
      <c r="C43" s="157" t="str">
        <f>VLOOKUP(B43,'HIDDEN features'!A:D,3,FALSE)</f>
        <v>Trigger message - StatusNotification</v>
      </c>
      <c r="D43" s="8" t="s">
        <v>366</v>
      </c>
      <c r="E43" s="18" t="str">
        <f t="shared" si="0"/>
        <v/>
      </c>
      <c r="H43" t="str">
        <f>IF(COUNTIF('OCPP family members'!$B$13:$B$41,B43)&gt;0, "Member", "")</f>
        <v/>
      </c>
    </row>
    <row r="44" spans="2:8" outlineLevel="1" x14ac:dyDescent="0.25">
      <c r="B44" s="154" t="s">
        <v>89</v>
      </c>
      <c r="C44" s="155" t="str">
        <f>VLOOKUP(B44,'HIDDEN features'!A:D,3,FALSE)</f>
        <v>Trigger message - BootNotification</v>
      </c>
      <c r="D44" s="9" t="s">
        <v>366</v>
      </c>
      <c r="E44" s="18" t="str">
        <f t="shared" si="0"/>
        <v/>
      </c>
      <c r="H44" t="str">
        <f>IF(COUNTIF('OCPP family members'!$B$13:$B$41,B44)&gt;0, "Member", "")</f>
        <v/>
      </c>
    </row>
    <row r="45" spans="2:8" outlineLevel="1" x14ac:dyDescent="0.25">
      <c r="B45" s="158" t="s">
        <v>91</v>
      </c>
      <c r="C45" s="159" t="str">
        <f>VLOOKUP(B45,'HIDDEN features'!A:D,3,FALSE)</f>
        <v>Trigger message - CustomTrigger</v>
      </c>
      <c r="D45" s="12" t="s">
        <v>366</v>
      </c>
      <c r="E45" s="18" t="str">
        <f t="shared" si="0"/>
        <v/>
      </c>
      <c r="H45" t="str">
        <f>IF(COUNTIF('OCPP family members'!$B$13:$B$41,B45)&gt;0, "Member", "")</f>
        <v/>
      </c>
    </row>
    <row r="46" spans="2:8" x14ac:dyDescent="0.25">
      <c r="B46" s="160"/>
      <c r="C46" s="161"/>
      <c r="D46" s="43"/>
      <c r="H46" t="str">
        <f>IF(COUNTIF('OCPP family members'!$B$13:$B$41,B46)&gt;0, "Member", "")</f>
        <v/>
      </c>
    </row>
    <row r="47" spans="2:8" x14ac:dyDescent="0.25">
      <c r="B47" s="160"/>
      <c r="C47" s="161"/>
      <c r="D47" s="43"/>
      <c r="H47" t="str">
        <f>IF(COUNTIF('OCPP family members'!$B$13:$B$41,B47)&gt;0, "Member", "")</f>
        <v/>
      </c>
    </row>
    <row r="48" spans="2:8" ht="30" customHeight="1" x14ac:dyDescent="0.25">
      <c r="B48" s="116" t="s">
        <v>379</v>
      </c>
      <c r="C48" s="44" t="s">
        <v>94</v>
      </c>
      <c r="D48" s="162" t="s">
        <v>381</v>
      </c>
      <c r="E48" s="144" t="s">
        <v>380</v>
      </c>
      <c r="F48" s="18" t="str">
        <f>IF(AND(NOT(ISERROR(VLOOKUP("Yes",E49:E54,1,FALSE))),NOT(OR(AND(E49="Yes",E65="Yes"),AND(E50="Yes",E66="Yes"),AND(E54="Yes", E68="Yes")))),"Warning: without a common Local and Remote Start method, a VDoC will not be possible!", IF(AND(E49="Yes",E50="Yes"),"Warning: it is not possible to generate a VDOC when multiple RFID local start methods are supported!",""))</f>
        <v/>
      </c>
      <c r="H48" t="str">
        <f>IF(COUNTIF('OCPP family members'!$B$13:$B$41,B48)&gt;0, "Member", "")</f>
        <v/>
      </c>
    </row>
    <row r="49" spans="1:8" x14ac:dyDescent="0.25">
      <c r="B49" s="151" t="s">
        <v>93</v>
      </c>
      <c r="C49" s="152" t="str">
        <f>VLOOKUP(B49,'HIDDEN features'!A:D,3,FALSE)</f>
        <v>Authorization - using RFID ISO14443</v>
      </c>
      <c r="D49" s="87" t="s">
        <v>366</v>
      </c>
      <c r="E49" s="90" t="s">
        <v>366</v>
      </c>
      <c r="F49" s="18" t="str">
        <f t="shared" ref="F49:F54" si="1">IF(AND(NOT(ISBLANK(B49)),ISBLANK(D49)),"&lt;---- This field cannot be left empty!",IF(AND(D49 &lt;&gt; "Yes", D49 &lt;&gt; "No"),"&lt;---- This field must be filled from the drop-down menu", ""))</f>
        <v/>
      </c>
      <c r="H49" t="str">
        <f>IF(COUNTIF('OCPP family members'!$B$13:$B$41,B49)&gt;0, "Member", "")</f>
        <v>Member</v>
      </c>
    </row>
    <row r="50" spans="1:8" x14ac:dyDescent="0.25">
      <c r="B50" s="148" t="s">
        <v>96</v>
      </c>
      <c r="C50" s="149" t="str">
        <f>VLOOKUP(B50,'HIDDEN features'!A:D,3,FALSE)</f>
        <v>Authorization - using RFID ISO15693</v>
      </c>
      <c r="D50" s="88" t="s">
        <v>366</v>
      </c>
      <c r="E50" s="91" t="s">
        <v>366</v>
      </c>
      <c r="F50" s="18" t="str">
        <f t="shared" si="1"/>
        <v/>
      </c>
      <c r="H50" t="str">
        <f>IF(COUNTIF('OCPP family members'!$B$13:$B$41,B50)&gt;0, "Member", "")</f>
        <v>Member</v>
      </c>
    </row>
    <row r="51" spans="1:8" x14ac:dyDescent="0.25">
      <c r="B51" s="151" t="s">
        <v>98</v>
      </c>
      <c r="C51" s="152" t="str">
        <f>VLOOKUP(B51,'HIDDEN features'!A:D,3,FALSE)</f>
        <v>Authorization - using KeyCode</v>
      </c>
      <c r="D51" s="87" t="s">
        <v>366</v>
      </c>
      <c r="E51" s="90" t="s">
        <v>366</v>
      </c>
      <c r="F51" s="18" t="str">
        <f t="shared" si="1"/>
        <v/>
      </c>
      <c r="H51" t="str">
        <f>IF(COUNTIF('OCPP family members'!$B$13:$B$41,B51)&gt;0, "Member", "")</f>
        <v/>
      </c>
    </row>
    <row r="52" spans="1:8" x14ac:dyDescent="0.25">
      <c r="B52" s="148" t="s">
        <v>100</v>
      </c>
      <c r="C52" s="149" t="str">
        <f>VLOOKUP(B52,'HIDDEN features'!A:D,3,FALSE)</f>
        <v>Authorization - using locally generated id</v>
      </c>
      <c r="D52" s="88" t="s">
        <v>366</v>
      </c>
      <c r="E52" s="91" t="s">
        <v>366</v>
      </c>
      <c r="F52" s="18" t="str">
        <f t="shared" si="1"/>
        <v/>
      </c>
      <c r="H52" t="str">
        <f>IF(COUNTIF('OCPP family members'!$B$13:$B$41,B52)&gt;0, "Member", "")</f>
        <v/>
      </c>
    </row>
    <row r="53" spans="1:8" x14ac:dyDescent="0.25">
      <c r="B53" s="151" t="s">
        <v>102</v>
      </c>
      <c r="C53" s="152" t="str">
        <f>VLOOKUP(B53,'HIDDEN features'!A:D,3,FALSE)</f>
        <v>Authorization - MacAddress</v>
      </c>
      <c r="D53" s="87" t="s">
        <v>366</v>
      </c>
      <c r="E53" s="90" t="s">
        <v>366</v>
      </c>
      <c r="F53" s="18" t="str">
        <f t="shared" si="1"/>
        <v/>
      </c>
      <c r="H53" t="str">
        <f>IF(COUNTIF('OCPP family members'!$B$13:$B$41,B53)&gt;0, "Member", "")</f>
        <v/>
      </c>
    </row>
    <row r="54" spans="1:8" ht="18.600000000000001" customHeight="1" x14ac:dyDescent="0.25">
      <c r="B54" s="165" t="s">
        <v>104</v>
      </c>
      <c r="C54" s="166" t="str">
        <f>VLOOKUP(B54,'HIDDEN features'!A:D,3,FALSE)</f>
        <v>Authorization - NoAuthorization</v>
      </c>
      <c r="D54" s="89" t="s">
        <v>366</v>
      </c>
      <c r="E54" s="92" t="s">
        <v>366</v>
      </c>
      <c r="F54" s="18" t="str">
        <f t="shared" si="1"/>
        <v/>
      </c>
      <c r="H54" t="str">
        <f>IF(COUNTIF('OCPP family members'!$B$13:$B$41,B54)&gt;0, "Member", "")</f>
        <v/>
      </c>
    </row>
    <row r="55" spans="1:8" x14ac:dyDescent="0.25">
      <c r="B55" s="160"/>
      <c r="C55" s="149"/>
      <c r="D55" s="43"/>
      <c r="E55" s="43"/>
      <c r="H55" t="str">
        <f>IF(COUNTIF('OCPP family members'!$B$13:$B$41,B55)&gt;0, "Member", "")</f>
        <v/>
      </c>
    </row>
    <row r="56" spans="1:8" x14ac:dyDescent="0.25">
      <c r="B56" s="160"/>
      <c r="C56" s="149"/>
      <c r="D56" s="43"/>
      <c r="E56" s="43"/>
      <c r="H56" t="str">
        <f>IF(COUNTIF('OCPP family members'!$B$13:$B$41,B56)&gt;0, "Member", "")</f>
        <v/>
      </c>
    </row>
    <row r="57" spans="1:8" ht="30" customHeight="1" x14ac:dyDescent="0.25">
      <c r="B57" s="116" t="s">
        <v>382</v>
      </c>
      <c r="C57" s="168" t="s">
        <v>167</v>
      </c>
      <c r="D57" s="162" t="s">
        <v>381</v>
      </c>
      <c r="E57" s="144" t="s">
        <v>380</v>
      </c>
      <c r="F57" s="13"/>
      <c r="H57" t="str">
        <f>IF(COUNTIF('OCPP family members'!$B$13:$B$41,B57)&gt;0, "Member", "")</f>
        <v/>
      </c>
    </row>
    <row r="58" spans="1:8" x14ac:dyDescent="0.25">
      <c r="B58" s="151" t="s">
        <v>166</v>
      </c>
      <c r="C58" s="152" t="str">
        <f>VLOOKUP(B58,'HIDDEN features'!A:D,3,FALSE)</f>
        <v>Authorization - using RFID ISO14443</v>
      </c>
      <c r="D58" s="87" t="s">
        <v>366</v>
      </c>
      <c r="E58" s="90" t="s">
        <v>366</v>
      </c>
      <c r="F58" s="18" t="str">
        <f>IF(AND(NOT(ISBLANK(B58)),ISBLANK(D58)),"&lt;--- This field cannot be left empty!",IF(AND($D$5="Yes",D58&lt;&gt;D49),"&lt;-- to support offline transactions local start and stop for "&amp;C58&amp;" must match",IF(AND(D58 &lt;&gt; "Yes", D58 &lt;&gt; "No"),"&lt;---- This field must be filled from the drop-down menu", "")))</f>
        <v/>
      </c>
      <c r="H58" t="str">
        <f>IF(COUNTIF('OCPP family members'!$B$13:$B$41,B58)&gt;0, "Member", "")</f>
        <v>Member</v>
      </c>
    </row>
    <row r="59" spans="1:8" x14ac:dyDescent="0.25">
      <c r="B59" s="148" t="s">
        <v>168</v>
      </c>
      <c r="C59" s="149" t="str">
        <f>VLOOKUP(B59,'HIDDEN features'!A:D,3,FALSE)</f>
        <v>Authorization - using RFID ISO15693</v>
      </c>
      <c r="D59" s="88" t="s">
        <v>366</v>
      </c>
      <c r="E59" s="91" t="s">
        <v>366</v>
      </c>
      <c r="F59" s="18" t="str">
        <f>IF(AND(NOT(ISBLANK(B59)),ISBLANK(D59)),"&lt;--- This field cannot be left empty!",IF(AND($D$5="Yes",D59&lt;&gt;D50),"&lt;-- to support offline transactions local start and stop for "&amp;C59&amp;" must match",IF(AND(D59 &lt;&gt; "Yes", D59 &lt;&gt; "No"),"&lt;---- This field must be filled from the drop-down menu", "")))</f>
        <v/>
      </c>
      <c r="H59" t="str">
        <f>IF(COUNTIF('OCPP family members'!$B$13:$B$41,B59)&gt;0, "Member", "")</f>
        <v>Member</v>
      </c>
    </row>
    <row r="60" spans="1:8" x14ac:dyDescent="0.25">
      <c r="A60" s="108"/>
      <c r="B60" s="151" t="s">
        <v>169</v>
      </c>
      <c r="C60" s="152" t="str">
        <f>VLOOKUP(B60,'HIDDEN features'!A:D,3,FALSE)</f>
        <v>Authorization - using KeyCode</v>
      </c>
      <c r="D60" s="87" t="s">
        <v>366</v>
      </c>
      <c r="E60" s="90" t="s">
        <v>366</v>
      </c>
      <c r="F60" s="18" t="str">
        <f>IF(AND(NOT(ISBLANK(B60)),ISBLANK(D60)),"&lt;--- This field cannot be left empty!",IF(AND($D$5="Yes",D60&lt;&gt;D51),"&lt;-- to support offline transactions local start and stop for "&amp;C60&amp;" must match",IF(AND(D60 &lt;&gt; "Yes", D60 &lt;&gt; "No"),"&lt;---- This field must be filled from the drop-down menu", "")))</f>
        <v/>
      </c>
      <c r="H60" t="str">
        <f>IF(COUNTIF('OCPP family members'!$B$13:$B$41,B60)&gt;0, "Member", "")</f>
        <v/>
      </c>
    </row>
    <row r="61" spans="1:8" x14ac:dyDescent="0.25">
      <c r="B61" s="165" t="s">
        <v>170</v>
      </c>
      <c r="C61" s="166" t="str">
        <f>VLOOKUP(B61,'HIDDEN features'!A:D,3,FALSE)</f>
        <v>Authorization - NoAuthorization</v>
      </c>
      <c r="D61" s="89" t="s">
        <v>366</v>
      </c>
      <c r="E61" s="92" t="s">
        <v>366</v>
      </c>
      <c r="F61" s="18" t="str">
        <f>IF(AND(NOT(ISBLANK(B61)),ISBLANK(D61)),"&lt;--- This field cannot be left empty!",IF(AND($D$5="Yes",D61&lt;&gt;D54),"&lt;-- to support offline transactions local start and stop for "&amp;C61&amp;" must match",IF(AND(D61="Yes",AND(D54="No",D68="No")),"&lt;-- NoAuthorization Local Stop requires support for Local or Remote Start with NoAuthorization",IF(AND(D61 &lt;&gt; "Yes", D61 &lt;&gt; "No"),"&lt;---- This field must be filled from the drop-down menu", ""))))</f>
        <v/>
      </c>
      <c r="H61" t="str">
        <f>IF(COUNTIF('OCPP family members'!$B$13:$B$41,B61)&gt;0, "Member", "")</f>
        <v/>
      </c>
    </row>
    <row r="62" spans="1:8" x14ac:dyDescent="0.25">
      <c r="B62" s="160"/>
      <c r="C62" s="149"/>
      <c r="D62" s="43"/>
      <c r="E62" s="43"/>
      <c r="H62" t="str">
        <f>IF(COUNTIF('OCPP family members'!$B$13:$B$41,B62)&gt;0, "Member", "")</f>
        <v/>
      </c>
    </row>
    <row r="63" spans="1:8" x14ac:dyDescent="0.25">
      <c r="B63" s="160"/>
      <c r="C63" s="149"/>
      <c r="D63" s="43"/>
      <c r="E63" s="43"/>
      <c r="H63" t="str">
        <f>IF(COUNTIF('OCPP family members'!$B$13:$B$41,B63)&gt;0, "Member", "")</f>
        <v/>
      </c>
    </row>
    <row r="64" spans="1:8" ht="30" customHeight="1" x14ac:dyDescent="0.25">
      <c r="B64" s="116" t="s">
        <v>382</v>
      </c>
      <c r="C64" s="168" t="s">
        <v>383</v>
      </c>
      <c r="D64" s="162" t="s">
        <v>381</v>
      </c>
      <c r="E64" s="144" t="s">
        <v>384</v>
      </c>
      <c r="F64" s="13" t="str">
        <f>IF(ISERROR(VLOOKUP("Yes",OF_RemoteStart_Values,1,FALSE)),"&lt;---- At least one remote start authorization option must be selected","")</f>
        <v>&lt;---- At least one remote start authorization option must be selected</v>
      </c>
      <c r="H64" t="str">
        <f>IF(COUNTIF('OCPP family members'!$B$13:$B$41,B64)&gt;0, "Member", "")</f>
        <v/>
      </c>
    </row>
    <row r="65" spans="1:8" x14ac:dyDescent="0.25">
      <c r="B65" s="151" t="s">
        <v>106</v>
      </c>
      <c r="C65" s="152" t="str">
        <f>VLOOKUP(B65,'HIDDEN features'!A:D,3,FALSE)</f>
        <v>Authorization - using RFID ISO14443</v>
      </c>
      <c r="D65" s="87" t="s">
        <v>366</v>
      </c>
      <c r="E65" s="90" t="s">
        <v>366</v>
      </c>
      <c r="F65" s="18" t="str">
        <f>IF(AND(NOT(ISBLANK(B65)),ISBLANK(D65)),"&lt;---- This field cannot be left empty!",IF(AND(D65 &lt;&gt; "Yes", D65 &lt;&gt; "No"),"&lt;---- This field must be filled from the drop-down menu", ""))</f>
        <v/>
      </c>
      <c r="H65" t="str">
        <f>IF(COUNTIF('OCPP family members'!$B$13:$B$41,B65)&gt;0, "Member", "")</f>
        <v/>
      </c>
    </row>
    <row r="66" spans="1:8" x14ac:dyDescent="0.25">
      <c r="B66" s="148" t="s">
        <v>107</v>
      </c>
      <c r="C66" s="149" t="str">
        <f>VLOOKUP(B66,'HIDDEN features'!A:D,3,FALSE)</f>
        <v>Authorization - using RFID ISO15693</v>
      </c>
      <c r="D66" s="88" t="s">
        <v>366</v>
      </c>
      <c r="E66" s="91" t="s">
        <v>366</v>
      </c>
      <c r="F66" s="18" t="str">
        <f>IF(AND(NOT(ISBLANK(B66)),ISBLANK(D66)),"&lt;---- This field cannot be left empty!",IF(AND(D66 &lt;&gt; "Yes", D66 &lt;&gt; "No"),"&lt;---- This field must be filled from the drop-down menu", ""))</f>
        <v/>
      </c>
      <c r="H66" t="str">
        <f>IF(COUNTIF('OCPP family members'!$B$13:$B$41,B66)&gt;0, "Member", "")</f>
        <v/>
      </c>
    </row>
    <row r="67" spans="1:8" x14ac:dyDescent="0.25">
      <c r="A67" s="108"/>
      <c r="B67" s="151" t="s">
        <v>108</v>
      </c>
      <c r="C67" s="152" t="str">
        <f>VLOOKUP(B67,'HIDDEN features'!A:D,3,FALSE)</f>
        <v>Authorization - using centrally, in the CSMS (or other server) generated id</v>
      </c>
      <c r="D67" s="87" t="s">
        <v>366</v>
      </c>
      <c r="E67" s="90" t="s">
        <v>366</v>
      </c>
      <c r="F67" s="18" t="str">
        <f>IF(AND(NOT(ISBLANK(B67)),ISBLANK(D67)),"&lt;---- This field cannot be left empty!",IF(AND(D67 &lt;&gt; "Yes", D67 &lt;&gt; "No"),"&lt;---- This field must be filled from the drop-down menu", ""))</f>
        <v/>
      </c>
      <c r="H67" t="str">
        <f>IF(COUNTIF('OCPP family members'!$B$13:$B$41,B67)&gt;0, "Member", "")</f>
        <v/>
      </c>
    </row>
    <row r="68" spans="1:8" x14ac:dyDescent="0.25">
      <c r="B68" s="165" t="s">
        <v>110</v>
      </c>
      <c r="C68" s="166" t="str">
        <f>VLOOKUP(B68,'HIDDEN features'!A:D,3,FALSE)</f>
        <v>Authorization - NoAuthorization</v>
      </c>
      <c r="D68" s="89" t="s">
        <v>366</v>
      </c>
      <c r="E68" s="92" t="s">
        <v>366</v>
      </c>
      <c r="F68" s="18" t="str">
        <f>IF(AND(NOT(ISBLANK(B68)),ISBLANK(D68)),"&lt;---- This field cannot be left empty!",IF(AND(D68 &lt;&gt; "Yes", D68 &lt;&gt; "No"),"&lt;---- This field must be filled from the drop-down menu", ""))</f>
        <v/>
      </c>
      <c r="H68" t="str">
        <f>IF(COUNTIF('OCPP family members'!$B$13:$B$41,B68)&gt;0, "Member", "")</f>
        <v/>
      </c>
    </row>
    <row r="69" spans="1:8" x14ac:dyDescent="0.25">
      <c r="B69" s="160"/>
      <c r="C69" s="149"/>
      <c r="D69" s="43"/>
      <c r="E69" s="43"/>
      <c r="H69" t="str">
        <f>IF(COUNTIF('OCPP family members'!$B$13:$B$41,B69)&gt;0, "Member", "")</f>
        <v/>
      </c>
    </row>
    <row r="70" spans="1:8" x14ac:dyDescent="0.25">
      <c r="B70" s="160"/>
      <c r="C70" s="149"/>
      <c r="D70" s="43"/>
      <c r="E70" s="43"/>
      <c r="H70" t="str">
        <f>IF(COUNTIF('OCPP family members'!$B$13:$B$41,B70)&gt;0, "Member", "")</f>
        <v/>
      </c>
    </row>
    <row r="71" spans="1:8" ht="30" customHeight="1" x14ac:dyDescent="0.25">
      <c r="B71" s="39" t="s">
        <v>329</v>
      </c>
      <c r="C71" s="169" t="s">
        <v>385</v>
      </c>
      <c r="D71" s="170" t="s">
        <v>386</v>
      </c>
      <c r="E71" s="40" t="s">
        <v>2121</v>
      </c>
    </row>
    <row r="72" spans="1:8" ht="22.35" customHeight="1" x14ac:dyDescent="0.25">
      <c r="B72" s="145" t="s">
        <v>111</v>
      </c>
      <c r="C72" s="146" t="str">
        <f>VLOOKUP(B72,'HIDDEN features'!A:D,3,FALSE)</f>
        <v>Supported MeterValue Measurands</v>
      </c>
      <c r="D72" s="171" t="s">
        <v>113</v>
      </c>
      <c r="E72" s="172" t="s">
        <v>387</v>
      </c>
      <c r="H72" t="str">
        <f>IF(COUNTIF('OCPP family members'!$B$13:$B$41,B72)&gt;0, "Member", "")</f>
        <v/>
      </c>
    </row>
    <row r="73" spans="1:8" outlineLevel="1" x14ac:dyDescent="0.25">
      <c r="B73" s="154" t="s">
        <v>114</v>
      </c>
      <c r="C73" s="161" t="str">
        <f>SUBSTITUTE(VLOOKUP(B73,'HIDDEN features'!A:D,3,FALSE),"Measurands"," Measurands")</f>
        <v>SampledTxStarted Measurands</v>
      </c>
      <c r="D73" s="11" t="s">
        <v>388</v>
      </c>
      <c r="E73" s="164" t="str">
        <f>IFERROR(TRIM(VLOOKUP(SUBSTITUTE(C73," ",""),'HIDDEN Testrun Results'!$A:$B,2,FALSE)),"&lt;will be filled in by testlab&gt;")</f>
        <v>&lt;will be filled in by testlab&gt;</v>
      </c>
      <c r="F73" s="18" t="str">
        <f>IF(AND(NOT(ISBLANK(C73)),ISBLANK(D73)),"&lt;---- This field cannot be left empty!",IF(NOT(ISERROR(FIND("&lt;",D73))),"&lt;---- Please enter a valid list of supported measurands",IF(ISERROR(FIND("Energy.Active.Import.Register",D73)),"&lt;---- Missing the default value Energy.Active.Import.Register","")))</f>
        <v>&lt;---- Please enter a valid list of supported measurands</v>
      </c>
      <c r="H73" t="str">
        <f>IF(COUNTIF('OCPP family members'!$B$13:$B$41,B73)&gt;0, "Member", "")</f>
        <v>Member</v>
      </c>
    </row>
    <row r="74" spans="1:8" outlineLevel="1" x14ac:dyDescent="0.25">
      <c r="B74" s="156" t="s">
        <v>117</v>
      </c>
      <c r="C74" s="152" t="str">
        <f>SUBSTITUTE(VLOOKUP(B74,'HIDDEN features'!A:D,3,FALSE),"Measurands"," Measurands")</f>
        <v>SampledTxUpdated Measurands</v>
      </c>
      <c r="D74" s="93" t="s">
        <v>388</v>
      </c>
      <c r="E74" s="163" t="str">
        <f>IFERROR(TRIM(VLOOKUP(SUBSTITUTE(C74," ",""),'HIDDEN Testrun Results'!$A:$B,2,FALSE)),"&lt;will be filled in by testlab&gt;")</f>
        <v>&lt;will be filled in by testlab&gt;</v>
      </c>
      <c r="F74" s="18" t="str">
        <f>IF(AND(NOT(ISBLANK(C74)),ISBLANK(D74)),"&lt;---- This field cannot be left empty!",IF(NOT(ISERROR(FIND("&lt;",D74))),"&lt;---- Please enter a valid list of supported measurands",IF(ISERROR(FIND("Energy.Active.Import.Register",D74)),"&lt;---- Missing the default value Energy.Active.Import.Register","")))</f>
        <v>&lt;---- Please enter a valid list of supported measurands</v>
      </c>
      <c r="H74" t="str">
        <f>IF(COUNTIF('OCPP family members'!$B$13:$B$41,B74)&gt;0, "Member", "")</f>
        <v>Member</v>
      </c>
    </row>
    <row r="75" spans="1:8" outlineLevel="1" x14ac:dyDescent="0.25">
      <c r="B75" s="154" t="s">
        <v>119</v>
      </c>
      <c r="C75" s="149" t="str">
        <f>SUBSTITUTE(VLOOKUP(B75,'HIDDEN features'!A:D,3,FALSE),"Measurands"," Measurands")</f>
        <v>SampledTxEnded Measurands</v>
      </c>
      <c r="D75" s="11" t="s">
        <v>388</v>
      </c>
      <c r="E75" s="164" t="str">
        <f>IFERROR(TRIM(VLOOKUP(SUBSTITUTE(C75," ",""),'HIDDEN Testrun Results'!$A:$B,2,FALSE)),"&lt;will be filled in by testlab&gt;")</f>
        <v>&lt;will be filled in by testlab&gt;</v>
      </c>
      <c r="F75" s="18" t="str">
        <f>IF(AND(NOT(ISBLANK(C75)),ISBLANK(D75)),"&lt;---- This field cannot be left empty!",IF(NOT(ISERROR(FIND("&lt;",D75))),"&lt;---- Please enter a valid list of supported measurands",IF(ISERROR(FIND("Energy.Active.Import.Register",D75)),"&lt;---- Missing the default value Energy.Active.Import.Register","")))</f>
        <v>&lt;---- Please enter a valid list of supported measurands</v>
      </c>
      <c r="H75" t="str">
        <f>IF(COUNTIF('OCPP family members'!$B$13:$B$41,B75)&gt;0, "Member", "")</f>
        <v>Member</v>
      </c>
    </row>
    <row r="76" spans="1:8" outlineLevel="1" x14ac:dyDescent="0.25">
      <c r="B76" s="156" t="s">
        <v>121</v>
      </c>
      <c r="C76" s="152" t="str">
        <f>SUBSTITUTE(VLOOKUP(B76,'HIDDEN features'!A:D,3,FALSE),"Measurands"," Measurands")</f>
        <v>AlignedData Measurands</v>
      </c>
      <c r="D76" s="93" t="s">
        <v>388</v>
      </c>
      <c r="E76" s="163" t="str">
        <f>IFERROR(TRIM(VLOOKUP(SUBSTITUTE(C76," ",""),'HIDDEN Testrun Results'!$A:$B,2,FALSE)),"&lt;will be filled in by testlab&gt;")</f>
        <v>&lt;will be filled in by testlab&gt;</v>
      </c>
      <c r="F76" s="18" t="str">
        <f>IF(AND(NOT(ISBLANK(C76)),ISBLANK(D76)),"&lt;---- This field cannot be left empty!",IF(NOT(ISERROR(FIND("&lt;",D76))),"&lt;---- Please enter a valid list of supported measurands",IF(ISERROR(FIND("Energy.Active.Import.Register",D76)),"&lt;---- Missing the default value Energy.Active.Import.Register","")))</f>
        <v>&lt;---- Please enter a valid list of supported measurands</v>
      </c>
      <c r="H76" t="str">
        <f>IF(COUNTIF('OCPP family members'!$B$13:$B$41,B76)&gt;0, "Member", "")</f>
        <v>Member</v>
      </c>
    </row>
    <row r="77" spans="1:8" outlineLevel="1" x14ac:dyDescent="0.25">
      <c r="B77" s="173" t="s">
        <v>123</v>
      </c>
      <c r="C77" s="166" t="str">
        <f>SUBSTITUTE(VLOOKUP(B77,'HIDDEN features'!A:D,3,FALSE),"Measurands"," Measurands")</f>
        <v>AlignedDataTxEnded Measurands</v>
      </c>
      <c r="D77" s="94" t="s">
        <v>388</v>
      </c>
      <c r="E77" s="167" t="str">
        <f>IFERROR(TRIM(VLOOKUP(SUBSTITUTE(C77," ",""),'HIDDEN Testrun Results'!$A:$B,2,FALSE)),"&lt;will be filled in by testlab&gt;")</f>
        <v>&lt;will be filled in by testlab&gt;</v>
      </c>
      <c r="F77" s="18" t="str">
        <f>IF(AND(NOT(ISBLANK(C77)),ISBLANK(D77)),"&lt;---- This field cannot be left empty!",IF(NOT(ISERROR(FIND("&lt;",D77))),"&lt;---- Please enter a valid list of supported measurands",IF(ISERROR(FIND("Energy.Active.Import.Register",D77)),"&lt;---- Missing the default value Energy.Active.Import.Register","")))</f>
        <v>&lt;---- Please enter a valid list of supported measurands</v>
      </c>
      <c r="H77" t="str">
        <f>IF(COUNTIF('OCPP family members'!$B$13:$B$41,B77)&gt;0, "Member", "")</f>
        <v>Member</v>
      </c>
    </row>
    <row r="78" spans="1:8" x14ac:dyDescent="0.25">
      <c r="B78" s="174" t="s">
        <v>389</v>
      </c>
      <c r="H78" t="str">
        <f>IF(COUNTIF('OCPP family members'!$B$13:$B$41,B78)&gt;0, "Member", "")</f>
        <v/>
      </c>
    </row>
    <row r="79" spans="1:8" x14ac:dyDescent="0.25">
      <c r="B79" s="174" t="s">
        <v>390</v>
      </c>
      <c r="H79" t="str">
        <f>IF(COUNTIF('OCPP family members'!$B$13:$B$41,B79)&gt;0, "Member", "")</f>
        <v/>
      </c>
    </row>
    <row r="80" spans="1:8" x14ac:dyDescent="0.25">
      <c r="B80" s="174" t="s">
        <v>391</v>
      </c>
      <c r="H80" t="str">
        <f>IF(COUNTIF('OCPP family members'!$B$13:$B$41,B80)&gt;0, "Member", "")</f>
        <v/>
      </c>
    </row>
    <row r="81" spans="2:8" x14ac:dyDescent="0.25">
      <c r="B81" s="175"/>
      <c r="H81" t="str">
        <f>IF(COUNTIF('OCPP family members'!$B$13:$B$41,B81)&gt;0, "Member", "")</f>
        <v/>
      </c>
    </row>
    <row r="82" spans="2:8" x14ac:dyDescent="0.25">
      <c r="B82" s="116" t="s">
        <v>379</v>
      </c>
      <c r="C82" s="42" t="s">
        <v>392</v>
      </c>
      <c r="D82" s="144" t="s">
        <v>330</v>
      </c>
      <c r="E82" s="13"/>
      <c r="H82" t="str">
        <f>IF(COUNTIF('OCPP family members'!$B$13:$B$41,B82)&gt;0, "Member", "")</f>
        <v/>
      </c>
    </row>
    <row r="83" spans="2:8" ht="81" customHeight="1" x14ac:dyDescent="0.25">
      <c r="B83" s="176" t="s">
        <v>125</v>
      </c>
      <c r="C83" s="177" t="str">
        <f>VLOOKUP(B83,'HIDDEN features'!A:D,3,FALSE)</f>
        <v>Supported Cipher Suites</v>
      </c>
      <c r="D83" s="38" t="str">
        <f>VLOOKUP(B83,'HIDDEN features'!A:D,4,FALSE)</f>
        <v>{ list of cipher suites } -&gt; at least one of TLS_ECDHE_ECDSA_WITH_AES_128_GCM_SHA256 TLS_ECDHE_ECDSA_WITH_AES_256_GCM_SHA384 OR TLS_RSA_WITH_AES_128_GCM_SHA256 TLS_RSA_WITH_AES_256_GCM_SHA384</v>
      </c>
      <c r="E83" s="18" t="str">
        <f>IF(AND(NOT(ISBLANK(B83)),ISBLANK(D83)),"&lt;---- This field cannot be left empty!",IF(NOT(ISERROR(FIND("{",D83))),"&lt;---- Please enter a valid list of supported cipher suites",IF(ISERROR(MATCH(D83, MD!$H$1:$H$3, 0)), "&lt;---- This field must be filled from the drop-down menu", "")))</f>
        <v>&lt;---- Please enter a valid list of supported cipher suites</v>
      </c>
      <c r="H83" t="str">
        <f>IF(COUNTIF('OCPP family members'!$B$13:$B$41,B83)&gt;0, "Member", "")</f>
        <v/>
      </c>
    </row>
    <row r="84" spans="2:8" x14ac:dyDescent="0.25">
      <c r="B84" s="175"/>
      <c r="E84" s="13"/>
      <c r="H84" t="str">
        <f>IF(COUNTIF('OCPP family members'!$B$13:$B$41,B84)&gt;0, "Member", "")</f>
        <v/>
      </c>
    </row>
    <row r="85" spans="2:8" x14ac:dyDescent="0.25">
      <c r="B85" s="175"/>
      <c r="E85" s="13"/>
      <c r="H85" t="str">
        <f>IF(COUNTIF('OCPP family members'!$B$13:$B$41,B85)&gt;0, "Member", "")</f>
        <v/>
      </c>
    </row>
    <row r="86" spans="2:8" x14ac:dyDescent="0.25">
      <c r="B86" s="116" t="s">
        <v>379</v>
      </c>
      <c r="C86" s="42" t="s">
        <v>377</v>
      </c>
      <c r="D86" s="144" t="s">
        <v>330</v>
      </c>
      <c r="E86" s="13"/>
      <c r="H86" t="str">
        <f>IF(COUNTIF('OCPP family members'!$B$13:$B$41,B86)&gt;0, "Member", "")</f>
        <v/>
      </c>
    </row>
    <row r="87" spans="2:8" x14ac:dyDescent="0.25">
      <c r="B87" s="145" t="s">
        <v>128</v>
      </c>
      <c r="C87" s="146" t="str">
        <f>VLOOKUP(B87,'HIDDEN features'!A:D,3,FALSE)</f>
        <v>Signed Metervalues (SampledDataSignReadings)</v>
      </c>
      <c r="D87" s="46" t="s">
        <v>366</v>
      </c>
      <c r="E87" s="18" t="str">
        <f>IF(AND(NOT(ISBLANK(B87)),ISBLANK(D87)),"&lt;---- This field cannot be left empty!",IF(AND(D87 &lt;&gt; "Yes", D87 &lt;&gt; "No"),"&lt;---- This field must be filled from the drop-down menu", ""))</f>
        <v/>
      </c>
      <c r="H87" t="str">
        <f>IF(COUNTIF('OCPP family members'!$B$13:$B$41,B87)&gt;0, "Member", "")</f>
        <v/>
      </c>
    </row>
    <row r="88" spans="2:8" x14ac:dyDescent="0.25">
      <c r="B88" s="148" t="s">
        <v>130</v>
      </c>
      <c r="C88" s="149" t="str">
        <f>VLOOKUP(B88,'HIDDEN features'!A:D,3,FALSE)</f>
        <v>Install Firmware with ongoing transaction(s)</v>
      </c>
      <c r="D88" s="9" t="s">
        <v>366</v>
      </c>
      <c r="E88" s="18" t="str">
        <f>IF(AND(NOT(ISBLANK(B88)),ISBLANK(D88)),"&lt;---- This field cannot be left empty!",IF(AND(D88 &lt;&gt; "Yes", D88 &lt;&gt; "No"),"&lt;---- This field must be filled from the drop-down menu", ""))</f>
        <v/>
      </c>
      <c r="H88" t="str">
        <f>IF(COUNTIF('OCPP family members'!$B$13:$B$41,B88)&gt;0, "Member", "")</f>
        <v/>
      </c>
    </row>
    <row r="89" spans="2:8" ht="30" x14ac:dyDescent="0.25">
      <c r="B89" s="151" t="s">
        <v>132</v>
      </c>
      <c r="C89" s="152" t="str">
        <f>VLOOKUP(B89,'HIDDEN features'!A:D,3,FALSE)</f>
        <v>Support for falling back to default OCPP reconnection mechanism when NetworkConnection profile connection has failed</v>
      </c>
      <c r="D89" s="8" t="s">
        <v>366</v>
      </c>
      <c r="E89" s="18" t="str">
        <f>IF(AND(NOT(ISBLANK(B89)),ISBLANK(D89)),"&lt;---- This field cannot be left empty!",IF(AND(D89 &lt;&gt; "Yes", D89 &lt;&gt; "No"),"&lt;---- This field must be filled from the drop-down menu", ""))</f>
        <v/>
      </c>
      <c r="H89" t="str">
        <f>IF(COUNTIF('OCPP family members'!$B$13:$B$41,B89)&gt;0, "Member", "")</f>
        <v/>
      </c>
    </row>
    <row r="90" spans="2:8" x14ac:dyDescent="0.25">
      <c r="B90" s="148" t="s">
        <v>134</v>
      </c>
      <c r="C90" s="149" t="str">
        <f>VLOOKUP(B90,'HIDDEN features'!A:D,3,FALSE)</f>
        <v>Authorization of remote start (AuthorizeRemoteStart)</v>
      </c>
      <c r="D90" s="179" t="str">
        <f>VLOOKUP(B90,'HIDDEN features'!A:D,4,FALSE)</f>
        <v>(At least one of the suboptions below is required)</v>
      </c>
      <c r="E90" s="13" t="str">
        <f>IF(AND(D91="No",D92="No"),"&lt;-- Please select at least one option from C-48.1 and C-48.2","")</f>
        <v/>
      </c>
      <c r="H90" t="str">
        <f>IF(COUNTIF('OCPP family members'!$B$13:$B$41,B90)&gt;0, "Member", "")</f>
        <v/>
      </c>
    </row>
    <row r="91" spans="2:8" outlineLevel="1" x14ac:dyDescent="0.25">
      <c r="B91" s="156" t="s">
        <v>136</v>
      </c>
      <c r="C91" s="157" t="str">
        <f>VLOOKUP(B91,'HIDDEN features'!A:D,3,FALSE)</f>
        <v>Option for authorization in case of a remote start</v>
      </c>
      <c r="D91" s="8" t="s">
        <v>366</v>
      </c>
      <c r="E91" s="18" t="str">
        <f>IF(AND(NOT(ISBLANK(B91)),ISBLANK(D91)),"&lt;---- This field cannot be left empty!",IF(AND(D94="Yes",D91="No",D49="No",D50="No",D51="No",D52="No",D53="No",D54="No"),"&lt;---- This value cannot be No when C-49 is Yes and no Local Authorization Options are selected",IF(AND(D91 &lt;&gt; "Yes", D91 &lt;&gt; "No"),"&lt;---- This field must be filled from the drop-down menu", "")))</f>
        <v/>
      </c>
      <c r="H91" t="str">
        <f>IF(COUNTIF('OCPP family members'!$B$13:$B$41,B91)&gt;0, "Member", "")</f>
        <v/>
      </c>
    </row>
    <row r="92" spans="2:8" outlineLevel="1" x14ac:dyDescent="0.25">
      <c r="B92" s="154" t="s">
        <v>138</v>
      </c>
      <c r="C92" s="155" t="str">
        <f>VLOOKUP(B92,'HIDDEN features'!A:D,3,FALSE)</f>
        <v>Option for no authorization in case of a remote start</v>
      </c>
      <c r="D92" s="9" t="s">
        <v>364</v>
      </c>
      <c r="E92" s="18" t="str">
        <f t="shared" ref="E92:E100" si="2">IF(AND(NOT(ISBLANK(B92)),ISBLANK(D92)),"&lt;---- This field cannot be left empty!",IF(AND(D92 &lt;&gt; "Yes", D92 &lt;&gt; "No"),"&lt;---- This field must be filled from the drop-down menu", ""))</f>
        <v/>
      </c>
      <c r="H92" t="str">
        <f>IF(COUNTIF('OCPP family members'!$B$13:$B$41,B92)&gt;0, "Member", "")</f>
        <v/>
      </c>
    </row>
    <row r="93" spans="2:8" x14ac:dyDescent="0.25">
      <c r="B93" s="151" t="s">
        <v>142</v>
      </c>
      <c r="C93" s="152" t="str">
        <f>VLOOKUP(B93,'HIDDEN features'!A:D,3,FALSE)</f>
        <v>Authorization Cache (AuthCacheEnabled)</v>
      </c>
      <c r="D93" s="8" t="s">
        <v>366</v>
      </c>
      <c r="E93" s="18" t="str">
        <f t="shared" si="2"/>
        <v/>
      </c>
      <c r="H93" t="str">
        <f>IF(COUNTIF('OCPP family members'!$B$13:$B$41,B93)&gt;0, "Member", "")</f>
        <v/>
      </c>
    </row>
    <row r="94" spans="2:8" x14ac:dyDescent="0.25">
      <c r="B94" s="148" t="s">
        <v>146</v>
      </c>
      <c r="C94" s="149" t="str">
        <f>VLOOKUP(B94,'HIDDEN features'!A:D,3,FALSE)</f>
        <v>Configurable TxStartPoint</v>
      </c>
      <c r="D94" s="9" t="s">
        <v>366</v>
      </c>
      <c r="E94" s="18" t="str">
        <f t="shared" si="2"/>
        <v/>
      </c>
      <c r="H94" t="str">
        <f>IF(COUNTIF('OCPP family members'!$B$13:$B$41,B94)&gt;0, "Member", "")</f>
        <v/>
      </c>
    </row>
    <row r="95" spans="2:8" x14ac:dyDescent="0.25">
      <c r="B95" s="151" t="s">
        <v>148</v>
      </c>
      <c r="C95" s="152" t="str">
        <f>VLOOKUP(B95,'HIDDEN features'!A:D,3,FALSE)</f>
        <v>Configurable TxStopPoint</v>
      </c>
      <c r="D95" s="8" t="s">
        <v>366</v>
      </c>
      <c r="E95" s="18" t="str">
        <f t="shared" si="2"/>
        <v/>
      </c>
      <c r="H95" t="str">
        <f>IF(COUNTIF('OCPP family members'!$B$13:$B$41,B95)&gt;0, "Member", "")</f>
        <v/>
      </c>
    </row>
    <row r="96" spans="2:8" x14ac:dyDescent="0.25">
      <c r="B96" s="148" t="s">
        <v>150</v>
      </c>
      <c r="C96" s="149" t="str">
        <f>VLOOKUP(B96,'HIDDEN features'!A:D,3,FALSE)</f>
        <v>Support for lifetime cached token (AuthCacheLifeTime)</v>
      </c>
      <c r="D96" s="9" t="s">
        <v>366</v>
      </c>
      <c r="E96" s="18" t="str">
        <f t="shared" si="2"/>
        <v/>
      </c>
      <c r="H96" t="str">
        <f>IF(COUNTIF('OCPP family members'!$B$13:$B$41,B96)&gt;0, "Member", "")</f>
        <v/>
      </c>
    </row>
    <row r="97" spans="2:8" x14ac:dyDescent="0.25">
      <c r="B97" s="151" t="s">
        <v>152</v>
      </c>
      <c r="C97" s="152" t="str">
        <f>VLOOKUP(B97,'HIDDEN features'!A:D,3,FALSE)</f>
        <v>Supported policies for replacing cached entries (AuthCachePolicy)</v>
      </c>
      <c r="D97" s="8" t="s">
        <v>366</v>
      </c>
      <c r="E97" s="18" t="str">
        <f t="shared" si="2"/>
        <v/>
      </c>
      <c r="H97" t="str">
        <f>IF(COUNTIF('OCPP family members'!$B$13:$B$41,B97)&gt;0, "Member", "")</f>
        <v/>
      </c>
    </row>
    <row r="98" spans="2:8" x14ac:dyDescent="0.25">
      <c r="B98" s="148" t="s">
        <v>154</v>
      </c>
      <c r="C98" s="149" t="str">
        <f>VLOOKUP(B98,'HIDDEN features'!A:D,3,FALSE)</f>
        <v>Support for providing the SummaryInventory</v>
      </c>
      <c r="D98" s="9" t="s">
        <v>366</v>
      </c>
      <c r="E98" s="18" t="str">
        <f t="shared" si="2"/>
        <v/>
      </c>
      <c r="H98" t="str">
        <f>IF(COUNTIF('OCPP family members'!$B$13:$B$41,B98)&gt;0, "Member", "")</f>
        <v/>
      </c>
    </row>
    <row r="99" spans="2:8" x14ac:dyDescent="0.25">
      <c r="B99" s="151" t="s">
        <v>156</v>
      </c>
      <c r="C99" s="152" t="str">
        <f>VLOOKUP(B99,'HIDDEN features'!A:D,3,FALSE)</f>
        <v>Support for cancelling ongoing log file upload</v>
      </c>
      <c r="D99" s="8" t="s">
        <v>366</v>
      </c>
      <c r="E99" s="18" t="str">
        <f t="shared" si="2"/>
        <v/>
      </c>
      <c r="H99" t="str">
        <f>IF(COUNTIF('OCPP family members'!$B$13:$B$41,B99)&gt;0, "Member", "")</f>
        <v/>
      </c>
    </row>
    <row r="100" spans="2:8" x14ac:dyDescent="0.25">
      <c r="B100" s="148" t="s">
        <v>140</v>
      </c>
      <c r="C100" s="149" t="str">
        <f>VLOOKUP(B100,'HIDDEN features'!A:D,3,FALSE)</f>
        <v>Option for disabling remote authorization	(DisableRemoteAuthorization)</v>
      </c>
      <c r="D100" s="9" t="s">
        <v>366</v>
      </c>
      <c r="E100" s="18" t="str">
        <f t="shared" si="2"/>
        <v/>
      </c>
      <c r="H100" t="str">
        <f>IF(COUNTIF('OCPP family members'!$B$13:$B$41,B100)&gt;0, "Member", "")</f>
        <v/>
      </c>
    </row>
    <row r="101" spans="2:8" x14ac:dyDescent="0.25">
      <c r="B101" s="151" t="s">
        <v>144</v>
      </c>
      <c r="C101" s="152" t="str">
        <f>VLOOKUP(B101,'HIDDEN features'!A:D,3,FALSE)</f>
        <v>Option for disabling remote authorization for cached invalid idTokens (AuthCacheDisablePostAuthorize)</v>
      </c>
      <c r="D101" s="8" t="s">
        <v>366</v>
      </c>
      <c r="E101" s="18" t="str">
        <f t="shared" ref="E101:E106" si="3">IF(AND(NOT(ISBLANK(B101)),ISBLANK(D101)),"&lt;---- This field cannot be left empty!",IF(AND(D101 &lt;&gt; "Yes", D101 &lt;&gt; "No"),"&lt;---- This field must be filled from the drop-down menu", ""))</f>
        <v/>
      </c>
      <c r="H101" t="str">
        <f>IF(COUNTIF('OCPP family members'!$B$13:$B$41,B101)&gt;0, "Member", "")</f>
        <v/>
      </c>
    </row>
    <row r="102" spans="2:8" x14ac:dyDescent="0.25">
      <c r="B102" s="148" t="s">
        <v>158</v>
      </c>
      <c r="C102" s="149" t="str">
        <f>VLOOKUP(B102,'HIDDEN features'!A:D,3,FALSE)</f>
        <v>Support for cancelling ongoing firmware update</v>
      </c>
      <c r="D102" s="9" t="s">
        <v>366</v>
      </c>
      <c r="E102" s="18" t="str">
        <f t="shared" si="3"/>
        <v/>
      </c>
      <c r="H102" t="str">
        <f>IF(COUNTIF('OCPP family members'!$B$13:$B$41,B102)&gt;0, "Member", "")</f>
        <v/>
      </c>
    </row>
    <row r="103" spans="2:8" x14ac:dyDescent="0.25">
      <c r="B103" s="151" t="s">
        <v>160</v>
      </c>
      <c r="C103" s="152" t="str">
        <f>VLOOKUP(B103,'HIDDEN features'!A:D,3,FALSE)</f>
        <v>Security Profile 1 - Unsecured Transport with Basic Authentication</v>
      </c>
      <c r="D103" s="8" t="s">
        <v>366</v>
      </c>
      <c r="E103" s="18" t="str">
        <f t="shared" si="3"/>
        <v/>
      </c>
      <c r="H103" t="str">
        <f>IF(COUNTIF('OCPP family members'!$B$13:$B$41,B103)&gt;0, "Member", "")</f>
        <v/>
      </c>
    </row>
    <row r="104" spans="2:8" x14ac:dyDescent="0.25">
      <c r="B104" s="148" t="s">
        <v>162</v>
      </c>
      <c r="C104" s="149" t="str">
        <f>VLOOKUP(B104,'HIDDEN features'!A:D,3,FALSE)</f>
        <v>Support for resuming transactions on reset or power interruption</v>
      </c>
      <c r="D104" s="9" t="s">
        <v>366</v>
      </c>
      <c r="E104" s="18" t="str">
        <f t="shared" si="3"/>
        <v/>
      </c>
      <c r="H104" t="str">
        <f>IF(COUNTIF('OCPP family members'!$B$13:$B$41,B104)&gt;0, "Member", "")</f>
        <v/>
      </c>
    </row>
    <row r="105" spans="2:8" x14ac:dyDescent="0.25">
      <c r="B105" s="151" t="s">
        <v>163</v>
      </c>
      <c r="C105" s="152" t="str">
        <f>VLOOKUP(B105,'HIDDEN features'!A:D,3,FALSE)</f>
        <v>Support for transaction limits</v>
      </c>
      <c r="D105" s="8" t="s">
        <v>366</v>
      </c>
      <c r="E105" s="18" t="str">
        <f t="shared" si="3"/>
        <v/>
      </c>
      <c r="H105" t="str">
        <f>IF(COUNTIF('OCPP family members'!$B$13:$B$41,B105)&gt;0, "Member", "")</f>
        <v/>
      </c>
    </row>
    <row r="106" spans="2:8" x14ac:dyDescent="0.25">
      <c r="B106" s="148" t="s">
        <v>165</v>
      </c>
      <c r="C106" s="149" t="str">
        <f>VLOOKUP(B106,'HIDDEN features'!A:D,3,FALSE)</f>
        <v>Support for resuming power transfer on reset or power interruption</v>
      </c>
      <c r="D106" s="9" t="s">
        <v>366</v>
      </c>
      <c r="E106" s="18" t="str">
        <f t="shared" si="3"/>
        <v/>
      </c>
      <c r="H106" t="str">
        <f>IF(COUNTIF('OCPP family members'!$B$13:$B$41,B106)&gt;0, "Member", "")</f>
        <v/>
      </c>
    </row>
    <row r="107" spans="2:8" x14ac:dyDescent="0.25">
      <c r="B107" s="180" t="s">
        <v>2057</v>
      </c>
      <c r="C107" s="181" t="str">
        <f>VLOOKUP(B107,'HIDDEN features'!A:D,3,FALSE)</f>
        <v>Support for DataCollectorLog</v>
      </c>
      <c r="D107" s="84" t="s">
        <v>366</v>
      </c>
      <c r="E107" s="18" t="str">
        <f>IF(AND(NOT(ISBLANK(B107)),ISBLANK(D107)),"&lt;---- This field cannot be left empty!",IF(AND(D107 &lt;&gt; "Yes", D107 &lt;&gt; "No"),"&lt;---- This field must be filled from the drop-down menu", ""))</f>
        <v/>
      </c>
      <c r="H107" t="str">
        <f>IF(COUNTIF('OCPP family members'!$B$13:$B$41,B107)&gt;0, "Member", "")</f>
        <v/>
      </c>
    </row>
    <row r="108" spans="2:8" x14ac:dyDescent="0.25">
      <c r="B108" s="175"/>
      <c r="E108" s="13"/>
      <c r="H108" t="str">
        <f>IF(COUNTIF('OCPP family members'!$B$13:$B$41,B108)&gt;0, "Member", "")</f>
        <v/>
      </c>
    </row>
    <row r="109" spans="2:8" x14ac:dyDescent="0.25">
      <c r="B109" s="175"/>
      <c r="E109" s="13"/>
      <c r="H109" t="str">
        <f>IF(COUNTIF('OCPP family members'!$B$13:$B$41,B109)&gt;0, "Member", "")</f>
        <v/>
      </c>
    </row>
    <row r="110" spans="2:8" x14ac:dyDescent="0.25">
      <c r="B110" s="182" t="s">
        <v>329</v>
      </c>
      <c r="C110" s="6" t="s">
        <v>393</v>
      </c>
      <c r="D110" s="40" t="s">
        <v>394</v>
      </c>
      <c r="E110" s="13"/>
    </row>
    <row r="111" spans="2:8" x14ac:dyDescent="0.25">
      <c r="B111" s="145" t="s">
        <v>227</v>
      </c>
      <c r="C111" s="146" t="str">
        <f>VLOOKUP(B111,'HIDDEN features'!A:D,3,FALSE)</f>
        <v>Supported charging rate units (ChargingScheduleChargingRateUnit)</v>
      </c>
      <c r="D111" s="178" t="str">
        <f>VLOOKUP(B111,'HIDDEN features'!A:D,4,FALSE)</f>
        <v>(Select all supported suboptions)</v>
      </c>
      <c r="E111" s="18" t="str">
        <f>IF(AND(ISERROR(VLOOKUP("Yes",D112:D113,1,FALSE)),VLOOKUP(RIGHT(C110,LEN(C110)-FIND(":",C110)-1),Profile_Selection,2,FALSE)="Yes"),"&lt;-- Please select at least one option","")</f>
        <v/>
      </c>
      <c r="H111" t="str">
        <f>IF(COUNTIF('OCPP family members'!$B$13:$B$41,B111)&gt;0, "Member", "")</f>
        <v/>
      </c>
    </row>
    <row r="112" spans="2:8" outlineLevel="1" x14ac:dyDescent="0.25">
      <c r="B112" s="154" t="s">
        <v>230</v>
      </c>
      <c r="C112" s="155" t="str">
        <f>VLOOKUP(B112,'HIDDEN features'!A:D,3,FALSE)</f>
        <v>A</v>
      </c>
      <c r="D112" s="9" t="s">
        <v>366</v>
      </c>
      <c r="E112" s="18" t="str">
        <f>IF(AND(D112="Yes",VLOOKUP(RIGHT(C110,LEN(C110)-FIND(":",C110)-1),Profile_Selection,2,FALSE)&lt;&gt;"Yes"),_xlfn.CONCAT("&lt;---- Value must be 'No' as ",C110," is not selected"),IF(AND(NOT(ISBLANK(B112)),ISBLANK(D112)),"&lt;---- This field cannot be left empty!",IF(AND(D112 &lt;&gt; "Yes", D112 &lt;&gt; "No"),"&lt;---- This field must be filled from the drop-down menu", "")))</f>
        <v/>
      </c>
      <c r="H112" t="str">
        <f>IF(COUNTIF('OCPP family members'!$B$13:$B$41,B112)&gt;0, "Member", "")</f>
        <v/>
      </c>
    </row>
    <row r="113" spans="2:8" outlineLevel="1" x14ac:dyDescent="0.25">
      <c r="B113" s="156" t="s">
        <v>232</v>
      </c>
      <c r="C113" s="157" t="str">
        <f>VLOOKUP(B113,'HIDDEN features'!A:D,3,FALSE)</f>
        <v>W</v>
      </c>
      <c r="D113" s="8" t="s">
        <v>366</v>
      </c>
      <c r="E113" s="18" t="str">
        <f>IF(AND(D113="Yes",VLOOKUP(RIGHT(C110,LEN(C110)-FIND(":",C110)-1),Profile_Selection,2,FALSE)&lt;&gt;"Yes"),_xlfn.CONCAT("&lt;---- Value must be 'No' as ",C110," is not selected"),IF(AND(NOT(ISBLANK(B113)),ISBLANK(D113)),"&lt;---- This field cannot be left empty!",IF(AND(D113 &lt;&gt; "Yes", D113 &lt;&gt; "No"),"&lt;---- This field must be filled from the drop-down menu", "")))</f>
        <v/>
      </c>
      <c r="H113" t="str">
        <f>IF(COUNTIF('OCPP family members'!$B$13:$B$41,B113)&gt;0, "Member", "")</f>
        <v/>
      </c>
    </row>
    <row r="114" spans="2:8" x14ac:dyDescent="0.25">
      <c r="B114" s="148" t="s">
        <v>234</v>
      </c>
      <c r="C114" s="149" t="str">
        <f>VLOOKUP(B114,'HIDDEN features'!A:D,3,FALSE)</f>
        <v>Support for limiting based on SoC (limitAtSoC)</v>
      </c>
      <c r="D114" s="9" t="s">
        <v>366</v>
      </c>
      <c r="E114" s="18" t="str">
        <f>IF(AND(D114="Yes",VLOOKUP(RIGHT(C110,LEN(C110)-FIND(":",C110)-1),Profile_Selection,2,FALSE)&lt;&gt;"Yes"),_xlfn.CONCAT("&lt;---- Value must be 'No' as ",C110," is not selected"),IF(AND(NOT(ISBLANK(B114)),ISBLANK(D114)),"&lt;---- This field cannot be left empty!",IF(AND(D114 &lt;&gt; "Yes", D114 &lt;&gt; "No"),"&lt;---- This field must be filled from the drop-down menu", "")))</f>
        <v/>
      </c>
      <c r="H114" t="str">
        <f>IF(COUNTIF('OCPP family members'!$B$13:$B$41,B114)&gt;0, "Member", "")</f>
        <v/>
      </c>
    </row>
    <row r="115" spans="2:8" x14ac:dyDescent="0.25">
      <c r="B115" s="151" t="s">
        <v>236</v>
      </c>
      <c r="C115" s="152" t="str">
        <f>VLOOKUP(B115,'HIDDEN features'!A:D,3,FALSE)</f>
        <v>Support for using local time (useLocalTime)</v>
      </c>
      <c r="D115" s="153" t="str">
        <f>VLOOKUP(B115,'HIDDEN features'!A:D,4,FALSE)</f>
        <v>(At least one of the suboptions below is required)</v>
      </c>
      <c r="E115" s="18"/>
      <c r="H115" t="str">
        <f>IF(COUNTIF('OCPP family members'!$B$13:$B$41,B115)&gt;0, "Member", "")</f>
        <v/>
      </c>
    </row>
    <row r="116" spans="2:8" outlineLevel="1" x14ac:dyDescent="0.25">
      <c r="B116" s="154" t="s">
        <v>237</v>
      </c>
      <c r="C116" s="155" t="str">
        <f>VLOOKUP(B116,'HIDDEN features'!A:D,3,FALSE)</f>
        <v>TimeOffset</v>
      </c>
      <c r="D116" s="9" t="s">
        <v>366</v>
      </c>
      <c r="E116" s="18" t="str">
        <f t="shared" ref="E116:E121" si="4">IF(AND(D116="Yes",VLOOKUP(RIGHT($C$110, LEN($C$110)-FIND(":", $C$110)-1), Profile_Selection,2,FALSE)&lt;&gt;"Yes"),_xlfn.CONCAT("&lt;---- Value must be 'No' as ",$C$110," is not selected"),IF(AND(NOT(ISBLANK(B116)),ISBLANK(D116)),"&lt;---- This field cannot be left empty!",IF(AND(D116 &lt;&gt; "Yes", D116 &lt;&gt; "No"),"&lt;---- This field must be filled from the drop-down menu", "")))</f>
        <v/>
      </c>
      <c r="H116" t="str">
        <f>IF(COUNTIF('OCPP family members'!$B$13:$B$41,B116)&gt;0, "Member", "")</f>
        <v/>
      </c>
    </row>
    <row r="117" spans="2:8" outlineLevel="1" x14ac:dyDescent="0.25">
      <c r="B117" s="156" t="s">
        <v>239</v>
      </c>
      <c r="C117" s="157" t="str">
        <f>VLOOKUP(B117,'HIDDEN features'!A:D,3,FALSE)</f>
        <v>TimeZone</v>
      </c>
      <c r="D117" s="8" t="s">
        <v>366</v>
      </c>
      <c r="E117" s="18" t="str">
        <f t="shared" si="4"/>
        <v/>
      </c>
      <c r="H117" t="str">
        <f>IF(COUNTIF('OCPP family members'!$B$13:$B$41,B117)&gt;0, "Member", "")</f>
        <v/>
      </c>
    </row>
    <row r="118" spans="2:8" x14ac:dyDescent="0.25">
      <c r="B118" s="148" t="s">
        <v>241</v>
      </c>
      <c r="C118" s="149" t="str">
        <f>VLOOKUP(B118,'HIDDEN features'!A:D,3,FALSE)</f>
        <v>Support for using priority charging (PriorityCharging)</v>
      </c>
      <c r="D118" s="9" t="s">
        <v>366</v>
      </c>
      <c r="E118" s="18" t="str">
        <f t="shared" si="4"/>
        <v/>
      </c>
      <c r="H118" t="str">
        <f>IF(COUNTIF('OCPP family members'!$B$13:$B$41,B118)&gt;0, "Member", "")</f>
        <v/>
      </c>
    </row>
    <row r="119" spans="2:8" x14ac:dyDescent="0.25">
      <c r="B119" s="151" t="s">
        <v>243</v>
      </c>
      <c r="C119" s="152" t="str">
        <f>VLOOKUP(B119,'HIDDEN features'!A:D,3,FALSE)</f>
        <v>Support for using randomized delays  (randomizedDelay)</v>
      </c>
      <c r="D119" s="8" t="s">
        <v>366</v>
      </c>
      <c r="E119" s="18" t="str">
        <f t="shared" si="4"/>
        <v/>
      </c>
      <c r="H119" t="str">
        <f>IF(COUNTIF('OCPP family members'!$B$13:$B$41,B119)&gt;0, "Member", "")</f>
        <v/>
      </c>
    </row>
    <row r="120" spans="2:8" x14ac:dyDescent="0.25">
      <c r="B120" s="148" t="s">
        <v>245</v>
      </c>
      <c r="C120" s="149" t="str">
        <f>VLOOKUP(B120,'HIDDEN features'!A:D,3,FALSE)</f>
        <v>Support for dynamic charging profiles</v>
      </c>
      <c r="D120" s="9" t="s">
        <v>366</v>
      </c>
      <c r="E120" s="18" t="str">
        <f t="shared" si="4"/>
        <v/>
      </c>
      <c r="H120" t="str">
        <f>IF(COUNTIF('OCPP family members'!$B$13:$B$41,B120)&gt;0, "Member", "")</f>
        <v/>
      </c>
    </row>
    <row r="121" spans="2:8" x14ac:dyDescent="0.25">
      <c r="B121" s="183" t="s">
        <v>249</v>
      </c>
      <c r="C121" s="184" t="str">
        <f>VLOOKUP(B121,'HIDDEN features'!A:D,3,FALSE)</f>
        <v>Support for EMS Control</v>
      </c>
      <c r="D121" s="12" t="s">
        <v>366</v>
      </c>
      <c r="E121" s="18" t="str">
        <f t="shared" si="4"/>
        <v/>
      </c>
      <c r="H121" t="str">
        <f>IF(COUNTIF('OCPP family members'!$B$13:$B$41,B121)&gt;0, "Member", "")</f>
        <v/>
      </c>
    </row>
    <row r="122" spans="2:8" x14ac:dyDescent="0.25">
      <c r="B122" s="175"/>
      <c r="E122" s="13"/>
      <c r="H122" t="str">
        <f>IF(COUNTIF('OCPP family members'!$B$13:$B$41,B122)&gt;0, "Member", "")</f>
        <v/>
      </c>
    </row>
    <row r="123" spans="2:8" x14ac:dyDescent="0.25">
      <c r="B123" s="175"/>
      <c r="E123" s="13"/>
      <c r="H123" t="str">
        <f>IF(COUNTIF('OCPP family members'!$B$13:$B$41,B123)&gt;0, "Member", "")</f>
        <v/>
      </c>
    </row>
    <row r="124" spans="2:8" x14ac:dyDescent="0.25">
      <c r="B124" s="116" t="s">
        <v>329</v>
      </c>
      <c r="C124" s="42" t="s">
        <v>395</v>
      </c>
      <c r="D124" s="144" t="s">
        <v>394</v>
      </c>
      <c r="E124" s="13"/>
    </row>
    <row r="125" spans="2:8" x14ac:dyDescent="0.25">
      <c r="B125" s="145" t="s">
        <v>216</v>
      </c>
      <c r="C125" s="146" t="str">
        <f>VLOOKUP(B125,'HIDDEN features'!A:D,3,FALSE)</f>
        <v>Additional root certificate check mechanism implemented (AdditionalRootCertificateCheck)</v>
      </c>
      <c r="D125" s="46" t="s">
        <v>366</v>
      </c>
      <c r="E125" s="18" t="str">
        <f>IF(AND(D125="Yes",VLOOKUP(RIGHT(C124,LEN(C124)-FIND(":",C124)-1),Profile_Selection,2,FALSE)&lt;&gt;"Yes"),_xlfn.CONCAT("&lt;---- Value must be 'No' as ",C124," is not selected"),IF(AND(NOT(ISBLANK(B125)),ISBLANK(D125)),"&lt;---- This field cannot be left empty!",IF(AND(D125 &lt;&gt; "Yes", D125 &lt;&gt; "No"),"&lt;---- This field must be filled from the drop-down menu", "")))</f>
        <v/>
      </c>
      <c r="H125" t="str">
        <f>IF(COUNTIF('OCPP family members'!$B$13:$B$41,B125)&gt;0, "Member", "")</f>
        <v/>
      </c>
    </row>
    <row r="126" spans="2:8" ht="30" customHeight="1" x14ac:dyDescent="0.25">
      <c r="B126" s="148" t="s">
        <v>219</v>
      </c>
      <c r="C126" s="149" t="str">
        <f>VLOOKUP(B126,'HIDDEN features'!A:D,3,FALSE)</f>
        <v>Update Charging Station Certificate - CertificateSignedRequest Timeout (CertSigningWaitMinimum,CertSigningRepeatTimes)</v>
      </c>
      <c r="D126" s="9" t="s">
        <v>366</v>
      </c>
      <c r="E126" s="18" t="str">
        <f>IF(AND(D126="Yes",VLOOKUP(RIGHT($C$124,LEN($C$124)-FIND(":",$C$124)-1),Profile_Selection,2,FALSE)&lt;&gt;"Yes"),_xlfn.CONCAT("&lt;---- Value must be 'No' as ",$C$124," is not selected"),IF(AND(NOT(ISBLANK(B126)),ISBLANK(D126)),"&lt;---- This field cannot be left empty!",IF(AND(D126 &lt;&gt; "Yes", D126 &lt;&gt; "No"),"&lt;---- This field must be filled from the drop-down menu", "")))</f>
        <v/>
      </c>
      <c r="H126" t="str">
        <f>IF(COUNTIF('OCPP family members'!$B$13:$B$41,B126)&gt;0, "Member", "")</f>
        <v/>
      </c>
    </row>
    <row r="127" spans="2:8" x14ac:dyDescent="0.25">
      <c r="B127" s="185" t="s">
        <v>221</v>
      </c>
      <c r="C127" s="186" t="str">
        <f>VLOOKUP(B127,'HIDDEN features'!A:D,3,FALSE)</f>
        <v>Security downgrades from profile 3 to 2 (AllowSecurityProfileDowngrade)</v>
      </c>
      <c r="D127" s="187" t="s">
        <v>17</v>
      </c>
      <c r="E127" s="18" t="str">
        <f>IF(AND(ISERROR(VLOOKUP("Yes",D128:D129,1,FALSE)),VLOOKUP(RIGHT(C124,LEN(C124)-FIND(":",C124)-1),Profile_Selection,2,FALSE)="Yes"),"&lt;-- Please select at least one option","")</f>
        <v>&lt;-- Please select at least one option</v>
      </c>
      <c r="H127" t="str">
        <f>IF(COUNTIF('OCPP family members'!$B$13:$B$41,B127)&gt;0, "Member", "")</f>
        <v/>
      </c>
    </row>
    <row r="128" spans="2:8" outlineLevel="1" x14ac:dyDescent="0.25">
      <c r="B128" s="154" t="s">
        <v>223</v>
      </c>
      <c r="C128" s="155" t="str">
        <f>VLOOKUP(B128,'HIDDEN features'!A:D,3,FALSE)</f>
        <v>Support for disallowing security downgrades from profile 3 to 2</v>
      </c>
      <c r="D128" s="9" t="s">
        <v>366</v>
      </c>
      <c r="E128" s="18" t="str">
        <f>IF(AND(D128="Yes",VLOOKUP(RIGHT(C124,LEN(C124)-FIND(":",C124)-1),Profile_Selection,2,FALSE)&lt;&gt;"Yes"),_xlfn.CONCAT("&lt;---- Value must be 'No' as ",C124," is not selected"),IF(AND(NOT(ISBLANK(B128)),ISBLANK(D128)),"&lt;---- This field cannot be left empty!",IF(AND(D128 &lt;&gt; "Yes", D128 &lt;&gt; "No"),"&lt;---- This field must be filled from the drop-down menu", "")))</f>
        <v/>
      </c>
      <c r="H128" t="str">
        <f>IF(COUNTIF('OCPP family members'!$B$13:$B$41,B128)&gt;0, "Member", "")</f>
        <v/>
      </c>
    </row>
    <row r="129" spans="2:8" outlineLevel="1" x14ac:dyDescent="0.25">
      <c r="B129" s="188" t="s">
        <v>225</v>
      </c>
      <c r="C129" s="189" t="str">
        <f>VLOOKUP(B129,'HIDDEN features'!A:D,3,FALSE)</f>
        <v>Support for allowing security downgrades from profile 3 to 2</v>
      </c>
      <c r="D129" s="84" t="s">
        <v>366</v>
      </c>
      <c r="E129" s="18" t="str">
        <f>IF(AND(D129="Yes",VLOOKUP(RIGHT(C124,LEN(C124)-FIND(":",C124)-1),Profile_Selection,2,FALSE)&lt;&gt;"Yes"),_xlfn.CONCAT("&lt;---- Value must be 'No' as ",C124," is not selected"),IF(AND(NOT(ISBLANK(B129)),ISBLANK(D129)),"&lt;---- This field cannot be left empty!",IF(AND(D129 &lt;&gt; "Yes", D129 &lt;&gt; "No"),"&lt;---- This field must be filled from the drop-down menu", "")))</f>
        <v/>
      </c>
      <c r="H129" t="str">
        <f>IF(COUNTIF('OCPP family members'!$B$13:$B$41,B129)&gt;0, "Member", "")</f>
        <v/>
      </c>
    </row>
    <row r="130" spans="2:8" x14ac:dyDescent="0.25">
      <c r="B130" s="175"/>
      <c r="E130" s="13"/>
      <c r="H130" t="str">
        <f>IF(COUNTIF('OCPP family members'!$B$13:$B$41,B130)&gt;0, "Member", "")</f>
        <v/>
      </c>
    </row>
    <row r="131" spans="2:8" x14ac:dyDescent="0.25">
      <c r="B131" s="175"/>
      <c r="E131" s="13"/>
      <c r="H131" t="str">
        <f>IF(COUNTIF('OCPP family members'!$B$13:$B$41,B131)&gt;0, "Member", "")</f>
        <v/>
      </c>
    </row>
    <row r="132" spans="2:8" x14ac:dyDescent="0.25">
      <c r="B132" s="116" t="s">
        <v>329</v>
      </c>
      <c r="C132" s="42" t="s">
        <v>396</v>
      </c>
      <c r="D132" s="144" t="s">
        <v>394</v>
      </c>
      <c r="E132" s="13"/>
    </row>
    <row r="133" spans="2:8" x14ac:dyDescent="0.25">
      <c r="B133" s="190" t="s">
        <v>171</v>
      </c>
      <c r="C133" s="191" t="str">
        <f>VLOOKUP(B133,'HIDDEN features'!A:D,3,FALSE)</f>
        <v>Support for Reservation</v>
      </c>
      <c r="D133" s="8" t="s">
        <v>366</v>
      </c>
      <c r="E133" s="18" t="str">
        <f>IF(AND(NOT(ISBLANK(B133)),ISBLANK(D133)),"&lt;---- This field cannot be left empty!",IF(AND(D133 &lt;&gt; "Yes", D133 &lt;&gt; "No"),"&lt;---- This field must be filled from the drop-down menu", ""))</f>
        <v/>
      </c>
      <c r="H133" t="str">
        <f>IF(COUNTIF('OCPP family members'!$B$13:$B$41,B133)&gt;0, "Member", "")</f>
        <v/>
      </c>
    </row>
    <row r="134" spans="2:8" x14ac:dyDescent="0.25">
      <c r="B134" s="148" t="s">
        <v>174</v>
      </c>
      <c r="C134" s="149" t="str">
        <f>VLOOKUP(B134,'HIDDEN features'!A:D,3,FALSE)</f>
        <v>Support for reservations of connectorType</v>
      </c>
      <c r="D134" s="192" t="str">
        <f t="array" ref="D134">IF(OR(SUMPRODUCT(--ISNUMBER(MATCH(EVSE_ConnectorTypes, MD!R:R, 0))) &gt; 0, VLOOKUP("R-0",'Optional features'!B:D,3,FALSE)="No"), "No", "Yes")</f>
        <v>No</v>
      </c>
      <c r="E134" s="13" t="str">
        <f>IF(AND(VLOOKUP("R-0",'Optional features'!B:D,3,FALSE)="Yes",D134="No"),"&lt;---- Supporting this feature depends on whether all connectorTypes are supported that are part of the ConnectorEnumType list from part 2 specification.","")</f>
        <v/>
      </c>
      <c r="H134" t="str">
        <f>IF(COUNTIF('OCPP family members'!$B$13:$B$41,B134)&gt;0, "Member", "")</f>
        <v>Member</v>
      </c>
    </row>
    <row r="135" spans="2:8" x14ac:dyDescent="0.25">
      <c r="B135" s="151" t="s">
        <v>177</v>
      </c>
      <c r="C135" s="152" t="str">
        <f>VLOOKUP(B135,'HIDDEN features'!A:D,3,FALSE)</f>
        <v>Support for reservation of unspecified EVSE (ReservationNonEvseSpecific)</v>
      </c>
      <c r="D135" s="8" t="s">
        <v>366</v>
      </c>
      <c r="E135" s="18" t="str">
        <f>IF(AND(D135="Yes",VLOOKUP("R-0",'Optional features'!B:D,3,FALSE)&lt;&gt;"Yes"),_xlfn.CONCAT("&lt;---- Value must be 'No' as ",C132," is not selected"),IF(AND(NOT(ISBLANK(B135)),ISBLANK(D135)),"&lt;---- This field cannot be left empty!",IF(AND(D135 &lt;&gt; "Yes", D135 &lt;&gt; "No"),"&lt;---- This field must be filled from the drop-down menu", "")))</f>
        <v/>
      </c>
      <c r="H135" t="str">
        <f>IF(COUNTIF('OCPP family members'!$B$13:$B$41,B135)&gt;0, "Member", "")</f>
        <v/>
      </c>
    </row>
    <row r="136" spans="2:8" x14ac:dyDescent="0.25">
      <c r="B136" s="165" t="s">
        <v>179</v>
      </c>
      <c r="C136" s="166" t="str">
        <f>VLOOKUP(B136,'HIDDEN features'!A:D,3,FALSE)</f>
        <v>Support for disabling Reservations (ReservationEnabled)</v>
      </c>
      <c r="D136" s="10" t="s">
        <v>366</v>
      </c>
      <c r="E136" s="18" t="str">
        <f>IF(AND(D136="Yes",VLOOKUP("R-0",'Optional features'!B:D,3,FALSE)&lt;&gt;"Yes"),_xlfn.CONCAT("&lt;---- Value must be 'No' as ",C132," is not selected"),IF(AND(NOT(ISBLANK(B136)),ISBLANK(D136)),"&lt;---- This field cannot be left empty!",IF(AND(D136 &lt;&gt; "Yes", D136 &lt;&gt; "No"),"&lt;---- This field must be filled from the drop-down menu", "")))</f>
        <v/>
      </c>
      <c r="H136" t="str">
        <f>IF(COUNTIF('OCPP family members'!$B$13:$B$41,B136)&gt;0, "Member", "")</f>
        <v/>
      </c>
    </row>
    <row r="137" spans="2:8" x14ac:dyDescent="0.25">
      <c r="B137" s="175"/>
      <c r="E137" s="13"/>
      <c r="H137" t="str">
        <f>IF(COUNTIF('OCPP family members'!$B$13:$B$41,B137)&gt;0, "Member", "")</f>
        <v/>
      </c>
    </row>
    <row r="138" spans="2:8" x14ac:dyDescent="0.25">
      <c r="B138" s="175"/>
      <c r="E138" s="13"/>
      <c r="H138" t="str">
        <f>IF(COUNTIF('OCPP family members'!$B$13:$B$41,B138)&gt;0, "Member", "")</f>
        <v/>
      </c>
    </row>
    <row r="139" spans="2:8" x14ac:dyDescent="0.25">
      <c r="B139" s="182" t="s">
        <v>329</v>
      </c>
      <c r="C139" s="6" t="s">
        <v>182</v>
      </c>
      <c r="D139" s="40" t="s">
        <v>394</v>
      </c>
      <c r="E139" s="13"/>
    </row>
    <row r="140" spans="2:8" x14ac:dyDescent="0.25">
      <c r="B140" s="193" t="s">
        <v>181</v>
      </c>
      <c r="C140" s="194" t="str">
        <f>VLOOKUP(B140,'HIDDEN features'!A:D,3,FALSE)</f>
        <v>Support for Advanced Device Management</v>
      </c>
      <c r="D140" s="198" t="s">
        <v>366</v>
      </c>
      <c r="E140" s="18" t="str">
        <f>IF(AND(NOT(ISBLANK(B140)),ISBLANK(D140)),"&lt;---- This field cannot be left empty!",IF(AND(D140 &lt;&gt; "Yes", D140 &lt;&gt; "No"),"&lt;---- This field must be filled from the drop-down menu", ""))</f>
        <v/>
      </c>
      <c r="H140" t="str">
        <f>IF(COUNTIF('OCPP family members'!$B$13:$B$41,B140)&gt;0, "Member", "")</f>
        <v/>
      </c>
    </row>
    <row r="141" spans="2:8" x14ac:dyDescent="0.25">
      <c r="B141" s="165" t="s">
        <v>184</v>
      </c>
      <c r="C141" s="166" t="str">
        <f>VLOOKUP(B141,'HIDDEN features'!A:D,3,FALSE)</f>
        <v>Queue notifyEventRequest messages for specific severities (OfflineMonitoringEventQueuingSeverity)</v>
      </c>
      <c r="D141" s="10" t="s">
        <v>366</v>
      </c>
      <c r="E141" s="18" t="str">
        <f>IF(AND(D141="Yes",VLOOKUP("DM-0",'Optional features'!B:D,3,FALSE)&lt;&gt;"Yes"),_xlfn.CONCAT("&lt;---- Value must be 'No' as ",C139," is not selected"),IF(AND(NOT(ISBLANK(B141)),ISBLANK(D141)),"&lt;---- This field cannot be left empty!",IF(AND(D141 &lt;&gt; "Yes", D141 &lt;&gt; "No"),"&lt;---- This field must be filled from the drop-down menu", "")))</f>
        <v/>
      </c>
      <c r="H141" t="str">
        <f>IF(COUNTIF('OCPP family members'!$B$13:$B$41,B141)&gt;0, "Member", "")</f>
        <v/>
      </c>
    </row>
    <row r="142" spans="2:8" x14ac:dyDescent="0.25">
      <c r="B142" s="175"/>
      <c r="E142" s="13"/>
      <c r="H142" t="str">
        <f>IF(COUNTIF('OCPP family members'!$B$13:$B$41,B142)&gt;0, "Member", "")</f>
        <v/>
      </c>
    </row>
    <row r="143" spans="2:8" x14ac:dyDescent="0.25">
      <c r="B143" s="175"/>
      <c r="E143" s="13"/>
      <c r="H143" t="str">
        <f>IF(COUNTIF('OCPP family members'!$B$13:$B$41,B143)&gt;0, "Member", "")</f>
        <v/>
      </c>
    </row>
    <row r="144" spans="2:8" x14ac:dyDescent="0.25">
      <c r="B144" s="182" t="s">
        <v>329</v>
      </c>
      <c r="C144" s="6" t="s">
        <v>397</v>
      </c>
      <c r="D144" s="40" t="s">
        <v>394</v>
      </c>
      <c r="E144" s="13"/>
    </row>
    <row r="145" spans="1:8" x14ac:dyDescent="0.25">
      <c r="B145" s="193" t="s">
        <v>251</v>
      </c>
      <c r="C145" s="194" t="str">
        <f>VLOOKUP(B145,'HIDDEN features'!A:D,3,FALSE)</f>
        <v>Supported ISO 15118 version</v>
      </c>
      <c r="D145" s="178" t="str">
        <f>VLOOKUP(B145,'HIDDEN features'!A:D,4,FALSE)</f>
        <v>(At least one of the suboptions below is required)</v>
      </c>
      <c r="E145" s="13" t="str">
        <f>IF(AND(ISERROR(VLOOKUP("Yes",D146:D147,1,FALSE)),VLOOKUP(RIGHT(C144,LEN(C144)-FIND(":",C144)-1),Profile_Selection,2,FALSE)="Yes"),"&lt;-- Please select at least one option","")</f>
        <v/>
      </c>
      <c r="H145" t="str">
        <f>IF(COUNTIF('OCPP family members'!$B$13:$B$41,B145)&gt;0, "Member", "")</f>
        <v/>
      </c>
    </row>
    <row r="146" spans="1:8" outlineLevel="1" x14ac:dyDescent="0.25">
      <c r="B146" s="154" t="s">
        <v>253</v>
      </c>
      <c r="C146" s="155" t="str">
        <f>VLOOKUP(B146,'HIDDEN features'!A:D,3,FALSE)</f>
        <v>ISO 15118-2</v>
      </c>
      <c r="D146" s="9" t="s">
        <v>366</v>
      </c>
      <c r="E146" s="13" t="str">
        <f>IF(AND(D146="Yes",VLOOKUP(RIGHT($C$144,LEN($C$144)-FIND(":",$C$144)-1),Profile_Selection,2,FALSE)&lt;&gt;"Yes"),_xlfn.CONCAT("&lt;---- Value must be 'No' as ",$C$144," is not selected"),IF(AND(D147="Yes",D146&lt;&gt;"Yes"),"&lt;---- This field must be 'Yes' since ISO 15118-20 (ISO-1.2) is supported",IF(AND(NOT(ISBLANK(B146)),ISBLANK(D146)),"&lt;---- This field cannot be left empty!",IF(AND(D146 &lt;&gt; "Yes", D146 &lt;&gt; "No"),"&lt;---- This field must be filled from the drop-down menu", ""))))</f>
        <v/>
      </c>
      <c r="H146" t="str">
        <f>IF(COUNTIF('OCPP family members'!$B$13:$B$41,B146)&gt;0, "Member", "")</f>
        <v/>
      </c>
    </row>
    <row r="147" spans="1:8" outlineLevel="1" x14ac:dyDescent="0.25">
      <c r="B147" s="156" t="s">
        <v>255</v>
      </c>
      <c r="C147" s="157" t="str">
        <f>VLOOKUP(B147,'HIDDEN features'!A:D,3,FALSE)</f>
        <v>ISO 15118-20</v>
      </c>
      <c r="D147" s="8" t="s">
        <v>366</v>
      </c>
      <c r="E147" s="13" t="str">
        <f>IF(AND(D147="Yes",VLOOKUP(RIGHT($C$144,LEN($C$144)-FIND(":",$C$144)-1),Profile_Selection,2,FALSE)&lt;&gt;"Yes"),_xlfn.CONCAT("&lt;---- Value must be 'No' as ",$C$144," is not selected"),IF(AND(NOT(ISBLANK(B147)),ISBLANK(D147)),"&lt;---- This field cannot be left empty!",IF(AND(D147 &lt;&gt; "Yes", D147 &lt;&gt; "No"),"&lt;---- This field must be filled from the drop-down menu", "")))</f>
        <v/>
      </c>
      <c r="H147" t="str">
        <f>IF(COUNTIF('OCPP family members'!$B$13:$B$41,B147)&gt;0, "Member", "")</f>
        <v/>
      </c>
    </row>
    <row r="148" spans="1:8" x14ac:dyDescent="0.25">
      <c r="B148" s="148" t="s">
        <v>257</v>
      </c>
      <c r="C148" s="149" t="str">
        <f>VLOOKUP(B148,'HIDDEN features'!A:D,3,FALSE)</f>
        <v>Support for retrieving / deleting CustomerInformation - CustomerCertificate</v>
      </c>
      <c r="D148" s="9" t="s">
        <v>366</v>
      </c>
      <c r="E148" s="13" t="str">
        <f>IF(AND(D148="Yes",VLOOKUP(RIGHT($C$144,LEN($C$144)-FIND(":",$C$144)-1),Profile_Selection,2,FALSE)&lt;&gt;"Yes"),_xlfn.CONCAT("&lt;---- Value must be 'No' as ",$C$144," is not selected"),IF(AND(NOT(ISBLANK(B148)),ISBLANK(D148)),"&lt;---- This field cannot be left empty!",IF(AND(D148 &lt;&gt; "Yes", D148 &lt;&gt; "No"),"&lt;---- This field must be filled from the drop-down menu", "")))</f>
        <v/>
      </c>
      <c r="H148" t="str">
        <f>IF(COUNTIF('OCPP family members'!$B$13:$B$41,B148)&gt;0, "Member", "")</f>
        <v/>
      </c>
    </row>
    <row r="149" spans="1:8" x14ac:dyDescent="0.25">
      <c r="B149" s="190" t="s">
        <v>259</v>
      </c>
      <c r="C149" s="191" t="str">
        <f>VLOOKUP(B149,'HIDDEN features'!A:D,3,FALSE)</f>
        <v>Charging Station can provide a contract certificate that it cannot validate to the CSMS (CentralContractValidationAllowed)</v>
      </c>
      <c r="D149" s="8" t="s">
        <v>366</v>
      </c>
      <c r="E149" s="13" t="str">
        <f>IF(AND(D149="Yes",VLOOKUP(RIGHT($C$144,LEN($C$144)-FIND(":",$C$144)-1),Profile_Selection,2,FALSE)&lt;&gt;"Yes"),_xlfn.CONCAT("&lt;---- Value must be 'No' as ",$C$144," is not selected"),IF(AND(NOT(ISBLANK(B149)),ISBLANK(D149)),"&lt;---- This field cannot be left empty!",IF(AND(D149 &lt;&gt; "Yes", D149 &lt;&gt; "No"),"&lt;---- This field must be filled from the drop-down menu", "")))</f>
        <v/>
      </c>
      <c r="H149" t="str">
        <f>IF(COUNTIF('OCPP family members'!$B$13:$B$41,B149)&gt;0, "Member", "")</f>
        <v/>
      </c>
    </row>
    <row r="150" spans="1:8" ht="17.25" customHeight="1" x14ac:dyDescent="0.25">
      <c r="B150" s="165" t="s">
        <v>261</v>
      </c>
      <c r="C150" s="166" t="str">
        <f>VLOOKUP(B150,'HIDDEN features'!A:D,3,FALSE)</f>
        <v>Support for ServiceRenegotiation</v>
      </c>
      <c r="D150" s="10" t="s">
        <v>366</v>
      </c>
      <c r="E150" s="13" t="str">
        <f>IF(AND(D150="Yes",VLOOKUP(RIGHT($C$144,LEN($C$144)-FIND(":",$C$144)-1),Profile_Selection,2,FALSE)&lt;&gt;"Yes"),_xlfn.CONCAT("&lt;---- Value must be 'No' as ",$C$144," is not selected"),IF(AND(NOT(ISBLANK(B150)),ISBLANK(D150)),"&lt;---- This field cannot be left empty!",IF(AND(D150 &lt;&gt; "Yes", D150 &lt;&gt; "No"),"&lt;---- This field must be filled from the drop-down menu", "")))</f>
        <v/>
      </c>
      <c r="H150" t="str">
        <f>IF(COUNTIF('OCPP family members'!$B$13:$B$41,B150)&gt;0, "Member", "")</f>
        <v/>
      </c>
    </row>
    <row r="151" spans="1:8" ht="17.25" customHeight="1" x14ac:dyDescent="0.25">
      <c r="B151" s="160"/>
      <c r="C151" s="149"/>
      <c r="D151" s="43"/>
      <c r="E151" s="18"/>
      <c r="H151" t="str">
        <f>IF(COUNTIF('OCPP family members'!$B$13:$B$41,B151)&gt;0, "Member", "")</f>
        <v/>
      </c>
    </row>
    <row r="152" spans="1:8" x14ac:dyDescent="0.25">
      <c r="A152" s="175"/>
      <c r="E152" s="13"/>
      <c r="H152" t="str">
        <f>IF(COUNTIF('OCPP family members'!$B$13:$B$41,B152)&gt;0, "Member", "")</f>
        <v/>
      </c>
    </row>
    <row r="153" spans="1:8" x14ac:dyDescent="0.25">
      <c r="B153" s="116" t="s">
        <v>329</v>
      </c>
      <c r="C153" s="42" t="s">
        <v>187</v>
      </c>
      <c r="D153" s="144" t="s">
        <v>394</v>
      </c>
      <c r="E153" s="13"/>
    </row>
    <row r="154" spans="1:8" x14ac:dyDescent="0.25">
      <c r="B154" s="190" t="s">
        <v>186</v>
      </c>
      <c r="C154" s="60" t="str">
        <f>VLOOKUP(B154,'HIDDEN features'!A:D,3,FALSE)</f>
        <v>Support for Local Authorization List Management</v>
      </c>
      <c r="D154" s="199" t="s">
        <v>366</v>
      </c>
      <c r="E154" s="18" t="str">
        <f>IF(AND(NOT(ISBLANK(B154)),ISBLANK(D154)),"&lt;---- This field cannot be left empty!",IF(AND(D154 &lt;&gt; "Yes", D154 &lt;&gt; "No"),"&lt;---- This field must be filled from the drop-down menu", ""))</f>
        <v/>
      </c>
      <c r="H154" t="str">
        <f>IF(COUNTIF('OCPP family members'!$B$13:$B$41,B154)&gt;0, "Member", "")</f>
        <v/>
      </c>
    </row>
    <row r="155" spans="1:8" x14ac:dyDescent="0.25">
      <c r="B155" s="148" t="s">
        <v>189</v>
      </c>
      <c r="C155" s="149" t="str">
        <f>VLOOKUP(B155,'HIDDEN features'!A:D,3,FALSE)</f>
        <v>Authorization list support (LocalAuthListEnabled)</v>
      </c>
      <c r="D155" s="9" t="s">
        <v>366</v>
      </c>
      <c r="E155" s="18" t="str">
        <f>IF(AND(D155="Yes",VLOOKUP("LA-0",'Optional features'!B:D,3,FALSE)&lt;&gt;"Yes"),_xlfn.CONCAT("&lt;---- Value must be 'No' as ",C153," is not selected"),IF(AND(NOT(ISBLANK(B155)),ISBLANK(D155)),"&lt;---- This field cannot be left empty!",IF(AND(D155 &lt;&gt; "Yes", D155 &lt;&gt; "No"),"&lt;---- This field must be filled from the drop-down menu", "")))</f>
        <v/>
      </c>
      <c r="H155" t="str">
        <f>IF(COUNTIF('OCPP family members'!$B$13:$B$41,B155)&gt;0, "Member", "")</f>
        <v/>
      </c>
    </row>
    <row r="156" spans="1:8" ht="30" customHeight="1" x14ac:dyDescent="0.25">
      <c r="B156" s="183" t="s">
        <v>191</v>
      </c>
      <c r="C156" s="184" t="str">
        <f>VLOOKUP(B156,'HIDDEN features'!A:D,3,FALSE)</f>
        <v>Option for disabling remote authorization for invalid idTokens stored at the Local Authorization List (LocalAuthListDisablePostAuthorize)</v>
      </c>
      <c r="D156" s="12" t="s">
        <v>366</v>
      </c>
      <c r="E156" s="18" t="str">
        <f>IF(AND(D156="Yes",VLOOKUP("LA-0",'Optional features'!B:D,3,FALSE)&lt;&gt;"Yes"),_xlfn.CONCAT("&lt;---- Value must be 'No' as ",C153," is not selected"),IF(AND(NOT(ISBLANK(B156)),ISBLANK(D156)),"&lt;---- This field cannot be left empty!",IF(AND(D156 &lt;&gt; "Yes", D156 &lt;&gt; "No"),"&lt;---- This field must be filled from the drop-down menu", "")))</f>
        <v/>
      </c>
      <c r="H156" t="str">
        <f>IF(COUNTIF('OCPP family members'!$B$13:$B$41,B156)&gt;0, "Member", "")</f>
        <v/>
      </c>
    </row>
    <row r="157" spans="1:8" x14ac:dyDescent="0.25">
      <c r="B157" s="175"/>
      <c r="E157" s="13"/>
      <c r="H157" t="str">
        <f>IF(COUNTIF('OCPP family members'!$B$13:$B$41,B157)&gt;0, "Member", "")</f>
        <v/>
      </c>
    </row>
    <row r="158" spans="1:8" x14ac:dyDescent="0.25">
      <c r="B158" s="175"/>
      <c r="E158" s="13"/>
      <c r="H158" t="str">
        <f>IF(COUNTIF('OCPP family members'!$B$13:$B$41,B158)&gt;0, "Member", "")</f>
        <v/>
      </c>
    </row>
    <row r="159" spans="1:8" x14ac:dyDescent="0.25">
      <c r="B159" s="182" t="s">
        <v>329</v>
      </c>
      <c r="C159" s="6" t="s">
        <v>194</v>
      </c>
      <c r="D159" s="40" t="s">
        <v>394</v>
      </c>
      <c r="E159" s="13"/>
    </row>
    <row r="160" spans="1:8" x14ac:dyDescent="0.25">
      <c r="B160" s="193" t="s">
        <v>193</v>
      </c>
      <c r="C160" s="195" t="str">
        <f>VLOOKUP(B160,'HIDDEN features'!A:D,3,FALSE)</f>
        <v>Support for Advanced User Interface</v>
      </c>
      <c r="D160" s="46" t="s">
        <v>366</v>
      </c>
      <c r="E160" s="18" t="str">
        <f>IF(AND(NOT(ISBLANK(B160)),ISBLANK(D160)),"&lt;---- This field cannot be left empty!",IF(AND(D160 &lt;&gt; "Yes", D160 &lt;&gt; "No"),"&lt;---- This field must be filled from the drop-down menu", ""))</f>
        <v/>
      </c>
      <c r="H160" t="str">
        <f>IF(COUNTIF('OCPP family members'!$B$13:$B$41,B160)&gt;0, "Member", "")</f>
        <v/>
      </c>
    </row>
    <row r="161" spans="2:8" ht="30" customHeight="1" x14ac:dyDescent="0.25">
      <c r="B161" s="148" t="s">
        <v>196</v>
      </c>
      <c r="C161" s="149" t="str">
        <f>VLOOKUP(B161,'HIDDEN features'!A:D,3,FALSE)</f>
        <v>Supported message priorities (DisplayMessageSupportedPriorities)</v>
      </c>
      <c r="D161" s="150" t="str">
        <f>VLOOKUP(B161,'HIDDEN features'!A:D,4,FALSE)</f>
        <v>(At least one of the suboptions below is required, if UI-0 is supported)</v>
      </c>
      <c r="E161" s="18" t="str">
        <f>IF(AND(ISERROR(VLOOKUP("Yes",OF_UIPriorities_Values,1,FALSE)),VLOOKUP("UI-0",'Optional features'!B:D,3,FALSE)="Yes"),"&lt;-- Please select at least one option","")</f>
        <v/>
      </c>
      <c r="H161" t="str">
        <f>IF(COUNTIF('OCPP family members'!$B$13:$B$41,B161)&gt;0, "Member", "")</f>
        <v/>
      </c>
    </row>
    <row r="162" spans="2:8" outlineLevel="1" x14ac:dyDescent="0.25">
      <c r="B162" s="156" t="s">
        <v>199</v>
      </c>
      <c r="C162" s="157" t="str">
        <f>VLOOKUP(B162,'HIDDEN features'!A:D,3,FALSE)</f>
        <v>AlwaysFront</v>
      </c>
      <c r="D162" s="8" t="s">
        <v>366</v>
      </c>
      <c r="E162" s="18" t="str">
        <f>IF(AND(D162="Yes",VLOOKUP("UI-0",'Optional features'!B:D,3,FALSE)&lt;&gt;"Yes"),_xlfn.CONCAT("&lt;---- Value must be 'No' as ",C159," is not selected"),IF(AND(NOT(ISBLANK(B162)),ISBLANK(D162)),"&lt;---- This field cannot be left empty!",IF(AND(D162 &lt;&gt; "Yes", D162 &lt;&gt; "No"),"&lt;---- This field must be filled from the drop-down menu", "")))</f>
        <v/>
      </c>
      <c r="H162" t="str">
        <f>IF(COUNTIF('OCPP family members'!$B$13:$B$41,B162)&gt;0, "Member", "")</f>
        <v/>
      </c>
    </row>
    <row r="163" spans="2:8" outlineLevel="1" x14ac:dyDescent="0.25">
      <c r="B163" s="154" t="s">
        <v>201</v>
      </c>
      <c r="C163" s="155" t="str">
        <f>VLOOKUP(B163,'HIDDEN features'!A:D,3,FALSE)</f>
        <v>InFront</v>
      </c>
      <c r="D163" s="9" t="s">
        <v>366</v>
      </c>
      <c r="E163" s="18" t="str">
        <f>IF(AND(D163="Yes",VLOOKUP("UI-0",'Optional features'!B:D,3,FALSE)&lt;&gt;"Yes"),_xlfn.CONCAT("&lt;---- Value must be 'No' as ",C159," is not selected"),IF(AND(NOT(ISBLANK(B163)),ISBLANK(D163)),"&lt;---- This field cannot be left empty!",IF(AND(D163 &lt;&gt; "Yes", D163 &lt;&gt; "No"),"&lt;---- This field must be filled from the drop-down menu", "")))</f>
        <v/>
      </c>
      <c r="H163" t="str">
        <f>IF(COUNTIF('OCPP family members'!$B$13:$B$41,B163)&gt;0, "Member", "")</f>
        <v/>
      </c>
    </row>
    <row r="164" spans="2:8" outlineLevel="1" x14ac:dyDescent="0.25">
      <c r="B164" s="156" t="s">
        <v>203</v>
      </c>
      <c r="C164" s="157" t="str">
        <f>VLOOKUP(B164,'HIDDEN features'!A:D,3,FALSE)</f>
        <v>NormalCycle</v>
      </c>
      <c r="D164" s="8" t="s">
        <v>366</v>
      </c>
      <c r="E164" s="18" t="str">
        <f>IF(AND(D164="Yes",VLOOKUP("UI-0",'Optional features'!B:D,3,FALSE)&lt;&gt;"Yes"),_xlfn.CONCAT("&lt;---- Value must be 'No' as ",C159," is not selected"),IF(AND(NOT(ISBLANK(B164)),ISBLANK(D164)),"&lt;---- This field cannot be left empty!",IF(AND(D164 &lt;&gt; "Yes", D164 &lt;&gt; "No"),"&lt;---- This field must be filled from the drop-down menu", "")))</f>
        <v/>
      </c>
      <c r="H164" t="str">
        <f>IF(COUNTIF('OCPP family members'!$B$13:$B$41,B164)&gt;0, "Member", "")</f>
        <v/>
      </c>
    </row>
    <row r="165" spans="2:8" ht="30" customHeight="1" x14ac:dyDescent="0.25">
      <c r="B165" s="148" t="s">
        <v>205</v>
      </c>
      <c r="C165" s="149" t="str">
        <f>VLOOKUP(B165,'HIDDEN features'!A:D,3,FALSE)</f>
        <v>Supported message formats (DisplayMessageSupportedFormats)</v>
      </c>
      <c r="D165" s="150" t="str">
        <f>VLOOKUP(B165,'HIDDEN features'!A:D,4,FALSE)</f>
        <v>(At least one of the suboptions below is required, if UI-0 is supported)</v>
      </c>
      <c r="E165" s="18" t="str">
        <f>IF(AND(ISERROR(VLOOKUP("Yes",OF_UIFormats_Values,1,FALSE)),VLOOKUP("UI-0",'Optional features'!B:D,3,FALSE)="Yes"),"&lt;-- Please select at least one option","")</f>
        <v/>
      </c>
      <c r="H165" t="str">
        <f>IF(COUNTIF('OCPP family members'!$B$13:$B$41,B165)&gt;0, "Member", "")</f>
        <v/>
      </c>
    </row>
    <row r="166" spans="2:8" outlineLevel="1" x14ac:dyDescent="0.25">
      <c r="B166" s="156" t="s">
        <v>207</v>
      </c>
      <c r="C166" s="157" t="str">
        <f>VLOOKUP(B166,'HIDDEN features'!A:D,3,FALSE)</f>
        <v>ASCII</v>
      </c>
      <c r="D166" s="8" t="s">
        <v>366</v>
      </c>
      <c r="E166" s="18" t="str">
        <f>IF(AND(D166="Yes",VLOOKUP("UI-0",'Optional features'!B:D,3,FALSE)&lt;&gt;"Yes"),_xlfn.CONCAT("&lt;---- Value must be 'No' as ",C159," is not selected"),IF(AND(NOT(ISBLANK(B166)),ISBLANK(D166)),"&lt;---- This field cannot be left empty!",IF(AND(D166 &lt;&gt; "Yes", D166 &lt;&gt; "No"),"&lt;---- This field must be filled from the drop-down menu", "")))</f>
        <v/>
      </c>
      <c r="H166" t="str">
        <f>IF(COUNTIF('OCPP family members'!$B$13:$B$41,B166)&gt;0, "Member", "")</f>
        <v/>
      </c>
    </row>
    <row r="167" spans="2:8" outlineLevel="1" x14ac:dyDescent="0.25">
      <c r="B167" s="154" t="s">
        <v>209</v>
      </c>
      <c r="C167" s="155" t="str">
        <f>VLOOKUP(B167,'HIDDEN features'!A:D,3,FALSE)</f>
        <v>HTML</v>
      </c>
      <c r="D167" s="9" t="s">
        <v>366</v>
      </c>
      <c r="E167" s="18" t="str">
        <f>IF(AND(D167="Yes",VLOOKUP("UI-0",'Optional features'!B:D,3,FALSE)&lt;&gt;"Yes"),_xlfn.CONCAT("&lt;---- Value must be 'No' as ",C159," is not selected"),IF(AND(NOT(ISBLANK(B167)),ISBLANK(D167)),"&lt;---- This field cannot be left empty!",IF(AND(D167 &lt;&gt; "Yes", D167 &lt;&gt; "No"),"&lt;---- This field must be filled from the drop-down menu", "")))</f>
        <v/>
      </c>
      <c r="H167" t="str">
        <f>IF(COUNTIF('OCPP family members'!$B$13:$B$41,B167)&gt;0, "Member", "")</f>
        <v/>
      </c>
    </row>
    <row r="168" spans="2:8" outlineLevel="1" x14ac:dyDescent="0.25">
      <c r="B168" s="156" t="s">
        <v>211</v>
      </c>
      <c r="C168" s="157" t="str">
        <f>VLOOKUP(B168,'HIDDEN features'!A:D,3,FALSE)</f>
        <v>URI</v>
      </c>
      <c r="D168" s="8" t="s">
        <v>366</v>
      </c>
      <c r="E168" s="18" t="str">
        <f>IF(AND(D168="Yes",VLOOKUP("UI-0",'Optional features'!B:D,3,FALSE)&lt;&gt;"Yes"),_xlfn.CONCAT("&lt;---- Value must be 'No' as ",C159," is not selected"),IF(AND(NOT(ISBLANK(B168)),ISBLANK(D168)),"&lt;---- This field cannot be left empty!",IF(AND(D168 &lt;&gt; "Yes", D168 &lt;&gt; "No"),"&lt;---- This field must be filled from the drop-down menu", "")))</f>
        <v/>
      </c>
      <c r="H168" t="str">
        <f>IF(COUNTIF('OCPP family members'!$B$13:$B$41,B168)&gt;0, "Member", "")</f>
        <v/>
      </c>
    </row>
    <row r="169" spans="2:8" outlineLevel="1" x14ac:dyDescent="0.25">
      <c r="B169" s="154" t="s">
        <v>213</v>
      </c>
      <c r="C169" s="155" t="str">
        <f>VLOOKUP(B169,'HIDDEN features'!A:D,3,FALSE)</f>
        <v>UTF8</v>
      </c>
      <c r="D169" s="9" t="s">
        <v>366</v>
      </c>
      <c r="E169" s="18" t="str">
        <f>IF(AND(D169="Yes",VLOOKUP("UI-0",'Optional features'!B:D,3,FALSE)&lt;&gt;"Yes"),_xlfn.CONCAT("&lt;---- Value must be 'No' as ",C159," is not selected"),IF(AND(NOT(ISBLANK(B169)),ISBLANK(D169)),"&lt;---- This field cannot be left empty!",IF(AND(D169 &lt;&gt; "Yes", D169 &lt;&gt; "No"),"&lt;---- This field must be filled from the drop-down menu", "")))</f>
        <v/>
      </c>
      <c r="H169" t="str">
        <f>IF(COUNTIF('OCPP family members'!$B$13:$B$41,B169)&gt;0, "Member", "")</f>
        <v/>
      </c>
    </row>
    <row r="170" spans="2:8" x14ac:dyDescent="0.25">
      <c r="B170" s="196" t="s">
        <v>215</v>
      </c>
      <c r="C170" s="197" t="str">
        <f>VLOOKUP(B170,'HIDDEN features'!A:D,3,FALSE)</f>
        <v>Multi-language support</v>
      </c>
      <c r="D170" s="12" t="s">
        <v>366</v>
      </c>
      <c r="E170" s="13" t="str">
        <f>IF(AND(D170="Yes",VLOOKUP("UI-0",'Optional features'!B:D,3,FALSE)&lt;&gt;"Yes"),_xlfn.CONCAT("&lt;---- Value must be 'No' as ",C159," is not selected"),IF(AND(NOT(ISBLANK(B170)),ISBLANK(D170)),"&lt;---- This field cannot be left empty!",IF(AND(D170 &lt;&gt; "Yes", D170 &lt;&gt; "No"),"&lt;---- This field must be filled from the drop-down menu", "")))</f>
        <v/>
      </c>
      <c r="H170" t="str">
        <f>IF(COUNTIF('OCPP family members'!$B$13:$B$41,B170)&gt;0, "Member", "")</f>
        <v/>
      </c>
    </row>
    <row r="171" spans="2:8" x14ac:dyDescent="0.25">
      <c r="E171" s="13"/>
      <c r="H171" t="str">
        <f>IF(COUNTIF('OCPP family members'!$B$13:$B$41,B171)&gt;0, "Member", "")</f>
        <v/>
      </c>
    </row>
    <row r="172" spans="2:8" x14ac:dyDescent="0.25">
      <c r="E172" s="13"/>
      <c r="H172" t="str">
        <f>IF(COUNTIF('OCPP family members'!$B$13:$B$41,B172)&gt;0, "Member", "")</f>
        <v/>
      </c>
    </row>
    <row r="173" spans="2:8" x14ac:dyDescent="0.25">
      <c r="B173" s="182" t="s">
        <v>329</v>
      </c>
      <c r="C173" s="6" t="s">
        <v>263</v>
      </c>
      <c r="D173" s="40" t="s">
        <v>394</v>
      </c>
      <c r="E173" s="13"/>
    </row>
    <row r="174" spans="2:8" x14ac:dyDescent="0.25">
      <c r="B174" s="193" t="s">
        <v>262</v>
      </c>
      <c r="C174" s="195" t="str">
        <f>VLOOKUP(B174,'HIDDEN features'!A:D,3,FALSE)</f>
        <v>Support for Payment</v>
      </c>
      <c r="D174" s="46" t="s">
        <v>366</v>
      </c>
      <c r="E174" s="13" t="str">
        <f>IF(AND(NOT(ISBLANK(B174)),ISBLANK(D174)),"&lt;---- This field cannot be left empty!",IF(AND(D174 &lt;&gt; "Yes", D174 &lt;&gt; "No"),"&lt;---- This field must be filled from the drop-down menu", ""))</f>
        <v/>
      </c>
      <c r="H174" t="str">
        <f>IF(COUNTIF('OCPP family members'!$B$13:$B$41,B174)&gt;0, "Member", "")</f>
        <v/>
      </c>
    </row>
    <row r="175" spans="2:8" x14ac:dyDescent="0.25">
      <c r="B175" s="148" t="s">
        <v>265</v>
      </c>
      <c r="C175" s="149" t="str">
        <f>VLOOKUP(B175,'HIDDEN features'!A:D,3,FALSE)</f>
        <v>Support for Tariff conditions</v>
      </c>
      <c r="D175" s="9" t="s">
        <v>366</v>
      </c>
      <c r="E175" s="13" t="str">
        <f>IF(AND(D175="Yes",VLOOKUP("P-0",'Optional features'!B:D,3,FALSE)&lt;&gt;"Yes"),_xlfn.CONCAT("&lt;---- Value must be 'No' as ",C173," is not selected"),IF(AND(NOT(ISBLANK(B175)),ISBLANK(D175)),"&lt;---- This field cannot be left empty!",IF(AND(D175 &lt;&gt; "Yes", D175 &lt;&gt; "No"),"&lt;---- This field must be filled from the drop-down menu", "")))</f>
        <v/>
      </c>
      <c r="H175" t="str">
        <f>IF(COUNTIF('OCPP family members'!$B$13:$B$41,B175)&gt;0, "Member", "")</f>
        <v/>
      </c>
    </row>
    <row r="176" spans="2:8" ht="30" customHeight="1" x14ac:dyDescent="0.25">
      <c r="B176" s="190" t="s">
        <v>266</v>
      </c>
      <c r="C176" s="191" t="str">
        <f>VLOOKUP(B176,'HIDDEN features'!A:D,3,FALSE)</f>
        <v>Supported Payment options</v>
      </c>
      <c r="D176" s="153" t="str">
        <f>VLOOKUP(B176,'HIDDEN features'!A:D,4,FALSE)</f>
        <v>(At least one of the suboptions below is required, if P-0 is supported)</v>
      </c>
      <c r="E176" s="13" t="str">
        <f>IF(AND(ISERROR(VLOOKUP("Yes",D177:D180,1,FALSE)),VLOOKUP("P-0",'Optional features'!B:D,3,FALSE)="Yes"),"&lt;-- Please select at least one option","")</f>
        <v/>
      </c>
      <c r="H176" t="str">
        <f>IF(COUNTIF('OCPP family members'!$B$13:$B$41,B176)&gt;0, "Member", "")</f>
        <v/>
      </c>
    </row>
    <row r="177" spans="2:8" outlineLevel="1" x14ac:dyDescent="0.25">
      <c r="B177" s="154" t="s">
        <v>269</v>
      </c>
      <c r="C177" s="155" t="str">
        <f>VLOOKUP(B177,'HIDDEN features'!A:D,3,FALSE)</f>
        <v>Payment by prepaid card</v>
      </c>
      <c r="D177" s="9" t="s">
        <v>366</v>
      </c>
      <c r="E177" s="13" t="str">
        <f>IF(AND(D177="Yes",VLOOKUP("P-0",'Optional features'!B:D,3,FALSE)&lt;&gt;"Yes"),_xlfn.CONCAT("&lt;---- Value must be 'No' as ",C173," is not selected"),IF(AND(NOT(ISBLANK(B177)),ISBLANK(D177)),"&lt;---- This field cannot be left empty!",IF(AND(D177 &lt;&gt; "Yes", D177 &lt;&gt; "No"),"&lt;---- This field must be filled from the drop-down menu", "")))</f>
        <v/>
      </c>
      <c r="H177" t="str">
        <f>IF(COUNTIF('OCPP family members'!$B$13:$B$41,B177)&gt;0, "Member", "")</f>
        <v/>
      </c>
    </row>
    <row r="178" spans="2:8" outlineLevel="1" x14ac:dyDescent="0.25">
      <c r="B178" s="156" t="s">
        <v>271</v>
      </c>
      <c r="C178" s="157" t="str">
        <f>VLOOKUP(B178,'HIDDEN features'!A:D,3,FALSE)</f>
        <v>Integrated payment terminal</v>
      </c>
      <c r="D178" s="8" t="s">
        <v>366</v>
      </c>
      <c r="E178" s="13" t="str">
        <f>IF(AND(D178="Yes",VLOOKUP("P-0",'Optional features'!B:D,3,FALSE)&lt;&gt;"Yes"),_xlfn.CONCAT("&lt;---- Value must be 'No' as ",C173," is not selected"),IF(AND(NOT(ISBLANK(B178)),ISBLANK(D178)),"&lt;---- This field cannot be left empty!",IF(AND(D178 &lt;&gt; "Yes", D178 &lt;&gt; "No"),"&lt;---- This field must be filled from the drop-down menu", "")))</f>
        <v/>
      </c>
      <c r="H178" t="str">
        <f>IF(COUNTIF('OCPP family members'!$B$13:$B$41,B178)&gt;0, "Member", "")</f>
        <v/>
      </c>
    </row>
    <row r="179" spans="2:8" outlineLevel="1" x14ac:dyDescent="0.25">
      <c r="B179" s="154" t="s">
        <v>272</v>
      </c>
      <c r="C179" s="155" t="str">
        <f>VLOOKUP(B179,'HIDDEN features'!A:D,3,FALSE)</f>
        <v>Stand alone payment terminal</v>
      </c>
      <c r="D179" s="9" t="s">
        <v>366</v>
      </c>
      <c r="E179" s="13" t="str">
        <f>IF(AND(D179="Yes",VLOOKUP("P-0",'Optional features'!B:D,3,FALSE)&lt;&gt;"Yes"),_xlfn.CONCAT("&lt;---- Value must be 'No' as ",C173," is not selected"),IF(AND(NOT(ISBLANK(B179)),ISBLANK(D179)),"&lt;---- This field cannot be left empty!",IF(AND(D179 &lt;&gt; "Yes", D179 &lt;&gt; "No"),"&lt;---- This field must be filled from the drop-down menu", "")))</f>
        <v/>
      </c>
      <c r="H179" t="str">
        <f>IF(COUNTIF('OCPP family members'!$B$13:$B$41,B179)&gt;0, "Member", "")</f>
        <v/>
      </c>
    </row>
    <row r="180" spans="2:8" outlineLevel="1" x14ac:dyDescent="0.25">
      <c r="B180" s="158" t="s">
        <v>273</v>
      </c>
      <c r="C180" s="159" t="str">
        <f>VLOOKUP(B180,'HIDDEN features'!A:D,3,FALSE)</f>
        <v>QR code payment</v>
      </c>
      <c r="D180" s="12" t="s">
        <v>366</v>
      </c>
      <c r="E180" s="13" t="str">
        <f>IF(AND(D180="Yes",VLOOKUP("P-0",'Optional features'!B:D,3,FALSE)&lt;&gt;"Yes"),_xlfn.CONCAT("&lt;---- Value must be 'No' as ",C173," is not selected"),IF(AND(NOT(ISBLANK(B180)),ISBLANK(D180)),"&lt;---- This field cannot be left empty!",IF(AND(D180 &lt;&gt; "Yes", D180 &lt;&gt; "No"),"&lt;---- This field must be filled from the drop-down menu", "")))</f>
        <v/>
      </c>
      <c r="H180" t="str">
        <f>IF(COUNTIF('OCPP family members'!$B$13:$B$41,B180)&gt;0, "Member", "")</f>
        <v/>
      </c>
    </row>
    <row r="181" spans="2:8" x14ac:dyDescent="0.25">
      <c r="E181" s="13"/>
      <c r="H181" t="str">
        <f>IF(COUNTIF('OCPP family members'!$B$13:$B$41,B181)&gt;0, "Member", "")</f>
        <v/>
      </c>
    </row>
    <row r="182" spans="2:8" x14ac:dyDescent="0.25">
      <c r="E182" s="13"/>
      <c r="H182" t="str">
        <f>IF(COUNTIF('OCPP family members'!$B$13:$B$41,B182)&gt;0, "Member", "")</f>
        <v/>
      </c>
    </row>
    <row r="183" spans="2:8" x14ac:dyDescent="0.25">
      <c r="B183" s="182" t="s">
        <v>329</v>
      </c>
      <c r="C183" s="6" t="s">
        <v>398</v>
      </c>
      <c r="D183" s="40" t="s">
        <v>394</v>
      </c>
      <c r="E183" s="13"/>
    </row>
    <row r="184" spans="2:8" x14ac:dyDescent="0.25">
      <c r="B184" s="193" t="s">
        <v>274</v>
      </c>
      <c r="C184" s="195" t="str">
        <f>VLOOKUP(B184,'HIDDEN features'!A:D,3,FALSE)</f>
        <v>Frequency support</v>
      </c>
      <c r="D184" s="46" t="s">
        <v>366</v>
      </c>
      <c r="E184" s="13" t="str">
        <f>IF(AND(D184="Yes",VLOOKUP(RIGHT($C$183,LEN($C$183)-FIND(":",$C$183)-1),Profile_Selection,2,FALSE)&lt;&gt;"Yes"),_xlfn.CONCAT("&lt;---- Value must be 'No' as ",$C$183," is not selected"),IF(AND(NOT(ISBLANK(B184)),ISBLANK(D184)),"&lt;---- This field cannot be left empty!",IF(AND(D184 &lt;&gt; "Yes", D184 &lt;&gt; "No"),"&lt;---- This field must be filled from the drop-down menu", "")))</f>
        <v/>
      </c>
      <c r="H184" t="str">
        <f>IF(COUNTIF('OCPP family members'!$B$13:$B$41,B184)&gt;0, "Member", "")</f>
        <v/>
      </c>
    </row>
    <row r="185" spans="2:8" x14ac:dyDescent="0.25">
      <c r="B185" s="148" t="s">
        <v>277</v>
      </c>
      <c r="C185" s="149" t="str">
        <f>VLOOKUP(B185,'HIDDEN features'!A:D,3,FALSE)</f>
        <v>Support for local loadbalancing (LocalLoadBalancing)</v>
      </c>
      <c r="D185" s="9" t="s">
        <v>366</v>
      </c>
      <c r="E185" s="13" t="str">
        <f>IF(AND(D185="Yes",VLOOKUP(RIGHT($C$183,LEN($C$183)-FIND(":",$C$183)-1),Profile_Selection,2,FALSE)&lt;&gt;"Yes"),_xlfn.CONCAT("&lt;---- Value must be 'No' as ",$C$183," is not selected"),IF(AND(NOT(ISBLANK(B185)),ISBLANK(D185)),"&lt;---- This field cannot be left empty!",IF(AND(D185 &lt;&gt; "Yes", D185 &lt;&gt; "No"),"&lt;---- This field must be filled from the drop-down menu", "")))</f>
        <v/>
      </c>
      <c r="H185" t="str">
        <f>IF(COUNTIF('OCPP family members'!$B$13:$B$41,B185)&gt;0, "Member", "")</f>
        <v/>
      </c>
    </row>
    <row r="186" spans="2:8" x14ac:dyDescent="0.25">
      <c r="B186" s="190" t="s">
        <v>2178</v>
      </c>
      <c r="C186" s="331" t="str">
        <f>VLOOKUP(B186,'HIDDEN features'!A:D,3,FALSE)</f>
        <v>Support for operationMode Idle</v>
      </c>
      <c r="D186" s="8" t="s">
        <v>366</v>
      </c>
      <c r="E186" s="13" t="str">
        <f>IF(AND(D186="Yes",VLOOKUP(RIGHT($C$183,LEN($C$183)-FIND(":",$C$183)-1),Profile_Selection,2,FALSE)&lt;&gt;"Yes"),_xlfn.CONCAT("&lt;---- Value must be 'No' as ",$C$183," is not selected"),IF(AND(NOT(ISBLANK(B186)),ISBLANK(D186)),"&lt;---- This field cannot be left empty!",IF(AND(D186 &lt;&gt; "Yes", D186 &lt;&gt; "No"),"&lt;---- This field must be filled from the drop-down menu", "")))</f>
        <v/>
      </c>
      <c r="H186" t="str">
        <f>IF(COUNTIF('OCPP family members'!$B$13:$B$41,B186)&gt;0, "Member", "")</f>
        <v/>
      </c>
    </row>
    <row r="187" spans="2:8" ht="15.95" customHeight="1" outlineLevel="1" x14ac:dyDescent="0.25">
      <c r="B187" s="173" t="s">
        <v>2176</v>
      </c>
      <c r="C187" s="332" t="str">
        <f>VLOOKUP(B187,'HIDDEN features'!A:D,3,FALSE)</f>
        <v>Support for operationMode Idle with EvseSleep</v>
      </c>
      <c r="D187" s="10" t="s">
        <v>366</v>
      </c>
      <c r="E187" s="13" t="str">
        <f>IF(AND(D187="Yes",VLOOKUP(RIGHT($C$183,LEN($C$183)-FIND(":",$C$183)-1),Profile_Selection,2,FALSE)&lt;&gt;"Yes"),_xlfn.CONCAT("&lt;---- Value must be 'No' as ",$C$183," is not selected"),IF(AND(NOT(ISBLANK(B187)),ISBLANK(D187)),"&lt;---- This field cannot be left empty!",IF(AND(D187 &lt;&gt; "Yes", D187 &lt;&gt; "No"),"&lt;---- This field must be filled from the drop-down menu", "")))</f>
        <v/>
      </c>
      <c r="H187" t="str">
        <f>IF(COUNTIF('OCPP family members'!$B$13:$B$41,B187)&gt;0, "Member", "")</f>
        <v/>
      </c>
    </row>
    <row r="188" spans="2:8" x14ac:dyDescent="0.25">
      <c r="E188" s="13"/>
    </row>
    <row r="189" spans="2:8" x14ac:dyDescent="0.25">
      <c r="E189" s="13"/>
    </row>
    <row r="190" spans="2:8" x14ac:dyDescent="0.25">
      <c r="E190" s="13"/>
    </row>
    <row r="191" spans="2:8" x14ac:dyDescent="0.25">
      <c r="E191" s="13"/>
    </row>
    <row r="192" spans="2:8" x14ac:dyDescent="0.25">
      <c r="E192" s="13"/>
    </row>
    <row r="193" spans="5:5" x14ac:dyDescent="0.25">
      <c r="E193" s="13"/>
    </row>
    <row r="194" spans="5:5" x14ac:dyDescent="0.25">
      <c r="E194" s="13"/>
    </row>
    <row r="195" spans="5:5" x14ac:dyDescent="0.25">
      <c r="E195" s="13"/>
    </row>
    <row r="196" spans="5:5" x14ac:dyDescent="0.25">
      <c r="E196" s="13"/>
    </row>
    <row r="197" spans="5:5" x14ac:dyDescent="0.25">
      <c r="E197" s="13"/>
    </row>
    <row r="198" spans="5:5" x14ac:dyDescent="0.25">
      <c r="E198" s="13"/>
    </row>
    <row r="199" spans="5:5" x14ac:dyDescent="0.25">
      <c r="E199" s="13"/>
    </row>
    <row r="200" spans="5:5" x14ac:dyDescent="0.25">
      <c r="E200" s="13"/>
    </row>
    <row r="201" spans="5:5" x14ac:dyDescent="0.25">
      <c r="E201" s="13"/>
    </row>
    <row r="202" spans="5:5" x14ac:dyDescent="0.25">
      <c r="E202" s="13"/>
    </row>
    <row r="203" spans="5:5" x14ac:dyDescent="0.25">
      <c r="E203" s="13"/>
    </row>
    <row r="204" spans="5:5" x14ac:dyDescent="0.25">
      <c r="E204" s="13"/>
    </row>
    <row r="205" spans="5:5" x14ac:dyDescent="0.25">
      <c r="E205" s="13"/>
    </row>
    <row r="206" spans="5:5" x14ac:dyDescent="0.25">
      <c r="E206" s="13"/>
    </row>
    <row r="207" spans="5:5" x14ac:dyDescent="0.25">
      <c r="E207" s="13"/>
    </row>
    <row r="208" spans="5:5" x14ac:dyDescent="0.25">
      <c r="E208" s="13"/>
    </row>
    <row r="209" spans="5:5" x14ac:dyDescent="0.25">
      <c r="E209" s="13"/>
    </row>
    <row r="210" spans="5:5" x14ac:dyDescent="0.25">
      <c r="E210" s="13"/>
    </row>
    <row r="211" spans="5:5" x14ac:dyDescent="0.25">
      <c r="E211" s="13"/>
    </row>
    <row r="212" spans="5:5" x14ac:dyDescent="0.25">
      <c r="E212" s="13"/>
    </row>
    <row r="213" spans="5:5" x14ac:dyDescent="0.25">
      <c r="E213" s="13"/>
    </row>
    <row r="214" spans="5:5" x14ac:dyDescent="0.25">
      <c r="E214" s="13"/>
    </row>
    <row r="215" spans="5:5" x14ac:dyDescent="0.25">
      <c r="E215" s="13"/>
    </row>
    <row r="216" spans="5:5" x14ac:dyDescent="0.25">
      <c r="E216" s="13"/>
    </row>
    <row r="217" spans="5:5" x14ac:dyDescent="0.25">
      <c r="E217" s="13"/>
    </row>
    <row r="218" spans="5:5" x14ac:dyDescent="0.25">
      <c r="E218" s="13"/>
    </row>
    <row r="219" spans="5:5" x14ac:dyDescent="0.25">
      <c r="E219" s="13"/>
    </row>
    <row r="220" spans="5:5" x14ac:dyDescent="0.25">
      <c r="E220" s="13"/>
    </row>
    <row r="221" spans="5:5" x14ac:dyDescent="0.25">
      <c r="E221" s="13"/>
    </row>
    <row r="222" spans="5:5" x14ac:dyDescent="0.25">
      <c r="E222" s="13"/>
    </row>
    <row r="223" spans="5:5" x14ac:dyDescent="0.25">
      <c r="E223" s="13"/>
    </row>
    <row r="224" spans="5:5" x14ac:dyDescent="0.25">
      <c r="E224" s="13"/>
    </row>
    <row r="225" spans="5:5" x14ac:dyDescent="0.25">
      <c r="E225" s="13"/>
    </row>
    <row r="226" spans="5:5" x14ac:dyDescent="0.25">
      <c r="E226" s="13"/>
    </row>
    <row r="227" spans="5:5" x14ac:dyDescent="0.25">
      <c r="E227" s="13"/>
    </row>
    <row r="228" spans="5:5" x14ac:dyDescent="0.25">
      <c r="E228" s="13"/>
    </row>
    <row r="229" spans="5:5" x14ac:dyDescent="0.25">
      <c r="E229" s="13"/>
    </row>
    <row r="230" spans="5:5" x14ac:dyDescent="0.25">
      <c r="E230" s="13"/>
    </row>
    <row r="231" spans="5:5" x14ac:dyDescent="0.25">
      <c r="E231" s="13"/>
    </row>
    <row r="232" spans="5:5" x14ac:dyDescent="0.25">
      <c r="E232" s="13"/>
    </row>
    <row r="233" spans="5:5" x14ac:dyDescent="0.25">
      <c r="E233" s="13"/>
    </row>
    <row r="234" spans="5:5" x14ac:dyDescent="0.25">
      <c r="E234" s="13"/>
    </row>
    <row r="235" spans="5:5" x14ac:dyDescent="0.25">
      <c r="E235" s="13"/>
    </row>
    <row r="236" spans="5:5" x14ac:dyDescent="0.25">
      <c r="E236" s="13"/>
    </row>
    <row r="237" spans="5:5" x14ac:dyDescent="0.25">
      <c r="E237" s="13"/>
    </row>
    <row r="238" spans="5:5" x14ac:dyDescent="0.25">
      <c r="E238" s="13"/>
    </row>
    <row r="239" spans="5:5" x14ac:dyDescent="0.25">
      <c r="E239" s="13"/>
    </row>
    <row r="240" spans="5:5" x14ac:dyDescent="0.25">
      <c r="E240" s="13"/>
    </row>
    <row r="241" spans="5:5" x14ac:dyDescent="0.25">
      <c r="E241" s="13"/>
    </row>
    <row r="242" spans="5:5" x14ac:dyDescent="0.25">
      <c r="E242" s="13"/>
    </row>
    <row r="243" spans="5:5" x14ac:dyDescent="0.25">
      <c r="E243" s="13"/>
    </row>
    <row r="244" spans="5:5" x14ac:dyDescent="0.25">
      <c r="E244" s="13"/>
    </row>
    <row r="245" spans="5:5" x14ac:dyDescent="0.25">
      <c r="E245" s="13"/>
    </row>
    <row r="246" spans="5:5" x14ac:dyDescent="0.25">
      <c r="E246" s="13"/>
    </row>
    <row r="247" spans="5:5" x14ac:dyDescent="0.25">
      <c r="E247" s="13"/>
    </row>
    <row r="248" spans="5:5" x14ac:dyDescent="0.25">
      <c r="E248" s="13"/>
    </row>
    <row r="249" spans="5:5" x14ac:dyDescent="0.25">
      <c r="E249" s="13"/>
    </row>
    <row r="250" spans="5:5" x14ac:dyDescent="0.25">
      <c r="E250" s="13"/>
    </row>
    <row r="251" spans="5:5" x14ac:dyDescent="0.25">
      <c r="E251" s="13"/>
    </row>
    <row r="252" spans="5:5" x14ac:dyDescent="0.25">
      <c r="E252" s="13"/>
    </row>
    <row r="253" spans="5:5" x14ac:dyDescent="0.25">
      <c r="E253" s="13"/>
    </row>
    <row r="254" spans="5:5" x14ac:dyDescent="0.25">
      <c r="E254" s="13"/>
    </row>
    <row r="255" spans="5:5" x14ac:dyDescent="0.25">
      <c r="E255" s="13"/>
    </row>
    <row r="256" spans="5:5" x14ac:dyDescent="0.25">
      <c r="E256" s="13"/>
    </row>
    <row r="257" spans="5:5" x14ac:dyDescent="0.25">
      <c r="E257" s="13"/>
    </row>
    <row r="258" spans="5:5" x14ac:dyDescent="0.25">
      <c r="E258" s="13"/>
    </row>
    <row r="259" spans="5:5" x14ac:dyDescent="0.25">
      <c r="E259" s="13"/>
    </row>
    <row r="260" spans="5:5" x14ac:dyDescent="0.25">
      <c r="E260" s="13"/>
    </row>
    <row r="261" spans="5:5" x14ac:dyDescent="0.25">
      <c r="E261" s="13"/>
    </row>
    <row r="262" spans="5:5" x14ac:dyDescent="0.25">
      <c r="E262" s="13"/>
    </row>
    <row r="263" spans="5:5" x14ac:dyDescent="0.25">
      <c r="E263" s="13"/>
    </row>
    <row r="264" spans="5:5" x14ac:dyDescent="0.25">
      <c r="E264" s="13"/>
    </row>
    <row r="265" spans="5:5" x14ac:dyDescent="0.25">
      <c r="E265" s="13"/>
    </row>
  </sheetData>
  <sheetProtection algorithmName="SHA-512" hashValue="HapL9VsviiR+8jxySqmqAFSIlex5k0dEkAMzwoeWJpYke+n4xGkctAsbdvrxj/zQHjkYQDENQEo6PViwgb0m9w==" saltValue="fj8yGAUtFBlJYlEdyK/lng==" spinCount="100000" sheet="1" objects="1" scenarios="1"/>
  <mergeCells count="2">
    <mergeCell ref="B1:D1"/>
    <mergeCell ref="C2:D2"/>
  </mergeCells>
  <conditionalFormatting sqref="F1">
    <cfRule type="cellIs" dxfId="21" priority="5" operator="equal">
      <formula>"VALID"</formula>
    </cfRule>
  </conditionalFormatting>
  <conditionalFormatting sqref="F1:F2">
    <cfRule type="cellIs" dxfId="20" priority="2" operator="equal">
      <formula>"INVALID"</formula>
    </cfRule>
  </conditionalFormatting>
  <conditionalFormatting sqref="F2">
    <cfRule type="cellIs" dxfId="19" priority="1" operator="equal">
      <formula>"VALID for a VDoC"</formula>
    </cfRule>
    <cfRule type="cellIs" dxfId="18" priority="3" operator="equal">
      <formula>"VALID for Certification"</formula>
    </cfRule>
  </conditionalFormatting>
  <dataValidations count="3">
    <dataValidation type="list" allowBlank="1" showInputMessage="1" showErrorMessage="1" sqref="D6:D8 D10:D13 D15:D20 D22:D26 D28:D33 D35:D37 D39:D45 D49:D54 D58:D61 D65:E68 D87:D89 D112:D114 D91:D107 D133 D135:D136 D141 D146:D151 D155:D156 D125:D126 D128:D129 E49:E56 E58:E63 D116:D121" xr:uid="{00000000-0002-0000-0300-000000000000}">
      <formula1>"Yes,No"</formula1>
    </dataValidation>
    <dataValidation type="list" showInputMessage="1" showErrorMessage="1" sqref="D160 D162:D164 D166:D170 D174:D175 D177:D180 D184:D187" xr:uid="{00000000-0002-0000-0300-000001000000}">
      <formula1>"Yes,No"</formula1>
    </dataValidation>
    <dataValidation type="list" allowBlank="1" showInputMessage="1" showErrorMessage="1" sqref="D140 D154" xr:uid="{00000000-0002-0000-0300-000002000000}">
      <formula1>"Yes, No"</formula1>
    </dataValidation>
  </dataValidations>
  <pageMargins left="0.7" right="0.7" top="0.75" bottom="0.75" header="0.3" footer="0.3"/>
  <pageSetup paperSize="9" orientation="portrait"/>
  <headerFooter>
    <oddHeader>&amp;L&amp;"Aptos"&amp;10&amp;K000000 TLP: GREEN&amp;1#_x000D_&amp;"Calibri"&amp;12&amp;K000000&amp;"Calibri"&amp;12&amp;K000000&amp;"Calibri"&amp;12&amp;K000000&amp;"Aptos"&amp;1 &amp;K000000 TLP: GREEN#_x000D_</oddHeader>
    <oddFooter>&amp;C&amp;"Arial"&amp;9 &amp;K000000_x000D_# Internal</oddFooter>
  </headerFooter>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A761D139-F303-634F-9903-EA5063F838F7}">
          <x14:formula1>
            <xm:f>MD!$H$1:$H$3</xm:f>
          </x14:formula1>
          <xm:sqref>D83</xm:sqref>
        </x14:dataValidation>
        <x14:dataValidation type="list" allowBlank="1" showInputMessage="1" showErrorMessage="1" xr:uid="{4FA9FD9B-9E09-44AC-8908-0F9BD681B472}">
          <x14:formula1>
            <xm:f>MD!$O$1:$O$32</xm:f>
          </x14:formula1>
          <xm:sqref>D34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F30"/>
  <sheetViews>
    <sheetView showGridLines="0" workbookViewId="0">
      <selection activeCell="D5" sqref="D5"/>
    </sheetView>
  </sheetViews>
  <sheetFormatPr defaultColWidth="28.125" defaultRowHeight="15.75" customHeight="1" x14ac:dyDescent="0.25"/>
  <cols>
    <col min="1" max="1" width="11.625" customWidth="1"/>
    <col min="2" max="2" width="7.125" bestFit="1" customWidth="1"/>
    <col min="3" max="3" width="97.125" customWidth="1"/>
    <col min="4" max="4" width="25.125" customWidth="1"/>
    <col min="5" max="5" width="35" bestFit="1" customWidth="1"/>
  </cols>
  <sheetData>
    <row r="1" spans="2:6" ht="58.5" customHeight="1" x14ac:dyDescent="0.25">
      <c r="C1" s="200" t="s">
        <v>399</v>
      </c>
      <c r="E1" s="17" t="s">
        <v>400</v>
      </c>
      <c r="F1" s="17" t="str">
        <f>IF(_xlfn.CONCAT(AQ_Validation)="","VALID","INVALID")</f>
        <v>VALID</v>
      </c>
    </row>
    <row r="2" spans="2:6" ht="33.75" customHeight="1" x14ac:dyDescent="0.25">
      <c r="C2" s="201" t="s">
        <v>401</v>
      </c>
      <c r="E2" s="35" t="s">
        <v>303</v>
      </c>
      <c r="F2" s="17" t="str">
        <f>'Statement of Approval'!$O$2</f>
        <v>INVALID</v>
      </c>
    </row>
    <row r="3" spans="2:6" ht="15" customHeight="1" x14ac:dyDescent="0.25">
      <c r="C3" s="200"/>
      <c r="E3" s="17"/>
      <c r="F3" s="17"/>
    </row>
    <row r="4" spans="2:6" ht="15.95" customHeight="1" x14ac:dyDescent="0.25">
      <c r="B4" s="39" t="s">
        <v>329</v>
      </c>
      <c r="C4" s="6" t="s">
        <v>402</v>
      </c>
      <c r="D4" s="40" t="s">
        <v>403</v>
      </c>
      <c r="E4" s="1"/>
      <c r="F4" s="311"/>
    </row>
    <row r="5" spans="2:6" ht="15.95" customHeight="1" x14ac:dyDescent="0.25">
      <c r="B5" s="202" t="s">
        <v>404</v>
      </c>
      <c r="C5" s="48" t="s">
        <v>405</v>
      </c>
      <c r="D5" s="46" t="s">
        <v>366</v>
      </c>
      <c r="E5" s="18" t="str">
        <f>IF(AND(NOT(ISBLANK(B5)),ISBLANK(D5)),"&lt;-- This field cannot be left empty!",IF(AND(D5 &lt;&gt; "Yes", D5 &lt;&gt; "No"),"&lt;---- This field must be filled from the drop-down menu", ""))</f>
        <v/>
      </c>
      <c r="F5" s="311" t="str">
        <f>IF(COUNTIF('OCPP family members'!$B$13:$B$41,B5)&gt;0, "Member", "")</f>
        <v/>
      </c>
    </row>
    <row r="6" spans="2:6" ht="30" customHeight="1" x14ac:dyDescent="0.25">
      <c r="B6" s="203" t="s">
        <v>406</v>
      </c>
      <c r="C6" s="5" t="s">
        <v>407</v>
      </c>
      <c r="D6" s="9" t="s">
        <v>366</v>
      </c>
      <c r="E6" s="18" t="str">
        <f>IF(AND(NOT(ISBLANK(B6)),ISBLANK(D6)),"&lt;-- This field cannot be left empty!",IF(AND(D6 &lt;&gt; "Yes", D6 &lt;&gt; "No"),"&lt;---- This field must be filled from the drop-down menu", ""))</f>
        <v/>
      </c>
      <c r="F6" s="311" t="str">
        <f>IF(COUNTIF('OCPP family members'!$B$13:$B$41,B6)&gt;0, "Member", "")</f>
        <v/>
      </c>
    </row>
    <row r="7" spans="2:6" ht="15.95" customHeight="1" x14ac:dyDescent="0.25">
      <c r="B7" s="204" t="s">
        <v>408</v>
      </c>
      <c r="C7" s="49" t="s">
        <v>409</v>
      </c>
      <c r="D7" s="8" t="s">
        <v>366</v>
      </c>
      <c r="E7" s="18" t="str">
        <f>IF(AND(NOT(ISBLANK(B7)),ISBLANK(D7)),"&lt;-- This field cannot be left empty!",IF(AND(D7 &lt;&gt; "Yes", D7 &lt;&gt; "No"),"&lt;---- This field must be filled from the drop-down menu", ""))</f>
        <v/>
      </c>
      <c r="F7" s="311" t="str">
        <f>IF(COUNTIF('OCPP family members'!$B$13:$B$41,B7)&gt;0, "Member", "")</f>
        <v/>
      </c>
    </row>
    <row r="8" spans="2:6" ht="15.95" customHeight="1" x14ac:dyDescent="0.25">
      <c r="B8" s="203" t="s">
        <v>410</v>
      </c>
      <c r="C8" s="5" t="s">
        <v>411</v>
      </c>
      <c r="D8" s="9" t="s">
        <v>366</v>
      </c>
      <c r="E8" s="18" t="str">
        <f>IF(AND(NOT(ISBLANK(B8)),ISBLANK(D8)),"&lt;-- This field cannot be left empty!",IF(AND(D8 &lt;&gt; "Yes", D8 &lt;&gt; "No"),"&lt;---- This field must be filled from the drop-down menu", ""))</f>
        <v/>
      </c>
      <c r="F8" s="311" t="str">
        <f>IF(COUNTIF('OCPP family members'!$B$13:$B$41,B8)&gt;0, "Member", "")</f>
        <v/>
      </c>
    </row>
    <row r="9" spans="2:6" ht="15.95" customHeight="1" x14ac:dyDescent="0.25">
      <c r="B9" s="204" t="s">
        <v>412</v>
      </c>
      <c r="C9" s="49" t="s">
        <v>413</v>
      </c>
      <c r="D9" s="21" t="s">
        <v>366</v>
      </c>
      <c r="E9" s="18" t="str">
        <f>IF(AND(NOT(ISBLANK(B9)),ISBLANK(D9)),"&lt;-- This field cannot be left empty!",IF(AND(VLOOKUP("DM-0",'Optional features'!B:D,3,FALSE)="No",D9="Yes"),"&lt;---- Only allowed when Advanced Device Management is selected",IF(AND(D9 &lt;&gt; "Yes", D9 &lt;&gt; "No"),"&lt;---- This field must be filled from the drop-down menu", "")))</f>
        <v/>
      </c>
      <c r="F9" s="311" t="str">
        <f>IF(COUNTIF('OCPP family members'!$B$13:$B$41,B9)&gt;0, "Member", "")</f>
        <v/>
      </c>
    </row>
    <row r="10" spans="2:6" ht="15.95" customHeight="1" x14ac:dyDescent="0.25">
      <c r="B10" s="203"/>
      <c r="C10" s="205" t="s">
        <v>414</v>
      </c>
      <c r="D10" s="206"/>
      <c r="E10" s="18" t="str">
        <f>IF(AND(NOT(ISBLANK(B10)),ISBLANK(D10)),"&lt;-- This field cannot be left empty!","")</f>
        <v/>
      </c>
      <c r="F10" s="311" t="str">
        <f>IF(COUNTIF('OCPP family members'!$B$13:$B$41,B10)&gt;0, "Member", "")</f>
        <v/>
      </c>
    </row>
    <row r="11" spans="2:6" ht="15.95" customHeight="1" x14ac:dyDescent="0.25">
      <c r="B11" s="204" t="s">
        <v>415</v>
      </c>
      <c r="C11" s="49" t="s">
        <v>416</v>
      </c>
      <c r="D11" s="21" t="s">
        <v>366</v>
      </c>
      <c r="E11" s="18" t="str">
        <f>IF(AND(NOT(ISBLANK(B11)),ISBLANK(D11)),"&lt;-- This field cannot be left empty!",IF(AND(VLOOKUP("DM-0",'Optional features'!B:D,3,FALSE)="No",D11="Yes"),"&lt;---- Only allowed when Advanced Device Management is selected",IF(AND(D11 &lt;&gt; "Yes", D11 &lt;&gt; "No"),"&lt;---- This field must be filled from the drop-down menu", "")))</f>
        <v/>
      </c>
      <c r="F11" s="311" t="str">
        <f>IF(COUNTIF('OCPP family members'!$B$13:$B$41,B11)&gt;0, "Member", "")</f>
        <v/>
      </c>
    </row>
    <row r="12" spans="2:6" ht="15.95" customHeight="1" x14ac:dyDescent="0.25">
      <c r="B12" s="203"/>
      <c r="C12" s="205" t="s">
        <v>417</v>
      </c>
      <c r="D12" s="206"/>
      <c r="E12" s="18" t="str">
        <f>IF(AND(NOT(ISBLANK(B12)),ISBLANK(D12)),"&lt;-- This field cannot be left empty!","")</f>
        <v/>
      </c>
      <c r="F12" s="311" t="str">
        <f>IF(COUNTIF('OCPP family members'!$B$13:$B$41,B12)&gt;0, "Member", "")</f>
        <v/>
      </c>
    </row>
    <row r="13" spans="2:6" ht="15.95" customHeight="1" x14ac:dyDescent="0.25">
      <c r="B13" s="204" t="s">
        <v>418</v>
      </c>
      <c r="C13" s="49" t="s">
        <v>419</v>
      </c>
      <c r="D13" s="8" t="s">
        <v>366</v>
      </c>
      <c r="E13" s="18" t="str">
        <f>IF(AND(NOT(ISBLANK(B13)),ISBLANK(D13)),"&lt;-- This field cannot be left empty!",IF(AND(D13 &lt;&gt; "Yes", D13 &lt;&gt; "No"),"&lt;---- This field must be filled from the drop-down menu", ""))</f>
        <v/>
      </c>
      <c r="F13" s="311" t="str">
        <f>IF(COUNTIF('OCPP family members'!$B$13:$B$41,B13)&gt;0, "Member", "")</f>
        <v/>
      </c>
    </row>
    <row r="14" spans="2:6" ht="15.95" customHeight="1" x14ac:dyDescent="0.25">
      <c r="B14" s="203" t="s">
        <v>420</v>
      </c>
      <c r="C14" s="5" t="s">
        <v>421</v>
      </c>
      <c r="D14" s="9" t="s">
        <v>366</v>
      </c>
      <c r="E14" s="18" t="str">
        <f>IF(AND(NOT(ISBLANK(B14)),ISBLANK(D14)),"&lt;-- This field cannot be left empty!",IF(AND(D14 &lt;&gt; "Yes", D14 &lt;&gt; "No"),"&lt;---- This field must be filled from the drop-down menu", ""))</f>
        <v/>
      </c>
      <c r="F14" s="311" t="str">
        <f>IF(COUNTIF('OCPP family members'!$B$13:$B$41,B14)&gt;0, "Member", "")</f>
        <v>Member</v>
      </c>
    </row>
    <row r="15" spans="2:6" ht="15.95" customHeight="1" x14ac:dyDescent="0.25">
      <c r="B15" s="204" t="s">
        <v>422</v>
      </c>
      <c r="C15" s="49" t="s">
        <v>423</v>
      </c>
      <c r="D15" s="8" t="s">
        <v>366</v>
      </c>
      <c r="E15" s="18" t="str">
        <f t="array" ref="E15">IF(AND(SUMPRODUCT((ISNUMBER(MATCH(EVSE_ConnectorTypes, {"cType2","sType2"}, 0)))*1)&gt;0,'Additional questions'!D15="No"), "&lt;---- Error: expected Yes with connector type cType2 or sType2", "")</f>
        <v/>
      </c>
      <c r="F15" s="311" t="str">
        <f>IF(COUNTIF('OCPP family members'!$B$13:$B$41,B15)&gt;0, "Member", "")</f>
        <v/>
      </c>
    </row>
    <row r="16" spans="2:6" ht="34.5" customHeight="1" x14ac:dyDescent="0.25">
      <c r="B16" s="203" t="s">
        <v>424</v>
      </c>
      <c r="C16" s="5" t="s">
        <v>425</v>
      </c>
      <c r="D16" s="9" t="s">
        <v>366</v>
      </c>
      <c r="E16" s="18" t="str">
        <f>IF(AND(NOT(ISBLANK(B16)),ISBLANK(D16)),"&lt;-- This field cannot be left empty!",IF(AND(D16 &lt;&gt; "Yes", D16 &lt;&gt; "No"),"&lt;---- This field must be filled from the drop-down menu", ""))</f>
        <v/>
      </c>
      <c r="F16" s="311" t="str">
        <f>IF(COUNTIF('OCPP family members'!$B$13:$B$41,B16)&gt;0, "Member", "")</f>
        <v/>
      </c>
    </row>
    <row r="17" spans="2:6" ht="20.100000000000001" customHeight="1" x14ac:dyDescent="0.25">
      <c r="B17" s="204" t="s">
        <v>426</v>
      </c>
      <c r="C17" s="49" t="s">
        <v>427</v>
      </c>
      <c r="D17" s="8" t="s">
        <v>366</v>
      </c>
      <c r="E17" s="18" t="str">
        <f>IF(AND(NOT(ISBLANK(B17)),ISBLANK(D17)),"&lt;-- This field cannot be left empty!",IF(AND(D17 &lt;&gt; "Yes", D17 &lt;&gt; "No"),"&lt;---- This field must be filled from the drop-down menu", ""))</f>
        <v/>
      </c>
      <c r="F17" s="311" t="str">
        <f>IF(COUNTIF('OCPP family members'!$B$13:$B$41,B17)&gt;0, "Member", "")</f>
        <v/>
      </c>
    </row>
    <row r="18" spans="2:6" ht="30" customHeight="1" x14ac:dyDescent="0.25">
      <c r="B18" s="203" t="s">
        <v>428</v>
      </c>
      <c r="C18" s="5" t="s">
        <v>429</v>
      </c>
      <c r="D18" s="9" t="s">
        <v>366</v>
      </c>
      <c r="E18" s="18" t="str">
        <f>IF(AND(SUMPRODUCT(--ISNUMBER(MATCH("sType2", EVSE_ConnectorTypes, 0))+--ISNUMBER(MATCH("sType3", EVSE_ConnectorTypes, 0))) &lt;&gt; 0, D18 = "No"), "&lt;-- This field must be set to Yes for connector type sType2 and sType3", IF(AND(NOT(ISBLANK(B15)),ISBLANK(D15)),"&lt;-- This field cannot be left empty!",IF(AND(D18 &lt;&gt; "Yes", D18 &lt;&gt; "No"),"&lt;---- This field must be filled from the drop-down menu", "")))</f>
        <v/>
      </c>
      <c r="F18" s="311" t="str">
        <f>IF(COUNTIF('OCPP family members'!$B$13:$B$41,B18)&gt;0, "Member", "")</f>
        <v>Member</v>
      </c>
    </row>
    <row r="19" spans="2:6" ht="15.95" customHeight="1" x14ac:dyDescent="0.25">
      <c r="B19" s="204" t="s">
        <v>430</v>
      </c>
      <c r="C19" s="49" t="s">
        <v>431</v>
      </c>
      <c r="D19" s="8" t="s">
        <v>366</v>
      </c>
      <c r="E19" t="str">
        <f>IF(AND(NOT(ISBLANK(B19)),ISBLANK(D19)),"&lt;-- This field cannot be left empty!",IF(AND(D19 &lt;&gt; "Yes", D19 &lt;&gt; "No"),"&lt;---- This field must be filled from the drop-down menu", ""))</f>
        <v/>
      </c>
      <c r="F19" s="311" t="str">
        <f>IF(COUNTIF('OCPP family members'!$B$13:$B$41,B19)&gt;0, "Member", "")</f>
        <v/>
      </c>
    </row>
    <row r="20" spans="2:6" ht="15.95" customHeight="1" x14ac:dyDescent="0.25">
      <c r="B20" s="207" t="s">
        <v>432</v>
      </c>
      <c r="C20" s="208" t="s">
        <v>433</v>
      </c>
      <c r="D20" s="10" t="s">
        <v>366</v>
      </c>
      <c r="E20" t="str">
        <f>IF(AND(NOT(ISBLANK(B20)),ISBLANK(D20)),"&lt;-- This field cannot be left empty!",IF(AND(D20 &lt;&gt; "Yes", D20 &lt;&gt; "No"),"&lt;---- This field must be filled from the drop-down menu", ""))</f>
        <v/>
      </c>
      <c r="F20" s="311" t="str">
        <f>IF(COUNTIF('OCPP family members'!$B$13:$B$41,B20)&gt;0, "Member", "")</f>
        <v/>
      </c>
    </row>
    <row r="21" spans="2:6" ht="15.95" customHeight="1" x14ac:dyDescent="0.25">
      <c r="B21" s="209"/>
      <c r="C21" s="210"/>
      <c r="D21" s="43"/>
    </row>
    <row r="22" spans="2:6" ht="15.95" customHeight="1" x14ac:dyDescent="0.25">
      <c r="B22" s="209"/>
      <c r="C22" s="5"/>
      <c r="D22" s="2"/>
    </row>
    <row r="23" spans="2:6" ht="15.95" customHeight="1" x14ac:dyDescent="0.25">
      <c r="C23" s="2"/>
    </row>
    <row r="30" spans="2:6" ht="15.95" customHeight="1" x14ac:dyDescent="0.25"/>
  </sheetData>
  <sheetProtection algorithmName="SHA-512" hashValue="oe625ve51JEwvb8Sfg0eGPMyAK+6ZLjNSwjhUIA53X3ZmUrulIgtesOZ1x5AA7FPrJBO9GpXGIxu5WklcTe8gw==" saltValue="gOV1n7+Z0/UR9bNn/HSDvQ==" spinCount="100000" sheet="1" objects="1" scenarios="1"/>
  <conditionalFormatting sqref="F1 F3">
    <cfRule type="cellIs" dxfId="17" priority="5" operator="equal">
      <formula>"VALID"</formula>
    </cfRule>
  </conditionalFormatting>
  <conditionalFormatting sqref="F1:F3">
    <cfRule type="cellIs" dxfId="16" priority="2" operator="equal">
      <formula>"INVALID"</formula>
    </cfRule>
  </conditionalFormatting>
  <conditionalFormatting sqref="F2">
    <cfRule type="cellIs" dxfId="15" priority="1" operator="equal">
      <formula>"VALID for a VDoC"</formula>
    </cfRule>
    <cfRule type="cellIs" dxfId="14" priority="3" operator="equal">
      <formula>"VALID for Certification"</formula>
    </cfRule>
  </conditionalFormatting>
  <dataValidations count="1">
    <dataValidation type="list" allowBlank="1" showInputMessage="1" showErrorMessage="1" sqref="D5:D9 D11 D13:D20" xr:uid="{00000000-0002-0000-0400-000000000000}">
      <formula1>"Yes,No"</formula1>
    </dataValidation>
  </dataValidations>
  <pageMargins left="0.7" right="0.7" top="0.75" bottom="0.75" header="0.3" footer="0.3"/>
  <pageSetup paperSize="9" orientation="portrait"/>
  <headerFooter>
    <oddHeader>&amp;L&amp;"Aptos"&amp;10&amp;K000000 TLP: GREEN&amp;1#_x000D_&amp;"Calibri"&amp;12&amp;K000000&amp;"Calibri"&amp;12&amp;K000000&amp;"Calibri"&amp;12&amp;K000000&amp;"Aptos"&amp;1 &amp;K000000 TLP: GREEN#_x000D_</oddHeader>
    <oddFooter>&amp;C&amp;"Arial"&amp;9 &amp;K000000_x000D_# Internal</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F65"/>
  <sheetViews>
    <sheetView showGridLines="0" zoomScaleNormal="100" workbookViewId="0">
      <selection activeCell="D5" sqref="D5"/>
    </sheetView>
  </sheetViews>
  <sheetFormatPr defaultColWidth="28.125" defaultRowHeight="15.75" x14ac:dyDescent="0.25"/>
  <cols>
    <col min="1" max="1" width="13.125" customWidth="1"/>
    <col min="2" max="2" width="7.875" style="3" customWidth="1"/>
    <col min="3" max="3" width="55" customWidth="1"/>
    <col min="4" max="4" width="52.125" bestFit="1" customWidth="1"/>
    <col min="5" max="5" width="37.625" customWidth="1"/>
  </cols>
  <sheetData>
    <row r="1" spans="2:6" ht="35.25" customHeight="1" x14ac:dyDescent="0.35">
      <c r="B1" s="391" t="s">
        <v>434</v>
      </c>
      <c r="C1" s="390"/>
      <c r="D1" s="390"/>
      <c r="E1" s="17" t="s">
        <v>435</v>
      </c>
      <c r="F1" s="17" t="str">
        <f>IF(AND(ISERROR(FIND("&lt;please ", _xlfn.CONCAT(ORS_Values))),ISERROR(FIND("&lt;-- ", _xlfn.CONCAT(ORS_Validation)))),"VALID","INVALID")</f>
        <v>INVALID</v>
      </c>
    </row>
    <row r="2" spans="2:6" ht="21.75" customHeight="1" x14ac:dyDescent="0.35">
      <c r="B2" s="22"/>
      <c r="C2" s="395" t="s">
        <v>436</v>
      </c>
      <c r="D2" s="390"/>
      <c r="E2" s="35" t="s">
        <v>303</v>
      </c>
      <c r="F2" s="17" t="str">
        <f>'Statement of Approval'!$O$2</f>
        <v>INVALID</v>
      </c>
    </row>
    <row r="3" spans="2:6" ht="21.75" customHeight="1" x14ac:dyDescent="0.25"/>
    <row r="4" spans="2:6" ht="17.100000000000001" customHeight="1" x14ac:dyDescent="0.25">
      <c r="B4" s="211" t="s">
        <v>329</v>
      </c>
      <c r="C4" s="42" t="s">
        <v>437</v>
      </c>
      <c r="D4" s="47" t="s">
        <v>438</v>
      </c>
      <c r="F4" s="311"/>
    </row>
    <row r="5" spans="2:6" ht="17.100000000000001" customHeight="1" x14ac:dyDescent="0.25">
      <c r="B5" s="212" t="s">
        <v>439</v>
      </c>
      <c r="C5" s="49" t="s">
        <v>440</v>
      </c>
      <c r="D5" s="34" t="s">
        <v>441</v>
      </c>
      <c r="E5" s="13" t="str">
        <f>IF(AND('Profile selection'!$C$4="Yes",OR(D5="… ",D5="")),"&lt;-- This field is required","")</f>
        <v>&lt;-- This field is required</v>
      </c>
      <c r="F5" s="311" t="str">
        <f>IF(COUNTIF('OCPP family members'!$B$13:$B$41,B5)&gt;0, "Member", "")</f>
        <v/>
      </c>
    </row>
    <row r="6" spans="2:6" ht="17.100000000000001" customHeight="1" x14ac:dyDescent="0.25">
      <c r="B6" s="213" t="s">
        <v>442</v>
      </c>
      <c r="C6" s="5" t="s">
        <v>443</v>
      </c>
      <c r="D6" s="57" t="s">
        <v>441</v>
      </c>
      <c r="E6" s="13" t="str">
        <f>IF(AND('Profile selection'!$C$4="Yes",OR(D6="… ",D6="")),"&lt;-- This field is required","")</f>
        <v>&lt;-- This field is required</v>
      </c>
      <c r="F6" s="311" t="str">
        <f>IF(COUNTIF('OCPP family members'!$B$13:$B$41,B6)&gt;0, "Member", "")</f>
        <v/>
      </c>
    </row>
    <row r="7" spans="2:6" ht="17.100000000000001" customHeight="1" x14ac:dyDescent="0.25">
      <c r="B7" s="212" t="s">
        <v>444</v>
      </c>
      <c r="C7" s="49" t="s">
        <v>445</v>
      </c>
      <c r="D7" s="34" t="s">
        <v>441</v>
      </c>
      <c r="E7" s="13" t="str">
        <f>IF(AND('Profile selection'!$C$4="Yes",OR(D7="… ",D7="")),"&lt;-- This field is required","")</f>
        <v>&lt;-- This field is required</v>
      </c>
      <c r="F7" s="311" t="str">
        <f>IF(COUNTIF('OCPP family members'!$B$13:$B$41,B7)&gt;0, "Member", "")</f>
        <v/>
      </c>
    </row>
    <row r="8" spans="2:6" ht="17.100000000000001" customHeight="1" x14ac:dyDescent="0.25">
      <c r="B8" s="213" t="s">
        <v>446</v>
      </c>
      <c r="C8" s="5" t="s">
        <v>447</v>
      </c>
      <c r="D8" s="57" t="s">
        <v>441</v>
      </c>
      <c r="E8" s="13" t="str">
        <f>IF(AND('Profile selection'!$C$4="Yes",OR(D8="… ",D8="")),"&lt;-- This field is required","")</f>
        <v>&lt;-- This field is required</v>
      </c>
      <c r="F8" s="311" t="str">
        <f>IF(COUNTIF('OCPP family members'!$B$13:$B$41,B8)&gt;0, "Member", "")</f>
        <v/>
      </c>
    </row>
    <row r="9" spans="2:6" ht="17.100000000000001" customHeight="1" x14ac:dyDescent="0.25">
      <c r="B9" s="212" t="s">
        <v>448</v>
      </c>
      <c r="C9" s="49" t="s">
        <v>449</v>
      </c>
      <c r="D9" s="34" t="s">
        <v>441</v>
      </c>
      <c r="E9" s="13" t="str">
        <f>IF(AND('Profile selection'!$C$4="Yes",OR(D9="… ",D9="")),"&lt;-- This field is required","")</f>
        <v>&lt;-- This field is required</v>
      </c>
      <c r="F9" s="311" t="str">
        <f>IF(COUNTIF('OCPP family members'!$B$13:$B$41,B9)&gt;0, "Member", "")</f>
        <v/>
      </c>
    </row>
    <row r="10" spans="2:6" ht="17.100000000000001" customHeight="1" x14ac:dyDescent="0.25">
      <c r="B10" s="213" t="s">
        <v>450</v>
      </c>
      <c r="C10" s="5" t="s">
        <v>451</v>
      </c>
      <c r="D10" s="57" t="s">
        <v>441</v>
      </c>
      <c r="E10" s="13" t="str">
        <f>IF(AND('Profile selection'!$C$4="Yes",OR(D10="… ",D10="")),"&lt;-- This field is required","")</f>
        <v>&lt;-- This field is required</v>
      </c>
      <c r="F10" s="311" t="str">
        <f>IF(COUNTIF('OCPP family members'!$B$13:$B$41,B10)&gt;0, "Member", "")</f>
        <v/>
      </c>
    </row>
    <row r="11" spans="2:6" ht="30" x14ac:dyDescent="0.25">
      <c r="B11" s="212" t="s">
        <v>452</v>
      </c>
      <c r="C11" s="60" t="s">
        <v>453</v>
      </c>
      <c r="D11" s="34" t="s">
        <v>441</v>
      </c>
      <c r="F11" s="311" t="str">
        <f>IF(COUNTIF('OCPP family members'!$B$13:$B$41,B11)&gt;0, "Member", "")</f>
        <v/>
      </c>
    </row>
    <row r="12" spans="2:6" ht="30" x14ac:dyDescent="0.25">
      <c r="B12" s="213" t="s">
        <v>454</v>
      </c>
      <c r="C12" s="214" t="s">
        <v>455</v>
      </c>
      <c r="D12" s="57" t="s">
        <v>441</v>
      </c>
      <c r="F12" s="311" t="str">
        <f>IF(COUNTIF('OCPP family members'!$B$13:$B$41,B12)&gt;0, "Member", "")</f>
        <v/>
      </c>
    </row>
    <row r="13" spans="2:6" ht="17.100000000000001" customHeight="1" x14ac:dyDescent="0.25">
      <c r="B13" s="212" t="s">
        <v>456</v>
      </c>
      <c r="C13" s="49" t="s">
        <v>457</v>
      </c>
      <c r="D13" s="34" t="s">
        <v>441</v>
      </c>
      <c r="F13" s="311" t="str">
        <f>IF(COUNTIF('OCPP family members'!$B$13:$B$41,B13)&gt;0, "Member", "")</f>
        <v/>
      </c>
    </row>
    <row r="14" spans="2:6" ht="17.100000000000001" customHeight="1" x14ac:dyDescent="0.25">
      <c r="B14" s="213" t="s">
        <v>458</v>
      </c>
      <c r="C14" s="5" t="s">
        <v>459</v>
      </c>
      <c r="D14" s="57" t="s">
        <v>441</v>
      </c>
      <c r="F14" s="311" t="str">
        <f>IF(COUNTIF('OCPP family members'!$B$13:$B$41,B14)&gt;0, "Member", "")</f>
        <v/>
      </c>
    </row>
    <row r="15" spans="2:6" ht="17.100000000000001" customHeight="1" x14ac:dyDescent="0.25">
      <c r="B15" s="212" t="s">
        <v>460</v>
      </c>
      <c r="C15" s="49" t="s">
        <v>461</v>
      </c>
      <c r="D15" s="34" t="s">
        <v>441</v>
      </c>
      <c r="F15" s="311" t="str">
        <f>IF(COUNTIF('OCPP family members'!$B$13:$B$41,B15)&gt;0, "Member", "")</f>
        <v/>
      </c>
    </row>
    <row r="16" spans="2:6" ht="17.100000000000001" customHeight="1" x14ac:dyDescent="0.25">
      <c r="B16" s="213" t="s">
        <v>462</v>
      </c>
      <c r="C16" s="5" t="s">
        <v>463</v>
      </c>
      <c r="D16" s="57" t="s">
        <v>441</v>
      </c>
      <c r="F16" s="311" t="str">
        <f>IF(COUNTIF('OCPP family members'!$B$13:$B$41,B16)&gt;0, "Member", "")</f>
        <v/>
      </c>
    </row>
    <row r="17" spans="2:6" ht="17.100000000000001" customHeight="1" x14ac:dyDescent="0.25">
      <c r="B17" s="212" t="s">
        <v>464</v>
      </c>
      <c r="C17" s="49" t="s">
        <v>465</v>
      </c>
      <c r="D17" s="34" t="s">
        <v>441</v>
      </c>
      <c r="F17" s="311" t="str">
        <f>IF(COUNTIF('OCPP family members'!$B$13:$B$41,B17)&gt;0, "Member", "")</f>
        <v/>
      </c>
    </row>
    <row r="18" spans="2:6" ht="17.100000000000001" customHeight="1" x14ac:dyDescent="0.25">
      <c r="B18" s="213" t="s">
        <v>466</v>
      </c>
      <c r="C18" s="214" t="s">
        <v>467</v>
      </c>
      <c r="D18" s="57" t="s">
        <v>441</v>
      </c>
      <c r="F18" s="311" t="str">
        <f>IF(COUNTIF('OCPP family members'!$B$13:$B$41,B18)&gt;0, "Member", "")</f>
        <v/>
      </c>
    </row>
    <row r="19" spans="2:6" ht="19.5" customHeight="1" x14ac:dyDescent="0.25">
      <c r="B19" s="215" t="s">
        <v>468</v>
      </c>
      <c r="C19" s="216" t="s">
        <v>469</v>
      </c>
      <c r="D19" s="58" t="s">
        <v>470</v>
      </c>
      <c r="E19" s="13" t="str">
        <f>IF(AND('Profile selection'!$C$4="Yes",OR(D19="… ",D19="",NOT(ISERROR(FIND("&lt;",D19))))),"&lt;-- This field is required and must be &gt;= 1,","")</f>
        <v>&lt;-- This field is required and must be &gt;= 1,</v>
      </c>
      <c r="F19" s="311" t="str">
        <f>IF(COUNTIF('OCPP family members'!$B$13:$B$41,B19)&gt;0, "Member", "")</f>
        <v/>
      </c>
    </row>
    <row r="20" spans="2:6" ht="19.5" customHeight="1" x14ac:dyDescent="0.25">
      <c r="B20" s="217"/>
      <c r="C20" s="214"/>
      <c r="D20" s="2"/>
      <c r="E20" s="13"/>
      <c r="F20" s="311"/>
    </row>
    <row r="21" spans="2:6" ht="19.5" customHeight="1" x14ac:dyDescent="0.25">
      <c r="B21" s="217"/>
      <c r="C21" s="214"/>
      <c r="D21" s="2"/>
      <c r="E21" s="13"/>
      <c r="F21" s="311"/>
    </row>
    <row r="22" spans="2:6" ht="17.100000000000001" customHeight="1" x14ac:dyDescent="0.25">
      <c r="B22" s="211" t="s">
        <v>329</v>
      </c>
      <c r="C22" s="42" t="s">
        <v>471</v>
      </c>
      <c r="D22" s="47" t="s">
        <v>472</v>
      </c>
      <c r="F22" s="311"/>
    </row>
    <row r="23" spans="2:6" ht="17.100000000000001" customHeight="1" x14ac:dyDescent="0.25">
      <c r="B23" s="212" t="s">
        <v>473</v>
      </c>
      <c r="C23" s="49" t="s">
        <v>474</v>
      </c>
      <c r="D23" s="34" t="s">
        <v>441</v>
      </c>
      <c r="E23" s="13" t="str">
        <f>IF(AND('Profile selection'!$C$4="Yes",OR(D23="… ",D23="")),"&lt;-- This field is required","")</f>
        <v>&lt;-- This field is required</v>
      </c>
      <c r="F23" s="311" t="str">
        <f>IF(COUNTIF('OCPP family members'!$B$13:$B$41,B23)&gt;0, "Member", "")</f>
        <v/>
      </c>
    </row>
    <row r="24" spans="2:6" ht="17.100000000000001" customHeight="1" x14ac:dyDescent="0.25">
      <c r="B24" s="218" t="s">
        <v>475</v>
      </c>
      <c r="C24" s="208" t="s">
        <v>476</v>
      </c>
      <c r="D24" s="59" t="s">
        <v>441</v>
      </c>
      <c r="E24" s="310"/>
      <c r="F24" s="311" t="str">
        <f>IF(COUNTIF('OCPP family members'!$B$13:$B$41,B24)&gt;0, "Member", "")</f>
        <v/>
      </c>
    </row>
    <row r="25" spans="2:6" ht="17.100000000000001" customHeight="1" x14ac:dyDescent="0.25">
      <c r="B25" s="217"/>
      <c r="C25" s="5"/>
      <c r="D25" s="2"/>
      <c r="F25" s="311"/>
    </row>
    <row r="26" spans="2:6" ht="17.100000000000001" customHeight="1" x14ac:dyDescent="0.25">
      <c r="B26" s="217"/>
      <c r="C26" s="5"/>
      <c r="D26" s="2"/>
      <c r="F26" s="311"/>
    </row>
    <row r="27" spans="2:6" ht="17.100000000000001" customHeight="1" x14ac:dyDescent="0.25">
      <c r="B27" s="211" t="s">
        <v>329</v>
      </c>
      <c r="C27" s="44" t="s">
        <v>187</v>
      </c>
      <c r="D27" s="47" t="s">
        <v>472</v>
      </c>
      <c r="F27" s="311"/>
    </row>
    <row r="28" spans="2:6" ht="17.100000000000001" customHeight="1" x14ac:dyDescent="0.25">
      <c r="B28" s="212" t="s">
        <v>477</v>
      </c>
      <c r="C28" s="49" t="s">
        <v>478</v>
      </c>
      <c r="D28" s="34" t="s">
        <v>441</v>
      </c>
      <c r="E28" s="13" t="str">
        <f>IF(AND(VLOOKUP("LA-0",'Optional features'!B:D,3,FALSE)="Yes",OR(D28="… ",D28="")),"&lt;-- This field is required","")</f>
        <v/>
      </c>
      <c r="F28" s="311" t="str">
        <f>IF(COUNTIF('OCPP family members'!$B$13:$B$41,B28)&gt;0, "Member", "")</f>
        <v/>
      </c>
    </row>
    <row r="29" spans="2:6" ht="17.100000000000001" customHeight="1" x14ac:dyDescent="0.25">
      <c r="B29" s="213" t="s">
        <v>479</v>
      </c>
      <c r="C29" s="5" t="s">
        <v>480</v>
      </c>
      <c r="D29" s="57" t="s">
        <v>441</v>
      </c>
      <c r="E29" s="13" t="str">
        <f>IF(AND(VLOOKUP("LA-0",'Optional features'!B:D,3,FALSE)="Yes",OR(D29="… ",D29="")),"&lt;-- This field is required","")</f>
        <v/>
      </c>
      <c r="F29" s="311" t="str">
        <f>IF(COUNTIF('OCPP family members'!$B$13:$B$41,B29)&gt;0, "Member", "")</f>
        <v/>
      </c>
    </row>
    <row r="30" spans="2:6" ht="17.100000000000001" customHeight="1" x14ac:dyDescent="0.25">
      <c r="B30" s="215" t="s">
        <v>481</v>
      </c>
      <c r="C30" s="50" t="s">
        <v>482</v>
      </c>
      <c r="D30" s="58" t="s">
        <v>441</v>
      </c>
      <c r="E30" s="13" t="str">
        <f>IF(AND(VLOOKUP("LA-0",'Optional features'!B:D,3,FALSE)="Yes",OR(D30="… ",D30="")),"&lt;-- This field is required","")</f>
        <v/>
      </c>
      <c r="F30" s="311" t="str">
        <f>IF(COUNTIF('OCPP family members'!$B$13:$B$41,B30)&gt;0, "Member", "")</f>
        <v/>
      </c>
    </row>
    <row r="31" spans="2:6" ht="17.100000000000001" customHeight="1" x14ac:dyDescent="0.25">
      <c r="B31" s="217"/>
      <c r="C31" s="5"/>
      <c r="D31" s="2"/>
      <c r="F31" s="311" t="str">
        <f>IF(COUNTIF('OCPP family members'!$B$13:$B$41,B31)&gt;0, "Member", "")</f>
        <v/>
      </c>
    </row>
    <row r="32" spans="2:6" ht="17.100000000000001" customHeight="1" x14ac:dyDescent="0.25">
      <c r="B32" s="217"/>
      <c r="C32" s="5"/>
      <c r="D32" s="2"/>
      <c r="F32" s="311" t="str">
        <f>IF(COUNTIF('OCPP family members'!$B$13:$B$41,B32)&gt;0, "Member", "")</f>
        <v/>
      </c>
    </row>
    <row r="33" spans="2:6" ht="17.100000000000001" customHeight="1" x14ac:dyDescent="0.25">
      <c r="B33" s="211" t="s">
        <v>329</v>
      </c>
      <c r="C33" s="42" t="s">
        <v>483</v>
      </c>
      <c r="D33" s="47" t="s">
        <v>472</v>
      </c>
      <c r="F33" s="311"/>
    </row>
    <row r="34" spans="2:6" ht="17.100000000000001" customHeight="1" x14ac:dyDescent="0.25">
      <c r="B34" s="212" t="s">
        <v>484</v>
      </c>
      <c r="C34" s="49" t="s">
        <v>485</v>
      </c>
      <c r="D34" s="34" t="s">
        <v>441</v>
      </c>
      <c r="E34" s="13" t="str">
        <f>IF(AND('Profile selection'!$C$6="Yes",OR(D34="… ",D34="")),"&lt;-- This field is required","")</f>
        <v/>
      </c>
      <c r="F34" s="311" t="str">
        <f>IF(COUNTIF('OCPP family members'!$B$13:$B$41,B34)&gt;0, "Member", "")</f>
        <v/>
      </c>
    </row>
    <row r="35" spans="2:6" ht="17.100000000000001" customHeight="1" x14ac:dyDescent="0.25">
      <c r="B35" s="213" t="s">
        <v>486</v>
      </c>
      <c r="C35" s="5" t="s">
        <v>487</v>
      </c>
      <c r="D35" s="57" t="s">
        <v>441</v>
      </c>
      <c r="E35" s="13" t="str">
        <f>IF(AND('Profile selection'!$C$6="Yes",OR(D35="… ",D35="")),"&lt;-- This field is required","")</f>
        <v/>
      </c>
      <c r="F35" s="311" t="str">
        <f>IF(COUNTIF('OCPP family members'!$B$13:$B$41,B35)&gt;0, "Member", "")</f>
        <v/>
      </c>
    </row>
    <row r="36" spans="2:6" ht="17.100000000000001" customHeight="1" x14ac:dyDescent="0.25">
      <c r="B36" s="215" t="s">
        <v>488</v>
      </c>
      <c r="C36" s="50" t="s">
        <v>489</v>
      </c>
      <c r="D36" s="58" t="s">
        <v>441</v>
      </c>
      <c r="E36" s="13" t="str">
        <f>IF(AND('Profile selection'!$C$6="Yes",OR(D36="… ",D36="")),"&lt;-- This field is required","")</f>
        <v/>
      </c>
      <c r="F36" s="311" t="str">
        <f>IF(COUNTIF('OCPP family members'!$B$13:$B$41,B36)&gt;0, "Member", "")</f>
        <v/>
      </c>
    </row>
    <row r="37" spans="2:6" ht="17.100000000000001" customHeight="1" x14ac:dyDescent="0.25">
      <c r="B37" s="217"/>
      <c r="C37" s="5"/>
      <c r="D37" s="2"/>
      <c r="F37" s="311" t="str">
        <f>IF(COUNTIF('OCPP family members'!$B$13:$B$41,B37)&gt;0, "Member", "")</f>
        <v/>
      </c>
    </row>
    <row r="38" spans="2:6" ht="17.100000000000001" customHeight="1" x14ac:dyDescent="0.25">
      <c r="B38" s="217"/>
      <c r="C38" s="5"/>
      <c r="D38" s="2"/>
      <c r="F38" s="311" t="str">
        <f>IF(COUNTIF('OCPP family members'!$B$13:$B$41,B38)&gt;0, "Member", "")</f>
        <v/>
      </c>
    </row>
    <row r="39" spans="2:6" ht="17.100000000000001" customHeight="1" x14ac:dyDescent="0.25">
      <c r="B39" s="211" t="s">
        <v>329</v>
      </c>
      <c r="C39" s="42" t="s">
        <v>490</v>
      </c>
      <c r="D39" s="47" t="s">
        <v>472</v>
      </c>
      <c r="F39" s="311"/>
    </row>
    <row r="40" spans="2:6" ht="17.100000000000001" customHeight="1" x14ac:dyDescent="0.25">
      <c r="B40" s="219" t="s">
        <v>491</v>
      </c>
      <c r="C40" s="220" t="s">
        <v>492</v>
      </c>
      <c r="D40" s="61" t="s">
        <v>493</v>
      </c>
      <c r="E40" s="18" t="str">
        <f>IF(AND(NOT(ISBLANK(B40)),ISBLANK(D40)),"&lt;--- Please select the supporteded file transfer protocol(s) from the list.",IF(NOT(ISERROR(FIND("&lt;",D40))),"&lt;--- Please select the supporteded file transfer protocol(s) from the list.",IF(ISERROR(MATCH(D40, MD!$P$1:$P$31, 0)), "&lt;---- This field must be filled from the drop-down menu", "")))</f>
        <v>&lt;--- Please select the supporteded file transfer protocol(s) from the list.</v>
      </c>
      <c r="F40" s="311" t="str">
        <f>IF(COUNTIF('OCPP family members'!$B$13:$B$41,B40)&gt;0, "Member", "")</f>
        <v/>
      </c>
    </row>
    <row r="41" spans="2:6" ht="17.100000000000001" customHeight="1" x14ac:dyDescent="0.25">
      <c r="B41" s="217"/>
      <c r="C41" s="5"/>
      <c r="D41" s="2"/>
      <c r="F41" s="311" t="str">
        <f>IF(COUNTIF('OCPP family members'!$B$13:$B$41,B41)&gt;0, "Member", "")</f>
        <v/>
      </c>
    </row>
    <row r="42" spans="2:6" ht="17.100000000000001" customHeight="1" x14ac:dyDescent="0.25">
      <c r="B42" s="217"/>
      <c r="C42" s="5"/>
      <c r="D42" s="2"/>
      <c r="F42" s="311" t="str">
        <f>IF(COUNTIF('OCPP family members'!$B$13:$B$41,B42)&gt;0, "Member", "")</f>
        <v/>
      </c>
    </row>
    <row r="43" spans="2:6" ht="17.100000000000001" customHeight="1" x14ac:dyDescent="0.25">
      <c r="B43" s="211" t="s">
        <v>329</v>
      </c>
      <c r="C43" s="42" t="s">
        <v>494</v>
      </c>
      <c r="D43" s="47" t="s">
        <v>472</v>
      </c>
      <c r="F43" s="311"/>
    </row>
    <row r="44" spans="2:6" ht="17.100000000000001" customHeight="1" x14ac:dyDescent="0.25">
      <c r="B44" s="221" t="s">
        <v>495</v>
      </c>
      <c r="C44" s="48" t="s">
        <v>496</v>
      </c>
      <c r="D44" s="62" t="s">
        <v>441</v>
      </c>
      <c r="E44" s="13" t="str">
        <f>IF(AND(VLOOKUP("DM-0",'Optional features'!B:D,3,FALSE)="Yes",OR(D44="… ",D44="")),"&lt;-- This field is required",IF(AND(VLOOKUP("DM-0",'Optional features'!B:D,3,FALSE)="No", AND(D44&lt;&gt;"… ",D44&lt;&gt;"")), "&lt;-- This field must be left empty", ""))</f>
        <v/>
      </c>
      <c r="F44" s="311" t="str">
        <f>IF(COUNTIF('OCPP family members'!$B$13:$B$41,B44)&gt;0, "Member", "")</f>
        <v/>
      </c>
    </row>
    <row r="45" spans="2:6" ht="17.100000000000001" customHeight="1" x14ac:dyDescent="0.25">
      <c r="B45" s="213" t="s">
        <v>497</v>
      </c>
      <c r="C45" s="5" t="s">
        <v>498</v>
      </c>
      <c r="D45" s="57" t="s">
        <v>441</v>
      </c>
      <c r="E45" s="13" t="str">
        <f>IF(AND(VLOOKUP("DM-0",'Optional features'!B:D,3,FALSE)="Yes",OR(D45="… ",D45="")),"&lt;-- This field is required",IF(AND(VLOOKUP("DM-0",'Optional features'!B:D,3,FALSE)="No", AND(D45&lt;&gt;"… ",D45&lt;&gt;"")), "&lt;-- This field must be left empty", ""))</f>
        <v/>
      </c>
      <c r="F45" s="311" t="str">
        <f>IF(COUNTIF('OCPP family members'!$B$13:$B$41,B45)&gt;0, "Member", "")</f>
        <v/>
      </c>
    </row>
    <row r="46" spans="2:6" ht="17.100000000000001" customHeight="1" x14ac:dyDescent="0.25">
      <c r="B46" s="212" t="s">
        <v>499</v>
      </c>
      <c r="C46" s="49" t="s">
        <v>500</v>
      </c>
      <c r="D46" s="34" t="s">
        <v>441</v>
      </c>
      <c r="E46" s="13" t="str">
        <f>IF(_xlfn.XOR(OR(D46="… ",ISBLANK(D46)),'Additional questions'!D11="No"),"&lt;-- This field is required when AQ-6 is selected and must be left empty otherwise.","")</f>
        <v/>
      </c>
      <c r="F46" s="311" t="str">
        <f>IF(COUNTIF('OCPP family members'!$B$13:$B$41,B46)&gt;0, "Member", "")</f>
        <v/>
      </c>
    </row>
    <row r="47" spans="2:6" ht="17.100000000000001" customHeight="1" x14ac:dyDescent="0.25">
      <c r="B47" s="213" t="s">
        <v>501</v>
      </c>
      <c r="C47" s="5" t="s">
        <v>502</v>
      </c>
      <c r="D47" s="57" t="s">
        <v>441</v>
      </c>
      <c r="E47" s="13" t="str">
        <f>IF(_xlfn.XOR(OR(D47="… ",ISBLANK(D47)),'Additional questions'!D9="No"),"&lt;-- This field is required when AQ-5 is selected and must be left empty otherwise.","")</f>
        <v/>
      </c>
      <c r="F47" s="311" t="str">
        <f>IF(COUNTIF('OCPP family members'!$B$13:$B$41,B47)&gt;0, "Member", "")</f>
        <v/>
      </c>
    </row>
    <row r="48" spans="2:6" ht="17.100000000000001" customHeight="1" x14ac:dyDescent="0.25">
      <c r="B48" s="212" t="s">
        <v>503</v>
      </c>
      <c r="C48" s="49" t="s">
        <v>504</v>
      </c>
      <c r="D48" s="34" t="s">
        <v>441</v>
      </c>
      <c r="E48" s="13" t="str">
        <f>IF(AND(VLOOKUP("DM-0",'Optional features'!B:D,3,FALSE)="Yes",OR(D48="… ", D48="")),"&lt;-- This field is required, the required format is: ComponentName[instance].Evse.Connector.VariableName[instance], where Evse, Connector and instance are optional",IF(AND(VLOOKUP("DM-0",'Optional features'!B:D,3,FALSE)="No", AND(D48&lt;&gt;"… ",D48&lt;&gt;"")), "&lt;-- This field must be left empty", ""))</f>
        <v/>
      </c>
      <c r="F48" s="311" t="str">
        <f>IF(COUNTIF('OCPP family members'!$B$13:$B$41,B48)&gt;0, "Member", "")</f>
        <v/>
      </c>
    </row>
    <row r="49" spans="2:6" ht="17.100000000000001" customHeight="1" x14ac:dyDescent="0.25">
      <c r="B49" s="213" t="s">
        <v>505</v>
      </c>
      <c r="C49" s="5" t="s">
        <v>506</v>
      </c>
      <c r="D49" s="57" t="s">
        <v>441</v>
      </c>
      <c r="E49" s="13" t="str">
        <f>IF(AND(VLOOKUP("DM-0",'Optional features'!B:D,3,FALSE)="Yes",OR(D49="… ", D49="")),"&lt;-- This field is required",IF(AND(VLOOKUP("DM-0",'Optional features'!B:D,3,FALSE)="No", AND(D49&lt;&gt;"… ",D49&lt;&gt;"")), "&lt;-- This field must be left empty", ""))</f>
        <v/>
      </c>
      <c r="F49" s="311" t="str">
        <f>IF(COUNTIF('OCPP family members'!$B$13:$B$41,B49)&gt;0, "Member", "")</f>
        <v/>
      </c>
    </row>
    <row r="50" spans="2:6" ht="17.100000000000001" customHeight="1" x14ac:dyDescent="0.25">
      <c r="B50" s="212" t="s">
        <v>507</v>
      </c>
      <c r="C50" s="49" t="s">
        <v>508</v>
      </c>
      <c r="D50" s="34" t="s">
        <v>441</v>
      </c>
      <c r="E50" s="13" t="str">
        <f>IF(AND(VLOOKUP("DM-0",'Optional features'!B:D,3,FALSE)="Yes",OR(D50="… ", D50="")),"&lt;-- This field is required, the required format is: ComponentName[instance].Evse.Connector.VariableName[instance], where Evse, Connector and instance are optional",IF(AND(VLOOKUP("DM-0",'Optional features'!B:D,3,FALSE)="No", AND(D50&lt;&gt;"… ",D50&lt;&gt;"")), "&lt;-- This field must be left empty", ""))</f>
        <v/>
      </c>
      <c r="F50" s="311" t="str">
        <f>IF(COUNTIF('OCPP family members'!$B$13:$B$41,B50)&gt;0, "Member", "")</f>
        <v/>
      </c>
    </row>
    <row r="51" spans="2:6" ht="17.100000000000001" customHeight="1" x14ac:dyDescent="0.25">
      <c r="B51" s="213" t="s">
        <v>509</v>
      </c>
      <c r="C51" s="5" t="s">
        <v>510</v>
      </c>
      <c r="D51" s="57" t="s">
        <v>441</v>
      </c>
      <c r="E51" s="13" t="str">
        <f>IF(AND(VLOOKUP("DM-0",'Optional features'!B:D,3,FALSE)="Yes",OR(D51="… ", D51="")),"&lt;-- This field is required",IF(AND(VLOOKUP("DM-0",'Optional features'!B:D,3,FALSE)="No", AND(D51&lt;&gt;"… ",D51&lt;&gt;"")), "&lt;-- This field must be left empty", ""))</f>
        <v/>
      </c>
      <c r="F51" s="311" t="str">
        <f>IF(COUNTIF('OCPP family members'!$B$13:$B$41,B51)&gt;0, "Member", "")</f>
        <v/>
      </c>
    </row>
    <row r="52" spans="2:6" ht="17.100000000000001" customHeight="1" x14ac:dyDescent="0.25">
      <c r="B52" s="212" t="s">
        <v>511</v>
      </c>
      <c r="C52" s="49" t="s">
        <v>512</v>
      </c>
      <c r="D52" s="34" t="s">
        <v>441</v>
      </c>
      <c r="E52" s="13" t="str">
        <f>IF(AND(VLOOKUP("DM-0",'Optional features'!B:D,3,FALSE)="Yes",OR(D52="… ", D52="")),"&lt;-- This field is required, the required format is: ComponentName[instance].Evse.Connector.VariableName[instance], where Evse, Connector and instance are optional",IF(AND(VLOOKUP("DM-0",'Optional features'!B:D,3,FALSE)="No", AND(D52&lt;&gt;"… ",D52&lt;&gt;"")), "&lt;-- This field must be left empty", ""))</f>
        <v/>
      </c>
      <c r="F52" s="311" t="str">
        <f>IF(COUNTIF('OCPP family members'!$B$13:$B$41,B52)&gt;0, "Member", "")</f>
        <v/>
      </c>
    </row>
    <row r="53" spans="2:6" ht="17.100000000000001" customHeight="1" x14ac:dyDescent="0.25">
      <c r="B53" s="213" t="s">
        <v>513</v>
      </c>
      <c r="C53" s="5" t="s">
        <v>514</v>
      </c>
      <c r="D53" s="57" t="s">
        <v>441</v>
      </c>
      <c r="E53" s="13" t="str">
        <f>IF(AND(VLOOKUP("DM-0",'Optional features'!B:D,3,FALSE)="Yes",OR(D53="… ", D53="")),"&lt;-- This field is required",IF(AND(VLOOKUP("DM-0",'Optional features'!B:D,3,FALSE)="No", AND(D53&lt;&gt;"… ",D53&lt;&gt;"")), "&lt;-- This field must be left empty", ""))</f>
        <v/>
      </c>
      <c r="F53" s="311" t="str">
        <f>IF(COUNTIF('OCPP family members'!$B$13:$B$41,B53)&gt;0, "Member", "")</f>
        <v/>
      </c>
    </row>
    <row r="54" spans="2:6" ht="17.100000000000001" customHeight="1" x14ac:dyDescent="0.25">
      <c r="B54" s="212" t="s">
        <v>515</v>
      </c>
      <c r="C54" s="49" t="s">
        <v>516</v>
      </c>
      <c r="D54" s="34" t="s">
        <v>441</v>
      </c>
      <c r="E54" s="13" t="str">
        <f>IF(AND(VLOOKUP("DM-0",'Optional features'!B:D,3,FALSE)="Yes",OR(D54="… ", D54="")),"&lt;-- This field is required, the required format is: ComponentName[instance].Evse.Connector.VariableName[instance], where Evse, Connector and instance are optional",IF(AND(VLOOKUP("DM-0",'Optional features'!B:D,3,FALSE)="No", AND(D54&lt;&gt;"… ",D54&lt;&gt;"")), "&lt;-- This field must be left empty", ""))</f>
        <v/>
      </c>
      <c r="F54" s="311" t="str">
        <f>IF(COUNTIF('OCPP family members'!$B$13:$B$41,B54)&gt;0, "Member", "")</f>
        <v/>
      </c>
    </row>
    <row r="55" spans="2:6" ht="17.100000000000001" customHeight="1" x14ac:dyDescent="0.25">
      <c r="B55" s="213" t="s">
        <v>517</v>
      </c>
      <c r="C55" s="5" t="s">
        <v>518</v>
      </c>
      <c r="D55" s="57" t="s">
        <v>441</v>
      </c>
      <c r="E55" s="13" t="str">
        <f>IF(AND(VLOOKUP("DM-0",'Optional features'!B:D,3,FALSE)="Yes",OR(D55="… ", D55="")),"&lt;-- This field is required",IF(AND(VLOOKUP("DM-0",'Optional features'!B:D,3,FALSE)="No", AND(D55&lt;&gt;"… ",D55&lt;&gt;"")), "&lt;-- This field must be left empty", ""))</f>
        <v/>
      </c>
      <c r="F55" s="311" t="str">
        <f>IF(COUNTIF('OCPP family members'!$B$13:$B$41,B55)&gt;0, "Member", "")</f>
        <v/>
      </c>
    </row>
    <row r="56" spans="2:6" ht="17.100000000000001" customHeight="1" x14ac:dyDescent="0.25">
      <c r="B56" s="212" t="s">
        <v>519</v>
      </c>
      <c r="C56" s="49" t="s">
        <v>520</v>
      </c>
      <c r="D56" s="34" t="s">
        <v>441</v>
      </c>
      <c r="E56" s="13" t="str">
        <f>IF(AND(VLOOKUP("DM-0",'Optional features'!B:D,3,FALSE)="Yes",OR(D56="… ", D56="")),"&lt;-- This field is required",IF(AND(VLOOKUP("DM-0",'Optional features'!B:D,3,FALSE)="No", AND(D56&lt;&gt;"… ",D56&lt;&gt;"")), "&lt;-- This field must be left empty", ""))</f>
        <v/>
      </c>
      <c r="F56" s="311" t="str">
        <f>IF(COUNTIF('OCPP family members'!$B$13:$B$41,B56)&gt;0, "Member", "")</f>
        <v/>
      </c>
    </row>
    <row r="57" spans="2:6" ht="17.100000000000001" customHeight="1" x14ac:dyDescent="0.25">
      <c r="B57" s="218" t="s">
        <v>521</v>
      </c>
      <c r="C57" s="208" t="s">
        <v>522</v>
      </c>
      <c r="D57" s="59" t="s">
        <v>441</v>
      </c>
      <c r="E57" s="13" t="str">
        <f>IF(AND(VLOOKUP("DM-0",'Optional features'!B:D,3,FALSE)="Yes",OR(D57="… ", D57="")),"&lt;-- This field is required",IF(AND(VLOOKUP("DM-0",'Optional features'!B:D,3,FALSE)="No", AND(D57&lt;&gt;"… ",D57&lt;&gt;"")), "&lt;-- This field must be left empty", ""))</f>
        <v/>
      </c>
      <c r="F57" s="311" t="str">
        <f>IF(COUNTIF('OCPP family members'!$B$13:$B$41,B57)&gt;0, "Member", "")</f>
        <v/>
      </c>
    </row>
    <row r="58" spans="2:6" ht="17.100000000000001" customHeight="1" x14ac:dyDescent="0.25">
      <c r="B58" s="217"/>
      <c r="C58" s="5"/>
      <c r="D58" s="2"/>
      <c r="F58" s="311" t="str">
        <f>IF(COUNTIF('OCPP family members'!$B$13:$B$41,B58)&gt;0, "Member", "")</f>
        <v/>
      </c>
    </row>
    <row r="59" spans="2:6" ht="17.100000000000001" customHeight="1" x14ac:dyDescent="0.25">
      <c r="B59" s="217"/>
      <c r="C59" s="5"/>
      <c r="D59" s="2"/>
      <c r="F59" s="311" t="str">
        <f>IF(COUNTIF('OCPP family members'!$B$13:$B$41,B59)&gt;0, "Member", "")</f>
        <v/>
      </c>
    </row>
    <row r="60" spans="2:6" ht="17.100000000000001" customHeight="1" x14ac:dyDescent="0.25">
      <c r="B60" s="211" t="s">
        <v>329</v>
      </c>
      <c r="C60" s="42" t="s">
        <v>194</v>
      </c>
      <c r="D60" s="47" t="s">
        <v>472</v>
      </c>
      <c r="F60" s="311"/>
    </row>
    <row r="61" spans="2:6" ht="17.100000000000001" customHeight="1" x14ac:dyDescent="0.25">
      <c r="B61" s="212" t="s">
        <v>523</v>
      </c>
      <c r="C61" s="49" t="s">
        <v>524</v>
      </c>
      <c r="D61" s="34" t="s">
        <v>441</v>
      </c>
      <c r="E61" s="13" t="str">
        <f>IF(AND(VLOOKUP("UI-0",'Optional features'!B:D,3,FALSE)="Yes",OR(D61="… ",D61="")),"&lt;-- This field is required","")</f>
        <v/>
      </c>
      <c r="F61" s="311" t="str">
        <f>IF(COUNTIF('OCPP family members'!$B$13:$B$41,B61)&gt;0, "Member", "")</f>
        <v/>
      </c>
    </row>
    <row r="62" spans="2:6" ht="17.100000000000001" customHeight="1" x14ac:dyDescent="0.25">
      <c r="B62" s="218" t="s">
        <v>525</v>
      </c>
      <c r="C62" s="208" t="s">
        <v>526</v>
      </c>
      <c r="D62" s="59" t="s">
        <v>527</v>
      </c>
      <c r="E62" s="13" t="str">
        <f>IF(AND(VLOOKUP("UI-0",'Optional features'!B:D,3,FALSE)="Yes",OR(D62="…", D62="")),"&lt;-- This field is required, the required format is: ComponentName[instance].Evse.Connector, where Evse, Connector and instance are optional","")</f>
        <v/>
      </c>
      <c r="F62" s="311" t="str">
        <f>IF(COUNTIF('OCPP family members'!$B$13:$B$41,B62)&gt;0, "Member", "")</f>
        <v/>
      </c>
    </row>
    <row r="63" spans="2:6" x14ac:dyDescent="0.25">
      <c r="B63" s="217"/>
      <c r="C63" s="2"/>
      <c r="D63" s="2"/>
    </row>
    <row r="64" spans="2:6" x14ac:dyDescent="0.25">
      <c r="B64" s="217"/>
      <c r="C64" s="2"/>
    </row>
    <row r="65" spans="2:3" x14ac:dyDescent="0.25">
      <c r="B65" s="217"/>
      <c r="C65" s="2"/>
    </row>
  </sheetData>
  <sheetProtection algorithmName="SHA-512" hashValue="fsjcMQh/yy4STYiRnUsB0pHgX/Tixi1W0JM3h6L+Pu7ZyKE0E8yeGY5RyF3D+JkFUJyXOBDlp+NR7yTHFh8DmQ==" saltValue="gOcU3NInF6Ygp6p+zXgZoQ==" spinCount="100000" sheet="1" objects="1" scenarios="1"/>
  <mergeCells count="2">
    <mergeCell ref="B1:D1"/>
    <mergeCell ref="C2:D2"/>
  </mergeCells>
  <conditionalFormatting sqref="F1">
    <cfRule type="cellIs" dxfId="13" priority="5" operator="equal">
      <formula>"VALID"</formula>
    </cfRule>
  </conditionalFormatting>
  <conditionalFormatting sqref="F1:F2">
    <cfRule type="cellIs" dxfId="12" priority="2" operator="equal">
      <formula>"INVALID"</formula>
    </cfRule>
  </conditionalFormatting>
  <conditionalFormatting sqref="F2">
    <cfRule type="cellIs" dxfId="11" priority="1" operator="equal">
      <formula>"VALID for a VDoC"</formula>
    </cfRule>
    <cfRule type="cellIs" dxfId="10" priority="3" operator="equal">
      <formula>"VALID for Certification"</formula>
    </cfRule>
  </conditionalFormatting>
  <dataValidations count="12">
    <dataValidation type="whole" operator="greaterThanOrEqual" showInputMessage="1" showErrorMessage="1" sqref="D15 D13 D11 D17" xr:uid="{00000000-0002-0000-0500-000001000000}">
      <formula1>0</formula1>
    </dataValidation>
    <dataValidation type="whole" showInputMessage="1" showErrorMessage="1" sqref="D19:D21" xr:uid="{00000000-0002-0000-0500-000002000000}">
      <formula1>1</formula1>
      <formula2>120</formula2>
    </dataValidation>
    <dataValidation type="whole" operator="greaterThanOrEqual" allowBlank="1" showInputMessage="1" showErrorMessage="1" sqref="D46 D47" xr:uid="{00000000-0002-0000-0500-000003000000}">
      <formula1>0</formula1>
    </dataValidation>
    <dataValidation type="whole" operator="greaterThanOrEqual" showInputMessage="1" showErrorMessage="1" sqref="D10 D12 D14 D16 D5 D6 D7 D8 D9 D18 D23" xr:uid="{00000000-0002-0000-0500-000004000000}">
      <formula1>1</formula1>
    </dataValidation>
    <dataValidation type="whole" operator="greaterThanOrEqual" allowBlank="1" showInputMessage="1" showErrorMessage="1" sqref="D24 D28 D29 D30 D61" xr:uid="{CD3F8275-CAB0-AB44-87AB-E49B51C84EC3}">
      <formula1>1</formula1>
    </dataValidation>
    <dataValidation type="whole" operator="greaterThan" allowBlank="1" showInputMessage="1" showErrorMessage="1" sqref="D34" xr:uid="{8D1D8B85-ECDE-5743-99DA-A1B7B71FF082}">
      <formula1>1</formula1>
    </dataValidation>
    <dataValidation type="whole" operator="greaterThan" allowBlank="1" showInputMessage="1" showErrorMessage="1" sqref="D35" xr:uid="{844A24C3-E6B8-D24D-AD41-EDBE8836A672}">
      <formula1>4</formula1>
    </dataValidation>
    <dataValidation type="whole" operator="greaterThan" allowBlank="1" showInputMessage="1" showErrorMessage="1" sqref="D36" xr:uid="{37F040C0-409B-0B45-9F95-800CE7259461}">
      <formula1>2</formula1>
    </dataValidation>
    <dataValidation type="whole" operator="greaterThan" allowBlank="1" showInputMessage="1" showErrorMessage="1" sqref="D45 D44" xr:uid="{F952A99B-F333-FD45-8FEF-DA038C9D6321}">
      <formula1>0</formula1>
    </dataValidation>
    <dataValidation type="decimal" operator="greaterThanOrEqual" allowBlank="1" showInputMessage="1" showErrorMessage="1" sqref="D55 D56 D57" xr:uid="{B5E066DA-A8DE-B644-898C-473D38397ED8}">
      <formula1>0</formula1>
    </dataValidation>
    <dataValidation type="custom" allowBlank="1" showInputMessage="1" showErrorMessage="1" sqref="D49" xr:uid="{084B6340-3BC2-FF49-9A09-FB89FA977C4A}">
      <formula1>ISNUMBER(D49)</formula1>
    </dataValidation>
    <dataValidation type="custom" operator="greaterThanOrEqual" allowBlank="1" showInputMessage="1" showErrorMessage="1" sqref="D53" xr:uid="{25290F77-0352-1B4E-88A8-00206D5F8CE3}">
      <formula1>ISNUMBER(D53)</formula1>
    </dataValidation>
  </dataValidations>
  <pageMargins left="0.7" right="0.7" top="0.75" bottom="0.75" header="0.3" footer="0.3"/>
  <pageSetup paperSize="9" orientation="portrait"/>
  <headerFooter>
    <oddHeader>&amp;L&amp;"Aptos"&amp;10&amp;K000000 TLP: GREEN&amp;1#_x000D_&amp;"Calibri"&amp;12&amp;K000000&amp;"Calibri"&amp;12&amp;K000000&amp;"Calibri"&amp;12&amp;K000000&amp;"Aptos"&amp;1 &amp;K000000 TLP: GREEN#_x000D_</oddHeader>
    <oddFooter>&amp;C&amp;"Arial"&amp;9 &amp;K000000_x000D_# Internal</oddFooter>
  </headerFooter>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02AEC60-0416-FB47-B434-4DBB7330C164}">
          <x14:formula1>
            <xm:f>MD!$P$1:$P$31</xm:f>
          </x14:formula1>
          <xm:sqref>D40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D28"/>
  <sheetViews>
    <sheetView showGridLines="0" workbookViewId="0">
      <selection activeCell="B6" sqref="B6"/>
    </sheetView>
  </sheetViews>
  <sheetFormatPr defaultColWidth="18.125" defaultRowHeight="15.75" x14ac:dyDescent="0.25"/>
  <cols>
    <col min="1" max="1" width="14.625" customWidth="1"/>
    <col min="2" max="2" width="24.625" customWidth="1"/>
    <col min="3" max="3" width="69.125" customWidth="1"/>
    <col min="4" max="4" width="56.625" customWidth="1"/>
  </cols>
  <sheetData>
    <row r="2" spans="2:4" ht="61.5" customHeight="1" x14ac:dyDescent="0.25">
      <c r="B2" s="398" t="s">
        <v>528</v>
      </c>
      <c r="C2" s="390"/>
    </row>
    <row r="3" spans="2:4" ht="37.5" customHeight="1" x14ac:dyDescent="0.25">
      <c r="B3" s="397" t="s">
        <v>529</v>
      </c>
      <c r="C3" s="390"/>
      <c r="D3" s="390"/>
    </row>
    <row r="4" spans="2:4" x14ac:dyDescent="0.25">
      <c r="B4" s="2"/>
    </row>
    <row r="5" spans="2:4" ht="17.100000000000001" customHeight="1" x14ac:dyDescent="0.25">
      <c r="B5" s="56" t="s">
        <v>530</v>
      </c>
      <c r="C5" s="42" t="s">
        <v>531</v>
      </c>
      <c r="D5" s="47" t="s">
        <v>363</v>
      </c>
    </row>
    <row r="6" spans="2:4" ht="17.100000000000001" customHeight="1" x14ac:dyDescent="0.25">
      <c r="B6" s="64" t="s">
        <v>527</v>
      </c>
      <c r="C6" s="63" t="s">
        <v>527</v>
      </c>
      <c r="D6" s="65" t="s">
        <v>527</v>
      </c>
    </row>
    <row r="7" spans="2:4" ht="17.100000000000001" customHeight="1" x14ac:dyDescent="0.25">
      <c r="B7" s="66" t="s">
        <v>532</v>
      </c>
      <c r="C7" s="55" t="s">
        <v>533</v>
      </c>
      <c r="D7" s="57" t="s">
        <v>532</v>
      </c>
    </row>
    <row r="8" spans="2:4" ht="17.100000000000001" customHeight="1" x14ac:dyDescent="0.25">
      <c r="B8" s="64" t="s">
        <v>527</v>
      </c>
      <c r="C8" s="63" t="s">
        <v>527</v>
      </c>
      <c r="D8" s="65" t="s">
        <v>527</v>
      </c>
    </row>
    <row r="9" spans="2:4" ht="17.100000000000001" customHeight="1" x14ac:dyDescent="0.25">
      <c r="B9" s="66" t="s">
        <v>532</v>
      </c>
      <c r="C9" s="55" t="s">
        <v>533</v>
      </c>
      <c r="D9" s="57" t="s">
        <v>532</v>
      </c>
    </row>
    <row r="10" spans="2:4" ht="17.100000000000001" customHeight="1" x14ac:dyDescent="0.25">
      <c r="B10" s="64" t="s">
        <v>527</v>
      </c>
      <c r="C10" s="63" t="s">
        <v>527</v>
      </c>
      <c r="D10" s="65" t="s">
        <v>527</v>
      </c>
    </row>
    <row r="11" spans="2:4" ht="17.100000000000001" customHeight="1" x14ac:dyDescent="0.25">
      <c r="B11" s="66" t="s">
        <v>532</v>
      </c>
      <c r="C11" s="55" t="s">
        <v>533</v>
      </c>
      <c r="D11" s="57" t="s">
        <v>532</v>
      </c>
    </row>
    <row r="12" spans="2:4" ht="17.100000000000001" customHeight="1" x14ac:dyDescent="0.25">
      <c r="B12" s="64" t="s">
        <v>527</v>
      </c>
      <c r="C12" s="63" t="s">
        <v>527</v>
      </c>
      <c r="D12" s="65" t="s">
        <v>527</v>
      </c>
    </row>
    <row r="13" spans="2:4" ht="17.100000000000001" customHeight="1" x14ac:dyDescent="0.25">
      <c r="B13" s="66" t="s">
        <v>532</v>
      </c>
      <c r="C13" s="55" t="s">
        <v>533</v>
      </c>
      <c r="D13" s="57" t="s">
        <v>532</v>
      </c>
    </row>
    <row r="14" spans="2:4" ht="17.100000000000001" customHeight="1" x14ac:dyDescent="0.25">
      <c r="B14" s="64" t="s">
        <v>527</v>
      </c>
      <c r="C14" s="63" t="s">
        <v>527</v>
      </c>
      <c r="D14" s="65" t="s">
        <v>527</v>
      </c>
    </row>
    <row r="15" spans="2:4" ht="17.100000000000001" customHeight="1" x14ac:dyDescent="0.25">
      <c r="B15" s="66" t="s">
        <v>532</v>
      </c>
      <c r="C15" s="55" t="s">
        <v>533</v>
      </c>
      <c r="D15" s="57" t="s">
        <v>532</v>
      </c>
    </row>
    <row r="16" spans="2:4" ht="17.100000000000001" customHeight="1" x14ac:dyDescent="0.25">
      <c r="B16" s="64" t="s">
        <v>527</v>
      </c>
      <c r="C16" s="63" t="s">
        <v>527</v>
      </c>
      <c r="D16" s="65" t="s">
        <v>527</v>
      </c>
    </row>
    <row r="17" spans="2:4" ht="17.100000000000001" customHeight="1" x14ac:dyDescent="0.25">
      <c r="B17" s="66" t="s">
        <v>532</v>
      </c>
      <c r="C17" s="55" t="s">
        <v>533</v>
      </c>
      <c r="D17" s="57" t="s">
        <v>532</v>
      </c>
    </row>
    <row r="18" spans="2:4" ht="17.100000000000001" customHeight="1" x14ac:dyDescent="0.25">
      <c r="B18" s="64" t="s">
        <v>527</v>
      </c>
      <c r="C18" s="63" t="s">
        <v>527</v>
      </c>
      <c r="D18" s="65" t="s">
        <v>527</v>
      </c>
    </row>
    <row r="19" spans="2:4" ht="17.100000000000001" customHeight="1" x14ac:dyDescent="0.25">
      <c r="B19" s="66" t="s">
        <v>532</v>
      </c>
      <c r="C19" s="55" t="s">
        <v>533</v>
      </c>
      <c r="D19" s="57" t="s">
        <v>532</v>
      </c>
    </row>
    <row r="20" spans="2:4" ht="17.100000000000001" customHeight="1" x14ac:dyDescent="0.25">
      <c r="B20" s="64" t="s">
        <v>527</v>
      </c>
      <c r="C20" s="63" t="s">
        <v>527</v>
      </c>
      <c r="D20" s="65" t="s">
        <v>527</v>
      </c>
    </row>
    <row r="21" spans="2:4" ht="17.100000000000001" customHeight="1" x14ac:dyDescent="0.25">
      <c r="B21" s="66" t="s">
        <v>532</v>
      </c>
      <c r="C21" s="55" t="s">
        <v>533</v>
      </c>
      <c r="D21" s="57" t="s">
        <v>532</v>
      </c>
    </row>
    <row r="22" spans="2:4" ht="17.100000000000001" customHeight="1" x14ac:dyDescent="0.25">
      <c r="B22" s="64" t="s">
        <v>527</v>
      </c>
      <c r="C22" s="63" t="s">
        <v>527</v>
      </c>
      <c r="D22" s="65" t="s">
        <v>527</v>
      </c>
    </row>
    <row r="23" spans="2:4" ht="17.100000000000001" customHeight="1" x14ac:dyDescent="0.25">
      <c r="B23" s="66" t="s">
        <v>532</v>
      </c>
      <c r="C23" s="55" t="s">
        <v>533</v>
      </c>
      <c r="D23" s="57" t="s">
        <v>532</v>
      </c>
    </row>
    <row r="24" spans="2:4" ht="17.100000000000001" customHeight="1" x14ac:dyDescent="0.25">
      <c r="B24" s="64" t="s">
        <v>527</v>
      </c>
      <c r="C24" s="63" t="s">
        <v>527</v>
      </c>
      <c r="D24" s="65" t="s">
        <v>527</v>
      </c>
    </row>
    <row r="25" spans="2:4" ht="17.100000000000001" customHeight="1" x14ac:dyDescent="0.25">
      <c r="B25" s="66" t="s">
        <v>532</v>
      </c>
      <c r="C25" s="55" t="s">
        <v>533</v>
      </c>
      <c r="D25" s="57" t="s">
        <v>532</v>
      </c>
    </row>
    <row r="26" spans="2:4" ht="17.100000000000001" customHeight="1" x14ac:dyDescent="0.25">
      <c r="B26" s="64" t="s">
        <v>527</v>
      </c>
      <c r="C26" s="63" t="s">
        <v>527</v>
      </c>
      <c r="D26" s="65" t="s">
        <v>527</v>
      </c>
    </row>
    <row r="27" spans="2:4" ht="17.100000000000001" customHeight="1" x14ac:dyDescent="0.25">
      <c r="B27" s="66" t="s">
        <v>532</v>
      </c>
      <c r="C27" s="55" t="s">
        <v>533</v>
      </c>
      <c r="D27" s="57" t="s">
        <v>532</v>
      </c>
    </row>
    <row r="28" spans="2:4" ht="17.100000000000001" customHeight="1" x14ac:dyDescent="0.25">
      <c r="B28" s="67" t="s">
        <v>527</v>
      </c>
      <c r="C28" s="68" t="s">
        <v>527</v>
      </c>
      <c r="D28" s="69" t="s">
        <v>527</v>
      </c>
    </row>
  </sheetData>
  <sheetProtection algorithmName="SHA-512" hashValue="hquCTAg5lus0iidd9l/oIW6GEjpy7gWOXDAYgblFFeCO2pK14EbHI31c3Hifz5hI/UKOem2XI2cwPYiGXjWvTg==" saltValue="QFt55VwBOrjuABe1P1c9oA==" spinCount="100000" sheet="1" objects="1" scenarios="1"/>
  <mergeCells count="2">
    <mergeCell ref="B3:D3"/>
    <mergeCell ref="B2:C2"/>
  </mergeCells>
  <pageMargins left="0.7" right="0.7" top="0.75" bottom="0.75" header="0.3" footer="0.3"/>
  <pageSetup paperSize="9" orientation="portrait"/>
  <headerFooter>
    <oddHeader>&amp;L&amp;"Aptos"&amp;10&amp;K000000 TLP: GREEN&amp;1#_x000D_&amp;"Calibri"&amp;12&amp;K000000&amp;"Calibri"&amp;12&amp;K000000&amp;"Calibri"&amp;12&amp;K000000&amp;"Aptos"&amp;1 &amp;K000000 TLP: GREEN#_x000D_</oddHeader>
    <oddFooter>&amp;C&amp;"Arial"&amp;9 &amp;K000000_x000D_# Internal</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I23"/>
  <sheetViews>
    <sheetView showGridLines="0" zoomScaleNormal="100" workbookViewId="0">
      <selection activeCell="C5" sqref="C5"/>
    </sheetView>
  </sheetViews>
  <sheetFormatPr defaultColWidth="28.125" defaultRowHeight="15.75" x14ac:dyDescent="0.25"/>
  <cols>
    <col min="1" max="1" width="14.625" customWidth="1"/>
    <col min="2" max="2" width="51.625" customWidth="1"/>
    <col min="3" max="5" width="19.125" customWidth="1"/>
    <col min="7" max="7" width="32.125" customWidth="1"/>
    <col min="8" max="8" width="35" bestFit="1" customWidth="1"/>
  </cols>
  <sheetData>
    <row r="1" spans="2:9" ht="73.5" customHeight="1" x14ac:dyDescent="0.25">
      <c r="B1" s="401" t="s">
        <v>534</v>
      </c>
      <c r="C1" s="390"/>
      <c r="D1" s="390"/>
      <c r="H1" s="17" t="s">
        <v>535</v>
      </c>
      <c r="I1" s="17" t="str">
        <f>IF(AND(ISERROR(FIND("&lt;",_xlfn.CONCAT(Perf_Values))),_xlfn.CONCAT(Perf_validation)="",ISERROR(FIND("&lt;",C17))),"VALID","INVALID")</f>
        <v>INVALID</v>
      </c>
    </row>
    <row r="2" spans="2:9" ht="80.25" customHeight="1" x14ac:dyDescent="0.25">
      <c r="B2" s="409" t="s">
        <v>536</v>
      </c>
      <c r="C2" s="390"/>
      <c r="D2" s="390"/>
      <c r="H2" s="35" t="s">
        <v>303</v>
      </c>
      <c r="I2" s="17" t="str">
        <f>'Statement of Approval'!$O$2</f>
        <v>INVALID</v>
      </c>
    </row>
    <row r="3" spans="2:9" ht="26.25" customHeight="1" x14ac:dyDescent="0.25">
      <c r="B3" s="223" t="s">
        <v>537</v>
      </c>
    </row>
    <row r="4" spans="2:9" ht="21" customHeight="1" x14ac:dyDescent="0.25">
      <c r="B4" s="224" t="s">
        <v>538</v>
      </c>
      <c r="C4" s="44" t="s">
        <v>539</v>
      </c>
      <c r="D4" s="44" t="s">
        <v>540</v>
      </c>
      <c r="E4" s="406" t="s">
        <v>541</v>
      </c>
      <c r="F4" s="407"/>
      <c r="G4" s="408"/>
    </row>
    <row r="5" spans="2:9" ht="50.1" customHeight="1" x14ac:dyDescent="0.25">
      <c r="B5" s="227" t="s">
        <v>542</v>
      </c>
      <c r="C5" s="70" t="s">
        <v>543</v>
      </c>
      <c r="D5" s="322" t="s">
        <v>544</v>
      </c>
      <c r="E5" s="399" t="s">
        <v>545</v>
      </c>
      <c r="F5" s="390"/>
      <c r="G5" s="400"/>
      <c r="H5" s="18" t="str">
        <f>IF(ISBLANK(C5),"&lt;---- This field cannot be left empty!","")</f>
        <v/>
      </c>
      <c r="I5" t="str">
        <f>IF(COUNTIF('OCPP family members'!$B$13:$B$41,B5)&gt;0, "Member", "")</f>
        <v/>
      </c>
    </row>
    <row r="6" spans="2:9" ht="59.1" customHeight="1" x14ac:dyDescent="0.25">
      <c r="B6" s="228" t="s">
        <v>546</v>
      </c>
      <c r="C6" s="71" t="s">
        <v>543</v>
      </c>
      <c r="D6" s="222" t="s">
        <v>544</v>
      </c>
      <c r="E6" s="397" t="s">
        <v>547</v>
      </c>
      <c r="F6" s="390"/>
      <c r="G6" s="400"/>
      <c r="H6" s="18" t="str">
        <f>IF(ISBLANK(C6),"&lt;---- This field cannot be left empty!","")</f>
        <v/>
      </c>
      <c r="I6" t="str">
        <f>IF(COUNTIF('OCPP family members'!$B$13:$B$41,B6)&gt;0, "Member", "")</f>
        <v/>
      </c>
    </row>
    <row r="7" spans="2:9" ht="77.099999999999994" customHeight="1" x14ac:dyDescent="0.25">
      <c r="B7" s="227" t="s">
        <v>548</v>
      </c>
      <c r="C7" s="70" t="s">
        <v>543</v>
      </c>
      <c r="D7" s="322" t="s">
        <v>544</v>
      </c>
      <c r="E7" s="399" t="s">
        <v>549</v>
      </c>
      <c r="F7" s="390"/>
      <c r="G7" s="400"/>
      <c r="H7" s="18" t="str">
        <f>IF(ISBLANK(C7),"&lt;---- This field cannot be left empty!","")</f>
        <v/>
      </c>
      <c r="I7" t="str">
        <f>IF(COUNTIF('OCPP family members'!$B$13:$B$41,B7)&gt;0, "Member", "")</f>
        <v/>
      </c>
    </row>
    <row r="8" spans="2:9" ht="89.1" customHeight="1" x14ac:dyDescent="0.25">
      <c r="B8" s="229" t="s">
        <v>550</v>
      </c>
      <c r="C8" s="72" t="s">
        <v>543</v>
      </c>
      <c r="D8" s="323" t="s">
        <v>544</v>
      </c>
      <c r="E8" s="403" t="s">
        <v>551</v>
      </c>
      <c r="F8" s="404"/>
      <c r="G8" s="405"/>
      <c r="H8" s="18" t="str">
        <f>IF(ISBLANK(C8),"&lt;---- This field cannot be left empty!","")</f>
        <v/>
      </c>
      <c r="I8" t="str">
        <f>IF(COUNTIF('OCPP family members'!$B$13:$B$41,B8)&gt;0, "Member", "")</f>
        <v/>
      </c>
    </row>
    <row r="9" spans="2:9" ht="26.25" customHeight="1" x14ac:dyDescent="0.25">
      <c r="B9" s="2"/>
    </row>
    <row r="10" spans="2:9" ht="21.75" customHeight="1" x14ac:dyDescent="0.25">
      <c r="B10" s="402" t="s">
        <v>552</v>
      </c>
      <c r="C10" s="390"/>
      <c r="D10" s="390"/>
      <c r="E10" s="390"/>
      <c r="F10" s="390"/>
    </row>
    <row r="11" spans="2:9" ht="42.75" customHeight="1" x14ac:dyDescent="0.25">
      <c r="B11" s="224" t="s">
        <v>538</v>
      </c>
      <c r="C11" s="44" t="s">
        <v>553</v>
      </c>
      <c r="D11" s="44" t="s">
        <v>539</v>
      </c>
      <c r="E11" s="44" t="s">
        <v>554</v>
      </c>
      <c r="F11" s="230" t="s">
        <v>540</v>
      </c>
    </row>
    <row r="12" spans="2:9" ht="34.5" customHeight="1" x14ac:dyDescent="0.25">
      <c r="B12" s="231" t="s">
        <v>542</v>
      </c>
      <c r="C12" s="232" t="str">
        <f>IFERROR(VLOOKUP("perf_Overall_min",'HIDDEN Testrun Results'!$A:$B,2,FALSE),"&lt;min.  measurement&gt;")</f>
        <v>&lt;min.  measurement&gt;</v>
      </c>
      <c r="D12" s="233" t="str">
        <f>IFERROR(VLOOKUP("perf_Overall_max",'HIDDEN Testrun Results'!$A:$B,2,FALSE),"&lt;max.  measurement&gt;")</f>
        <v>&lt;max.  measurement&gt;</v>
      </c>
      <c r="E12" s="233" t="str">
        <f>IFERROR(VLOOKUP("perf_Overall_avg",'HIDDEN Testrun Results'!$A:$B,2,FALSE),"&lt;avg.  measurement&gt;")</f>
        <v>&lt;avg.  measurement&gt;</v>
      </c>
      <c r="F12" s="324" t="s">
        <v>544</v>
      </c>
    </row>
    <row r="13" spans="2:9" ht="34.5" customHeight="1" x14ac:dyDescent="0.25">
      <c r="B13" s="228" t="s">
        <v>546</v>
      </c>
      <c r="C13" s="234" t="str">
        <f>IFERROR(VLOOKUP("perf_Asynchronous_min",'HIDDEN Testrun Results'!$A:$B,2,FALSE),"&lt;min.  measurement&gt;")</f>
        <v>&lt;min.  measurement&gt;</v>
      </c>
      <c r="D13" s="235" t="str">
        <f>IFERROR(VLOOKUP("perf_Asynchronous_max",'HIDDEN Testrun Results'!$A:$B,2,FALSE),"&lt;max.  measurement&gt;")</f>
        <v>&lt;max.  measurement&gt;</v>
      </c>
      <c r="E13" s="235" t="str">
        <f>IFERROR(VLOOKUP("perf_Asynchronous_avg",'HIDDEN Testrun Results'!$A:$B,2,FALSE),"&lt;avg.  measurement&gt;")</f>
        <v>&lt;avg.  measurement&gt;</v>
      </c>
      <c r="F13" s="325" t="s">
        <v>544</v>
      </c>
    </row>
    <row r="14" spans="2:9" ht="34.5" customHeight="1" x14ac:dyDescent="0.25">
      <c r="B14" s="227" t="s">
        <v>548</v>
      </c>
      <c r="C14" s="236" t="str">
        <f>IFERROR(VLOOKUP("perf_RequestStartTransaction - TransactionEvent_min",'HIDDEN Testrun Results'!$A:$B,2,FALSE),"&lt;min.  measurement&gt;")</f>
        <v>&lt;min.  measurement&gt;</v>
      </c>
      <c r="D14" s="237" t="str">
        <f>IFERROR(VLOOKUP("perf_RequestStartTransaction - TransactionEvent_max",'HIDDEN Testrun Results'!$A:$B,2,FALSE),"&lt;max.  measurement&gt;")</f>
        <v>&lt;max.  measurement&gt;</v>
      </c>
      <c r="E14" s="237" t="str">
        <f>IFERROR(VLOOKUP("perf_RequestStartTransaction - TransactionEvent_avg",'HIDDEN Testrun Results'!$A:$B,2,FALSE),"&lt;avg.  measurement&gt;")</f>
        <v>&lt;avg.  measurement&gt;</v>
      </c>
      <c r="F14" s="326" t="s">
        <v>544</v>
      </c>
    </row>
    <row r="15" spans="2:9" ht="30.95" customHeight="1" x14ac:dyDescent="0.25">
      <c r="B15" s="229" t="s">
        <v>550</v>
      </c>
      <c r="C15" s="238" t="str">
        <f>IFERROR(VLOOKUP("perf_RequestStopTransaction - TransactionEvent_min",'HIDDEN Testrun Results'!$A:$B,2,FALSE),"&lt;min.  measurement&gt;")</f>
        <v>&lt;min.  measurement&gt;</v>
      </c>
      <c r="D15" s="239" t="str">
        <f>IFERROR(VLOOKUP("perf_RequestStopTransaction - TransactionEvent_max",'HIDDEN Testrun Results'!$A:$B,2,FALSE),"&lt;max.  measurement&gt;")</f>
        <v>&lt;max.  measurement&gt;</v>
      </c>
      <c r="E15" s="239" t="str">
        <f>IFERROR(VLOOKUP("perf_RequestStopTransaction - TransactionEvent_avg",'HIDDEN Testrun Results'!$A:$B,2,FALSE),"&lt;avg.  measurement&gt;")</f>
        <v>&lt;avg.  measurement&gt;</v>
      </c>
      <c r="F15" s="327" t="s">
        <v>544</v>
      </c>
    </row>
    <row r="16" spans="2:9" x14ac:dyDescent="0.25">
      <c r="B16" s="2"/>
    </row>
    <row r="17" spans="2:4" ht="30" customHeight="1" x14ac:dyDescent="0.25">
      <c r="B17" s="240" t="s">
        <v>555</v>
      </c>
      <c r="C17" s="15" t="s">
        <v>556</v>
      </c>
      <c r="D17" s="18" t="str">
        <f>IF(AND(C17 &lt;&gt; "WiFi", C17 &lt;&gt; "Ethernet", C17 &lt;&gt; "Mobile Network"),"&lt;---- This field must be filled from the drop-down menu","")</f>
        <v>&lt;---- This field must be filled from the drop-down menu</v>
      </c>
    </row>
    <row r="18" spans="2:4" ht="27" customHeight="1" x14ac:dyDescent="0.25">
      <c r="B18" s="2"/>
    </row>
    <row r="19" spans="2:4" ht="60" customHeight="1" x14ac:dyDescent="0.25">
      <c r="B19" s="2" t="s">
        <v>557</v>
      </c>
    </row>
    <row r="23" spans="2:4" x14ac:dyDescent="0.25">
      <c r="B23" s="2"/>
    </row>
  </sheetData>
  <sheetProtection algorithmName="SHA-512" hashValue="Ro0QhLGAgceB6LkrsiqeQAkUx0iv5KOFuq3LCDg8tZGY7GeTj9TFGY6PCqy5/hoPCvn/JPqyfPbOzvpJbQsOCA==" saltValue="zpK+SOumaL08FTcn7mJc5w==" spinCount="100000" sheet="1" objects="1" scenarios="1"/>
  <mergeCells count="8">
    <mergeCell ref="E5:G5"/>
    <mergeCell ref="B1:D1"/>
    <mergeCell ref="B10:F10"/>
    <mergeCell ref="E8:G8"/>
    <mergeCell ref="E4:G4"/>
    <mergeCell ref="E6:G6"/>
    <mergeCell ref="E7:G7"/>
    <mergeCell ref="B2:D2"/>
  </mergeCells>
  <conditionalFormatting sqref="I1">
    <cfRule type="cellIs" dxfId="9" priority="5" operator="equal">
      <formula>"VALID"</formula>
    </cfRule>
  </conditionalFormatting>
  <conditionalFormatting sqref="I1:I2">
    <cfRule type="cellIs" dxfId="8" priority="2" operator="equal">
      <formula>"INVALID"</formula>
    </cfRule>
  </conditionalFormatting>
  <conditionalFormatting sqref="I2">
    <cfRule type="cellIs" dxfId="7" priority="1" operator="equal">
      <formula>"VALID for a VDoC"</formula>
    </cfRule>
    <cfRule type="cellIs" dxfId="6" priority="3" operator="equal">
      <formula>"VALID for Certification"</formula>
    </cfRule>
  </conditionalFormatting>
  <dataValidations count="2">
    <dataValidation type="list" allowBlank="1" showInputMessage="1" showErrorMessage="1" sqref="C17" xr:uid="{00000000-0002-0000-0700-000000000000}">
      <formula1>"WiFi,Ethernet,Mobile Network"</formula1>
    </dataValidation>
    <dataValidation type="decimal" operator="greaterThan" allowBlank="1" showInputMessage="1" showErrorMessage="1" sqref="C5:C8" xr:uid="{00000000-0002-0000-0700-000001000000}">
      <formula1>0</formula1>
    </dataValidation>
  </dataValidations>
  <pageMargins left="0.7" right="0.7" top="0.75" bottom="0.75" header="0.3" footer="0.3"/>
  <pageSetup paperSize="9" orientation="portrait"/>
  <headerFooter>
    <oddHeader>&amp;L&amp;"Aptos"&amp;10&amp;K000000 TLP: GREEN&amp;1#_x000D_&amp;"Calibri"&amp;12&amp;K000000&amp;"Calibri"&amp;12&amp;K000000&amp;"Calibri"&amp;12&amp;K000000&amp;"Aptos"&amp;1 &amp;K000000 TLP: GREEN#_x000D_</oddHeader>
    <oddFooter>&amp;C&amp;"Arial"&amp;9 &amp;K000000_x000D_# Internal</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L891"/>
  <sheetViews>
    <sheetView zoomScale="85" zoomScaleNormal="85" workbookViewId="0">
      <pane xSplit="4" ySplit="2" topLeftCell="F3" activePane="bottomRight" state="frozen"/>
      <selection pane="topRight" activeCell="E1" sqref="E1"/>
      <selection pane="bottomLeft" activeCell="A2" sqref="A2"/>
      <selection pane="bottomRight" sqref="A1:C1"/>
    </sheetView>
  </sheetViews>
  <sheetFormatPr defaultColWidth="11.125" defaultRowHeight="15.75" customHeight="1" outlineLevelCol="1" x14ac:dyDescent="0.25"/>
  <cols>
    <col min="1" max="1" width="16.125" bestFit="1" customWidth="1"/>
    <col min="2" max="2" width="32.625" customWidth="1"/>
    <col min="3" max="3" width="72.125" customWidth="1"/>
    <col min="4" max="4" width="42.125" customWidth="1"/>
    <col min="5" max="5" width="28.625" customWidth="1"/>
    <col min="6" max="6" width="46.875" customWidth="1"/>
    <col min="7" max="7" width="10" style="3" customWidth="1"/>
    <col min="8" max="8" width="35.125" style="3" customWidth="1"/>
    <col min="9" max="9" width="42.5" style="3" customWidth="1" outlineLevel="1"/>
    <col min="10" max="10" width="10.375" style="3" customWidth="1" outlineLevel="1"/>
    <col min="11" max="11" width="13.125" style="7" bestFit="1" customWidth="1"/>
    <col min="12" max="12" width="43.625" style="7" customWidth="1"/>
  </cols>
  <sheetData>
    <row r="1" spans="1:12" ht="70.349999999999994" customHeight="1" x14ac:dyDescent="0.25">
      <c r="A1" s="410" t="s">
        <v>558</v>
      </c>
      <c r="B1" s="390"/>
      <c r="C1" s="390"/>
      <c r="K1"/>
      <c r="L1"/>
    </row>
    <row r="2" spans="1:12" ht="15.75" customHeight="1" x14ac:dyDescent="0.25">
      <c r="A2" s="241" t="s">
        <v>559</v>
      </c>
      <c r="B2" s="241" t="s">
        <v>1</v>
      </c>
      <c r="C2" s="241" t="s">
        <v>560</v>
      </c>
      <c r="D2" s="241" t="s">
        <v>561</v>
      </c>
      <c r="E2" s="241" t="s">
        <v>562</v>
      </c>
      <c r="F2" s="241" t="s">
        <v>563</v>
      </c>
      <c r="G2" s="242" t="s">
        <v>564</v>
      </c>
      <c r="H2" s="242" t="s">
        <v>565</v>
      </c>
      <c r="I2" s="242" t="s">
        <v>566</v>
      </c>
      <c r="J2" s="242" t="s">
        <v>567</v>
      </c>
      <c r="K2" s="242" t="s">
        <v>568</v>
      </c>
      <c r="L2" s="242" t="s">
        <v>569</v>
      </c>
    </row>
    <row r="3" spans="1:12" ht="15.75" customHeight="1" x14ac:dyDescent="0.25">
      <c r="A3" t="str">
        <f>'HIDDEN import'!B2</f>
        <v>TC_A_01_CS</v>
      </c>
      <c r="B3" t="str">
        <f>'HIDDEN import'!C2</f>
        <v>Core</v>
      </c>
      <c r="C3" t="str">
        <f>'HIDDEN import'!D2</f>
        <v>Basic Authentication - Valid username/password combination</v>
      </c>
      <c r="D3" t="str">
        <f>IF(VLOOKUP(A3&amp;" "&amp;B3,'HIDDEN import'!A:G,5,FALSE)="M",MD!$A$1,(IF(AND(VLOOKUP(A3,'HIDDEN import'!B:E,4,FALSE)="C",OR(NOT(ISERROR(VLOOKUP(E3,'Optional features'!B:D,1,FALSE)=E3)),NOT(ISERROR(VLOOKUP(E3,'HIDDEN calc sheet'!A:C,1,FALSE)=E3)))),MD!$A$3,MD!$A$2)))</f>
        <v>Mandatory test for a mandatory feature</v>
      </c>
      <c r="E3" t="str">
        <f>IF('HIDDEN import'!F2=0,"",'HIDDEN import'!F2)</f>
        <v/>
      </c>
      <c r="F3" t="str">
        <f>IF('HIDDEN import'!G2=0,"",'HIDDEN import'!G2)</f>
        <v/>
      </c>
      <c r="G3" s="19" t="str">
        <f>IFERROR(VLOOKUP($A3,'HIDDEN Testrun Results'!$A:$B,2,FALSE),"")</f>
        <v/>
      </c>
      <c r="H3" s="3" t="b">
        <f t="shared" ref="H3:H66" si="0">IF(NOT(J3),FALSE,IF(NOT(ISLOGICAL(I3)),I3,AND(I3,J3)))</f>
        <v>1</v>
      </c>
      <c r="I3" s="3" t="b">
        <f>IF(VLOOKUP(A3&amp;" "&amp;B3,'HIDDEN import'!A:G,5,FALSE)="M",TRUE,IFERROR(VLOOKUP(E3,'Optional features'!B:D,3,FALSE)="Yes",IFERROR(VLOOKUP(E3,'HIDDEN calc sheet'!A:B,2,FALSE),IFERROR(VLOOKUP(E3,'Additional questions'!B:D,3,FALSE)="Yes",VLOOKUP(E3,'Hardware Feature set'!B:D,3,FALSE)="No"))))</f>
        <v>1</v>
      </c>
      <c r="J3" s="3" t="b">
        <f>IF(VLOOKUP(B3,'Profile selection'!B:C,2,FALSE)="Yes",TRUE,FALSE)</f>
        <v>1</v>
      </c>
      <c r="K3"/>
      <c r="L3"/>
    </row>
    <row r="4" spans="1:12" ht="15.75" customHeight="1" x14ac:dyDescent="0.25">
      <c r="A4" t="str">
        <f>'HIDDEN import'!B3</f>
        <v>TC_A_09_CS</v>
      </c>
      <c r="B4" t="str">
        <f>'HIDDEN import'!C3</f>
        <v>Core</v>
      </c>
      <c r="C4" t="str">
        <f>'HIDDEN import'!D3</f>
        <v>Update Charging Station Password for HTTP Basic Authentication - Accepted</v>
      </c>
      <c r="D4" t="str">
        <f>IF(VLOOKUP(A4&amp;" "&amp;B4,'HIDDEN import'!A:G,5,FALSE)="M",MD!$A$1,(IF(AND(VLOOKUP(A4,'HIDDEN import'!B:E,4,FALSE)="C",OR(NOT(ISERROR(VLOOKUP(E4,'Optional features'!B:D,1,FALSE)=E4)),NOT(ISERROR(VLOOKUP(E4,'HIDDEN calc sheet'!A:C,1,FALSE)=E4)))),MD!$A$3,MD!$A$2)))</f>
        <v>Mandatory test for a mandatory feature</v>
      </c>
      <c r="E4" t="str">
        <f>IF('HIDDEN import'!F3=0,"",'HIDDEN import'!F3)</f>
        <v/>
      </c>
      <c r="F4" t="str">
        <f>IF('HIDDEN import'!G3=0,"",'HIDDEN import'!G3)</f>
        <v/>
      </c>
      <c r="G4" s="19" t="str">
        <f>IFERROR(VLOOKUP($A4,'HIDDEN Testrun Results'!$A:$B,2,FALSE),"")</f>
        <v/>
      </c>
      <c r="H4" s="3" t="b">
        <f t="shared" si="0"/>
        <v>1</v>
      </c>
      <c r="I4" s="3" t="b">
        <f>IF(VLOOKUP(A4&amp;" "&amp;B4,'HIDDEN import'!A:G,5,FALSE)="M",TRUE,IFERROR(VLOOKUP(E4,'Optional features'!B:D,3,FALSE)="Yes",IFERROR(VLOOKUP(E4,'HIDDEN calc sheet'!A:B,2,FALSE),IFERROR(VLOOKUP(E4,'Additional questions'!B:D,3,FALSE)="Yes",VLOOKUP(E4,'Hardware Feature set'!B:D,3,FALSE)="No"))))</f>
        <v>1</v>
      </c>
      <c r="J4" s="3" t="b">
        <f>IF(VLOOKUP(B4,'Profile selection'!B:C,2,FALSE)="Yes",TRUE,FALSE)</f>
        <v>1</v>
      </c>
      <c r="K4"/>
      <c r="L4"/>
    </row>
    <row r="5" spans="1:12" ht="15.75" customHeight="1" x14ac:dyDescent="0.25">
      <c r="A5" t="str">
        <f>'HIDDEN import'!B4</f>
        <v>TC_A_10_CS</v>
      </c>
      <c r="B5" t="str">
        <f>'HIDDEN import'!C4</f>
        <v>Core</v>
      </c>
      <c r="C5" t="str">
        <f>'HIDDEN import'!D4</f>
        <v>Update Charging Station Password for HTTP Basic Authentication - Rejected</v>
      </c>
      <c r="D5" t="str">
        <f>IF(VLOOKUP(A5&amp;" "&amp;B5,'HIDDEN import'!A:G,5,FALSE)="M",MD!$A$1,(IF(AND(VLOOKUP(A5,'HIDDEN import'!B:E,4,FALSE)="C",OR(NOT(ISERROR(VLOOKUP(E5,'Optional features'!B:D,1,FALSE)=E5)),NOT(ISERROR(VLOOKUP(E5,'HIDDEN calc sheet'!A:C,1,FALSE)=E5)))),MD!$A$3,MD!$A$2)))</f>
        <v>Mandatory test for a mandatory feature</v>
      </c>
      <c r="E5" t="str">
        <f>IF('HIDDEN import'!F4=0,"",'HIDDEN import'!F4)</f>
        <v/>
      </c>
      <c r="F5" t="str">
        <f>IF('HIDDEN import'!G4=0,"",'HIDDEN import'!G4)</f>
        <v/>
      </c>
      <c r="G5" s="19" t="str">
        <f>IFERROR(VLOOKUP($A5,'HIDDEN Testrun Results'!$A:$B,2,FALSE),"")</f>
        <v/>
      </c>
      <c r="H5" s="3" t="b">
        <f t="shared" si="0"/>
        <v>1</v>
      </c>
      <c r="I5" s="3" t="b">
        <f>IF(VLOOKUP(A5&amp;" "&amp;B5,'HIDDEN import'!A:G,5,FALSE)="M",TRUE,IFERROR(VLOOKUP(E5,'Optional features'!B:D,3,FALSE)="Yes",IFERROR(VLOOKUP(E5,'HIDDEN calc sheet'!A:B,2,FALSE),IFERROR(VLOOKUP(E5,'Additional questions'!B:D,3,FALSE)="Yes",VLOOKUP(E5,'Hardware Feature set'!B:D,3,FALSE)="No"))))</f>
        <v>1</v>
      </c>
      <c r="J5" s="3" t="b">
        <f>IF(VLOOKUP(B5,'Profile selection'!B:C,2,FALSE)="Yes",TRUE,FALSE)</f>
        <v>1</v>
      </c>
      <c r="K5"/>
      <c r="L5"/>
    </row>
    <row r="6" spans="1:12" ht="15.75" customHeight="1" x14ac:dyDescent="0.25">
      <c r="A6" t="str">
        <f>'HIDDEN import'!B5</f>
        <v>TC_A_04_CS</v>
      </c>
      <c r="B6" t="str">
        <f>'HIDDEN import'!C5</f>
        <v>Core</v>
      </c>
      <c r="C6" t="str">
        <f>'HIDDEN import'!D5</f>
        <v>TLS - server-side certificate - Valid certificate</v>
      </c>
      <c r="D6" t="str">
        <f>IF(VLOOKUP(A6&amp;" "&amp;B6,'HIDDEN import'!A:G,5,FALSE)="M",MD!$A$1,(IF(AND(VLOOKUP(A6,'HIDDEN import'!B:E,4,FALSE)="C",OR(NOT(ISERROR(VLOOKUP(E6,'Optional features'!B:D,1,FALSE)=E6)),NOT(ISERROR(VLOOKUP(E6,'HIDDEN calc sheet'!A:C,1,FALSE)=E6)))),MD!$A$3,MD!$A$2)))</f>
        <v>Mandatory test for a mandatory feature</v>
      </c>
      <c r="E6" t="str">
        <f>IF('HIDDEN import'!F5=0,"",'HIDDEN import'!F5)</f>
        <v/>
      </c>
      <c r="F6" t="str">
        <f>IF('HIDDEN import'!G5=0,"",'HIDDEN import'!G5)</f>
        <v/>
      </c>
      <c r="G6" s="19" t="str">
        <f>IFERROR(VLOOKUP($A6,'HIDDEN Testrun Results'!$A:$B,2,FALSE),"")</f>
        <v/>
      </c>
      <c r="H6" s="3" t="b">
        <f t="shared" si="0"/>
        <v>1</v>
      </c>
      <c r="I6" s="3" t="b">
        <f>IF(VLOOKUP(A6&amp;" "&amp;B6,'HIDDEN import'!A:G,5,FALSE)="M",TRUE,IFERROR(VLOOKUP(E6,'Optional features'!B:D,3,FALSE)="Yes",IFERROR(VLOOKUP(E6,'HIDDEN calc sheet'!A:B,2,FALSE),IFERROR(VLOOKUP(E6,'Additional questions'!B:D,3,FALSE)="Yes",VLOOKUP(E6,'Hardware Feature set'!B:D,3,FALSE)="No"))))</f>
        <v>1</v>
      </c>
      <c r="J6" s="3" t="b">
        <f>IF(VLOOKUP(B6,'Profile selection'!B:C,2,FALSE)="Yes",TRUE,FALSE)</f>
        <v>1</v>
      </c>
      <c r="K6"/>
      <c r="L6"/>
    </row>
    <row r="7" spans="1:12" ht="15.75" customHeight="1" x14ac:dyDescent="0.25">
      <c r="A7" t="str">
        <f>'HIDDEN import'!B6</f>
        <v>TC_A_05_CS</v>
      </c>
      <c r="B7" t="str">
        <f>'HIDDEN import'!C6</f>
        <v>Core</v>
      </c>
      <c r="C7" t="str">
        <f>'HIDDEN import'!D6</f>
        <v>TLS - server-side certificate - Invalid certificate</v>
      </c>
      <c r="D7" t="str">
        <f>IF(VLOOKUP(A7&amp;" "&amp;B7,'HIDDEN import'!A:G,5,FALSE)="M",MD!$A$1,(IF(AND(VLOOKUP(A7,'HIDDEN import'!B:E,4,FALSE)="C",OR(NOT(ISERROR(VLOOKUP(E7,'Optional features'!B:D,1,FALSE)=E7)),NOT(ISERROR(VLOOKUP(E7,'HIDDEN calc sheet'!A:C,1,FALSE)=E7)))),MD!$A$3,MD!$A$2)))</f>
        <v>Mandatory test for a mandatory feature</v>
      </c>
      <c r="E7" t="str">
        <f>IF('HIDDEN import'!F6=0,"",'HIDDEN import'!F6)</f>
        <v/>
      </c>
      <c r="F7" t="str">
        <f>IF('HIDDEN import'!G6=0,"",'HIDDEN import'!G6)</f>
        <v/>
      </c>
      <c r="G7" s="19" t="str">
        <f>IFERROR(VLOOKUP($A7,'HIDDEN Testrun Results'!$A:$B,2,FALSE),"")</f>
        <v/>
      </c>
      <c r="H7" s="3" t="b">
        <f t="shared" si="0"/>
        <v>1</v>
      </c>
      <c r="I7" s="3" t="b">
        <f>IF(VLOOKUP(A7&amp;" "&amp;B7,'HIDDEN import'!A:G,5,FALSE)="M",TRUE,IFERROR(VLOOKUP(E7,'Optional features'!B:D,3,FALSE)="Yes",IFERROR(VLOOKUP(E7,'HIDDEN calc sheet'!A:B,2,FALSE),IFERROR(VLOOKUP(E7,'Additional questions'!B:D,3,FALSE)="Yes",VLOOKUP(E7,'Hardware Feature set'!B:D,3,FALSE)="No"))))</f>
        <v>1</v>
      </c>
      <c r="J7" s="3" t="b">
        <f>IF(VLOOKUP(B7,'Profile selection'!B:C,2,FALSE)="Yes",TRUE,FALSE)</f>
        <v>1</v>
      </c>
      <c r="K7"/>
      <c r="L7"/>
    </row>
    <row r="8" spans="1:12" ht="15.75" customHeight="1" x14ac:dyDescent="0.25">
      <c r="A8" t="str">
        <f>'HIDDEN import'!B7</f>
        <v>TC_A_06_CS</v>
      </c>
      <c r="B8" t="str">
        <f>'HIDDEN import'!C7</f>
        <v>Core</v>
      </c>
      <c r="C8" t="str">
        <f>'HIDDEN import'!D7</f>
        <v>TLS - server-side certificate - TLS version too low</v>
      </c>
      <c r="D8" t="str">
        <f>IF(VLOOKUP(A8&amp;" "&amp;B8,'HIDDEN import'!A:G,5,FALSE)="M",MD!$A$1,(IF(AND(VLOOKUP(A8,'HIDDEN import'!B:E,4,FALSE)="C",OR(NOT(ISERROR(VLOOKUP(E8,'Optional features'!B:D,1,FALSE)=E8)),NOT(ISERROR(VLOOKUP(E8,'HIDDEN calc sheet'!A:C,1,FALSE)=E8)))),MD!$A$3,MD!$A$2)))</f>
        <v>Mandatory test for a mandatory feature</v>
      </c>
      <c r="E8" t="str">
        <f>IF('HIDDEN import'!F7=0,"",'HIDDEN import'!F7)</f>
        <v/>
      </c>
      <c r="F8" t="str">
        <f>IF('HIDDEN import'!G7=0,"",'HIDDEN import'!G7)</f>
        <v/>
      </c>
      <c r="G8" s="19" t="str">
        <f>IFERROR(VLOOKUP($A8,'HIDDEN Testrun Results'!$A:$B,2,FALSE),"")</f>
        <v/>
      </c>
      <c r="H8" s="3" t="b">
        <f t="shared" si="0"/>
        <v>1</v>
      </c>
      <c r="I8" s="3" t="b">
        <f>IF(VLOOKUP(A8&amp;" "&amp;B8,'HIDDEN import'!A:G,5,FALSE)="M",TRUE,IFERROR(VLOOKUP(E8,'Optional features'!B:D,3,FALSE)="Yes",IFERROR(VLOOKUP(E8,'HIDDEN calc sheet'!A:B,2,FALSE),IFERROR(VLOOKUP(E8,'Additional questions'!B:D,3,FALSE)="Yes",VLOOKUP(E8,'Hardware Feature set'!B:D,3,FALSE)="No"))))</f>
        <v>1</v>
      </c>
      <c r="J8" s="3" t="b">
        <f>IF(VLOOKUP(B8,'Profile selection'!B:C,2,FALSE)="Yes",TRUE,FALSE)</f>
        <v>1</v>
      </c>
      <c r="K8"/>
      <c r="L8"/>
    </row>
    <row r="9" spans="1:12" ht="15.75" customHeight="1" x14ac:dyDescent="0.25">
      <c r="A9" t="str">
        <f>'HIDDEN import'!B8</f>
        <v>TC_A_19_CS</v>
      </c>
      <c r="B9" t="str">
        <f>'HIDDEN import'!C8</f>
        <v>Core</v>
      </c>
      <c r="C9" t="str">
        <f>'HIDDEN import'!D8</f>
        <v>Upgrade Charging Station Security Profile - Accepted</v>
      </c>
      <c r="D9" t="str">
        <f>IF(VLOOKUP(A9&amp;" "&amp;B9,'HIDDEN import'!A:G,5,FALSE)="M",MD!$A$1,(IF(AND(VLOOKUP(A9,'HIDDEN import'!B:E,4,FALSE)="C",OR(NOT(ISERROR(VLOOKUP(E9,'Optional features'!B:D,1,FALSE)=E9)),NOT(ISERROR(VLOOKUP(E9,'HIDDEN calc sheet'!A:C,1,FALSE)=E9)))),MD!$A$3,MD!$A$2)))</f>
        <v>Mandatory for optional feature</v>
      </c>
      <c r="E9" t="str">
        <f>IF('HIDDEN import'!F8=0,"",'HIDDEN import'!F8)</f>
        <v>C-61 OR Advanced Security</v>
      </c>
      <c r="F9" t="str">
        <f>IF('HIDDEN import'!G8=0,"",'HIDDEN import'!G8)</f>
        <v/>
      </c>
      <c r="G9" s="19" t="str">
        <f>IFERROR(VLOOKUP($A9,'HIDDEN Testrun Results'!$A:$B,2,FALSE),"")</f>
        <v/>
      </c>
      <c r="H9" s="3" t="b">
        <f t="shared" si="0"/>
        <v>1</v>
      </c>
      <c r="I9" s="3" t="b">
        <f>IF(VLOOKUP(A9&amp;" "&amp;B9,'HIDDEN import'!A:G,5,FALSE)="M",TRUE,IFERROR(VLOOKUP(E9,'Optional features'!B:D,3,FALSE)="Yes",IFERROR(VLOOKUP(E9,'HIDDEN calc sheet'!A:B,2,FALSE),IFERROR(VLOOKUP(E9,'Additional questions'!B:D,3,FALSE)="Yes",VLOOKUP(E9,'Hardware Feature set'!B:D,3,FALSE)="No"))))</f>
        <v>1</v>
      </c>
      <c r="J9" s="3" t="b">
        <f>IF(VLOOKUP(B9,'Profile selection'!B:C,2,FALSE)="Yes",TRUE,FALSE)</f>
        <v>1</v>
      </c>
      <c r="K9"/>
      <c r="L9"/>
    </row>
    <row r="10" spans="1:12" ht="15.75" customHeight="1" x14ac:dyDescent="0.25">
      <c r="A10" t="str">
        <f>'HIDDEN import'!B9</f>
        <v>TC_A_20_CS</v>
      </c>
      <c r="B10" t="str">
        <f>'HIDDEN import'!C9</f>
        <v>Core</v>
      </c>
      <c r="C10" t="str">
        <f>'HIDDEN import'!D9</f>
        <v>Upgrade Charging Station Security Profile - No valid CSMSRootCertificate installed</v>
      </c>
      <c r="D10" t="str">
        <f>IF(VLOOKUP(A10&amp;" "&amp;B10,'HIDDEN import'!A:G,5,FALSE)="M",MD!$A$1,(IF(AND(VLOOKUP(A10,'HIDDEN import'!B:E,4,FALSE)="C",OR(NOT(ISERROR(VLOOKUP(E10,'Optional features'!B:D,1,FALSE)=E10)),NOT(ISERROR(VLOOKUP(E10,'HIDDEN calc sheet'!A:C,1,FALSE)=E10)))),MD!$A$3,MD!$A$2)))</f>
        <v>Mandatory for optional feature</v>
      </c>
      <c r="E10" t="str">
        <f>IF('HIDDEN import'!F9=0,"",'HIDDEN import'!F9)</f>
        <v>AQ-1 and C-61</v>
      </c>
      <c r="F10" t="str">
        <f>IF('HIDDEN import'!G9=0,"",'HIDDEN import'!G9)</f>
        <v>Can the last CSMSRootCertificate be removed? Security Profile 1 - Unsecured Transport with Basic Authentication</v>
      </c>
      <c r="G10" s="19" t="str">
        <f>IFERROR(VLOOKUP($A10,'HIDDEN Testrun Results'!$A:$B,2,FALSE),"")</f>
        <v/>
      </c>
      <c r="H10" s="3" t="b">
        <f t="shared" si="0"/>
        <v>0</v>
      </c>
      <c r="I10" s="3" t="b">
        <f>IF(VLOOKUP(A10&amp;" "&amp;B10,'HIDDEN import'!A:G,5,FALSE)="M",TRUE,IFERROR(VLOOKUP(E10,'Optional features'!B:D,3,FALSE)="Yes",IFERROR(VLOOKUP(E10,'HIDDEN calc sheet'!A:B,2,FALSE),IFERROR(VLOOKUP(E10,'Additional questions'!B:D,3,FALSE)="Yes",VLOOKUP(E10,'Hardware Feature set'!B:D,3,FALSE)="No"))))</f>
        <v>0</v>
      </c>
      <c r="J10" s="3" t="b">
        <f>IF(VLOOKUP(B10,'Profile selection'!B:C,2,FALSE)="Yes",TRUE,FALSE)</f>
        <v>1</v>
      </c>
      <c r="K10"/>
      <c r="L10"/>
    </row>
    <row r="11" spans="1:12" ht="15.75" customHeight="1" x14ac:dyDescent="0.25">
      <c r="A11" t="str">
        <f>'HIDDEN import'!B10</f>
        <v>TC_A_22_CS</v>
      </c>
      <c r="B11" t="str">
        <f>'HIDDEN import'!C10</f>
        <v>Core</v>
      </c>
      <c r="C11" t="str">
        <f>'HIDDEN import'!D10</f>
        <v>Upgrade Charging Station Security Profile - Downgrade security profile - Rejected</v>
      </c>
      <c r="D11" t="str">
        <f>IF(VLOOKUP(A11&amp;" "&amp;B11,'HIDDEN import'!A:G,5,FALSE)="M",MD!$A$1,(IF(AND(VLOOKUP(A11,'HIDDEN import'!B:E,4,FALSE)="C",OR(NOT(ISERROR(VLOOKUP(E11,'Optional features'!B:D,1,FALSE)=E11)),NOT(ISERROR(VLOOKUP(E11,'HIDDEN calc sheet'!A:C,1,FALSE)=E11)))),MD!$A$3,MD!$A$2)))</f>
        <v>Mandatory test for a mandatory feature</v>
      </c>
      <c r="E11" t="str">
        <f>IF('HIDDEN import'!F10=0,"",'HIDDEN import'!F10)</f>
        <v/>
      </c>
      <c r="F11" t="str">
        <f>IF('HIDDEN import'!G10=0,"",'HIDDEN import'!G10)</f>
        <v/>
      </c>
      <c r="G11" s="19" t="str">
        <f>IFERROR(VLOOKUP($A11,'HIDDEN Testrun Results'!$A:$B,2,FALSE),"")</f>
        <v/>
      </c>
      <c r="H11" s="3" t="b">
        <f t="shared" si="0"/>
        <v>1</v>
      </c>
      <c r="I11" s="3" t="b">
        <f>IF(VLOOKUP(A11&amp;" "&amp;B11,'HIDDEN import'!A:G,5,FALSE)="M",TRUE,IFERROR(VLOOKUP(E11,'Optional features'!B:D,3,FALSE)="Yes",IFERROR(VLOOKUP(E11,'HIDDEN calc sheet'!A:B,2,FALSE),IFERROR(VLOOKUP(E11,'Additional questions'!B:D,3,FALSE)="Yes",VLOOKUP(E11,'Hardware Feature set'!B:D,3,FALSE)="No"))))</f>
        <v>1</v>
      </c>
      <c r="J11" s="3" t="b">
        <f>IF(VLOOKUP(B11,'Profile selection'!B:C,2,FALSE)="Yes",TRUE,FALSE)</f>
        <v>1</v>
      </c>
      <c r="K11"/>
      <c r="L11"/>
    </row>
    <row r="12" spans="1:12" ht="15.75" customHeight="1" x14ac:dyDescent="0.25">
      <c r="A12" t="str">
        <f>'HIDDEN import'!B11</f>
        <v>TC_B_01_CS</v>
      </c>
      <c r="B12" t="str">
        <f>'HIDDEN import'!C11</f>
        <v>Core</v>
      </c>
      <c r="C12" t="str">
        <f>'HIDDEN import'!D11</f>
        <v>Cold Boot Charging Station - Accepted</v>
      </c>
      <c r="D12" t="str">
        <f>IF(VLOOKUP(A12&amp;" "&amp;B12,'HIDDEN import'!A:G,5,FALSE)="M",MD!$A$1,(IF(AND(VLOOKUP(A12,'HIDDEN import'!B:E,4,FALSE)="C",OR(NOT(ISERROR(VLOOKUP(E12,'Optional features'!B:D,1,FALSE)=E12)),NOT(ISERROR(VLOOKUP(E12,'HIDDEN calc sheet'!A:C,1,FALSE)=E12)))),MD!$A$3,MD!$A$2)))</f>
        <v>Mandatory test for a mandatory feature</v>
      </c>
      <c r="E12" t="str">
        <f>IF('HIDDEN import'!F11=0,"",'HIDDEN import'!F11)</f>
        <v/>
      </c>
      <c r="F12" t="str">
        <f>IF('HIDDEN import'!G11=0,"",'HIDDEN import'!G11)</f>
        <v/>
      </c>
      <c r="G12" s="19" t="str">
        <f>IFERROR(VLOOKUP($A12,'HIDDEN Testrun Results'!$A:$B,2,FALSE),"")</f>
        <v/>
      </c>
      <c r="H12" s="3" t="b">
        <f t="shared" si="0"/>
        <v>1</v>
      </c>
      <c r="I12" s="3" t="b">
        <f>IF(VLOOKUP(A12&amp;" "&amp;B12,'HIDDEN import'!A:G,5,FALSE)="M",TRUE,IFERROR(VLOOKUP(E12,'Optional features'!B:D,3,FALSE)="Yes",IFERROR(VLOOKUP(E12,'HIDDEN calc sheet'!A:B,2,FALSE),IFERROR(VLOOKUP(E12,'Additional questions'!B:D,3,FALSE)="Yes",VLOOKUP(E12,'Hardware Feature set'!B:D,3,FALSE)="No"))))</f>
        <v>1</v>
      </c>
      <c r="J12" s="3" t="b">
        <f>IF(VLOOKUP(B12,'Profile selection'!B:C,2,FALSE)="Yes",TRUE,FALSE)</f>
        <v>1</v>
      </c>
      <c r="K12"/>
      <c r="L12"/>
    </row>
    <row r="13" spans="1:12" ht="15.75" customHeight="1" x14ac:dyDescent="0.25">
      <c r="A13" t="str">
        <f>'HIDDEN import'!B12</f>
        <v>TC_B_02_CS</v>
      </c>
      <c r="B13" t="str">
        <f>'HIDDEN import'!C12</f>
        <v>Core</v>
      </c>
      <c r="C13" t="str">
        <f>'HIDDEN import'!D12</f>
        <v>Cold Boot Charging Station - Pending</v>
      </c>
      <c r="D13" t="str">
        <f>IF(VLOOKUP(A13&amp;" "&amp;B13,'HIDDEN import'!A:G,5,FALSE)="M",MD!$A$1,(IF(AND(VLOOKUP(A13,'HIDDEN import'!B:E,4,FALSE)="C",OR(NOT(ISERROR(VLOOKUP(E13,'Optional features'!B:D,1,FALSE)=E13)),NOT(ISERROR(VLOOKUP(E13,'HIDDEN calc sheet'!A:C,1,FALSE)=E13)))),MD!$A$3,MD!$A$2)))</f>
        <v>Mandatory test for a mandatory feature</v>
      </c>
      <c r="E13" t="str">
        <f>IF('HIDDEN import'!F12=0,"",'HIDDEN import'!F12)</f>
        <v/>
      </c>
      <c r="F13" t="str">
        <f>IF('HIDDEN import'!G12=0,"",'HIDDEN import'!G12)</f>
        <v/>
      </c>
      <c r="G13" s="19" t="str">
        <f>IFERROR(VLOOKUP($A13,'HIDDEN Testrun Results'!$A:$B,2,FALSE),"")</f>
        <v/>
      </c>
      <c r="H13" s="3" t="b">
        <f t="shared" si="0"/>
        <v>1</v>
      </c>
      <c r="I13" s="3" t="b">
        <f>IF(VLOOKUP(A13&amp;" "&amp;B13,'HIDDEN import'!A:G,5,FALSE)="M",TRUE,IFERROR(VLOOKUP(E13,'Optional features'!B:D,3,FALSE)="Yes",IFERROR(VLOOKUP(E13,'HIDDEN calc sheet'!A:B,2,FALSE),IFERROR(VLOOKUP(E13,'Additional questions'!B:D,3,FALSE)="Yes",VLOOKUP(E13,'Hardware Feature set'!B:D,3,FALSE)="No"))))</f>
        <v>1</v>
      </c>
      <c r="J13" s="3" t="b">
        <f>IF(VLOOKUP(B13,'Profile selection'!B:C,2,FALSE)="Yes",TRUE,FALSE)</f>
        <v>1</v>
      </c>
      <c r="K13"/>
      <c r="L13"/>
    </row>
    <row r="14" spans="1:12" ht="15.75" customHeight="1" x14ac:dyDescent="0.25">
      <c r="A14" t="str">
        <f>'HIDDEN import'!B13</f>
        <v>TC_B_03_CS</v>
      </c>
      <c r="B14" t="str">
        <f>'HIDDEN import'!C13</f>
        <v>Core</v>
      </c>
      <c r="C14" t="str">
        <f>'HIDDEN import'!D13</f>
        <v>Cold Boot Charging Station - Rejected</v>
      </c>
      <c r="D14" t="str">
        <f>IF(VLOOKUP(A14&amp;" "&amp;B14,'HIDDEN import'!A:G,5,FALSE)="M",MD!$A$1,(IF(AND(VLOOKUP(A14,'HIDDEN import'!B:E,4,FALSE)="C",OR(NOT(ISERROR(VLOOKUP(E14,'Optional features'!B:D,1,FALSE)=E14)),NOT(ISERROR(VLOOKUP(E14,'HIDDEN calc sheet'!A:C,1,FALSE)=E14)))),MD!$A$3,MD!$A$2)))</f>
        <v>Mandatory test for a mandatory feature</v>
      </c>
      <c r="E14" t="str">
        <f>IF('HIDDEN import'!F13=0,"",'HIDDEN import'!F13)</f>
        <v/>
      </c>
      <c r="F14" t="str">
        <f>IF('HIDDEN import'!G13=0,"",'HIDDEN import'!G13)</f>
        <v/>
      </c>
      <c r="G14" s="19" t="str">
        <f>IFERROR(VLOOKUP($A14,'HIDDEN Testrun Results'!$A:$B,2,FALSE),"")</f>
        <v/>
      </c>
      <c r="H14" s="3" t="b">
        <f t="shared" si="0"/>
        <v>1</v>
      </c>
      <c r="I14" s="3" t="b">
        <f>IF(VLOOKUP(A14&amp;" "&amp;B14,'HIDDEN import'!A:G,5,FALSE)="M",TRUE,IFERROR(VLOOKUP(E14,'Optional features'!B:D,3,FALSE)="Yes",IFERROR(VLOOKUP(E14,'HIDDEN calc sheet'!A:B,2,FALSE),IFERROR(VLOOKUP(E14,'Additional questions'!B:D,3,FALSE)="Yes",VLOOKUP(E14,'Hardware Feature set'!B:D,3,FALSE)="No"))))</f>
        <v>1</v>
      </c>
      <c r="J14" s="3" t="b">
        <f>IF(VLOOKUP(B14,'Profile selection'!B:C,2,FALSE)="Yes",TRUE,FALSE)</f>
        <v>1</v>
      </c>
      <c r="K14"/>
      <c r="L14"/>
    </row>
    <row r="15" spans="1:12" ht="15.75" customHeight="1" x14ac:dyDescent="0.25">
      <c r="A15" t="str">
        <f>'HIDDEN import'!B14</f>
        <v>TC_B_30_CS</v>
      </c>
      <c r="B15" t="str">
        <f>'HIDDEN import'!C14</f>
        <v>Core</v>
      </c>
      <c r="C15" t="str">
        <f>'HIDDEN import'!D14</f>
        <v>Cold Boot Charging Station - Pending/Rejected - SecurityError</v>
      </c>
      <c r="D15" t="str">
        <f>IF(VLOOKUP(A15&amp;" "&amp;B15,'HIDDEN import'!A:G,5,FALSE)="M",MD!$A$1,(IF(AND(VLOOKUP(A15,'HIDDEN import'!B:E,4,FALSE)="C",OR(NOT(ISERROR(VLOOKUP(E15,'Optional features'!B:D,1,FALSE)=E15)),NOT(ISERROR(VLOOKUP(E15,'HIDDEN calc sheet'!A:C,1,FALSE)=E15)))),MD!$A$3,MD!$A$2)))</f>
        <v>Mandatory test for a mandatory feature</v>
      </c>
      <c r="E15" t="str">
        <f>IF('HIDDEN import'!F14=0,"",'HIDDEN import'!F14)</f>
        <v/>
      </c>
      <c r="F15" t="str">
        <f>IF('HIDDEN import'!G14=0,"",'HIDDEN import'!G14)</f>
        <v/>
      </c>
      <c r="G15" s="19" t="str">
        <f>IFERROR(VLOOKUP($A15,'HIDDEN Testrun Results'!$A:$B,2,FALSE),"")</f>
        <v/>
      </c>
      <c r="H15" s="3" t="b">
        <f t="shared" si="0"/>
        <v>1</v>
      </c>
      <c r="I15" s="3" t="b">
        <f>IF(VLOOKUP(A15&amp;" "&amp;B15,'HIDDEN import'!A:G,5,FALSE)="M",TRUE,IFERROR(VLOOKUP(E15,'Optional features'!B:D,3,FALSE)="Yes",IFERROR(VLOOKUP(E15,'HIDDEN calc sheet'!A:B,2,FALSE),IFERROR(VLOOKUP(E15,'Additional questions'!B:D,3,FALSE)="Yes",VLOOKUP(E15,'Hardware Feature set'!B:D,3,FALSE)="No"))))</f>
        <v>1</v>
      </c>
      <c r="J15" s="3" t="b">
        <f>IF(VLOOKUP(B15,'Profile selection'!B:C,2,FALSE)="Yes",TRUE,FALSE)</f>
        <v>1</v>
      </c>
      <c r="K15"/>
      <c r="L15"/>
    </row>
    <row r="16" spans="1:12" ht="15.75" customHeight="1" x14ac:dyDescent="0.25">
      <c r="A16" t="str">
        <f>'HIDDEN import'!B15</f>
        <v>TC_B_51_CS</v>
      </c>
      <c r="B16" t="str">
        <f>'HIDDEN import'!C15</f>
        <v>Core</v>
      </c>
      <c r="C16" t="str">
        <f>'HIDDEN import'!D15</f>
        <v>Status change during offline period - &gt; Offline Threshold</v>
      </c>
      <c r="D16" t="str">
        <f>IF(VLOOKUP(A16&amp;" "&amp;B16,'HIDDEN import'!A:G,5,FALSE)="M",MD!$A$1,(IF(AND(VLOOKUP(A16,'HIDDEN import'!B:E,4,FALSE)="C",OR(NOT(ISERROR(VLOOKUP(E16,'Optional features'!B:D,1,FALSE)=E16)),NOT(ISERROR(VLOOKUP(E16,'HIDDEN calc sheet'!A:C,1,FALSE)=E16)))),MD!$A$3,MD!$A$2)))</f>
        <v>Mandatory test for a mandatory feature</v>
      </c>
      <c r="E16" t="str">
        <f>IF('HIDDEN import'!F15=0,"",'HIDDEN import'!F15)</f>
        <v/>
      </c>
      <c r="F16" t="str">
        <f>IF('HIDDEN import'!G15=0,"",'HIDDEN import'!G15)</f>
        <v/>
      </c>
      <c r="G16" s="19" t="str">
        <f>IFERROR(VLOOKUP($A16,'HIDDEN Testrun Results'!$A:$B,2,FALSE),"")</f>
        <v/>
      </c>
      <c r="H16" s="3" t="b">
        <f t="shared" si="0"/>
        <v>1</v>
      </c>
      <c r="I16" s="3" t="b">
        <f>IF(VLOOKUP(A16&amp;" "&amp;B16,'HIDDEN import'!A:G,5,FALSE)="M",TRUE,IFERROR(VLOOKUP(E16,'Optional features'!B:D,3,FALSE)="Yes",IFERROR(VLOOKUP(E16,'HIDDEN calc sheet'!A:B,2,FALSE),IFERROR(VLOOKUP(E16,'Additional questions'!B:D,3,FALSE)="Yes",VLOOKUP(E16,'Hardware Feature set'!B:D,3,FALSE)="No"))))</f>
        <v>1</v>
      </c>
      <c r="J16" s="3" t="b">
        <f>IF(VLOOKUP(B16,'Profile selection'!B:C,2,FALSE)="Yes",TRUE,FALSE)</f>
        <v>1</v>
      </c>
      <c r="K16"/>
      <c r="L16"/>
    </row>
    <row r="17" spans="1:12" ht="15.75" customHeight="1" x14ac:dyDescent="0.25">
      <c r="A17" t="str">
        <f>'HIDDEN import'!B16</f>
        <v>TC_B_52_CS</v>
      </c>
      <c r="B17" t="str">
        <f>'HIDDEN import'!C16</f>
        <v>Core</v>
      </c>
      <c r="C17" t="str">
        <f>'HIDDEN import'!D16</f>
        <v>Status change during offline period - &lt; Offline Threshold</v>
      </c>
      <c r="D17" t="str">
        <f>IF(VLOOKUP(A17&amp;" "&amp;B17,'HIDDEN import'!A:G,5,FALSE)="M",MD!$A$1,(IF(AND(VLOOKUP(A17,'HIDDEN import'!B:E,4,FALSE)="C",OR(NOT(ISERROR(VLOOKUP(E17,'Optional features'!B:D,1,FALSE)=E17)),NOT(ISERROR(VLOOKUP(E17,'HIDDEN calc sheet'!A:C,1,FALSE)=E17)))),MD!$A$3,MD!$A$2)))</f>
        <v>Mandatory test for a mandatory feature</v>
      </c>
      <c r="E17" t="str">
        <f>IF('HIDDEN import'!F16=0,"",'HIDDEN import'!F16)</f>
        <v/>
      </c>
      <c r="F17" t="str">
        <f>IF('HIDDEN import'!G16=0,"",'HIDDEN import'!G16)</f>
        <v/>
      </c>
      <c r="G17" s="19" t="str">
        <f>IFERROR(VLOOKUP($A17,'HIDDEN Testrun Results'!$A:$B,2,FALSE),"")</f>
        <v/>
      </c>
      <c r="H17" s="3" t="b">
        <f t="shared" si="0"/>
        <v>1</v>
      </c>
      <c r="I17" s="3" t="b">
        <f>IF(VLOOKUP(A17&amp;" "&amp;B17,'HIDDEN import'!A:G,5,FALSE)="M",TRUE,IFERROR(VLOOKUP(E17,'Optional features'!B:D,3,FALSE)="Yes",IFERROR(VLOOKUP(E17,'HIDDEN calc sheet'!A:B,2,FALSE),IFERROR(VLOOKUP(E17,'Additional questions'!B:D,3,FALSE)="Yes",VLOOKUP(E17,'Hardware Feature set'!B:D,3,FALSE)="No"))))</f>
        <v>1</v>
      </c>
      <c r="J17" s="3" t="b">
        <f>IF(VLOOKUP(B17,'Profile selection'!B:C,2,FALSE)="Yes",TRUE,FALSE)</f>
        <v>1</v>
      </c>
      <c r="K17"/>
      <c r="L17"/>
    </row>
    <row r="18" spans="1:12" ht="15.75" customHeight="1" x14ac:dyDescent="0.25">
      <c r="A18" t="str">
        <f>'HIDDEN import'!B17</f>
        <v>TC_B_06_CS</v>
      </c>
      <c r="B18" t="str">
        <f>'HIDDEN import'!C17</f>
        <v>Core</v>
      </c>
      <c r="C18" t="str">
        <f>'HIDDEN import'!D17</f>
        <v>Get Variables - single value</v>
      </c>
      <c r="D18" t="str">
        <f>IF(VLOOKUP(A18&amp;" "&amp;B18,'HIDDEN import'!A:G,5,FALSE)="M",MD!$A$1,(IF(AND(VLOOKUP(A18,'HIDDEN import'!B:E,4,FALSE)="C",OR(NOT(ISERROR(VLOOKUP(E18,'Optional features'!B:D,1,FALSE)=E18)),NOT(ISERROR(VLOOKUP(E18,'HIDDEN calc sheet'!A:C,1,FALSE)=E18)))),MD!$A$3,MD!$A$2)))</f>
        <v>Mandatory test for a mandatory feature</v>
      </c>
      <c r="E18" t="str">
        <f>IF('HIDDEN import'!F17=0,"",'HIDDEN import'!F17)</f>
        <v/>
      </c>
      <c r="F18" t="str">
        <f>IF('HIDDEN import'!G17=0,"",'HIDDEN import'!G17)</f>
        <v/>
      </c>
      <c r="G18" s="19" t="str">
        <f>IFERROR(VLOOKUP($A18,'HIDDEN Testrun Results'!$A:$B,2,FALSE),"")</f>
        <v/>
      </c>
      <c r="H18" s="3" t="b">
        <f t="shared" si="0"/>
        <v>1</v>
      </c>
      <c r="I18" s="3" t="b">
        <f>IF(VLOOKUP(A18&amp;" "&amp;B18,'HIDDEN import'!A:G,5,FALSE)="M",TRUE,IFERROR(VLOOKUP(E18,'Optional features'!B:D,3,FALSE)="Yes",IFERROR(VLOOKUP(E18,'HIDDEN calc sheet'!A:B,2,FALSE),IFERROR(VLOOKUP(E18,'Additional questions'!B:D,3,FALSE)="Yes",VLOOKUP(E18,'Hardware Feature set'!B:D,3,FALSE)="No"))))</f>
        <v>1</v>
      </c>
      <c r="J18" s="3" t="b">
        <f>IF(VLOOKUP(B18,'Profile selection'!B:C,2,FALSE)="Yes",TRUE,FALSE)</f>
        <v>1</v>
      </c>
      <c r="K18"/>
      <c r="L18"/>
    </row>
    <row r="19" spans="1:12" ht="15.75" customHeight="1" x14ac:dyDescent="0.25">
      <c r="A19" t="str">
        <f>'HIDDEN import'!B18</f>
        <v>TC_B_07_CS</v>
      </c>
      <c r="B19" t="str">
        <f>'HIDDEN import'!C18</f>
        <v>Core</v>
      </c>
      <c r="C19" t="str">
        <f>'HIDDEN import'!D18</f>
        <v>Get Variables - multiple values</v>
      </c>
      <c r="D19" t="str">
        <f>IF(VLOOKUP(A19&amp;" "&amp;B19,'HIDDEN import'!A:G,5,FALSE)="M",MD!$A$1,(IF(AND(VLOOKUP(A19,'HIDDEN import'!B:E,4,FALSE)="C",OR(NOT(ISERROR(VLOOKUP(E19,'Optional features'!B:D,1,FALSE)=E19)),NOT(ISERROR(VLOOKUP(E19,'HIDDEN calc sheet'!A:C,1,FALSE)=E19)))),MD!$A$3,MD!$A$2)))</f>
        <v>Mandatory test for a mandatory feature</v>
      </c>
      <c r="E19" t="str">
        <f>IF('HIDDEN import'!F18=0,"",'HIDDEN import'!F18)</f>
        <v/>
      </c>
      <c r="F19" t="str">
        <f>IF('HIDDEN import'!G18=0,"",'HIDDEN import'!G18)</f>
        <v/>
      </c>
      <c r="G19" s="19" t="str">
        <f>IFERROR(VLOOKUP($A19,'HIDDEN Testrun Results'!$A:$B,2,FALSE),"")</f>
        <v/>
      </c>
      <c r="H19" s="3" t="b">
        <f t="shared" si="0"/>
        <v>1</v>
      </c>
      <c r="I19" s="3" t="b">
        <f>IF(VLOOKUP(A19&amp;" "&amp;B19,'HIDDEN import'!A:G,5,FALSE)="M",TRUE,IFERROR(VLOOKUP(E19,'Optional features'!B:D,3,FALSE)="Yes",IFERROR(VLOOKUP(E19,'HIDDEN calc sheet'!A:B,2,FALSE),IFERROR(VLOOKUP(E19,'Additional questions'!B:D,3,FALSE)="Yes",VLOOKUP(E19,'Hardware Feature set'!B:D,3,FALSE)="No"))))</f>
        <v>1</v>
      </c>
      <c r="J19" s="3" t="b">
        <f>IF(VLOOKUP(B19,'Profile selection'!B:C,2,FALSE)="Yes",TRUE,FALSE)</f>
        <v>1</v>
      </c>
      <c r="K19"/>
      <c r="L19"/>
    </row>
    <row r="20" spans="1:12" ht="15.75" customHeight="1" x14ac:dyDescent="0.25">
      <c r="A20" t="str">
        <f>'HIDDEN import'!B19</f>
        <v>TC_B_32_CS</v>
      </c>
      <c r="B20" t="str">
        <f>'HIDDEN import'!C19</f>
        <v>Core</v>
      </c>
      <c r="C20" t="str">
        <f>'HIDDEN import'!D19</f>
        <v>Get Variables - Unknown component</v>
      </c>
      <c r="D20" t="str">
        <f>IF(VLOOKUP(A20&amp;" "&amp;B20,'HIDDEN import'!A:G,5,FALSE)="M",MD!$A$1,(IF(AND(VLOOKUP(A20,'HIDDEN import'!B:E,4,FALSE)="C",OR(NOT(ISERROR(VLOOKUP(E20,'Optional features'!B:D,1,FALSE)=E20)),NOT(ISERROR(VLOOKUP(E20,'HIDDEN calc sheet'!A:C,1,FALSE)=E20)))),MD!$A$3,MD!$A$2)))</f>
        <v>Mandatory test for a mandatory feature</v>
      </c>
      <c r="E20" t="str">
        <f>IF('HIDDEN import'!F19=0,"",'HIDDEN import'!F19)</f>
        <v/>
      </c>
      <c r="F20" t="str">
        <f>IF('HIDDEN import'!G19=0,"",'HIDDEN import'!G19)</f>
        <v/>
      </c>
      <c r="G20" s="19" t="str">
        <f>IFERROR(VLOOKUP($A20,'HIDDEN Testrun Results'!$A:$B,2,FALSE),"")</f>
        <v/>
      </c>
      <c r="H20" s="3" t="b">
        <f t="shared" si="0"/>
        <v>1</v>
      </c>
      <c r="I20" s="3" t="b">
        <f>IF(VLOOKUP(A20&amp;" "&amp;B20,'HIDDEN import'!A:G,5,FALSE)="M",TRUE,IFERROR(VLOOKUP(E20,'Optional features'!B:D,3,FALSE)="Yes",IFERROR(VLOOKUP(E20,'HIDDEN calc sheet'!A:B,2,FALSE),IFERROR(VLOOKUP(E20,'Additional questions'!B:D,3,FALSE)="Yes",VLOOKUP(E20,'Hardware Feature set'!B:D,3,FALSE)="No"))))</f>
        <v>1</v>
      </c>
      <c r="J20" s="3" t="b">
        <f>IF(VLOOKUP(B20,'Profile selection'!B:C,2,FALSE)="Yes",TRUE,FALSE)</f>
        <v>1</v>
      </c>
      <c r="K20"/>
      <c r="L20"/>
    </row>
    <row r="21" spans="1:12" ht="15.75" customHeight="1" x14ac:dyDescent="0.25">
      <c r="A21" t="str">
        <f>'HIDDEN import'!B20</f>
        <v>TC_B_33_CS</v>
      </c>
      <c r="B21" t="str">
        <f>'HIDDEN import'!C20</f>
        <v>Core</v>
      </c>
      <c r="C21" t="str">
        <f>'HIDDEN import'!D20</f>
        <v>Get Variables - Unknown variable</v>
      </c>
      <c r="D21" t="str">
        <f>IF(VLOOKUP(A21&amp;" "&amp;B21,'HIDDEN import'!A:G,5,FALSE)="M",MD!$A$1,(IF(AND(VLOOKUP(A21,'HIDDEN import'!B:E,4,FALSE)="C",OR(NOT(ISERROR(VLOOKUP(E21,'Optional features'!B:D,1,FALSE)=E21)),NOT(ISERROR(VLOOKUP(E21,'HIDDEN calc sheet'!A:C,1,FALSE)=E21)))),MD!$A$3,MD!$A$2)))</f>
        <v>Mandatory test for a mandatory feature</v>
      </c>
      <c r="E21" t="str">
        <f>IF('HIDDEN import'!F20=0,"",'HIDDEN import'!F20)</f>
        <v/>
      </c>
      <c r="F21" t="str">
        <f>IF('HIDDEN import'!G20=0,"",'HIDDEN import'!G20)</f>
        <v/>
      </c>
      <c r="G21" s="19" t="str">
        <f>IFERROR(VLOOKUP($A21,'HIDDEN Testrun Results'!$A:$B,2,FALSE),"")</f>
        <v/>
      </c>
      <c r="H21" s="3" t="b">
        <f t="shared" si="0"/>
        <v>1</v>
      </c>
      <c r="I21" s="3" t="b">
        <f>IF(VLOOKUP(A21&amp;" "&amp;B21,'HIDDEN import'!A:G,5,FALSE)="M",TRUE,IFERROR(VLOOKUP(E21,'Optional features'!B:D,3,FALSE)="Yes",IFERROR(VLOOKUP(E21,'HIDDEN calc sheet'!A:B,2,FALSE),IFERROR(VLOOKUP(E21,'Additional questions'!B:D,3,FALSE)="Yes",VLOOKUP(E21,'Hardware Feature set'!B:D,3,FALSE)="No"))))</f>
        <v>1</v>
      </c>
      <c r="J21" s="3" t="b">
        <f>IF(VLOOKUP(B21,'Profile selection'!B:C,2,FALSE)="Yes",TRUE,FALSE)</f>
        <v>1</v>
      </c>
      <c r="K21"/>
      <c r="L21"/>
    </row>
    <row r="22" spans="1:12" ht="15.75" customHeight="1" x14ac:dyDescent="0.25">
      <c r="A22" t="str">
        <f>'HIDDEN import'!B21</f>
        <v>TC_B_34_CS</v>
      </c>
      <c r="B22" t="str">
        <f>'HIDDEN import'!C21</f>
        <v>Core</v>
      </c>
      <c r="C22" t="str">
        <f>'HIDDEN import'!D21</f>
        <v>Get Variables - Not supported attribute type</v>
      </c>
      <c r="D22" t="str">
        <f>IF(VLOOKUP(A22&amp;" "&amp;B22,'HIDDEN import'!A:G,5,FALSE)="M",MD!$A$1,(IF(AND(VLOOKUP(A22,'HIDDEN import'!B:E,4,FALSE)="C",OR(NOT(ISERROR(VLOOKUP(E22,'Optional features'!B:D,1,FALSE)=E22)),NOT(ISERROR(VLOOKUP(E22,'HIDDEN calc sheet'!A:C,1,FALSE)=E22)))),MD!$A$3,MD!$A$2)))</f>
        <v>Mandatory test for a mandatory feature</v>
      </c>
      <c r="E22" t="str">
        <f>IF('HIDDEN import'!F21=0,"",'HIDDEN import'!F21)</f>
        <v/>
      </c>
      <c r="F22" t="str">
        <f>IF('HIDDEN import'!G21=0,"",'HIDDEN import'!G21)</f>
        <v/>
      </c>
      <c r="G22" s="19" t="str">
        <f>IFERROR(VLOOKUP($A22,'HIDDEN Testrun Results'!$A:$B,2,FALSE),"")</f>
        <v/>
      </c>
      <c r="H22" s="3" t="b">
        <f t="shared" si="0"/>
        <v>1</v>
      </c>
      <c r="I22" s="3" t="b">
        <f>IF(VLOOKUP(A22&amp;" "&amp;B22,'HIDDEN import'!A:G,5,FALSE)="M",TRUE,IFERROR(VLOOKUP(E22,'Optional features'!B:D,3,FALSE)="Yes",IFERROR(VLOOKUP(E22,'HIDDEN calc sheet'!A:B,2,FALSE),IFERROR(VLOOKUP(E22,'Additional questions'!B:D,3,FALSE)="Yes",VLOOKUP(E22,'Hardware Feature set'!B:D,3,FALSE)="No"))))</f>
        <v>1</v>
      </c>
      <c r="J22" s="3" t="b">
        <f>IF(VLOOKUP(B22,'Profile selection'!B:C,2,FALSE)="Yes",TRUE,FALSE)</f>
        <v>1</v>
      </c>
      <c r="K22"/>
      <c r="L22"/>
    </row>
    <row r="23" spans="1:12" ht="15.75" customHeight="1" x14ac:dyDescent="0.25">
      <c r="A23" t="str">
        <f>'HIDDEN import'!B22</f>
        <v>TC_B_09_CS</v>
      </c>
      <c r="B23" t="str">
        <f>'HIDDEN import'!C22</f>
        <v>Core</v>
      </c>
      <c r="C23" t="str">
        <f>'HIDDEN import'!D22</f>
        <v>Set Variables - single value</v>
      </c>
      <c r="D23" t="str">
        <f>IF(VLOOKUP(A23&amp;" "&amp;B23,'HIDDEN import'!A:G,5,FALSE)="M",MD!$A$1,(IF(AND(VLOOKUP(A23,'HIDDEN import'!B:E,4,FALSE)="C",OR(NOT(ISERROR(VLOOKUP(E23,'Optional features'!B:D,1,FALSE)=E23)),NOT(ISERROR(VLOOKUP(E23,'HIDDEN calc sheet'!A:C,1,FALSE)=E23)))),MD!$A$3,MD!$A$2)))</f>
        <v>Mandatory test for a mandatory feature</v>
      </c>
      <c r="E23" t="str">
        <f>IF('HIDDEN import'!F22=0,"",'HIDDEN import'!F22)</f>
        <v/>
      </c>
      <c r="F23" t="str">
        <f>IF('HIDDEN import'!G22=0,"",'HIDDEN import'!G22)</f>
        <v/>
      </c>
      <c r="G23" s="19" t="str">
        <f>IFERROR(VLOOKUP($A23,'HIDDEN Testrun Results'!$A:$B,2,FALSE),"")</f>
        <v/>
      </c>
      <c r="H23" s="3" t="b">
        <f t="shared" si="0"/>
        <v>1</v>
      </c>
      <c r="I23" s="3" t="b">
        <f>IF(VLOOKUP(A23&amp;" "&amp;B23,'HIDDEN import'!A:G,5,FALSE)="M",TRUE,IFERROR(VLOOKUP(E23,'Optional features'!B:D,3,FALSE)="Yes",IFERROR(VLOOKUP(E23,'HIDDEN calc sheet'!A:B,2,FALSE),IFERROR(VLOOKUP(E23,'Additional questions'!B:D,3,FALSE)="Yes",VLOOKUP(E23,'Hardware Feature set'!B:D,3,FALSE)="No"))))</f>
        <v>1</v>
      </c>
      <c r="J23" s="3" t="b">
        <f>IF(VLOOKUP(B23,'Profile selection'!B:C,2,FALSE)="Yes",TRUE,FALSE)</f>
        <v>1</v>
      </c>
      <c r="K23"/>
      <c r="L23"/>
    </row>
    <row r="24" spans="1:12" ht="15.75" customHeight="1" x14ac:dyDescent="0.25">
      <c r="A24" t="str">
        <f>'HIDDEN import'!B23</f>
        <v>TC_B_10_CS</v>
      </c>
      <c r="B24" t="str">
        <f>'HIDDEN import'!C23</f>
        <v>Core</v>
      </c>
      <c r="C24" t="str">
        <f>'HIDDEN import'!D23</f>
        <v>Set Variables - multiple values</v>
      </c>
      <c r="D24" t="str">
        <f>IF(VLOOKUP(A24&amp;" "&amp;B24,'HIDDEN import'!A:G,5,FALSE)="M",MD!$A$1,(IF(AND(VLOOKUP(A24,'HIDDEN import'!B:E,4,FALSE)="C",OR(NOT(ISERROR(VLOOKUP(E24,'Optional features'!B:D,1,FALSE)=E24)),NOT(ISERROR(VLOOKUP(E24,'HIDDEN calc sheet'!A:C,1,FALSE)=E24)))),MD!$A$3,MD!$A$2)))</f>
        <v>Mandatory test for a mandatory feature</v>
      </c>
      <c r="E24" t="str">
        <f>IF('HIDDEN import'!F23=0,"",'HIDDEN import'!F23)</f>
        <v/>
      </c>
      <c r="F24" t="str">
        <f>IF('HIDDEN import'!G23=0,"",'HIDDEN import'!G23)</f>
        <v/>
      </c>
      <c r="G24" s="19" t="str">
        <f>IFERROR(VLOOKUP($A24,'HIDDEN Testrun Results'!$A:$B,2,FALSE),"")</f>
        <v/>
      </c>
      <c r="H24" s="3" t="b">
        <f t="shared" si="0"/>
        <v>1</v>
      </c>
      <c r="I24" s="3" t="b">
        <f>IF(VLOOKUP(A24&amp;" "&amp;B24,'HIDDEN import'!A:G,5,FALSE)="M",TRUE,IFERROR(VLOOKUP(E24,'Optional features'!B:D,3,FALSE)="Yes",IFERROR(VLOOKUP(E24,'HIDDEN calc sheet'!A:B,2,FALSE),IFERROR(VLOOKUP(E24,'Additional questions'!B:D,3,FALSE)="Yes",VLOOKUP(E24,'Hardware Feature set'!B:D,3,FALSE)="No"))))</f>
        <v>1</v>
      </c>
      <c r="J24" s="3" t="b">
        <f>IF(VLOOKUP(B24,'Profile selection'!B:C,2,FALSE)="Yes",TRUE,FALSE)</f>
        <v>1</v>
      </c>
      <c r="K24"/>
      <c r="L24"/>
    </row>
    <row r="25" spans="1:12" ht="15.75" customHeight="1" x14ac:dyDescent="0.25">
      <c r="A25" t="str">
        <f>'HIDDEN import'!B24</f>
        <v>TC_B_35_CS</v>
      </c>
      <c r="B25" t="str">
        <f>'HIDDEN import'!C24</f>
        <v>Core</v>
      </c>
      <c r="C25" t="str">
        <f>'HIDDEN import'!D24</f>
        <v>Set Variables - Unknown component</v>
      </c>
      <c r="D25" t="str">
        <f>IF(VLOOKUP(A25&amp;" "&amp;B25,'HIDDEN import'!A:G,5,FALSE)="M",MD!$A$1,(IF(AND(VLOOKUP(A25,'HIDDEN import'!B:E,4,FALSE)="C",OR(NOT(ISERROR(VLOOKUP(E25,'Optional features'!B:D,1,FALSE)=E25)),NOT(ISERROR(VLOOKUP(E25,'HIDDEN calc sheet'!A:C,1,FALSE)=E25)))),MD!$A$3,MD!$A$2)))</f>
        <v>Mandatory test for a mandatory feature</v>
      </c>
      <c r="E25" t="str">
        <f>IF('HIDDEN import'!F24=0,"",'HIDDEN import'!F24)</f>
        <v/>
      </c>
      <c r="F25" t="str">
        <f>IF('HIDDEN import'!G24=0,"",'HIDDEN import'!G24)</f>
        <v/>
      </c>
      <c r="G25" s="19" t="str">
        <f>IFERROR(VLOOKUP($A25,'HIDDEN Testrun Results'!$A:$B,2,FALSE),"")</f>
        <v/>
      </c>
      <c r="H25" s="3" t="b">
        <f t="shared" si="0"/>
        <v>1</v>
      </c>
      <c r="I25" s="3" t="b">
        <f>IF(VLOOKUP(A25&amp;" "&amp;B25,'HIDDEN import'!A:G,5,FALSE)="M",TRUE,IFERROR(VLOOKUP(E25,'Optional features'!B:D,3,FALSE)="Yes",IFERROR(VLOOKUP(E25,'HIDDEN calc sheet'!A:B,2,FALSE),IFERROR(VLOOKUP(E25,'Additional questions'!B:D,3,FALSE)="Yes",VLOOKUP(E25,'Hardware Feature set'!B:D,3,FALSE)="No"))))</f>
        <v>1</v>
      </c>
      <c r="J25" s="3" t="b">
        <f>IF(VLOOKUP(B25,'Profile selection'!B:C,2,FALSE)="Yes",TRUE,FALSE)</f>
        <v>1</v>
      </c>
      <c r="K25"/>
      <c r="L25"/>
    </row>
    <row r="26" spans="1:12" ht="15.75" customHeight="1" x14ac:dyDescent="0.25">
      <c r="A26" t="str">
        <f>'HIDDEN import'!B25</f>
        <v>TC_B_36_CS</v>
      </c>
      <c r="B26" t="str">
        <f>'HIDDEN import'!C25</f>
        <v>Core</v>
      </c>
      <c r="C26" t="str">
        <f>'HIDDEN import'!D25</f>
        <v>Set Variables - Unknown variable</v>
      </c>
      <c r="D26" t="str">
        <f>IF(VLOOKUP(A26&amp;" "&amp;B26,'HIDDEN import'!A:G,5,FALSE)="M",MD!$A$1,(IF(AND(VLOOKUP(A26,'HIDDEN import'!B:E,4,FALSE)="C",OR(NOT(ISERROR(VLOOKUP(E26,'Optional features'!B:D,1,FALSE)=E26)),NOT(ISERROR(VLOOKUP(E26,'HIDDEN calc sheet'!A:C,1,FALSE)=E26)))),MD!$A$3,MD!$A$2)))</f>
        <v>Mandatory test for a mandatory feature</v>
      </c>
      <c r="E26" t="str">
        <f>IF('HIDDEN import'!F25=0,"",'HIDDEN import'!F25)</f>
        <v/>
      </c>
      <c r="F26" t="str">
        <f>IF('HIDDEN import'!G25=0,"",'HIDDEN import'!G25)</f>
        <v/>
      </c>
      <c r="G26" s="19" t="str">
        <f>IFERROR(VLOOKUP($A26,'HIDDEN Testrun Results'!$A:$B,2,FALSE),"")</f>
        <v/>
      </c>
      <c r="H26" s="3" t="b">
        <f t="shared" si="0"/>
        <v>1</v>
      </c>
      <c r="I26" s="3" t="b">
        <f>IF(VLOOKUP(A26&amp;" "&amp;B26,'HIDDEN import'!A:G,5,FALSE)="M",TRUE,IFERROR(VLOOKUP(E26,'Optional features'!B:D,3,FALSE)="Yes",IFERROR(VLOOKUP(E26,'HIDDEN calc sheet'!A:B,2,FALSE),IFERROR(VLOOKUP(E26,'Additional questions'!B:D,3,FALSE)="Yes",VLOOKUP(E26,'Hardware Feature set'!B:D,3,FALSE)="No"))))</f>
        <v>1</v>
      </c>
      <c r="J26" s="3" t="b">
        <f>IF(VLOOKUP(B26,'Profile selection'!B:C,2,FALSE)="Yes",TRUE,FALSE)</f>
        <v>1</v>
      </c>
      <c r="K26"/>
      <c r="L26"/>
    </row>
    <row r="27" spans="1:12" ht="15.75" customHeight="1" x14ac:dyDescent="0.25">
      <c r="A27" t="str">
        <f>'HIDDEN import'!B26</f>
        <v>TC_B_37_CS</v>
      </c>
      <c r="B27" t="str">
        <f>'HIDDEN import'!C26</f>
        <v>Core</v>
      </c>
      <c r="C27" t="str">
        <f>'HIDDEN import'!D26</f>
        <v>Set Variables - Not supported attribute type</v>
      </c>
      <c r="D27" t="str">
        <f>IF(VLOOKUP(A27&amp;" "&amp;B27,'HIDDEN import'!A:G,5,FALSE)="M",MD!$A$1,(IF(AND(VLOOKUP(A27,'HIDDEN import'!B:E,4,FALSE)="C",OR(NOT(ISERROR(VLOOKUP(E27,'Optional features'!B:D,1,FALSE)=E27)),NOT(ISERROR(VLOOKUP(E27,'HIDDEN calc sheet'!A:C,1,FALSE)=E27)))),MD!$A$3,MD!$A$2)))</f>
        <v>Mandatory test for a mandatory feature</v>
      </c>
      <c r="E27" t="str">
        <f>IF('HIDDEN import'!F26=0,"",'HIDDEN import'!F26)</f>
        <v/>
      </c>
      <c r="F27" t="str">
        <f>IF('HIDDEN import'!G26=0,"",'HIDDEN import'!G26)</f>
        <v/>
      </c>
      <c r="G27" s="19" t="str">
        <f>IFERROR(VLOOKUP($A27,'HIDDEN Testrun Results'!$A:$B,2,FALSE),"")</f>
        <v/>
      </c>
      <c r="H27" s="3" t="b">
        <f t="shared" si="0"/>
        <v>1</v>
      </c>
      <c r="I27" s="3" t="b">
        <f>IF(VLOOKUP(A27&amp;" "&amp;B27,'HIDDEN import'!A:G,5,FALSE)="M",TRUE,IFERROR(VLOOKUP(E27,'Optional features'!B:D,3,FALSE)="Yes",IFERROR(VLOOKUP(E27,'HIDDEN calc sheet'!A:B,2,FALSE),IFERROR(VLOOKUP(E27,'Additional questions'!B:D,3,FALSE)="Yes",VLOOKUP(E27,'Hardware Feature set'!B:D,3,FALSE)="No"))))</f>
        <v>1</v>
      </c>
      <c r="J27" s="3" t="b">
        <f>IF(VLOOKUP(B27,'Profile selection'!B:C,2,FALSE)="Yes",TRUE,FALSE)</f>
        <v>1</v>
      </c>
      <c r="K27"/>
      <c r="L27"/>
    </row>
    <row r="28" spans="1:12" ht="15.75" customHeight="1" x14ac:dyDescent="0.25">
      <c r="A28" t="str">
        <f>'HIDDEN import'!B27</f>
        <v>TC_B_11_CS</v>
      </c>
      <c r="B28" t="str">
        <f>'HIDDEN import'!C27</f>
        <v>Core</v>
      </c>
      <c r="C28" t="str">
        <f>'HIDDEN import'!D27</f>
        <v>Set Variables - invalidly formatted values</v>
      </c>
      <c r="D28" t="str">
        <f>IF(VLOOKUP(A28&amp;" "&amp;B28,'HIDDEN import'!A:G,5,FALSE)="M",MD!$A$1,(IF(AND(VLOOKUP(A28,'HIDDEN import'!B:E,4,FALSE)="C",OR(NOT(ISERROR(VLOOKUP(E28,'Optional features'!B:D,1,FALSE)=E28)),NOT(ISERROR(VLOOKUP(E28,'HIDDEN calc sheet'!A:C,1,FALSE)=E28)))),MD!$A$3,MD!$A$2)))</f>
        <v>Mandatory test for a mandatory feature</v>
      </c>
      <c r="E28" t="str">
        <f>IF('HIDDEN import'!F27=0,"",'HIDDEN import'!F27)</f>
        <v/>
      </c>
      <c r="F28" t="str">
        <f>IF('HIDDEN import'!G27=0,"",'HIDDEN import'!G27)</f>
        <v/>
      </c>
      <c r="G28" s="19" t="str">
        <f>IFERROR(VLOOKUP($A28,'HIDDEN Testrun Results'!$A:$B,2,FALSE),"")</f>
        <v/>
      </c>
      <c r="H28" s="3" t="b">
        <f t="shared" si="0"/>
        <v>1</v>
      </c>
      <c r="I28" s="3" t="b">
        <f>IF(VLOOKUP(A28&amp;" "&amp;B28,'HIDDEN import'!A:G,5,FALSE)="M",TRUE,IFERROR(VLOOKUP(E28,'Optional features'!B:D,3,FALSE)="Yes",IFERROR(VLOOKUP(E28,'HIDDEN calc sheet'!A:B,2,FALSE),IFERROR(VLOOKUP(E28,'Additional questions'!B:D,3,FALSE)="Yes",VLOOKUP(E28,'Hardware Feature set'!B:D,3,FALSE)="No"))))</f>
        <v>1</v>
      </c>
      <c r="J28" s="3" t="b">
        <f>IF(VLOOKUP(B28,'Profile selection'!B:C,2,FALSE)="Yes",TRUE,FALSE)</f>
        <v>1</v>
      </c>
      <c r="K28"/>
      <c r="L28"/>
    </row>
    <row r="29" spans="1:12" ht="15.75" customHeight="1" x14ac:dyDescent="0.25">
      <c r="A29" t="str">
        <f>'HIDDEN import'!B28</f>
        <v>TC_B_39_CS</v>
      </c>
      <c r="B29" t="str">
        <f>'HIDDEN import'!C28</f>
        <v>Core</v>
      </c>
      <c r="C29" t="str">
        <f>'HIDDEN import'!D28</f>
        <v>Set Variables - Read-only</v>
      </c>
      <c r="D29" t="str">
        <f>IF(VLOOKUP(A29&amp;" "&amp;B29,'HIDDEN import'!A:G,5,FALSE)="M",MD!$A$1,(IF(AND(VLOOKUP(A29,'HIDDEN import'!B:E,4,FALSE)="C",OR(NOT(ISERROR(VLOOKUP(E29,'Optional features'!B:D,1,FALSE)=E29)),NOT(ISERROR(VLOOKUP(E29,'HIDDEN calc sheet'!A:C,1,FALSE)=E29)))),MD!$A$3,MD!$A$2)))</f>
        <v>Mandatory test for a mandatory feature</v>
      </c>
      <c r="E29" t="str">
        <f>IF('HIDDEN import'!F28=0,"",'HIDDEN import'!F28)</f>
        <v/>
      </c>
      <c r="F29" t="str">
        <f>IF('HIDDEN import'!G28=0,"",'HIDDEN import'!G28)</f>
        <v/>
      </c>
      <c r="G29" s="19" t="str">
        <f>IFERROR(VLOOKUP($A29,'HIDDEN Testrun Results'!$A:$B,2,FALSE),"")</f>
        <v/>
      </c>
      <c r="H29" s="3" t="b">
        <f t="shared" si="0"/>
        <v>1</v>
      </c>
      <c r="I29" s="3" t="b">
        <f>IF(VLOOKUP(A29&amp;" "&amp;B29,'HIDDEN import'!A:G,5,FALSE)="M",TRUE,IFERROR(VLOOKUP(E29,'Optional features'!B:D,3,FALSE)="Yes",IFERROR(VLOOKUP(E29,'HIDDEN calc sheet'!A:B,2,FALSE),IFERROR(VLOOKUP(E29,'Additional questions'!B:D,3,FALSE)="Yes",VLOOKUP(E29,'Hardware Feature set'!B:D,3,FALSE)="No"))))</f>
        <v>1</v>
      </c>
      <c r="J29" s="3" t="b">
        <f>IF(VLOOKUP(B29,'Profile selection'!B:C,2,FALSE)="Yes",TRUE,FALSE)</f>
        <v>1</v>
      </c>
      <c r="K29"/>
      <c r="L29"/>
    </row>
    <row r="30" spans="1:12" ht="15.75" customHeight="1" x14ac:dyDescent="0.25">
      <c r="A30" t="str">
        <f>'HIDDEN import'!B29</f>
        <v>TC_B_12_CS</v>
      </c>
      <c r="B30" t="str">
        <f>'HIDDEN import'!C29</f>
        <v>Core</v>
      </c>
      <c r="C30" t="str">
        <f>'HIDDEN import'!D29</f>
        <v>Get Base Report - ConfigurationInventory</v>
      </c>
      <c r="D30" t="str">
        <f>IF(VLOOKUP(A30&amp;" "&amp;B30,'HIDDEN import'!A:G,5,FALSE)="M",MD!$A$1,(IF(AND(VLOOKUP(A30,'HIDDEN import'!B:E,4,FALSE)="C",OR(NOT(ISERROR(VLOOKUP(E30,'Optional features'!B:D,1,FALSE)=E30)),NOT(ISERROR(VLOOKUP(E30,'HIDDEN calc sheet'!A:C,1,FALSE)=E30)))),MD!$A$3,MD!$A$2)))</f>
        <v>Mandatory test for a mandatory feature</v>
      </c>
      <c r="E30" t="str">
        <f>IF('HIDDEN import'!F29=0,"",'HIDDEN import'!F29)</f>
        <v/>
      </c>
      <c r="F30" t="str">
        <f>IF('HIDDEN import'!G29=0,"",'HIDDEN import'!G29)</f>
        <v/>
      </c>
      <c r="G30" s="19" t="str">
        <f>IFERROR(VLOOKUP($A30,'HIDDEN Testrun Results'!$A:$B,2,FALSE),"")</f>
        <v/>
      </c>
      <c r="H30" s="3" t="b">
        <f t="shared" si="0"/>
        <v>1</v>
      </c>
      <c r="I30" s="3" t="b">
        <f>IF(VLOOKUP(A30&amp;" "&amp;B30,'HIDDEN import'!A:G,5,FALSE)="M",TRUE,IFERROR(VLOOKUP(E30,'Optional features'!B:D,3,FALSE)="Yes",IFERROR(VLOOKUP(E30,'HIDDEN calc sheet'!A:B,2,FALSE),IFERROR(VLOOKUP(E30,'Additional questions'!B:D,3,FALSE)="Yes",VLOOKUP(E30,'Hardware Feature set'!B:D,3,FALSE)="No"))))</f>
        <v>1</v>
      </c>
      <c r="J30" s="3" t="b">
        <f>IF(VLOOKUP(B30,'Profile selection'!B:C,2,FALSE)="Yes",TRUE,FALSE)</f>
        <v>1</v>
      </c>
      <c r="K30"/>
      <c r="L30"/>
    </row>
    <row r="31" spans="1:12" ht="15.75" customHeight="1" x14ac:dyDescent="0.25">
      <c r="A31" t="str">
        <f>'HIDDEN import'!B30</f>
        <v>TC_B_13_CS</v>
      </c>
      <c r="B31" t="str">
        <f>'HIDDEN import'!C30</f>
        <v>Core</v>
      </c>
      <c r="C31" t="str">
        <f>'HIDDEN import'!D30</f>
        <v>Get Base Report - FullInventory</v>
      </c>
      <c r="D31" t="str">
        <f>IF(VLOOKUP(A31&amp;" "&amp;B31,'HIDDEN import'!A:G,5,FALSE)="M",MD!$A$1,(IF(AND(VLOOKUP(A31,'HIDDEN import'!B:E,4,FALSE)="C",OR(NOT(ISERROR(VLOOKUP(E31,'Optional features'!B:D,1,FALSE)=E31)),NOT(ISERROR(VLOOKUP(E31,'HIDDEN calc sheet'!A:C,1,FALSE)=E31)))),MD!$A$3,MD!$A$2)))</f>
        <v>Mandatory test for a mandatory feature</v>
      </c>
      <c r="E31" t="str">
        <f>IF('HIDDEN import'!F30=0,"",'HIDDEN import'!F30)</f>
        <v/>
      </c>
      <c r="F31" t="str">
        <f>IF('HIDDEN import'!G30=0,"",'HIDDEN import'!G30)</f>
        <v/>
      </c>
      <c r="G31" s="19" t="str">
        <f>IFERROR(VLOOKUP($A31,'HIDDEN Testrun Results'!$A:$B,2,FALSE),"")</f>
        <v/>
      </c>
      <c r="H31" s="3" t="b">
        <f t="shared" si="0"/>
        <v>1</v>
      </c>
      <c r="I31" s="3" t="b">
        <f>IF(VLOOKUP(A31&amp;" "&amp;B31,'HIDDEN import'!A:G,5,FALSE)="M",TRUE,IFERROR(VLOOKUP(E31,'Optional features'!B:D,3,FALSE)="Yes",IFERROR(VLOOKUP(E31,'HIDDEN calc sheet'!A:B,2,FALSE),IFERROR(VLOOKUP(E31,'Additional questions'!B:D,3,FALSE)="Yes",VLOOKUP(E31,'Hardware Feature set'!B:D,3,FALSE)="No"))))</f>
        <v>1</v>
      </c>
      <c r="J31" s="3" t="b">
        <f>IF(VLOOKUP(B31,'Profile selection'!B:C,2,FALSE)="Yes",TRUE,FALSE)</f>
        <v>1</v>
      </c>
      <c r="K31"/>
      <c r="L31"/>
    </row>
    <row r="32" spans="1:12" ht="15.75" customHeight="1" x14ac:dyDescent="0.25">
      <c r="A32" t="str">
        <f>'HIDDEN import'!B31</f>
        <v>TC_B_14_CS</v>
      </c>
      <c r="B32" t="str">
        <f>'HIDDEN import'!C31</f>
        <v>Core</v>
      </c>
      <c r="C32" t="str">
        <f>'HIDDEN import'!D31</f>
        <v>Get Base Report - SummaryInventory</v>
      </c>
      <c r="D32" t="str">
        <f>IF(VLOOKUP(A32&amp;" "&amp;B32,'HIDDEN import'!A:G,5,FALSE)="M",MD!$A$1,(IF(AND(VLOOKUP(A32,'HIDDEN import'!B:E,4,FALSE)="C",OR(NOT(ISERROR(VLOOKUP(E32,'Optional features'!B:D,1,FALSE)=E32)),NOT(ISERROR(VLOOKUP(E32,'HIDDEN calc sheet'!A:C,1,FALSE)=E32)))),MD!$A$3,MD!$A$2)))</f>
        <v>Mandatory for optional feature</v>
      </c>
      <c r="E32" t="str">
        <f>IF('HIDDEN import'!F31=0,"",'HIDDEN import'!F31)</f>
        <v>C-56 OR DM-0</v>
      </c>
      <c r="F32" t="str">
        <f>IF('HIDDEN import'!G31=0,"",'HIDDEN import'!G31)</f>
        <v/>
      </c>
      <c r="G32" s="19" t="str">
        <f>IFERROR(VLOOKUP($A32,'HIDDEN Testrun Results'!$A:$B,2,FALSE),"")</f>
        <v/>
      </c>
      <c r="H32" s="3" t="b">
        <f t="shared" si="0"/>
        <v>0</v>
      </c>
      <c r="I32" s="3" t="b">
        <f>IF(VLOOKUP(A32&amp;" "&amp;B32,'HIDDEN import'!A:G,5,FALSE)="M",TRUE,IFERROR(VLOOKUP(E32,'Optional features'!B:D,3,FALSE)="Yes",IFERROR(VLOOKUP(E32,'HIDDEN calc sheet'!A:B,2,FALSE),IFERROR(VLOOKUP(E32,'Additional questions'!B:D,3,FALSE)="Yes",VLOOKUP(E32,'Hardware Feature set'!B:D,3,FALSE)="No"))))</f>
        <v>0</v>
      </c>
      <c r="J32" s="3" t="b">
        <f>IF(VLOOKUP(B32,'Profile selection'!B:C,2,FALSE)="Yes",TRUE,FALSE)</f>
        <v>1</v>
      </c>
      <c r="K32"/>
      <c r="L32"/>
    </row>
    <row r="33" spans="1:12" ht="15.75" customHeight="1" x14ac:dyDescent="0.25">
      <c r="A33" t="str">
        <f>'HIDDEN import'!B32</f>
        <v>TC_B_15_CS</v>
      </c>
      <c r="B33" t="str">
        <f>'HIDDEN import'!C32</f>
        <v>Core</v>
      </c>
      <c r="C33" t="str">
        <f>'HIDDEN import'!D32</f>
        <v>Get Base Report - Not Supported base report</v>
      </c>
      <c r="D33" t="str">
        <f>IF(VLOOKUP(A33&amp;" "&amp;B33,'HIDDEN import'!A:G,5,FALSE)="M",MD!$A$1,(IF(AND(VLOOKUP(A33,'HIDDEN import'!B:E,4,FALSE)="C",OR(NOT(ISERROR(VLOOKUP(E33,'Optional features'!B:D,1,FALSE)=E33)),NOT(ISERROR(VLOOKUP(E33,'HIDDEN calc sheet'!A:C,1,FALSE)=E33)))),MD!$A$3,MD!$A$2)))</f>
        <v>Mandatory for optional feature</v>
      </c>
      <c r="E33" t="str">
        <f>IF('HIDDEN import'!F32=0,"",'HIDDEN import'!F32)</f>
        <v>Not C-56</v>
      </c>
      <c r="F33" t="str">
        <f>IF('HIDDEN import'!G32=0,"",'HIDDEN import'!G32)</f>
        <v/>
      </c>
      <c r="G33" s="19" t="str">
        <f>IFERROR(VLOOKUP($A33,'HIDDEN Testrun Results'!$A:$B,2,FALSE),"")</f>
        <v/>
      </c>
      <c r="H33" s="3" t="b">
        <f t="shared" si="0"/>
        <v>1</v>
      </c>
      <c r="I33" s="3" t="b">
        <f>IF(VLOOKUP(A33&amp;" "&amp;B33,'HIDDEN import'!A:G,5,FALSE)="M",TRUE,IFERROR(VLOOKUP(E33,'Optional features'!B:D,3,FALSE)="Yes",IFERROR(VLOOKUP(E33,'HIDDEN calc sheet'!A:B,2,FALSE),IFERROR(VLOOKUP(E33,'Additional questions'!B:D,3,FALSE)="Yes",VLOOKUP(E33,'Hardware Feature set'!B:D,3,FALSE)="No"))))</f>
        <v>1</v>
      </c>
      <c r="J33" s="3" t="b">
        <f>IF(VLOOKUP(B33,'Profile selection'!B:C,2,FALSE)="Yes",TRUE,FALSE)</f>
        <v>1</v>
      </c>
      <c r="K33"/>
      <c r="L33"/>
    </row>
    <row r="34" spans="1:12" ht="15.75" customHeight="1" x14ac:dyDescent="0.25">
      <c r="A34" t="str">
        <f>'HIDDEN import'!B33</f>
        <v>TC_B_53_CS</v>
      </c>
      <c r="B34" t="str">
        <f>'HIDDEN import'!C33</f>
        <v>Core</v>
      </c>
      <c r="C34" t="str">
        <f>'HIDDEN import'!D33</f>
        <v>Get Base Report - Test mandatory DM variables via FullInventory</v>
      </c>
      <c r="D34" t="str">
        <f>IF(VLOOKUP(A34&amp;" "&amp;B34,'HIDDEN import'!A:G,5,FALSE)="M",MD!$A$1,(IF(AND(VLOOKUP(A34,'HIDDEN import'!B:E,4,FALSE)="C",OR(NOT(ISERROR(VLOOKUP(E34,'Optional features'!B:D,1,FALSE)=E34)),NOT(ISERROR(VLOOKUP(E34,'HIDDEN calc sheet'!A:C,1,FALSE)=E34)))),MD!$A$3,MD!$A$2)))</f>
        <v>Mandatory test for a mandatory feature</v>
      </c>
      <c r="E34" t="str">
        <f>IF('HIDDEN import'!F33=0,"",'HIDDEN import'!F33)</f>
        <v/>
      </c>
      <c r="F34" t="str">
        <f>IF('HIDDEN import'!G33=0,"",'HIDDEN import'!G33)</f>
        <v/>
      </c>
      <c r="G34" s="19" t="str">
        <f>IFERROR(VLOOKUP($A34,'HIDDEN Testrun Results'!$A:$B,2,FALSE),"")</f>
        <v/>
      </c>
      <c r="H34" s="3" t="b">
        <f t="shared" si="0"/>
        <v>1</v>
      </c>
      <c r="I34" s="3" t="b">
        <f>IF(VLOOKUP(A34&amp;" "&amp;B34,'HIDDEN import'!A:G,5,FALSE)="M",TRUE,IFERROR(VLOOKUP(E34,'Optional features'!B:D,3,FALSE)="Yes",IFERROR(VLOOKUP(E34,'HIDDEN calc sheet'!A:B,2,FALSE),IFERROR(VLOOKUP(E34,'Additional questions'!B:D,3,FALSE)="Yes",VLOOKUP(E34,'Hardware Feature set'!B:D,3,FALSE)="No"))))</f>
        <v>1</v>
      </c>
      <c r="J34" s="3" t="b">
        <f>IF(VLOOKUP(B34,'Profile selection'!B:C,2,FALSE)="Yes",TRUE,FALSE)</f>
        <v>1</v>
      </c>
      <c r="K34"/>
      <c r="L34"/>
    </row>
    <row r="35" spans="1:12" ht="15.75" customHeight="1" x14ac:dyDescent="0.25">
      <c r="A35" t="str">
        <f>'HIDDEN import'!B34</f>
        <v>TC_B_20_CS</v>
      </c>
      <c r="B35" t="str">
        <f>'HIDDEN import'!C34</f>
        <v>Core</v>
      </c>
      <c r="C35" t="str">
        <f>'HIDDEN import'!D34</f>
        <v>Reset Charging Station - Without ongoing transaction - OnIdle</v>
      </c>
      <c r="D35" t="str">
        <f>IF(VLOOKUP(A35&amp;" "&amp;B35,'HIDDEN import'!A:G,5,FALSE)="M",MD!$A$1,(IF(AND(VLOOKUP(A35,'HIDDEN import'!B:E,4,FALSE)="C",OR(NOT(ISERROR(VLOOKUP(E35,'Optional features'!B:D,1,FALSE)=E35)),NOT(ISERROR(VLOOKUP(E35,'HIDDEN calc sheet'!A:C,1,FALSE)=E35)))),MD!$A$3,MD!$A$2)))</f>
        <v>Mandatory for optional feature</v>
      </c>
      <c r="E35" t="str">
        <f>IF('HIDDEN import'!F34=0,"",'HIDDEN import'!F34)</f>
        <v>NOT HFS-13</v>
      </c>
      <c r="F35" t="str">
        <f>IF('HIDDEN import'!G34=0,"",'HIDDEN import'!G34)</f>
        <v/>
      </c>
      <c r="G35" s="19" t="str">
        <f>IFERROR(VLOOKUP($A35,'HIDDEN Testrun Results'!$A:$B,2,FALSE),"")</f>
        <v/>
      </c>
      <c r="H35" s="3" t="b">
        <f t="shared" si="0"/>
        <v>1</v>
      </c>
      <c r="I35" s="3" t="b">
        <f>IF(VLOOKUP(A35&amp;" "&amp;B35,'HIDDEN import'!A:G,5,FALSE)="M",TRUE,IFERROR(VLOOKUP(E35,'Optional features'!B:D,3,FALSE)="Yes",IFERROR(VLOOKUP(E35,'HIDDEN calc sheet'!A:B,2,FALSE),IFERROR(VLOOKUP(E35,'Additional questions'!B:D,3,FALSE)="Yes",VLOOKUP(E35,'Hardware Feature set'!B:D,3,FALSE)="No"))))</f>
        <v>1</v>
      </c>
      <c r="J35" s="3" t="b">
        <f>IF(VLOOKUP(B35,'Profile selection'!B:C,2,FALSE)="Yes",TRUE,FALSE)</f>
        <v>1</v>
      </c>
      <c r="K35"/>
      <c r="L35"/>
    </row>
    <row r="36" spans="1:12" ht="15.75" customHeight="1" x14ac:dyDescent="0.25">
      <c r="A36" t="str">
        <f>'HIDDEN import'!B35</f>
        <v>TC_B_21_CS</v>
      </c>
      <c r="B36" t="str">
        <f>'HIDDEN import'!C35</f>
        <v>Core</v>
      </c>
      <c r="C36" t="str">
        <f>'HIDDEN import'!D35</f>
        <v>Reset Charging Station - With Ongoing Transaction - OnIdle</v>
      </c>
      <c r="D36" t="str">
        <f>IF(VLOOKUP(A36&amp;" "&amp;B36,'HIDDEN import'!A:G,5,FALSE)="M",MD!$A$1,(IF(AND(VLOOKUP(A36,'HIDDEN import'!B:E,4,FALSE)="C",OR(NOT(ISERROR(VLOOKUP(E36,'Optional features'!B:D,1,FALSE)=E36)),NOT(ISERROR(VLOOKUP(E36,'HIDDEN calc sheet'!A:C,1,FALSE)=E36)))),MD!$A$3,MD!$A$2)))</f>
        <v>Mandatory for optional feature</v>
      </c>
      <c r="E36" t="str">
        <f>IF('HIDDEN import'!F35=0,"",'HIDDEN import'!F35)</f>
        <v>NOT HFS-13</v>
      </c>
      <c r="F36" t="str">
        <f>IF('HIDDEN import'!G35=0,"",'HIDDEN import'!G35)</f>
        <v/>
      </c>
      <c r="G36" s="19" t="str">
        <f>IFERROR(VLOOKUP($A36,'HIDDEN Testrun Results'!$A:$B,2,FALSE),"")</f>
        <v/>
      </c>
      <c r="H36" s="3" t="b">
        <f t="shared" si="0"/>
        <v>1</v>
      </c>
      <c r="I36" s="3" t="b">
        <f>IF(VLOOKUP(A36&amp;" "&amp;B36,'HIDDEN import'!A:G,5,FALSE)="M",TRUE,IFERROR(VLOOKUP(E36,'Optional features'!B:D,3,FALSE)="Yes",IFERROR(VLOOKUP(E36,'HIDDEN calc sheet'!A:B,2,FALSE),IFERROR(VLOOKUP(E36,'Additional questions'!B:D,3,FALSE)="Yes",VLOOKUP(E36,'Hardware Feature set'!B:D,3,FALSE)="No"))))</f>
        <v>1</v>
      </c>
      <c r="J36" s="3" t="b">
        <f>IF(VLOOKUP(B36,'Profile selection'!B:C,2,FALSE)="Yes",TRUE,FALSE)</f>
        <v>1</v>
      </c>
      <c r="K36"/>
      <c r="L36"/>
    </row>
    <row r="37" spans="1:12" ht="15.75" customHeight="1" x14ac:dyDescent="0.25">
      <c r="A37" t="str">
        <f>'HIDDEN import'!B36</f>
        <v>TC_B_22_CS</v>
      </c>
      <c r="B37" t="str">
        <f>'HIDDEN import'!C36</f>
        <v>Core</v>
      </c>
      <c r="C37" t="str">
        <f>'HIDDEN import'!D36</f>
        <v>Reset Charging Station - With Ongoing Transaction - Immediate</v>
      </c>
      <c r="D37" t="str">
        <f>IF(VLOOKUP(A37&amp;" "&amp;B37,'HIDDEN import'!A:G,5,FALSE)="M",MD!$A$1,(IF(AND(VLOOKUP(A37,'HIDDEN import'!B:E,4,FALSE)="C",OR(NOT(ISERROR(VLOOKUP(E37,'Optional features'!B:D,1,FALSE)=E37)),NOT(ISERROR(VLOOKUP(E37,'HIDDEN calc sheet'!A:C,1,FALSE)=E37)))),MD!$A$3,MD!$A$2)))</f>
        <v>Mandatory test for a mandatory feature</v>
      </c>
      <c r="E37" t="str">
        <f>IF('HIDDEN import'!F36=0,"",'HIDDEN import'!F36)</f>
        <v/>
      </c>
      <c r="F37" t="str">
        <f>IF('HIDDEN import'!G36=0,"",'HIDDEN import'!G36)</f>
        <v/>
      </c>
      <c r="G37" s="19" t="str">
        <f>IFERROR(VLOOKUP($A37,'HIDDEN Testrun Results'!$A:$B,2,FALSE),"")</f>
        <v/>
      </c>
      <c r="H37" s="3" t="b">
        <f t="shared" si="0"/>
        <v>1</v>
      </c>
      <c r="I37" s="3" t="b">
        <f>IF(VLOOKUP(A37&amp;" "&amp;B37,'HIDDEN import'!A:G,5,FALSE)="M",TRUE,IFERROR(VLOOKUP(E37,'Optional features'!B:D,3,FALSE)="Yes",IFERROR(VLOOKUP(E37,'HIDDEN calc sheet'!A:B,2,FALSE),IFERROR(VLOOKUP(E37,'Additional questions'!B:D,3,FALSE)="Yes",VLOOKUP(E37,'Hardware Feature set'!B:D,3,FALSE)="No"))))</f>
        <v>1</v>
      </c>
      <c r="J37" s="3" t="b">
        <f>IF(VLOOKUP(B37,'Profile selection'!B:C,2,FALSE)="Yes",TRUE,FALSE)</f>
        <v>1</v>
      </c>
      <c r="K37"/>
      <c r="L37"/>
    </row>
    <row r="38" spans="1:12" ht="15.75" customHeight="1" x14ac:dyDescent="0.25">
      <c r="A38" t="str">
        <f>'HIDDEN import'!B37</f>
        <v>TC_B_23_CS</v>
      </c>
      <c r="B38" t="str">
        <f>'HIDDEN import'!C37</f>
        <v>Core</v>
      </c>
      <c r="C38" t="str">
        <f>'HIDDEN import'!D37</f>
        <v>Reset Charging Station - Unavailable persists reset</v>
      </c>
      <c r="D38" t="str">
        <f>IF(VLOOKUP(A38&amp;" "&amp;B38,'HIDDEN import'!A:G,5,FALSE)="M",MD!$A$1,(IF(AND(VLOOKUP(A38,'HIDDEN import'!B:E,4,FALSE)="C",OR(NOT(ISERROR(VLOOKUP(E38,'Optional features'!B:D,1,FALSE)=E38)),NOT(ISERROR(VLOOKUP(E38,'HIDDEN calc sheet'!A:C,1,FALSE)=E38)))),MD!$A$3,MD!$A$2)))</f>
        <v>Mandatory test for a mandatory feature</v>
      </c>
      <c r="E38" t="str">
        <f>IF('HIDDEN import'!F37=0,"",'HIDDEN import'!F37)</f>
        <v/>
      </c>
      <c r="F38" t="str">
        <f>IF('HIDDEN import'!G37=0,"",'HIDDEN import'!G37)</f>
        <v/>
      </c>
      <c r="G38" s="19" t="str">
        <f>IFERROR(VLOOKUP($A38,'HIDDEN Testrun Results'!$A:$B,2,FALSE),"")</f>
        <v/>
      </c>
      <c r="H38" s="3" t="b">
        <f t="shared" si="0"/>
        <v>1</v>
      </c>
      <c r="I38" s="3" t="b">
        <f>IF(VLOOKUP(A38&amp;" "&amp;B38,'HIDDEN import'!A:G,5,FALSE)="M",TRUE,IFERROR(VLOOKUP(E38,'Optional features'!B:D,3,FALSE)="Yes",IFERROR(VLOOKUP(E38,'HIDDEN calc sheet'!A:B,2,FALSE),IFERROR(VLOOKUP(E38,'Additional questions'!B:D,3,FALSE)="Yes",VLOOKUP(E38,'Hardware Feature set'!B:D,3,FALSE)="No"))))</f>
        <v>1</v>
      </c>
      <c r="J38" s="3" t="b">
        <f>IF(VLOOKUP(B38,'Profile selection'!B:C,2,FALSE)="Yes",TRUE,FALSE)</f>
        <v>1</v>
      </c>
      <c r="K38"/>
      <c r="L38"/>
    </row>
    <row r="39" spans="1:12" ht="15.75" customHeight="1" x14ac:dyDescent="0.25">
      <c r="A39" t="str">
        <f>'HIDDEN import'!B38</f>
        <v>TC_B_41_CS</v>
      </c>
      <c r="B39" t="str">
        <f>'HIDDEN import'!C38</f>
        <v>Core</v>
      </c>
      <c r="C39" t="str">
        <f>'HIDDEN import'!D38</f>
        <v>Reset Charging Station - With multiple ongoing transactions - OnIdle</v>
      </c>
      <c r="D39" t="str">
        <f>IF(VLOOKUP(A39&amp;" "&amp;B39,'HIDDEN import'!A:G,5,FALSE)="M",MD!$A$1,(IF(AND(VLOOKUP(A39,'HIDDEN import'!B:E,4,FALSE)="C",OR(NOT(ISERROR(VLOOKUP(E39,'Optional features'!B:D,1,FALSE)=E39)),NOT(ISERROR(VLOOKUP(E39,'HIDDEN calc sheet'!A:C,1,FALSE)=E39)))),MD!$A$3,MD!$A$2)))</f>
        <v>Mandatory for optional feature</v>
      </c>
      <c r="E39" t="str">
        <f>IF('HIDDEN import'!F38=0,"",'HIDDEN import'!F38)</f>
        <v>HFS-8 &gt; 1 AND NOT HFS-13</v>
      </c>
      <c r="F39" t="str">
        <f>IF('HIDDEN import'!G38=0,"",'HIDDEN import'!G38)</f>
        <v/>
      </c>
      <c r="G39" s="19" t="str">
        <f>IFERROR(VLOOKUP($A39,'HIDDEN Testrun Results'!$A:$B,2,FALSE),"")</f>
        <v/>
      </c>
      <c r="H39" s="3" t="b">
        <f t="shared" si="0"/>
        <v>0</v>
      </c>
      <c r="I39" s="3" t="b">
        <f>IF(VLOOKUP(A39&amp;" "&amp;B39,'HIDDEN import'!A:G,5,FALSE)="M",TRUE,IFERROR(VLOOKUP(E39,'Optional features'!B:D,3,FALSE)="Yes",IFERROR(VLOOKUP(E39,'HIDDEN calc sheet'!A:B,2,FALSE),IFERROR(VLOOKUP(E39,'Additional questions'!B:D,3,FALSE)="Yes",VLOOKUP(E39,'Hardware Feature set'!B:D,3,FALSE)="No"))))</f>
        <v>0</v>
      </c>
      <c r="J39" s="3" t="b">
        <f>IF(VLOOKUP(B39,'Profile selection'!B:C,2,FALSE)="Yes",TRUE,FALSE)</f>
        <v>1</v>
      </c>
      <c r="K39"/>
      <c r="L39"/>
    </row>
    <row r="40" spans="1:12" ht="15.75" customHeight="1" x14ac:dyDescent="0.25">
      <c r="A40" t="str">
        <f>'HIDDEN import'!B39</f>
        <v>TC_B_25_CS</v>
      </c>
      <c r="B40" t="str">
        <f>'HIDDEN import'!C39</f>
        <v>Core</v>
      </c>
      <c r="C40" t="str">
        <f>'HIDDEN import'!D39</f>
        <v>Reset EVSE - Without ongoing transaction</v>
      </c>
      <c r="D40" t="str">
        <f>IF(VLOOKUP(A40&amp;" "&amp;B40,'HIDDEN import'!A:G,5,FALSE)="M",MD!$A$1,(IF(AND(VLOOKUP(A40,'HIDDEN import'!B:E,4,FALSE)="C",OR(NOT(ISERROR(VLOOKUP(E40,'Optional features'!B:D,1,FALSE)=E40)),NOT(ISERROR(VLOOKUP(E40,'HIDDEN calc sheet'!A:C,1,FALSE)=E40)))),MD!$A$3,MD!$A$2)))</f>
        <v>Mandatory for optional feature</v>
      </c>
      <c r="E40" t="str">
        <f>IF('HIDDEN import'!F39=0,"",'HIDDEN import'!F39)</f>
        <v>C-13</v>
      </c>
      <c r="F40" t="str">
        <f>IF('HIDDEN import'!G39=0,"",'HIDDEN import'!G39)</f>
        <v>Reset per EVSE</v>
      </c>
      <c r="G40" s="19" t="str">
        <f>IFERROR(VLOOKUP($A40,'HIDDEN Testrun Results'!$A:$B,2,FALSE),"")</f>
        <v/>
      </c>
      <c r="H40" s="3" t="b">
        <f t="shared" si="0"/>
        <v>0</v>
      </c>
      <c r="I40" s="3" t="b">
        <f>IF(VLOOKUP(A40&amp;" "&amp;B40,'HIDDEN import'!A:G,5,FALSE)="M",TRUE,IFERROR(VLOOKUP(E40,'Optional features'!B:D,3,FALSE)="Yes",IFERROR(VLOOKUP(E40,'HIDDEN calc sheet'!A:B,2,FALSE),IFERROR(VLOOKUP(E40,'Additional questions'!B:D,3,FALSE)="Yes",VLOOKUP(E40,'Hardware Feature set'!B:D,3,FALSE)="No"))))</f>
        <v>0</v>
      </c>
      <c r="J40" s="3" t="b">
        <f>IF(VLOOKUP(B40,'Profile selection'!B:C,2,FALSE)="Yes",TRUE,FALSE)</f>
        <v>1</v>
      </c>
      <c r="K40"/>
      <c r="L40"/>
    </row>
    <row r="41" spans="1:12" ht="15.75" customHeight="1" x14ac:dyDescent="0.25">
      <c r="A41" t="str">
        <f>'HIDDEN import'!B40</f>
        <v>TC_B_26_CS</v>
      </c>
      <c r="B41" t="str">
        <f>'HIDDEN import'!C40</f>
        <v>Core</v>
      </c>
      <c r="C41" t="str">
        <f>'HIDDEN import'!D40</f>
        <v>Reset EVSE - With Ongoing Transaction - OnIdle</v>
      </c>
      <c r="D41" t="str">
        <f>IF(VLOOKUP(A41&amp;" "&amp;B41,'HIDDEN import'!A:G,5,FALSE)="M",MD!$A$1,(IF(AND(VLOOKUP(A41,'HIDDEN import'!B:E,4,FALSE)="C",OR(NOT(ISERROR(VLOOKUP(E41,'Optional features'!B:D,1,FALSE)=E41)),NOT(ISERROR(VLOOKUP(E41,'HIDDEN calc sheet'!A:C,1,FALSE)=E41)))),MD!$A$3,MD!$A$2)))</f>
        <v>Mandatory for optional feature</v>
      </c>
      <c r="E41" t="str">
        <f>IF('HIDDEN import'!F40=0,"",'HIDDEN import'!F40)</f>
        <v>C-13</v>
      </c>
      <c r="F41" t="str">
        <f>IF('HIDDEN import'!G40=0,"",'HIDDEN import'!G40)</f>
        <v>Reset per EVSE</v>
      </c>
      <c r="G41" s="19" t="str">
        <f>IFERROR(VLOOKUP($A41,'HIDDEN Testrun Results'!$A:$B,2,FALSE),"")</f>
        <v/>
      </c>
      <c r="H41" s="3" t="b">
        <f t="shared" si="0"/>
        <v>0</v>
      </c>
      <c r="I41" s="3" t="b">
        <f>IF(VLOOKUP(A41&amp;" "&amp;B41,'HIDDEN import'!A:G,5,FALSE)="M",TRUE,IFERROR(VLOOKUP(E41,'Optional features'!B:D,3,FALSE)="Yes",IFERROR(VLOOKUP(E41,'HIDDEN calc sheet'!A:B,2,FALSE),IFERROR(VLOOKUP(E41,'Additional questions'!B:D,3,FALSE)="Yes",VLOOKUP(E41,'Hardware Feature set'!B:D,3,FALSE)="No"))))</f>
        <v>0</v>
      </c>
      <c r="J41" s="3" t="b">
        <f>IF(VLOOKUP(B41,'Profile selection'!B:C,2,FALSE)="Yes",TRUE,FALSE)</f>
        <v>1</v>
      </c>
      <c r="K41"/>
      <c r="L41"/>
    </row>
    <row r="42" spans="1:12" ht="15.75" customHeight="1" x14ac:dyDescent="0.25">
      <c r="A42" t="str">
        <f>'HIDDEN import'!B41</f>
        <v>TC_B_27_CS</v>
      </c>
      <c r="B42" t="str">
        <f>'HIDDEN import'!C41</f>
        <v>Core</v>
      </c>
      <c r="C42" t="str">
        <f>'HIDDEN import'!D41</f>
        <v>Reset EVSE - With Ongoing Transaction - Immediate</v>
      </c>
      <c r="D42" t="str">
        <f>IF(VLOOKUP(A42&amp;" "&amp;B42,'HIDDEN import'!A:G,5,FALSE)="M",MD!$A$1,(IF(AND(VLOOKUP(A42,'HIDDEN import'!B:E,4,FALSE)="C",OR(NOT(ISERROR(VLOOKUP(E42,'Optional features'!B:D,1,FALSE)=E42)),NOT(ISERROR(VLOOKUP(E42,'HIDDEN calc sheet'!A:C,1,FALSE)=E42)))),MD!$A$3,MD!$A$2)))</f>
        <v>Mandatory for optional feature</v>
      </c>
      <c r="E42" t="str">
        <f>IF('HIDDEN import'!F41=0,"",'HIDDEN import'!F41)</f>
        <v>C-13</v>
      </c>
      <c r="F42" t="str">
        <f>IF('HIDDEN import'!G41=0,"",'HIDDEN import'!G41)</f>
        <v>Reset per EVSE</v>
      </c>
      <c r="G42" s="19" t="str">
        <f>IFERROR(VLOOKUP($A42,'HIDDEN Testrun Results'!$A:$B,2,FALSE),"")</f>
        <v/>
      </c>
      <c r="H42" s="3" t="b">
        <f t="shared" si="0"/>
        <v>0</v>
      </c>
      <c r="I42" s="3" t="b">
        <f>IF(VLOOKUP(A42&amp;" "&amp;B42,'HIDDEN import'!A:G,5,FALSE)="M",TRUE,IFERROR(VLOOKUP(E42,'Optional features'!B:D,3,FALSE)="Yes",IFERROR(VLOOKUP(E42,'HIDDEN calc sheet'!A:B,2,FALSE),IFERROR(VLOOKUP(E42,'Additional questions'!B:D,3,FALSE)="Yes",VLOOKUP(E42,'Hardware Feature set'!B:D,3,FALSE)="No"))))</f>
        <v>0</v>
      </c>
      <c r="J42" s="3" t="b">
        <f>IF(VLOOKUP(B42,'Profile selection'!B:C,2,FALSE)="Yes",TRUE,FALSE)</f>
        <v>1</v>
      </c>
      <c r="K42"/>
      <c r="L42"/>
    </row>
    <row r="43" spans="1:12" ht="15.75" customHeight="1" x14ac:dyDescent="0.25">
      <c r="A43" t="str">
        <f>'HIDDEN import'!B42</f>
        <v>TC_B_28_CS</v>
      </c>
      <c r="B43" t="str">
        <f>'HIDDEN import'!C42</f>
        <v>Core</v>
      </c>
      <c r="C43" t="str">
        <f>'HIDDEN import'!D42</f>
        <v>Reset EVSE - Not Supported</v>
      </c>
      <c r="D43" t="str">
        <f>IF(VLOOKUP(A43&amp;" "&amp;B43,'HIDDEN import'!A:G,5,FALSE)="M",MD!$A$1,(IF(AND(VLOOKUP(A43,'HIDDEN import'!B:E,4,FALSE)="C",OR(NOT(ISERROR(VLOOKUP(E43,'Optional features'!B:D,1,FALSE)=E43)),NOT(ISERROR(VLOOKUP(E43,'HIDDEN calc sheet'!A:C,1,FALSE)=E43)))),MD!$A$3,MD!$A$2)))</f>
        <v>Mandatory for optional feature</v>
      </c>
      <c r="E43" t="str">
        <f>IF('HIDDEN import'!F42=0,"",'HIDDEN import'!F42)</f>
        <v>NOT C-13</v>
      </c>
      <c r="F43" t="str">
        <f>IF('HIDDEN import'!G42=0,"",'HIDDEN import'!G42)</f>
        <v>Reset per EVSE</v>
      </c>
      <c r="G43" s="19" t="str">
        <f>IFERROR(VLOOKUP($A43,'HIDDEN Testrun Results'!$A:$B,2,FALSE),"")</f>
        <v/>
      </c>
      <c r="H43" s="3" t="b">
        <f t="shared" si="0"/>
        <v>1</v>
      </c>
      <c r="I43" s="3" t="b">
        <f>IF(VLOOKUP(A43&amp;" "&amp;B43,'HIDDEN import'!A:G,5,FALSE)="M",TRUE,IFERROR(VLOOKUP(E43,'Optional features'!B:D,3,FALSE)="Yes",IFERROR(VLOOKUP(E43,'HIDDEN calc sheet'!A:B,2,FALSE),IFERROR(VLOOKUP(E43,'Additional questions'!B:D,3,FALSE)="Yes",VLOOKUP(E43,'Hardware Feature set'!B:D,3,FALSE)="No"))))</f>
        <v>1</v>
      </c>
      <c r="J43" s="3" t="b">
        <f>IF(VLOOKUP(B43,'Profile selection'!B:C,2,FALSE)="Yes",TRUE,FALSE)</f>
        <v>1</v>
      </c>
      <c r="K43"/>
      <c r="L43"/>
    </row>
    <row r="44" spans="1:12" ht="15.75" customHeight="1" x14ac:dyDescent="0.25">
      <c r="A44" t="str">
        <f>'HIDDEN import'!B43</f>
        <v>TC_B_29_CS</v>
      </c>
      <c r="B44" t="str">
        <f>'HIDDEN import'!C43</f>
        <v>Core</v>
      </c>
      <c r="C44" t="str">
        <f>'HIDDEN import'!D43</f>
        <v>Reset EVSE - With ongoing transaction - Not Supported</v>
      </c>
      <c r="D44" t="str">
        <f>IF(VLOOKUP(A44&amp;" "&amp;B44,'HIDDEN import'!A:G,5,FALSE)="M",MD!$A$1,(IF(AND(VLOOKUP(A44,'HIDDEN import'!B:E,4,FALSE)="C",OR(NOT(ISERROR(VLOOKUP(E44,'Optional features'!B:D,1,FALSE)=E44)),NOT(ISERROR(VLOOKUP(E44,'HIDDEN calc sheet'!A:C,1,FALSE)=E44)))),MD!$A$3,MD!$A$2)))</f>
        <v>Mandatory for optional feature</v>
      </c>
      <c r="E44" t="str">
        <f>IF('HIDDEN import'!F43=0,"",'HIDDEN import'!F43)</f>
        <v>NOT C-13</v>
      </c>
      <c r="F44" t="str">
        <f>IF('HIDDEN import'!G43=0,"",'HIDDEN import'!G43)</f>
        <v>Reset per EVSE</v>
      </c>
      <c r="G44" s="19" t="str">
        <f>IFERROR(VLOOKUP($A44,'HIDDEN Testrun Results'!$A:$B,2,FALSE),"")</f>
        <v/>
      </c>
      <c r="H44" s="3" t="b">
        <f t="shared" si="0"/>
        <v>1</v>
      </c>
      <c r="I44" s="3" t="b">
        <f>IF(VLOOKUP(A44&amp;" "&amp;B44,'HIDDEN import'!A:G,5,FALSE)="M",TRUE,IFERROR(VLOOKUP(E44,'Optional features'!B:D,3,FALSE)="Yes",IFERROR(VLOOKUP(E44,'HIDDEN calc sheet'!A:B,2,FALSE),IFERROR(VLOOKUP(E44,'Additional questions'!B:D,3,FALSE)="Yes",VLOOKUP(E44,'Hardware Feature set'!B:D,3,FALSE)="No"))))</f>
        <v>1</v>
      </c>
      <c r="J44" s="3" t="b">
        <f>IF(VLOOKUP(B44,'Profile selection'!B:C,2,FALSE)="Yes",TRUE,FALSE)</f>
        <v>1</v>
      </c>
      <c r="K44"/>
      <c r="L44"/>
    </row>
    <row r="45" spans="1:12" ht="15.75" customHeight="1" x14ac:dyDescent="0.25">
      <c r="A45" t="str">
        <f>'HIDDEN import'!B44</f>
        <v>TC_B_101_CS</v>
      </c>
      <c r="B45" t="str">
        <f>'HIDDEN import'!C44</f>
        <v>Core</v>
      </c>
      <c r="C45" t="str">
        <f>'HIDDEN import'!D44</f>
        <v>Reset ImmediateAndResume - With Ongoing Transaction - TxResumptionTimeout 0 or &lt;omitted&gt; - Rejected</v>
      </c>
      <c r="D45" t="str">
        <f>IF(VLOOKUP(A45&amp;" "&amp;B45,'HIDDEN import'!A:G,5,FALSE)="M",MD!$A$1,(IF(AND(VLOOKUP(A45,'HIDDEN import'!B:E,4,FALSE)="C",OR(NOT(ISERROR(VLOOKUP(E45,'Optional features'!B:D,1,FALSE)=E45)),NOT(ISERROR(VLOOKUP(E45,'HIDDEN calc sheet'!A:C,1,FALSE)=E45)))),MD!$A$3,MD!$A$2)))</f>
        <v>Mandatory test for a mandatory feature</v>
      </c>
      <c r="E45" t="str">
        <f>IF('HIDDEN import'!F44=0,"",'HIDDEN import'!F44)</f>
        <v/>
      </c>
      <c r="F45" t="str">
        <f>IF('HIDDEN import'!G44=0,"",'HIDDEN import'!G44)</f>
        <v/>
      </c>
      <c r="G45" s="19" t="str">
        <f>IFERROR(VLOOKUP($A45,'HIDDEN Testrun Results'!$A:$B,2,FALSE),"")</f>
        <v/>
      </c>
      <c r="H45" s="3" t="b">
        <f t="shared" si="0"/>
        <v>1</v>
      </c>
      <c r="I45" s="3" t="b">
        <f>IF(VLOOKUP(A45&amp;" "&amp;B45,'HIDDEN import'!A:G,5,FALSE)="M",TRUE,IFERROR(VLOOKUP(E45,'Optional features'!B:D,3,FALSE)="Yes",IFERROR(VLOOKUP(E45,'HIDDEN calc sheet'!A:B,2,FALSE),IFERROR(VLOOKUP(E45,'Additional questions'!B:D,3,FALSE)="Yes",VLOOKUP(E45,'Hardware Feature set'!B:D,3,FALSE)="No"))))</f>
        <v>1</v>
      </c>
      <c r="J45" s="3" t="b">
        <f>IF(VLOOKUP(B45,'Profile selection'!B:C,2,FALSE)="Yes",TRUE,FALSE)</f>
        <v>1</v>
      </c>
      <c r="K45"/>
      <c r="L45"/>
    </row>
    <row r="46" spans="1:12" ht="15.75" customHeight="1" x14ac:dyDescent="0.25">
      <c r="A46" t="str">
        <f>'HIDDEN import'!B45</f>
        <v>TC_B_102_CS</v>
      </c>
      <c r="B46" t="str">
        <f>'HIDDEN import'!C45</f>
        <v>Core</v>
      </c>
      <c r="C46" t="str">
        <f>'HIDDEN import'!D45</f>
        <v>Reset ImmediateAndResume - With ongoing transaction - Energy Transfer Suspended</v>
      </c>
      <c r="D46" t="str">
        <f>IF(VLOOKUP(A46&amp;" "&amp;B46,'HIDDEN import'!A:G,5,FALSE)="M",MD!$A$1,(IF(AND(VLOOKUP(A46,'HIDDEN import'!B:E,4,FALSE)="C",OR(NOT(ISERROR(VLOOKUP(E46,'Optional features'!B:D,1,FALSE)=E46)),NOT(ISERROR(VLOOKUP(E46,'HIDDEN calc sheet'!A:C,1,FALSE)=E46)))),MD!$A$3,MD!$A$2)))</f>
        <v>Mandatory for optional feature</v>
      </c>
      <c r="E46" t="str">
        <f>IF('HIDDEN import'!F45=0,"",'HIDDEN import'!F45)</f>
        <v>C-62</v>
      </c>
      <c r="F46" t="str">
        <f>IF('HIDDEN import'!G45=0,"",'HIDDEN import'!G45)</f>
        <v>Support for resuming transactions on reset or power interruption</v>
      </c>
      <c r="G46" s="19" t="str">
        <f>IFERROR(VLOOKUP($A46,'HIDDEN Testrun Results'!$A:$B,2,FALSE),"")</f>
        <v/>
      </c>
      <c r="H46" s="3" t="b">
        <f t="shared" si="0"/>
        <v>0</v>
      </c>
      <c r="I46" s="3" t="b">
        <f>IF(VLOOKUP(A46&amp;" "&amp;B46,'HIDDEN import'!A:G,5,FALSE)="M",TRUE,IFERROR(VLOOKUP(E46,'Optional features'!B:D,3,FALSE)="Yes",IFERROR(VLOOKUP(E46,'HIDDEN calc sheet'!A:B,2,FALSE),IFERROR(VLOOKUP(E46,'Additional questions'!B:D,3,FALSE)="Yes",VLOOKUP(E46,'Hardware Feature set'!B:D,3,FALSE)="No"))))</f>
        <v>0</v>
      </c>
      <c r="J46" s="3" t="b">
        <f>IF(VLOOKUP(B46,'Profile selection'!B:C,2,FALSE)="Yes",TRUE,FALSE)</f>
        <v>1</v>
      </c>
      <c r="K46"/>
      <c r="L46"/>
    </row>
    <row r="47" spans="1:12" ht="15.75" customHeight="1" x14ac:dyDescent="0.25">
      <c r="A47" t="str">
        <f>'HIDDEN import'!B46</f>
        <v>TC_B_103_CS</v>
      </c>
      <c r="B47" t="str">
        <f>'HIDDEN import'!C46</f>
        <v>Core</v>
      </c>
      <c r="C47" t="str">
        <f>'HIDDEN import'!D46</f>
        <v>Reset ImmediateAndResume - With Ongoing Transaction - Resuming Energy Transfer</v>
      </c>
      <c r="D47" t="str">
        <f>IF(VLOOKUP(A47&amp;" "&amp;B47,'HIDDEN import'!A:G,5,FALSE)="M",MD!$A$1,(IF(AND(VLOOKUP(A47,'HIDDEN import'!B:E,4,FALSE)="C",OR(NOT(ISERROR(VLOOKUP(E47,'Optional features'!B:D,1,FALSE)=E47)),NOT(ISERROR(VLOOKUP(E47,'HIDDEN calc sheet'!A:C,1,FALSE)=E47)))),MD!$A$3,MD!$A$2)))</f>
        <v>Mandatory for optional feature</v>
      </c>
      <c r="E47" t="str">
        <f>IF('HIDDEN import'!F46=0,"",'HIDDEN import'!F46)</f>
        <v>C-62</v>
      </c>
      <c r="F47" t="str">
        <f>IF('HIDDEN import'!G46=0,"",'HIDDEN import'!G46)</f>
        <v>Support for resuming transactions on reset or power interruption</v>
      </c>
      <c r="G47" s="19" t="str">
        <f>IFERROR(VLOOKUP($A47,'HIDDEN Testrun Results'!$A:$B,2,FALSE),"")</f>
        <v/>
      </c>
      <c r="H47" s="3" t="b">
        <f t="shared" si="0"/>
        <v>0</v>
      </c>
      <c r="I47" s="3" t="b">
        <f>IF(VLOOKUP(A47&amp;" "&amp;B47,'HIDDEN import'!A:G,5,FALSE)="M",TRUE,IFERROR(VLOOKUP(E47,'Optional features'!B:D,3,FALSE)="Yes",IFERROR(VLOOKUP(E47,'HIDDEN calc sheet'!A:B,2,FALSE),IFERROR(VLOOKUP(E47,'Additional questions'!B:D,3,FALSE)="Yes",VLOOKUP(E47,'Hardware Feature set'!B:D,3,FALSE)="No"))))</f>
        <v>0</v>
      </c>
      <c r="J47" s="3" t="b">
        <f>IF(VLOOKUP(B47,'Profile selection'!B:C,2,FALSE)="Yes",TRUE,FALSE)</f>
        <v>1</v>
      </c>
      <c r="K47"/>
      <c r="L47"/>
    </row>
    <row r="48" spans="1:12" ht="15.75" customHeight="1" x14ac:dyDescent="0.25">
      <c r="A48" t="str">
        <f>'HIDDEN import'!B47</f>
        <v>TC_B_104_CS</v>
      </c>
      <c r="B48" t="str">
        <f>'HIDDEN import'!C47</f>
        <v>Core</v>
      </c>
      <c r="C48" t="str">
        <f>'HIDDEN import'!D47</f>
        <v>Reset ImmediateAndResume - Without ongoing transaction</v>
      </c>
      <c r="D48" t="str">
        <f>IF(VLOOKUP(A48&amp;" "&amp;B48,'HIDDEN import'!A:G,5,FALSE)="M",MD!$A$1,(IF(AND(VLOOKUP(A48,'HIDDEN import'!B:E,4,FALSE)="C",OR(NOT(ISERROR(VLOOKUP(E48,'Optional features'!B:D,1,FALSE)=E48)),NOT(ISERROR(VLOOKUP(E48,'HIDDEN calc sheet'!A:C,1,FALSE)=E48)))),MD!$A$3,MD!$A$2)))</f>
        <v>Mandatory for optional feature</v>
      </c>
      <c r="E48" t="str">
        <f>IF('HIDDEN import'!F47=0,"",'HIDDEN import'!F47)</f>
        <v>C-62</v>
      </c>
      <c r="F48" t="str">
        <f>IF('HIDDEN import'!G47=0,"",'HIDDEN import'!G47)</f>
        <v>Support for resuming transactions on reset or power interruption</v>
      </c>
      <c r="G48" s="19" t="str">
        <f>IFERROR(VLOOKUP($A48,'HIDDEN Testrun Results'!$A:$B,2,FALSE),"")</f>
        <v/>
      </c>
      <c r="H48" s="3" t="b">
        <f t="shared" si="0"/>
        <v>0</v>
      </c>
      <c r="I48" s="3" t="b">
        <f>IF(VLOOKUP(A48&amp;" "&amp;B48,'HIDDEN import'!A:G,5,FALSE)="M",TRUE,IFERROR(VLOOKUP(E48,'Optional features'!B:D,3,FALSE)="Yes",IFERROR(VLOOKUP(E48,'HIDDEN calc sheet'!A:B,2,FALSE),IFERROR(VLOOKUP(E48,'Additional questions'!B:D,3,FALSE)="Yes",VLOOKUP(E48,'Hardware Feature set'!B:D,3,FALSE)="No"))))</f>
        <v>0</v>
      </c>
      <c r="J48" s="3" t="b">
        <f>IF(VLOOKUP(B48,'Profile selection'!B:C,2,FALSE)="Yes",TRUE,FALSE)</f>
        <v>1</v>
      </c>
      <c r="K48"/>
      <c r="L48"/>
    </row>
    <row r="49" spans="1:12" ht="15.75" customHeight="1" x14ac:dyDescent="0.25">
      <c r="A49" t="str">
        <f>'HIDDEN import'!B48</f>
        <v>TC_B_43_CS</v>
      </c>
      <c r="B49" t="str">
        <f>'HIDDEN import'!C48</f>
        <v>Core</v>
      </c>
      <c r="C49" t="str">
        <f>'HIDDEN import'!D48</f>
        <v>Set new NetworkConnectionProfile - Rejected</v>
      </c>
      <c r="D49" t="str">
        <f>IF(VLOOKUP(A49&amp;" "&amp;B49,'HIDDEN import'!A:G,5,FALSE)="M",MD!$A$1,(IF(AND(VLOOKUP(A49,'HIDDEN import'!B:E,4,FALSE)="C",OR(NOT(ISERROR(VLOOKUP(E49,'Optional features'!B:D,1,FALSE)=E49)),NOT(ISERROR(VLOOKUP(E49,'HIDDEN calc sheet'!A:C,1,FALSE)=E49)))),MD!$A$3,MD!$A$2)))</f>
        <v>Mandatory test for a mandatory feature</v>
      </c>
      <c r="E49" t="str">
        <f>IF('HIDDEN import'!F48=0,"",'HIDDEN import'!F48)</f>
        <v/>
      </c>
      <c r="F49" t="str">
        <f>IF('HIDDEN import'!G48=0,"",'HIDDEN import'!G48)</f>
        <v/>
      </c>
      <c r="G49" s="19" t="str">
        <f>IFERROR(VLOOKUP($A49,'HIDDEN Testrun Results'!$A:$B,2,FALSE),"")</f>
        <v/>
      </c>
      <c r="H49" s="3" t="b">
        <f t="shared" si="0"/>
        <v>1</v>
      </c>
      <c r="I49" s="3" t="b">
        <f>IF(VLOOKUP(A49&amp;" "&amp;B49,'HIDDEN import'!A:G,5,FALSE)="M",TRUE,IFERROR(VLOOKUP(E49,'Optional features'!B:D,3,FALSE)="Yes",IFERROR(VLOOKUP(E49,'HIDDEN calc sheet'!A:B,2,FALSE),IFERROR(VLOOKUP(E49,'Additional questions'!B:D,3,FALSE)="Yes",VLOOKUP(E49,'Hardware Feature set'!B:D,3,FALSE)="No"))))</f>
        <v>1</v>
      </c>
      <c r="J49" s="3" t="b">
        <f>IF(VLOOKUP(B49,'Profile selection'!B:C,2,FALSE)="Yes",TRUE,FALSE)</f>
        <v>1</v>
      </c>
      <c r="K49"/>
      <c r="L49"/>
    </row>
    <row r="50" spans="1:12" ht="15.75" customHeight="1" x14ac:dyDescent="0.25">
      <c r="A50" t="str">
        <f>'HIDDEN import'!B49</f>
        <v>TC_B_100_CS</v>
      </c>
      <c r="B50" t="str">
        <f>'HIDDEN import'!C49</f>
        <v>Core</v>
      </c>
      <c r="C50" t="str">
        <f>'HIDDEN import'!D49</f>
        <v>Set new NetworkConnectionProfile - Identity and password</v>
      </c>
      <c r="D50" t="str">
        <f>IF(VLOOKUP(A50&amp;" "&amp;B50,'HIDDEN import'!A:G,5,FALSE)="M",MD!$A$1,(IF(AND(VLOOKUP(A50,'HIDDEN import'!B:E,4,FALSE)="C",OR(NOT(ISERROR(VLOOKUP(E50,'Optional features'!B:D,1,FALSE)=E50)),NOT(ISERROR(VLOOKUP(E50,'HIDDEN calc sheet'!A:C,1,FALSE)=E50)))),MD!$A$3,MD!$A$2)))</f>
        <v>Mandatory test for a mandatory feature</v>
      </c>
      <c r="E50" t="str">
        <f>IF('HIDDEN import'!F49=0,"",'HIDDEN import'!F49)</f>
        <v/>
      </c>
      <c r="F50" t="str">
        <f>IF('HIDDEN import'!G49=0,"",'HIDDEN import'!G49)</f>
        <v/>
      </c>
      <c r="G50" s="19" t="str">
        <f>IFERROR(VLOOKUP($A50,'HIDDEN Testrun Results'!$A:$B,2,FALSE),"")</f>
        <v/>
      </c>
      <c r="H50" s="3" t="b">
        <f t="shared" si="0"/>
        <v>1</v>
      </c>
      <c r="I50" s="3" t="b">
        <f>IF(VLOOKUP(A50&amp;" "&amp;B50,'HIDDEN import'!A:G,5,FALSE)="M",TRUE,IFERROR(VLOOKUP(E50,'Optional features'!B:D,3,FALSE)="Yes",IFERROR(VLOOKUP(E50,'HIDDEN calc sheet'!A:B,2,FALSE),IFERROR(VLOOKUP(E50,'Additional questions'!B:D,3,FALSE)="Yes",VLOOKUP(E50,'Hardware Feature set'!B:D,3,FALSE)="No"))))</f>
        <v>1</v>
      </c>
      <c r="J50" s="3" t="b">
        <f>IF(VLOOKUP(B50,'Profile selection'!B:C,2,FALSE)="Yes",TRUE,FALSE)</f>
        <v>1</v>
      </c>
      <c r="K50"/>
      <c r="L50"/>
    </row>
    <row r="51" spans="1:12" ht="15.75" customHeight="1" x14ac:dyDescent="0.25">
      <c r="A51" t="str">
        <f>'HIDDEN import'!B50</f>
        <v>TC_B_105_CS</v>
      </c>
      <c r="B51" t="str">
        <f>'HIDDEN import'!C50</f>
        <v>Core</v>
      </c>
      <c r="C51" t="str">
        <f>'HIDDEN import'!D50</f>
        <v>Set new NetworkConnectionProfile - Add new NetworkConfiguration using SetVariables</v>
      </c>
      <c r="D51" t="str">
        <f>IF(VLOOKUP(A51&amp;" "&amp;B51,'HIDDEN import'!A:G,5,FALSE)="M",MD!$A$1,(IF(AND(VLOOKUP(A51,'HIDDEN import'!B:E,4,FALSE)="C",OR(NOT(ISERROR(VLOOKUP(E51,'Optional features'!B:D,1,FALSE)=E51)),NOT(ISERROR(VLOOKUP(E51,'HIDDEN calc sheet'!A:C,1,FALSE)=E51)))),MD!$A$3,MD!$A$2)))</f>
        <v>Mandatory test for a mandatory feature</v>
      </c>
      <c r="E51" t="str">
        <f>IF('HIDDEN import'!F50=0,"",'HIDDEN import'!F50)</f>
        <v/>
      </c>
      <c r="F51" t="str">
        <f>IF('HIDDEN import'!G50=0,"",'HIDDEN import'!G50)</f>
        <v/>
      </c>
      <c r="G51" s="19" t="str">
        <f>IFERROR(VLOOKUP($A51,'HIDDEN Testrun Results'!$A:$B,2,FALSE),"")</f>
        <v/>
      </c>
      <c r="H51" s="3" t="b">
        <f t="shared" si="0"/>
        <v>1</v>
      </c>
      <c r="I51" s="3" t="b">
        <f>IF(VLOOKUP(A51&amp;" "&amp;B51,'HIDDEN import'!A:G,5,FALSE)="M",TRUE,IFERROR(VLOOKUP(E51,'Optional features'!B:D,3,FALSE)="Yes",IFERROR(VLOOKUP(E51,'HIDDEN calc sheet'!A:B,2,FALSE),IFERROR(VLOOKUP(E51,'Additional questions'!B:D,3,FALSE)="Yes",VLOOKUP(E51,'Hardware Feature set'!B:D,3,FALSE)="No"))))</f>
        <v>1</v>
      </c>
      <c r="J51" s="3" t="b">
        <f>IF(VLOOKUP(B51,'Profile selection'!B:C,2,FALSE)="Yes",TRUE,FALSE)</f>
        <v>1</v>
      </c>
      <c r="K51"/>
      <c r="L51"/>
    </row>
    <row r="52" spans="1:12" ht="15.75" customHeight="1" x14ac:dyDescent="0.25">
      <c r="A52" t="str">
        <f>'HIDDEN import'!B51</f>
        <v>TC_B_107_CS</v>
      </c>
      <c r="B52" t="str">
        <f>'HIDDEN import'!C51</f>
        <v>Core</v>
      </c>
      <c r="C52" t="str">
        <f>'HIDDEN import'!D51</f>
        <v>Set new NetworkConnectionProfile - Add and remove slot from NetworkConfigurationPriority</v>
      </c>
      <c r="D52" t="str">
        <f>IF(VLOOKUP(A52&amp;" "&amp;B52,'HIDDEN import'!A:G,5,FALSE)="M",MD!$A$1,(IF(AND(VLOOKUP(A52,'HIDDEN import'!B:E,4,FALSE)="C",OR(NOT(ISERROR(VLOOKUP(E52,'Optional features'!B:D,1,FALSE)=E52)),NOT(ISERROR(VLOOKUP(E52,'HIDDEN calc sheet'!A:C,1,FALSE)=E52)))),MD!$A$3,MD!$A$2)))</f>
        <v>Mandatory test for a mandatory feature</v>
      </c>
      <c r="E52" t="str">
        <f>IF('HIDDEN import'!F51=0,"",'HIDDEN import'!F51)</f>
        <v/>
      </c>
      <c r="F52" t="str">
        <f>IF('HIDDEN import'!G51=0,"",'HIDDEN import'!G51)</f>
        <v/>
      </c>
      <c r="G52" s="19" t="str">
        <f>IFERROR(VLOOKUP($A52,'HIDDEN Testrun Results'!$A:$B,2,FALSE),"")</f>
        <v/>
      </c>
      <c r="H52" s="3" t="b">
        <f t="shared" si="0"/>
        <v>1</v>
      </c>
      <c r="I52" s="3" t="b">
        <f>IF(VLOOKUP(A52&amp;" "&amp;B52,'HIDDEN import'!A:G,5,FALSE)="M",TRUE,IFERROR(VLOOKUP(E52,'Optional features'!B:D,3,FALSE)="Yes",IFERROR(VLOOKUP(E52,'HIDDEN calc sheet'!A:B,2,FALSE),IFERROR(VLOOKUP(E52,'Additional questions'!B:D,3,FALSE)="Yes",VLOOKUP(E52,'Hardware Feature set'!B:D,3,FALSE)="No"))))</f>
        <v>1</v>
      </c>
      <c r="J52" s="3" t="b">
        <f>IF(VLOOKUP(B52,'Profile selection'!B:C,2,FALSE)="Yes",TRUE,FALSE)</f>
        <v>1</v>
      </c>
      <c r="K52"/>
      <c r="L52"/>
    </row>
    <row r="53" spans="1:12" ht="15.75" customHeight="1" x14ac:dyDescent="0.25">
      <c r="A53" t="str">
        <f>'HIDDEN import'!B52</f>
        <v>TC_B_108_CS</v>
      </c>
      <c r="B53" t="str">
        <f>'HIDDEN import'!C52</f>
        <v>Core</v>
      </c>
      <c r="C53" t="str">
        <f>'HIDDEN import'!D52</f>
        <v>Set new NetworkConnectionProfile - Prevent overwriting configured Network Profile slot</v>
      </c>
      <c r="D53" t="str">
        <f>IF(VLOOKUP(A53&amp;" "&amp;B53,'HIDDEN import'!A:G,5,FALSE)="M",MD!$A$1,(IF(AND(VLOOKUP(A53,'HIDDEN import'!B:E,4,FALSE)="C",OR(NOT(ISERROR(VLOOKUP(E53,'Optional features'!B:D,1,FALSE)=E53)),NOT(ISERROR(VLOOKUP(E53,'HIDDEN calc sheet'!A:C,1,FALSE)=E53)))),MD!$A$3,MD!$A$2)))</f>
        <v>Mandatory test for a mandatory feature</v>
      </c>
      <c r="E53" t="str">
        <f>IF('HIDDEN import'!F52=0,"",'HIDDEN import'!F52)</f>
        <v/>
      </c>
      <c r="F53" t="str">
        <f>IF('HIDDEN import'!G52=0,"",'HIDDEN import'!G52)</f>
        <v/>
      </c>
      <c r="G53" s="19" t="str">
        <f>IFERROR(VLOOKUP($A53,'HIDDEN Testrun Results'!$A:$B,2,FALSE),"")</f>
        <v/>
      </c>
      <c r="H53" s="3" t="b">
        <f t="shared" si="0"/>
        <v>1</v>
      </c>
      <c r="I53" s="3" t="b">
        <f>IF(VLOOKUP(A53&amp;" "&amp;B53,'HIDDEN import'!A:G,5,FALSE)="M",TRUE,IFERROR(VLOOKUP(E53,'Optional features'!B:D,3,FALSE)="Yes",IFERROR(VLOOKUP(E53,'HIDDEN calc sheet'!A:B,2,FALSE),IFERROR(VLOOKUP(E53,'Additional questions'!B:D,3,FALSE)="Yes",VLOOKUP(E53,'Hardware Feature set'!B:D,3,FALSE)="No"))))</f>
        <v>1</v>
      </c>
      <c r="J53" s="3" t="b">
        <f>IF(VLOOKUP(B53,'Profile selection'!B:C,2,FALSE)="Yes",TRUE,FALSE)</f>
        <v>1</v>
      </c>
      <c r="K53"/>
      <c r="L53"/>
    </row>
    <row r="54" spans="1:12" ht="15.75" customHeight="1" x14ac:dyDescent="0.25">
      <c r="A54" t="str">
        <f>'HIDDEN import'!B53</f>
        <v>TC_B_109_CS</v>
      </c>
      <c r="B54" t="str">
        <f>'HIDDEN import'!C53</f>
        <v>Core</v>
      </c>
      <c r="C54" t="str">
        <f>'HIDDEN import'!D53</f>
        <v>Set new NetworkConnectionProfile - When changing SecurityCtrlr.Identity/BasicAuthPassword the NetworkProfiles.Identity/BasicAuthPassword must be cleared</v>
      </c>
      <c r="D54" t="str">
        <f>IF(VLOOKUP(A54&amp;" "&amp;B54,'HIDDEN import'!A:G,5,FALSE)="M",MD!$A$1,(IF(AND(VLOOKUP(A54,'HIDDEN import'!B:E,4,FALSE)="C",OR(NOT(ISERROR(VLOOKUP(E54,'Optional features'!B:D,1,FALSE)=E54)),NOT(ISERROR(VLOOKUP(E54,'HIDDEN calc sheet'!A:C,1,FALSE)=E54)))),MD!$A$3,MD!$A$2)))</f>
        <v>Mandatory test for a mandatory feature</v>
      </c>
      <c r="E54" t="str">
        <f>IF('HIDDEN import'!F53=0,"",'HIDDEN import'!F53)</f>
        <v/>
      </c>
      <c r="F54" t="str">
        <f>IF('HIDDEN import'!G53=0,"",'HIDDEN import'!G53)</f>
        <v/>
      </c>
      <c r="G54" s="19" t="str">
        <f>IFERROR(VLOOKUP($A54,'HIDDEN Testrun Results'!$A:$B,2,FALSE),"")</f>
        <v/>
      </c>
      <c r="H54" s="3" t="b">
        <f t="shared" si="0"/>
        <v>1</v>
      </c>
      <c r="I54" s="3" t="b">
        <f>IF(VLOOKUP(A54&amp;" "&amp;B54,'HIDDEN import'!A:G,5,FALSE)="M",TRUE,IFERROR(VLOOKUP(E54,'Optional features'!B:D,3,FALSE)="Yes",IFERROR(VLOOKUP(E54,'HIDDEN calc sheet'!A:B,2,FALSE),IFERROR(VLOOKUP(E54,'Additional questions'!B:D,3,FALSE)="Yes",VLOOKUP(E54,'Hardware Feature set'!B:D,3,FALSE)="No"))))</f>
        <v>1</v>
      </c>
      <c r="J54" s="3" t="b">
        <f>IF(VLOOKUP(B54,'Profile selection'!B:C,2,FALSE)="Yes",TRUE,FALSE)</f>
        <v>1</v>
      </c>
      <c r="K54"/>
      <c r="L54"/>
    </row>
    <row r="55" spans="1:12" ht="15.75" customHeight="1" x14ac:dyDescent="0.25">
      <c r="A55" t="str">
        <f>'HIDDEN import'!B54</f>
        <v>TC_B_110_CS</v>
      </c>
      <c r="B55" t="str">
        <f>'HIDDEN import'!C54</f>
        <v>Core</v>
      </c>
      <c r="C55" t="str">
        <f>'HIDDEN import'!D54</f>
        <v>Set new NetworkConnectionProfile - No security downgrade to profile #1</v>
      </c>
      <c r="D55" t="str">
        <f>IF(VLOOKUP(A55&amp;" "&amp;B55,'HIDDEN import'!A:G,5,FALSE)="M",MD!$A$1,(IF(AND(VLOOKUP(A55,'HIDDEN import'!B:E,4,FALSE)="C",OR(NOT(ISERROR(VLOOKUP(E55,'Optional features'!B:D,1,FALSE)=E55)),NOT(ISERROR(VLOOKUP(E55,'HIDDEN calc sheet'!A:C,1,FALSE)=E55)))),MD!$A$3,MD!$A$2)))</f>
        <v>Mandatory test for a mandatory feature</v>
      </c>
      <c r="E55" t="str">
        <f>IF('HIDDEN import'!F54=0,"",'HIDDEN import'!F54)</f>
        <v/>
      </c>
      <c r="F55" t="str">
        <f>IF('HIDDEN import'!G54=0,"",'HIDDEN import'!G54)</f>
        <v/>
      </c>
      <c r="G55" s="19" t="str">
        <f>IFERROR(VLOOKUP($A55,'HIDDEN Testrun Results'!$A:$B,2,FALSE),"")</f>
        <v/>
      </c>
      <c r="H55" s="3" t="b">
        <f t="shared" si="0"/>
        <v>1</v>
      </c>
      <c r="I55" s="3" t="b">
        <f>IF(VLOOKUP(A55&amp;" "&amp;B55,'HIDDEN import'!A:G,5,FALSE)="M",TRUE,IFERROR(VLOOKUP(E55,'Optional features'!B:D,3,FALSE)="Yes",IFERROR(VLOOKUP(E55,'HIDDEN calc sheet'!A:B,2,FALSE),IFERROR(VLOOKUP(E55,'Additional questions'!B:D,3,FALSE)="Yes",VLOOKUP(E55,'Hardware Feature set'!B:D,3,FALSE)="No"))))</f>
        <v>1</v>
      </c>
      <c r="J55" s="3" t="b">
        <f>IF(VLOOKUP(B55,'Profile selection'!B:C,2,FALSE)="Yes",TRUE,FALSE)</f>
        <v>1</v>
      </c>
      <c r="K55"/>
      <c r="L55"/>
    </row>
    <row r="56" spans="1:12" ht="15.75" customHeight="1" x14ac:dyDescent="0.25">
      <c r="A56" t="str">
        <f>'HIDDEN import'!B55</f>
        <v>TC_B_111_CS</v>
      </c>
      <c r="B56" t="str">
        <f>'HIDDEN import'!C55</f>
        <v>Core</v>
      </c>
      <c r="C56" t="str">
        <f>'HIDDEN import'!D55</f>
        <v>Set new NetworkConnectionProfile - No security downgrade to profile #1 - DM</v>
      </c>
      <c r="D56" t="str">
        <f>IF(VLOOKUP(A56&amp;" "&amp;B56,'HIDDEN import'!A:G,5,FALSE)="M",MD!$A$1,(IF(AND(VLOOKUP(A56,'HIDDEN import'!B:E,4,FALSE)="C",OR(NOT(ISERROR(VLOOKUP(E56,'Optional features'!B:D,1,FALSE)=E56)),NOT(ISERROR(VLOOKUP(E56,'HIDDEN calc sheet'!A:C,1,FALSE)=E56)))),MD!$A$3,MD!$A$2)))</f>
        <v>Mandatory test for a mandatory feature</v>
      </c>
      <c r="E56" t="str">
        <f>IF('HIDDEN import'!F55=0,"",'HIDDEN import'!F55)</f>
        <v/>
      </c>
      <c r="F56" t="str">
        <f>IF('HIDDEN import'!G55=0,"",'HIDDEN import'!G55)</f>
        <v/>
      </c>
      <c r="G56" s="19" t="str">
        <f>IFERROR(VLOOKUP($A56,'HIDDEN Testrun Results'!$A:$B,2,FALSE),"")</f>
        <v/>
      </c>
      <c r="H56" s="3" t="b">
        <f t="shared" si="0"/>
        <v>1</v>
      </c>
      <c r="I56" s="3" t="b">
        <f>IF(VLOOKUP(A56&amp;" "&amp;B56,'HIDDEN import'!A:G,5,FALSE)="M",TRUE,IFERROR(VLOOKUP(E56,'Optional features'!B:D,3,FALSE)="Yes",IFERROR(VLOOKUP(E56,'HIDDEN calc sheet'!A:B,2,FALSE),IFERROR(VLOOKUP(E56,'Additional questions'!B:D,3,FALSE)="Yes",VLOOKUP(E56,'Hardware Feature set'!B:D,3,FALSE)="No"))))</f>
        <v>1</v>
      </c>
      <c r="J56" s="3" t="b">
        <f>IF(VLOOKUP(B56,'Profile selection'!B:C,2,FALSE)="Yes",TRUE,FALSE)</f>
        <v>1</v>
      </c>
      <c r="K56"/>
      <c r="L56"/>
    </row>
    <row r="57" spans="1:12" ht="15.75" customHeight="1" x14ac:dyDescent="0.25">
      <c r="A57" t="str">
        <f>'HIDDEN import'!B56</f>
        <v>TC_B_45_CS</v>
      </c>
      <c r="B57" t="str">
        <f>'HIDDEN import'!C56</f>
        <v>Core</v>
      </c>
      <c r="C57" t="str">
        <f>'HIDDEN import'!D56</f>
        <v>Migrate to new ConnectionProfile - Success - Same CSMS Root</v>
      </c>
      <c r="D57" t="str">
        <f>IF(VLOOKUP(A57&amp;" "&amp;B57,'HIDDEN import'!A:G,5,FALSE)="M",MD!$A$1,(IF(AND(VLOOKUP(A57,'HIDDEN import'!B:E,4,FALSE)="C",OR(NOT(ISERROR(VLOOKUP(E57,'Optional features'!B:D,1,FALSE)=E57)),NOT(ISERROR(VLOOKUP(E57,'HIDDEN calc sheet'!A:C,1,FALSE)=E57)))),MD!$A$3,MD!$A$2)))</f>
        <v>Mandatory test for a mandatory feature</v>
      </c>
      <c r="E57" t="str">
        <f>IF('HIDDEN import'!F56=0,"",'HIDDEN import'!F56)</f>
        <v/>
      </c>
      <c r="F57" t="str">
        <f>IF('HIDDEN import'!G56=0,"",'HIDDEN import'!G56)</f>
        <v/>
      </c>
      <c r="G57" s="19" t="str">
        <f>IFERROR(VLOOKUP($A57,'HIDDEN Testrun Results'!$A:$B,2,FALSE),"")</f>
        <v/>
      </c>
      <c r="H57" s="3" t="b">
        <f t="shared" si="0"/>
        <v>1</v>
      </c>
      <c r="I57" s="3" t="b">
        <f>IF(VLOOKUP(A57&amp;" "&amp;B57,'HIDDEN import'!A:G,5,FALSE)="M",TRUE,IFERROR(VLOOKUP(E57,'Optional features'!B:D,3,FALSE)="Yes",IFERROR(VLOOKUP(E57,'HIDDEN calc sheet'!A:B,2,FALSE),IFERROR(VLOOKUP(E57,'Additional questions'!B:D,3,FALSE)="Yes",VLOOKUP(E57,'Hardware Feature set'!B:D,3,FALSE)="No"))))</f>
        <v>1</v>
      </c>
      <c r="J57" s="3" t="b">
        <f>IF(VLOOKUP(B57,'Profile selection'!B:C,2,FALSE)="Yes",TRUE,FALSE)</f>
        <v>1</v>
      </c>
      <c r="K57"/>
      <c r="L57"/>
    </row>
    <row r="58" spans="1:12" ht="15.75" customHeight="1" x14ac:dyDescent="0.25">
      <c r="A58" t="str">
        <f>'HIDDEN import'!B57</f>
        <v>TC_B_46_CS</v>
      </c>
      <c r="B58" t="str">
        <f>'HIDDEN import'!C57</f>
        <v>Core</v>
      </c>
      <c r="C58" t="str">
        <f>'HIDDEN import'!D57</f>
        <v>Migrate to new ConnectionProfile - Fallback mechanism - Same CSMS Root</v>
      </c>
      <c r="D58" t="str">
        <f>IF(VLOOKUP(A58&amp;" "&amp;B58,'HIDDEN import'!A:G,5,FALSE)="M",MD!$A$1,(IF(AND(VLOOKUP(A58,'HIDDEN import'!B:E,4,FALSE)="C",OR(NOT(ISERROR(VLOOKUP(E58,'Optional features'!B:D,1,FALSE)=E58)),NOT(ISERROR(VLOOKUP(E58,'HIDDEN calc sheet'!A:C,1,FALSE)=E58)))),MD!$A$3,MD!$A$2)))</f>
        <v>Mandatory test for a mandatory feature</v>
      </c>
      <c r="E58" t="str">
        <f>IF('HIDDEN import'!F57=0,"",'HIDDEN import'!F57)</f>
        <v/>
      </c>
      <c r="F58" t="str">
        <f>IF('HIDDEN import'!G57=0,"",'HIDDEN import'!G57)</f>
        <v/>
      </c>
      <c r="G58" s="19" t="str">
        <f>IFERROR(VLOOKUP($A58,'HIDDEN Testrun Results'!$A:$B,2,FALSE),"")</f>
        <v/>
      </c>
      <c r="H58" s="3" t="b">
        <f t="shared" si="0"/>
        <v>1</v>
      </c>
      <c r="I58" s="3" t="b">
        <f>IF(VLOOKUP(A58&amp;" "&amp;B58,'HIDDEN import'!A:G,5,FALSE)="M",TRUE,IFERROR(VLOOKUP(E58,'Optional features'!B:D,3,FALSE)="Yes",IFERROR(VLOOKUP(E58,'HIDDEN calc sheet'!A:B,2,FALSE),IFERROR(VLOOKUP(E58,'Additional questions'!B:D,3,FALSE)="Yes",VLOOKUP(E58,'Hardware Feature set'!B:D,3,FALSE)="No"))))</f>
        <v>1</v>
      </c>
      <c r="J58" s="3" t="b">
        <f>IF(VLOOKUP(B58,'Profile selection'!B:C,2,FALSE)="Yes",TRUE,FALSE)</f>
        <v>1</v>
      </c>
      <c r="K58"/>
      <c r="L58"/>
    </row>
    <row r="59" spans="1:12" ht="15.75" customHeight="1" x14ac:dyDescent="0.25">
      <c r="A59" t="str">
        <f>'HIDDEN import'!B58</f>
        <v>TC_B_47_CS</v>
      </c>
      <c r="B59" t="str">
        <f>'HIDDEN import'!C58</f>
        <v>Core</v>
      </c>
      <c r="C59" t="str">
        <f>'HIDDEN import'!D58</f>
        <v>Migrate to new ConnectionProfile - Fallback after NetworkProfileConnectionAttempts per NetworkConfigurationPriority failed - New CSMS Root - New CSMS</v>
      </c>
      <c r="D59" t="str">
        <f>IF(VLOOKUP(A59&amp;" "&amp;B59,'HIDDEN import'!A:G,5,FALSE)="M",MD!$A$1,(IF(AND(VLOOKUP(A59,'HIDDEN import'!B:E,4,FALSE)="C",OR(NOT(ISERROR(VLOOKUP(E59,'Optional features'!B:D,1,FALSE)=E59)),NOT(ISERROR(VLOOKUP(E59,'HIDDEN calc sheet'!A:C,1,FALSE)=E59)))),MD!$A$3,MD!$A$2)))</f>
        <v>Mandatory for optional feature</v>
      </c>
      <c r="E59" t="str">
        <f>IF('HIDDEN import'!F58=0,"",'HIDDEN import'!F58)</f>
        <v>AS-2 and C-47</v>
      </c>
      <c r="F59" t="str">
        <f>IF('HIDDEN import'!G58=0,"",'HIDDEN import'!G58)</f>
        <v>Additional Root Certificate check mechanism implemented &amp; Reconnect after NetworkProfileConnectionAttempts</v>
      </c>
      <c r="G59" s="19" t="str">
        <f>IFERROR(VLOOKUP($A59,'HIDDEN Testrun Results'!$A:$B,2,FALSE),"")</f>
        <v/>
      </c>
      <c r="H59" s="3" t="b">
        <f t="shared" si="0"/>
        <v>0</v>
      </c>
      <c r="I59" s="3" t="b">
        <f>IF(VLOOKUP(A59&amp;" "&amp;B59,'HIDDEN import'!A:G,5,FALSE)="M",TRUE,IFERROR(VLOOKUP(E59,'Optional features'!B:D,3,FALSE)="Yes",IFERROR(VLOOKUP(E59,'HIDDEN calc sheet'!A:B,2,FALSE),IFERROR(VLOOKUP(E59,'Additional questions'!B:D,3,FALSE)="Yes",VLOOKUP(E59,'Hardware Feature set'!B:D,3,FALSE)="No"))))</f>
        <v>0</v>
      </c>
      <c r="J59" s="3" t="b">
        <f>IF(VLOOKUP(B59,'Profile selection'!B:C,2,FALSE)="Yes",TRUE,FALSE)</f>
        <v>1</v>
      </c>
      <c r="K59"/>
      <c r="L59"/>
    </row>
    <row r="60" spans="1:12" ht="15.75" customHeight="1" x14ac:dyDescent="0.25">
      <c r="A60" t="str">
        <f>'HIDDEN import'!B59</f>
        <v>TC_B_49_CS</v>
      </c>
      <c r="B60" t="str">
        <f>'HIDDEN import'!C59</f>
        <v>Core</v>
      </c>
      <c r="C60" t="str">
        <f>'HIDDEN import'!D59</f>
        <v>Migrate to new ConnectionProfile - Fallback after NetworkProfileConnectionAttempts per NetworkConfigurationPriority failed - Same CSMS Root</v>
      </c>
      <c r="D60" t="str">
        <f>IF(VLOOKUP(A60&amp;" "&amp;B60,'HIDDEN import'!A:G,5,FALSE)="M",MD!$A$1,(IF(AND(VLOOKUP(A60,'HIDDEN import'!B:E,4,FALSE)="C",OR(NOT(ISERROR(VLOOKUP(E60,'Optional features'!B:D,1,FALSE)=E60)),NOT(ISERROR(VLOOKUP(E60,'HIDDEN calc sheet'!A:C,1,FALSE)=E60)))),MD!$A$3,MD!$A$2)))</f>
        <v>Mandatory for optional feature</v>
      </c>
      <c r="E60" t="str">
        <f>IF('HIDDEN import'!F59=0,"",'HIDDEN import'!F59)</f>
        <v>C-47</v>
      </c>
      <c r="F60" t="str">
        <f>IF('HIDDEN import'!G59=0,"",'HIDDEN import'!G59)</f>
        <v>Reconnect after NetworkProfileConnectionAttempts</v>
      </c>
      <c r="G60" s="19" t="str">
        <f>IFERROR(VLOOKUP($A60,'HIDDEN Testrun Results'!$A:$B,2,FALSE),"")</f>
        <v/>
      </c>
      <c r="H60" s="3" t="b">
        <f t="shared" si="0"/>
        <v>0</v>
      </c>
      <c r="I60" s="3" t="b">
        <f>IF(VLOOKUP(A60&amp;" "&amp;B60,'HIDDEN import'!A:G,5,FALSE)="M",TRUE,IFERROR(VLOOKUP(E60,'Optional features'!B:D,3,FALSE)="Yes",IFERROR(VLOOKUP(E60,'HIDDEN calc sheet'!A:B,2,FALSE),IFERROR(VLOOKUP(E60,'Additional questions'!B:D,3,FALSE)="Yes",VLOOKUP(E60,'Hardware Feature set'!B:D,3,FALSE)="No"))))</f>
        <v>0</v>
      </c>
      <c r="J60" s="3" t="b">
        <f>IF(VLOOKUP(B60,'Profile selection'!B:C,2,FALSE)="Yes",TRUE,FALSE)</f>
        <v>1</v>
      </c>
      <c r="K60"/>
      <c r="L60"/>
    </row>
    <row r="61" spans="1:12" ht="15.75" customHeight="1" x14ac:dyDescent="0.25">
      <c r="A61" t="str">
        <f>'HIDDEN import'!B60</f>
        <v>TC_B_50_CS</v>
      </c>
      <c r="B61" t="str">
        <f>'HIDDEN import'!C60</f>
        <v>Core</v>
      </c>
      <c r="C61" t="str">
        <f>'HIDDEN import'!D60</f>
        <v>Migrate to new ConnectionProfile - Success - New CSMS Root - New CSMS</v>
      </c>
      <c r="D61" t="str">
        <f>IF(VLOOKUP(A61&amp;" "&amp;B61,'HIDDEN import'!A:G,5,FALSE)="M",MD!$A$1,(IF(AND(VLOOKUP(A61,'HIDDEN import'!B:E,4,FALSE)="C",OR(NOT(ISERROR(VLOOKUP(E61,'Optional features'!B:D,1,FALSE)=E61)),NOT(ISERROR(VLOOKUP(E61,'HIDDEN calc sheet'!A:C,1,FALSE)=E61)))),MD!$A$3,MD!$A$2)))</f>
        <v>Mandatory test for a mandatory feature</v>
      </c>
      <c r="E61" t="str">
        <f>IF('HIDDEN import'!F60=0,"",'HIDDEN import'!F60)</f>
        <v/>
      </c>
      <c r="F61" t="str">
        <f>IF('HIDDEN import'!G60=0,"",'HIDDEN import'!G60)</f>
        <v/>
      </c>
      <c r="G61" s="19" t="str">
        <f>IFERROR(VLOOKUP($A61,'HIDDEN Testrun Results'!$A:$B,2,FALSE),"")</f>
        <v/>
      </c>
      <c r="H61" s="3" t="b">
        <f t="shared" si="0"/>
        <v>1</v>
      </c>
      <c r="I61" s="3" t="b">
        <f>IF(VLOOKUP(A61&amp;" "&amp;B61,'HIDDEN import'!A:G,5,FALSE)="M",TRUE,IFERROR(VLOOKUP(E61,'Optional features'!B:D,3,FALSE)="Yes",IFERROR(VLOOKUP(E61,'HIDDEN calc sheet'!A:B,2,FALSE),IFERROR(VLOOKUP(E61,'Additional questions'!B:D,3,FALSE)="Yes",VLOOKUP(E61,'Hardware Feature set'!B:D,3,FALSE)="No"))))</f>
        <v>1</v>
      </c>
      <c r="J61" s="3" t="b">
        <f>IF(VLOOKUP(B61,'Profile selection'!B:C,2,FALSE)="Yes",TRUE,FALSE)</f>
        <v>1</v>
      </c>
      <c r="K61"/>
      <c r="L61"/>
    </row>
    <row r="62" spans="1:12" ht="15.75" customHeight="1" x14ac:dyDescent="0.25">
      <c r="A62" t="str">
        <f>'HIDDEN import'!B61</f>
        <v>TC_B_57_CS</v>
      </c>
      <c r="B62" t="str">
        <f>'HIDDEN import'!C61</f>
        <v>Core</v>
      </c>
      <c r="C62" t="str">
        <f>'HIDDEN import'!D61</f>
        <v>Network Reconnection - After connection loss</v>
      </c>
      <c r="D62" t="str">
        <f>IF(VLOOKUP(A62&amp;" "&amp;B62,'HIDDEN import'!A:G,5,FALSE)="M",MD!$A$1,(IF(AND(VLOOKUP(A62,'HIDDEN import'!B:E,4,FALSE)="C",OR(NOT(ISERROR(VLOOKUP(E62,'Optional features'!B:D,1,FALSE)=E62)),NOT(ISERROR(VLOOKUP(E62,'HIDDEN calc sheet'!A:C,1,FALSE)=E62)))),MD!$A$3,MD!$A$2)))</f>
        <v>Mandatory test for a mandatory feature</v>
      </c>
      <c r="E62" t="str">
        <f>IF('HIDDEN import'!F61=0,"",'HIDDEN import'!F61)</f>
        <v/>
      </c>
      <c r="F62" t="str">
        <f>IF('HIDDEN import'!G61=0,"",'HIDDEN import'!G61)</f>
        <v/>
      </c>
      <c r="G62" s="19" t="str">
        <f>IFERROR(VLOOKUP($A62,'HIDDEN Testrun Results'!$A:$B,2,FALSE),"")</f>
        <v/>
      </c>
      <c r="H62" s="3" t="b">
        <f t="shared" si="0"/>
        <v>1</v>
      </c>
      <c r="I62" s="3" t="b">
        <f>IF(VLOOKUP(A62&amp;" "&amp;B62,'HIDDEN import'!A:G,5,FALSE)="M",TRUE,IFERROR(VLOOKUP(E62,'Optional features'!B:D,3,FALSE)="Yes",IFERROR(VLOOKUP(E62,'HIDDEN calc sheet'!A:B,2,FALSE),IFERROR(VLOOKUP(E62,'Additional questions'!B:D,3,FALSE)="Yes",VLOOKUP(E62,'Hardware Feature set'!B:D,3,FALSE)="No"))))</f>
        <v>1</v>
      </c>
      <c r="J62" s="3" t="b">
        <f>IF(VLOOKUP(B62,'Profile selection'!B:C,2,FALSE)="Yes",TRUE,FALSE)</f>
        <v>1</v>
      </c>
      <c r="K62"/>
      <c r="L62"/>
    </row>
    <row r="63" spans="1:12" ht="15.75" customHeight="1" x14ac:dyDescent="0.25">
      <c r="A63" t="str">
        <f>'HIDDEN import'!B62</f>
        <v>TC_C_02_CS</v>
      </c>
      <c r="B63" t="str">
        <f>'HIDDEN import'!C62</f>
        <v>Core</v>
      </c>
      <c r="C63" t="str">
        <f>'HIDDEN import'!D62</f>
        <v>Local start transaction - Authorization Invalid/Unknown</v>
      </c>
      <c r="D63" t="str">
        <f>IF(VLOOKUP(A63&amp;" "&amp;B63,'HIDDEN import'!A:G,5,FALSE)="M",MD!$A$1,(IF(AND(VLOOKUP(A63,'HIDDEN import'!B:E,4,FALSE)="C",OR(NOT(ISERROR(VLOOKUP(E63,'Optional features'!B:D,1,FALSE)=E63)),NOT(ISERROR(VLOOKUP(E63,'HIDDEN calc sheet'!A:C,1,FALSE)=E63)))),MD!$A$3,MD!$A$2)))</f>
        <v>Mandatory for optional feature</v>
      </c>
      <c r="E63" t="str">
        <f>IF('HIDDEN import'!F62=0,"",'HIDDEN import'!F62)</f>
        <v>(C-30 or C-31 or C-32) and NOT AQ-2</v>
      </c>
      <c r="F63" t="str">
        <f>IF('HIDDEN import'!G62=0,"",'HIDDEN import'!G62)</f>
        <v>Local Authorization - using RFID ISO14443 / RFID ISO15693 / KeyCode and Does the Charging Station have a cable lock, which prevents the EV driver to connect the EV and EVSE before authorization?</v>
      </c>
      <c r="G63" s="19" t="str">
        <f>IFERROR(VLOOKUP($A63,'HIDDEN Testrun Results'!$A:$B,2,FALSE),"")</f>
        <v/>
      </c>
      <c r="H63" s="3" t="b">
        <f t="shared" si="0"/>
        <v>0</v>
      </c>
      <c r="I63" s="3" t="b">
        <f>IF(VLOOKUP(A63&amp;" "&amp;B63,'HIDDEN import'!A:G,5,FALSE)="M",TRUE,IFERROR(VLOOKUP(E63,'Optional features'!B:D,3,FALSE)="Yes",IFERROR(VLOOKUP(E63,'HIDDEN calc sheet'!A:B,2,FALSE),IFERROR(VLOOKUP(E63,'Additional questions'!B:D,3,FALSE)="Yes",VLOOKUP(E63,'Hardware Feature set'!B:D,3,FALSE)="No"))))</f>
        <v>0</v>
      </c>
      <c r="J63" s="3" t="b">
        <f>IF(VLOOKUP(B63,'Profile selection'!B:C,2,FALSE)="Yes",TRUE,FALSE)</f>
        <v>1</v>
      </c>
      <c r="K63"/>
      <c r="L63"/>
    </row>
    <row r="64" spans="1:12" ht="15.75" customHeight="1" x14ac:dyDescent="0.25">
      <c r="A64" t="str">
        <f>'HIDDEN import'!B63</f>
        <v>TC_C_06_CS</v>
      </c>
      <c r="B64" t="str">
        <f>'HIDDEN import'!C63</f>
        <v>Core</v>
      </c>
      <c r="C64" t="str">
        <f>'HIDDEN import'!D63</f>
        <v>Local start transaction - Authorization Blocked</v>
      </c>
      <c r="D64" t="str">
        <f>IF(VLOOKUP(A64&amp;" "&amp;B64,'HIDDEN import'!A:G,5,FALSE)="M",MD!$A$1,(IF(AND(VLOOKUP(A64,'HIDDEN import'!B:E,4,FALSE)="C",OR(NOT(ISERROR(VLOOKUP(E64,'Optional features'!B:D,1,FALSE)=E64)),NOT(ISERROR(VLOOKUP(E64,'HIDDEN calc sheet'!A:C,1,FALSE)=E64)))),MD!$A$3,MD!$A$2)))</f>
        <v>Mandatory for optional feature</v>
      </c>
      <c r="E64" t="str">
        <f>IF('HIDDEN import'!F63=0,"",'HIDDEN import'!F63)</f>
        <v>NOT AQ-2 and (C-30 or C-31 or C-32)</v>
      </c>
      <c r="F64" t="str">
        <f>IF('HIDDEN import'!G63=0,"",'HIDDEN import'!G63)</f>
        <v>Local Authorization - using RFID ISO14443 / RFID ISO15693 / KeyCode</v>
      </c>
      <c r="G64" s="19" t="str">
        <f>IFERROR(VLOOKUP($A64,'HIDDEN Testrun Results'!$A:$B,2,FALSE),"")</f>
        <v/>
      </c>
      <c r="H64" s="3" t="b">
        <f t="shared" si="0"/>
        <v>0</v>
      </c>
      <c r="I64" s="3" t="b">
        <f>IF(VLOOKUP(A64&amp;" "&amp;B64,'HIDDEN import'!A:G,5,FALSE)="M",TRUE,IFERROR(VLOOKUP(E64,'Optional features'!B:D,3,FALSE)="Yes",IFERROR(VLOOKUP(E64,'HIDDEN calc sheet'!A:B,2,FALSE),IFERROR(VLOOKUP(E64,'Additional questions'!B:D,3,FALSE)="Yes",VLOOKUP(E64,'Hardware Feature set'!B:D,3,FALSE)="No"))))</f>
        <v>0</v>
      </c>
      <c r="J64" s="3" t="b">
        <f>IF(VLOOKUP(B64,'Profile selection'!B:C,2,FALSE)="Yes",TRUE,FALSE)</f>
        <v>1</v>
      </c>
      <c r="K64"/>
      <c r="L64"/>
    </row>
    <row r="65" spans="1:12" ht="15.75" customHeight="1" x14ac:dyDescent="0.25">
      <c r="A65" t="str">
        <f>'HIDDEN import'!B64</f>
        <v>TC_C_07_CS</v>
      </c>
      <c r="B65" t="str">
        <f>'HIDDEN import'!C64</f>
        <v>Core</v>
      </c>
      <c r="C65" t="str">
        <f>'HIDDEN import'!D64</f>
        <v>Local start transaction - Authorization Expired</v>
      </c>
      <c r="D65" t="str">
        <f>IF(VLOOKUP(A65&amp;" "&amp;B65,'HIDDEN import'!A:G,5,FALSE)="M",MD!$A$1,(IF(AND(VLOOKUP(A65,'HIDDEN import'!B:E,4,FALSE)="C",OR(NOT(ISERROR(VLOOKUP(E65,'Optional features'!B:D,1,FALSE)=E65)),NOT(ISERROR(VLOOKUP(E65,'HIDDEN calc sheet'!A:C,1,FALSE)=E65)))),MD!$A$3,MD!$A$2)))</f>
        <v>Mandatory for optional feature</v>
      </c>
      <c r="E65" t="str">
        <f>IF('HIDDEN import'!F64=0,"",'HIDDEN import'!F64)</f>
        <v>NOT AQ-2 and (C-30 or C-31 or C-32)</v>
      </c>
      <c r="F65" t="str">
        <f>IF('HIDDEN import'!G64=0,"",'HIDDEN import'!G64)</f>
        <v>Local Authorization - using RFID ISO14443 / RFID ISO15693 / KeyCode</v>
      </c>
      <c r="G65" s="19" t="str">
        <f>IFERROR(VLOOKUP($A65,'HIDDEN Testrun Results'!$A:$B,2,FALSE),"")</f>
        <v/>
      </c>
      <c r="H65" s="3" t="b">
        <f t="shared" si="0"/>
        <v>0</v>
      </c>
      <c r="I65" s="3" t="b">
        <f>IF(VLOOKUP(A65&amp;" "&amp;B65,'HIDDEN import'!A:G,5,FALSE)="M",TRUE,IFERROR(VLOOKUP(E65,'Optional features'!B:D,3,FALSE)="Yes",IFERROR(VLOOKUP(E65,'HIDDEN calc sheet'!A:B,2,FALSE),IFERROR(VLOOKUP(E65,'Additional questions'!B:D,3,FALSE)="Yes",VLOOKUP(E65,'Hardware Feature set'!B:D,3,FALSE)="No"))))</f>
        <v>0</v>
      </c>
      <c r="J65" s="3" t="b">
        <f>IF(VLOOKUP(B65,'Profile selection'!B:C,2,FALSE)="Yes",TRUE,FALSE)</f>
        <v>1</v>
      </c>
      <c r="K65"/>
      <c r="L65"/>
    </row>
    <row r="66" spans="1:12" ht="15.75" customHeight="1" x14ac:dyDescent="0.25">
      <c r="A66" t="str">
        <f>'HIDDEN import'!B65</f>
        <v>TC_E_38_CS</v>
      </c>
      <c r="B66" t="str">
        <f>'HIDDEN import'!C65</f>
        <v>Core</v>
      </c>
      <c r="C66" t="str">
        <f>'HIDDEN import'!D65</f>
        <v>Local start transaction - EV not ready</v>
      </c>
      <c r="D66" t="str">
        <f>IF(VLOOKUP(A66&amp;" "&amp;B66,'HIDDEN import'!A:G,5,FALSE)="M",MD!$A$1,(IF(AND(VLOOKUP(A66,'HIDDEN import'!B:E,4,FALSE)="C",OR(NOT(ISERROR(VLOOKUP(E66,'Optional features'!B:D,1,FALSE)=E66)),NOT(ISERROR(VLOOKUP(E66,'HIDDEN calc sheet'!A:C,1,FALSE)=E66)))),MD!$A$3,MD!$A$2)))</f>
        <v>Mandatory for optional feature</v>
      </c>
      <c r="E66" t="str">
        <f>IF('HIDDEN import'!F65=0,"",'HIDDEN import'!F65)</f>
        <v>NOT C-09.5 and NOT Product Subtype "Mode 1/2-only Charging Station" AND NOT HFS-13</v>
      </c>
      <c r="F66" t="str">
        <f>IF('HIDDEN import'!G65=0,"",'HIDDEN import'!G65)</f>
        <v>Start transaction options - EnergyTransfer</v>
      </c>
      <c r="G66" s="19" t="str">
        <f>IFERROR(VLOOKUP($A66,'HIDDEN Testrun Results'!$A:$B,2,FALSE),"")</f>
        <v/>
      </c>
      <c r="H66" s="3" t="b">
        <f t="shared" si="0"/>
        <v>1</v>
      </c>
      <c r="I66" s="3" t="b">
        <f>IF(VLOOKUP(A66&amp;" "&amp;B66,'HIDDEN import'!A:G,5,FALSE)="M",TRUE,IFERROR(VLOOKUP(E66,'Optional features'!B:D,3,FALSE)="Yes",IFERROR(VLOOKUP(E66,'HIDDEN calc sheet'!A:B,2,FALSE),IFERROR(VLOOKUP(E66,'Additional questions'!B:D,3,FALSE)="Yes",VLOOKUP(E66,'Hardware Feature set'!B:D,3,FALSE)="No"))))</f>
        <v>1</v>
      </c>
      <c r="J66" s="3" t="b">
        <f>IF(VLOOKUP(B66,'Profile selection'!B:C,2,FALSE)="Yes",TRUE,FALSE)</f>
        <v>1</v>
      </c>
      <c r="K66"/>
      <c r="L66"/>
    </row>
    <row r="67" spans="1:12" ht="15.75" customHeight="1" x14ac:dyDescent="0.25">
      <c r="A67" t="str">
        <f>'HIDDEN import'!B66</f>
        <v>TC_C_56_CS</v>
      </c>
      <c r="B67" t="str">
        <f>'HIDDEN import'!C66</f>
        <v>Core</v>
      </c>
      <c r="C67" t="str">
        <f>'HIDDEN import'!D66</f>
        <v>Local start transaction - Authorization Unknown</v>
      </c>
      <c r="D67" t="str">
        <f>IF(VLOOKUP(A67&amp;" "&amp;B67,'HIDDEN import'!A:G,5,FALSE)="M",MD!$A$1,(IF(AND(VLOOKUP(A67,'HIDDEN import'!B:E,4,FALSE)="C",OR(NOT(ISERROR(VLOOKUP(E67,'Optional features'!B:D,1,FALSE)=E67)),NOT(ISERROR(VLOOKUP(E67,'HIDDEN calc sheet'!A:C,1,FALSE)=E67)))),MD!$A$3,MD!$A$2)))</f>
        <v>Mandatory for optional feature</v>
      </c>
      <c r="E67" t="str">
        <f>IF('HIDDEN import'!F66=0,"",'HIDDEN import'!F66)</f>
        <v>(C-30 or C-31 or C-32) and NOT AQ-2</v>
      </c>
      <c r="F67" t="str">
        <f>IF('HIDDEN import'!G66=0,"",'HIDDEN import'!G66)</f>
        <v>Local Authorization - using RFID ISO14443 / RFID ISO15693 / KeyCode</v>
      </c>
      <c r="G67" s="19" t="str">
        <f>IFERROR(VLOOKUP($A67,'HIDDEN Testrun Results'!$A:$B,2,FALSE),"")</f>
        <v/>
      </c>
      <c r="H67" s="3" t="b">
        <f t="shared" ref="H67:H130" si="1">IF(NOT(J67),FALSE,IF(NOT(ISLOGICAL(I67)),I67,AND(I67,J67)))</f>
        <v>0</v>
      </c>
      <c r="I67" s="3" t="b">
        <f>IF(VLOOKUP(A67&amp;" "&amp;B67,'HIDDEN import'!A:G,5,FALSE)="M",TRUE,IFERROR(VLOOKUP(E67,'Optional features'!B:D,3,FALSE)="Yes",IFERROR(VLOOKUP(E67,'HIDDEN calc sheet'!A:B,2,FALSE),IFERROR(VLOOKUP(E67,'Additional questions'!B:D,3,FALSE)="Yes",VLOOKUP(E67,'Hardware Feature set'!B:D,3,FALSE)="No"))))</f>
        <v>0</v>
      </c>
      <c r="J67" s="3" t="b">
        <f>IF(VLOOKUP(B67,'Profile selection'!B:C,2,FALSE)="Yes",TRUE,FALSE)</f>
        <v>1</v>
      </c>
      <c r="K67"/>
      <c r="L67"/>
    </row>
    <row r="68" spans="1:12" ht="15.75" customHeight="1" x14ac:dyDescent="0.25">
      <c r="A68" t="str">
        <f>'HIDDEN import'!B67</f>
        <v>TC_C_05_CS</v>
      </c>
      <c r="B68" t="str">
        <f>'HIDDEN import'!C67</f>
        <v>Core</v>
      </c>
      <c r="C68" t="str">
        <f>'HIDDEN import'!D67</f>
        <v>Local start transaction - Authorization invalid - Cable lock</v>
      </c>
      <c r="D68" t="str">
        <f>IF(VLOOKUP(A68&amp;" "&amp;B68,'HIDDEN import'!A:G,5,FALSE)="M",MD!$A$1,(IF(AND(VLOOKUP(A68,'HIDDEN import'!B:E,4,FALSE)="C",OR(NOT(ISERROR(VLOOKUP(E68,'Optional features'!B:D,1,FALSE)=E68)),NOT(ISERROR(VLOOKUP(E68,'HIDDEN calc sheet'!A:C,1,FALSE)=E68)))),MD!$A$3,MD!$A$2)))</f>
        <v>Mandatory for optional feature</v>
      </c>
      <c r="E68" t="str">
        <f>IF('HIDDEN import'!F67=0,"",'HIDDEN import'!F67)</f>
        <v>(C-30 or C-31 or C-32) and AQ-2</v>
      </c>
      <c r="F68" t="str">
        <f>IF('HIDDEN import'!G67=0,"",'HIDDEN import'!G67)</f>
        <v>Local Authorization - using RFID ISO14443 / RFID ISO15693 / KeyCode</v>
      </c>
      <c r="G68" s="19" t="str">
        <f>IFERROR(VLOOKUP($A68,'HIDDEN Testrun Results'!$A:$B,2,FALSE),"")</f>
        <v/>
      </c>
      <c r="H68" s="3" t="b">
        <f t="shared" si="1"/>
        <v>0</v>
      </c>
      <c r="I68" s="3" t="b">
        <f>IF(VLOOKUP(A68&amp;" "&amp;B68,'HIDDEN import'!A:G,5,FALSE)="M",TRUE,IFERROR(VLOOKUP(E68,'Optional features'!B:D,3,FALSE)="Yes",IFERROR(VLOOKUP(E68,'HIDDEN calc sheet'!A:B,2,FALSE),IFERROR(VLOOKUP(E68,'Additional questions'!B:D,3,FALSE)="Yes",VLOOKUP(E68,'Hardware Feature set'!B:D,3,FALSE)="No"))))</f>
        <v>0</v>
      </c>
      <c r="J68" s="3" t="b">
        <f>IF(VLOOKUP(B68,'Profile selection'!B:C,2,FALSE)="Yes",TRUE,FALSE)</f>
        <v>1</v>
      </c>
      <c r="K68"/>
      <c r="L68"/>
    </row>
    <row r="69" spans="1:12" ht="15.75" customHeight="1" x14ac:dyDescent="0.25">
      <c r="A69" t="str">
        <f>'HIDDEN import'!B68</f>
        <v>TC_C_04_CS</v>
      </c>
      <c r="B69" t="str">
        <f>'HIDDEN import'!C68</f>
        <v>Core</v>
      </c>
      <c r="C69" t="str">
        <f>'HIDDEN import'!D68</f>
        <v>Local Stop Transaction - Different idToken</v>
      </c>
      <c r="D69" t="str">
        <f>IF(VLOOKUP(A69&amp;" "&amp;B69,'HIDDEN import'!A:G,5,FALSE)="M",MD!$A$1,(IF(AND(VLOOKUP(A69,'HIDDEN import'!B:E,4,FALSE)="C",OR(NOT(ISERROR(VLOOKUP(E69,'Optional features'!B:D,1,FALSE)=E69)),NOT(ISERROR(VLOOKUP(E69,'HIDDEN calc sheet'!A:C,1,FALSE)=E69)))),MD!$A$3,MD!$A$2)))</f>
        <v>Mandatory for optional feature</v>
      </c>
      <c r="E69" t="str">
        <f>IF('HIDDEN import'!F68=0,"",'HIDDEN import'!F68)</f>
        <v>C-70 or C-71 or C-72</v>
      </c>
      <c r="F69" t="str">
        <f>IF('HIDDEN import'!G68=0,"",'HIDDEN import'!G68)</f>
        <v>Local Authorization - using RFID ISO14443 / RFID ISO15693 / KeyCode</v>
      </c>
      <c r="G69" s="19" t="str">
        <f>IFERROR(VLOOKUP($A69,'HIDDEN Testrun Results'!$A:$B,2,FALSE),"")</f>
        <v/>
      </c>
      <c r="H69" s="3" t="b">
        <f t="shared" si="1"/>
        <v>0</v>
      </c>
      <c r="I69" s="3" t="b">
        <f>IF(VLOOKUP(A69&amp;" "&amp;B69,'HIDDEN import'!A:G,5,FALSE)="M",TRUE,IFERROR(VLOOKUP(E69,'Optional features'!B:D,3,FALSE)="Yes",IFERROR(VLOOKUP(E69,'HIDDEN calc sheet'!A:B,2,FALSE),IFERROR(VLOOKUP(E69,'Additional questions'!B:D,3,FALSE)="Yes",VLOOKUP(E69,'Hardware Feature set'!B:D,3,FALSE)="No"))))</f>
        <v>0</v>
      </c>
      <c r="J69" s="3" t="b">
        <f>IF(VLOOKUP(B69,'Profile selection'!B:C,2,FALSE)="Yes",TRUE,FALSE)</f>
        <v>1</v>
      </c>
      <c r="K69"/>
      <c r="L69"/>
    </row>
    <row r="70" spans="1:12" ht="15.75" customHeight="1" x14ac:dyDescent="0.25">
      <c r="A70" t="str">
        <f>'HIDDEN import'!B69</f>
        <v>TC_E_06_CS</v>
      </c>
      <c r="B70" t="str">
        <f>'HIDDEN import'!C69</f>
        <v>Core</v>
      </c>
      <c r="C70" t="str">
        <f>'HIDDEN import'!D69</f>
        <v>Local Stop Transaction - Accepted</v>
      </c>
      <c r="D70" t="str">
        <f>IF(VLOOKUP(A70&amp;" "&amp;B70,'HIDDEN import'!A:G,5,FALSE)="M",MD!$A$1,(IF(AND(VLOOKUP(A70,'HIDDEN import'!B:E,4,FALSE)="C",OR(NOT(ISERROR(VLOOKUP(E70,'Optional features'!B:D,1,FALSE)=E70)),NOT(ISERROR(VLOOKUP(E70,'HIDDEN calc sheet'!A:C,1,FALSE)=E70)))),MD!$A$3,MD!$A$2)))</f>
        <v>Mandatory for optional feature</v>
      </c>
      <c r="E70" t="str">
        <f>IF('HIDDEN import'!F69=0,"",'HIDDEN import'!F69)</f>
        <v>C-70 or C-71 or C-72 or C-75</v>
      </c>
      <c r="F70" t="str">
        <f>IF('HIDDEN import'!G69=0,"",'HIDDEN import'!G69)</f>
        <v>Local Authorization - using RFID ISO14443 / RFID ISO15693 / KeyCode / NoAuthorization</v>
      </c>
      <c r="G70" s="19" t="str">
        <f>IFERROR(VLOOKUP($A70,'HIDDEN Testrun Results'!$A:$B,2,FALSE),"")</f>
        <v/>
      </c>
      <c r="H70" s="3" t="b">
        <f t="shared" si="1"/>
        <v>0</v>
      </c>
      <c r="I70" s="3" t="b">
        <f>IF(VLOOKUP(A70&amp;" "&amp;B70,'HIDDEN import'!A:G,5,FALSE)="M",TRUE,IFERROR(VLOOKUP(E70,'Optional features'!B:D,3,FALSE)="Yes",IFERROR(VLOOKUP(E70,'HIDDEN calc sheet'!A:B,2,FALSE),IFERROR(VLOOKUP(E70,'Additional questions'!B:D,3,FALSE)="Yes",VLOOKUP(E70,'Hardware Feature set'!B:D,3,FALSE)="No"))))</f>
        <v>0</v>
      </c>
      <c r="J70" s="3" t="b">
        <f>IF(VLOOKUP(B70,'Profile selection'!B:C,2,FALSE)="Yes",TRUE,FALSE)</f>
        <v>1</v>
      </c>
      <c r="K70"/>
      <c r="L70"/>
    </row>
    <row r="71" spans="1:12" ht="15.75" customHeight="1" x14ac:dyDescent="0.25">
      <c r="A71" t="str">
        <f>'HIDDEN import'!B70</f>
        <v>TC_C_39_CS</v>
      </c>
      <c r="B71" t="str">
        <f>'HIDDEN import'!C70</f>
        <v>Core</v>
      </c>
      <c r="C71" t="str">
        <f>'HIDDEN import'!D70</f>
        <v>Authorization by GroupId - Success</v>
      </c>
      <c r="D71" t="str">
        <f>IF(VLOOKUP(A71&amp;" "&amp;B71,'HIDDEN import'!A:G,5,FALSE)="M",MD!$A$1,(IF(AND(VLOOKUP(A71,'HIDDEN import'!B:E,4,FALSE)="C",OR(NOT(ISERROR(VLOOKUP(E71,'Optional features'!B:D,1,FALSE)=E71)),NOT(ISERROR(VLOOKUP(E71,'HIDDEN calc sheet'!A:C,1,FALSE)=E71)))),MD!$A$3,MD!$A$2)))</f>
        <v>Mandatory for optional feature</v>
      </c>
      <c r="E71" t="str">
        <f>IF('HIDDEN import'!F70=0,"",'HIDDEN import'!F70)</f>
        <v>(C-30 and C-70) or (C-31 and C-71) or (C-32 and C-72)</v>
      </c>
      <c r="F71" t="str">
        <f>IF('HIDDEN import'!G70=0,"",'HIDDEN import'!G70)</f>
        <v>Local Authorization - using RFID ISO14443 / RFID ISO15693 / KeyCode</v>
      </c>
      <c r="G71" s="19" t="str">
        <f>IFERROR(VLOOKUP($A71,'HIDDEN Testrun Results'!$A:$B,2,FALSE),"")</f>
        <v/>
      </c>
      <c r="H71" s="3" t="b">
        <f t="shared" si="1"/>
        <v>0</v>
      </c>
      <c r="I71" s="3" t="b">
        <f>IF(VLOOKUP(A71&amp;" "&amp;B71,'HIDDEN import'!A:G,5,FALSE)="M",TRUE,IFERROR(VLOOKUP(E71,'Optional features'!B:D,3,FALSE)="Yes",IFERROR(VLOOKUP(E71,'HIDDEN calc sheet'!A:B,2,FALSE),IFERROR(VLOOKUP(E71,'Additional questions'!B:D,3,FALSE)="Yes",VLOOKUP(E71,'Hardware Feature set'!B:D,3,FALSE)="No"))))</f>
        <v>0</v>
      </c>
      <c r="J71" s="3" t="b">
        <f>IF(VLOOKUP(B71,'Profile selection'!B:C,2,FALSE)="Yes",TRUE,FALSE)</f>
        <v>1</v>
      </c>
      <c r="K71"/>
      <c r="L71"/>
    </row>
    <row r="72" spans="1:12" ht="15.75" customHeight="1" x14ac:dyDescent="0.25">
      <c r="A72" t="str">
        <f>'HIDDEN import'!B71</f>
        <v>TC_C_45_CS</v>
      </c>
      <c r="B72" t="str">
        <f>'HIDDEN import'!C71</f>
        <v>Core</v>
      </c>
      <c r="C72" t="str">
        <f>'HIDDEN import'!D71</f>
        <v>Authorization by GroupId - Master pass - Not able to start transaction + groupId</v>
      </c>
      <c r="D72" t="str">
        <f>IF(VLOOKUP(A72&amp;" "&amp;B72,'HIDDEN import'!A:G,5,FALSE)="M",MD!$A$1,(IF(AND(VLOOKUP(A72,'HIDDEN import'!B:E,4,FALSE)="C",OR(NOT(ISERROR(VLOOKUP(E72,'Optional features'!B:D,1,FALSE)=E72)),NOT(ISERROR(VLOOKUP(E72,'HIDDEN calc sheet'!A:C,1,FALSE)=E72)))),MD!$A$3,MD!$A$2)))</f>
        <v>Mandatory for optional feature</v>
      </c>
      <c r="E72" t="str">
        <f>IF('HIDDEN import'!F71=0,"",'HIDDEN import'!F71)</f>
        <v>((C-30 and C-70) or (C-31 and C-71) or (C-32 and C-72)) AND (C-07 OR C-08)</v>
      </c>
      <c r="F72" t="str">
        <f>IF('HIDDEN import'!G71=0,"",'HIDDEN import'!G71)</f>
        <v>Local Authorization - using RFID ISO14443 / RFID ISO15693 / KeyCode and Master Pass</v>
      </c>
      <c r="G72" s="19" t="str">
        <f>IFERROR(VLOOKUP($A72,'HIDDEN Testrun Results'!$A:$B,2,FALSE),"")</f>
        <v/>
      </c>
      <c r="H72" s="3" t="b">
        <f t="shared" si="1"/>
        <v>0</v>
      </c>
      <c r="I72" s="3" t="b">
        <f>IF(VLOOKUP(A72&amp;" "&amp;B72,'HIDDEN import'!A:G,5,FALSE)="M",TRUE,IFERROR(VLOOKUP(E72,'Optional features'!B:D,3,FALSE)="Yes",IFERROR(VLOOKUP(E72,'HIDDEN calc sheet'!A:B,2,FALSE),IFERROR(VLOOKUP(E72,'Additional questions'!B:D,3,FALSE)="Yes",VLOOKUP(E72,'Hardware Feature set'!B:D,3,FALSE)="No"))))</f>
        <v>0</v>
      </c>
      <c r="J72" s="3" t="b">
        <f>IF(VLOOKUP(B72,'Profile selection'!B:C,2,FALSE)="Yes",TRUE,FALSE)</f>
        <v>1</v>
      </c>
      <c r="K72"/>
      <c r="L72"/>
    </row>
    <row r="73" spans="1:12" ht="15.75" customHeight="1" x14ac:dyDescent="0.25">
      <c r="A73" t="str">
        <f>'HIDDEN import'!B72</f>
        <v>TC_C_42_CS</v>
      </c>
      <c r="B73" t="str">
        <f>'HIDDEN import'!C72</f>
        <v>Core</v>
      </c>
      <c r="C73" t="str">
        <f>'HIDDEN import'!D72</f>
        <v>Authorization by GroupId - Not stopped by GroupId</v>
      </c>
      <c r="D73" t="str">
        <f>IF(VLOOKUP(A73&amp;" "&amp;B73,'HIDDEN import'!A:G,5,FALSE)="M",MD!$A$1,(IF(AND(VLOOKUP(A73,'HIDDEN import'!B:E,4,FALSE)="C",OR(NOT(ISERROR(VLOOKUP(E73,'Optional features'!B:D,1,FALSE)=E73)),NOT(ISERROR(VLOOKUP(E73,'HIDDEN calc sheet'!A:C,1,FALSE)=E73)))),MD!$A$3,MD!$A$2)))</f>
        <v>Mandatory for optional feature</v>
      </c>
      <c r="E73" t="str">
        <f>IF('HIDDEN import'!F72=0,"",'HIDDEN import'!F72)</f>
        <v>(C-30 and C-70) or (C-31 and C-71) or (C-32 and C-72)</v>
      </c>
      <c r="F73" t="str">
        <f>IF('HIDDEN import'!G72=0,"",'HIDDEN import'!G72)</f>
        <v>Local Authorization - using RFID ISO14443 / RFID ISO15693 / KeyCode</v>
      </c>
      <c r="G73" s="19" t="str">
        <f>IFERROR(VLOOKUP($A73,'HIDDEN Testrun Results'!$A:$B,2,FALSE),"")</f>
        <v/>
      </c>
      <c r="H73" s="3" t="b">
        <f t="shared" si="1"/>
        <v>0</v>
      </c>
      <c r="I73" s="3" t="b">
        <f>IF(VLOOKUP(A73&amp;" "&amp;B73,'HIDDEN import'!A:G,5,FALSE)="M",TRUE,IFERROR(VLOOKUP(E73,'Optional features'!B:D,3,FALSE)="Yes",IFERROR(VLOOKUP(E73,'HIDDEN calc sheet'!A:B,2,FALSE),IFERROR(VLOOKUP(E73,'Additional questions'!B:D,3,FALSE)="Yes",VLOOKUP(E73,'Hardware Feature set'!B:D,3,FALSE)="No"))))</f>
        <v>0</v>
      </c>
      <c r="J73" s="3" t="b">
        <f>IF(VLOOKUP(B73,'Profile selection'!B:C,2,FALSE)="Yes",TRUE,FALSE)</f>
        <v>1</v>
      </c>
      <c r="K73"/>
      <c r="L73"/>
    </row>
    <row r="74" spans="1:12" ht="15.75" customHeight="1" x14ac:dyDescent="0.25">
      <c r="A74" t="str">
        <f>'HIDDEN import'!B73</f>
        <v>TC_C_26_CS</v>
      </c>
      <c r="B74" t="str">
        <f>'HIDDEN import'!C73</f>
        <v>Core</v>
      </c>
      <c r="C74" t="str">
        <f>'HIDDEN import'!D73</f>
        <v>Offline Authorization - Unknown Id</v>
      </c>
      <c r="D74" t="str">
        <f>IF(VLOOKUP(A74&amp;" "&amp;B74,'HIDDEN import'!A:G,5,FALSE)="M",MD!$A$1,(IF(AND(VLOOKUP(A74,'HIDDEN import'!B:E,4,FALSE)="C",OR(NOT(ISERROR(VLOOKUP(E74,'Optional features'!B:D,1,FALSE)=E74)),NOT(ISERROR(VLOOKUP(E74,'HIDDEN calc sheet'!A:C,1,FALSE)=E74)))),MD!$A$3,MD!$A$2)))</f>
        <v>Mandatory for optional feature</v>
      </c>
      <c r="E74" t="str">
        <f>IF('HIDDEN import'!F73=0,"",'HIDDEN import'!F73)</f>
        <v>C-02 and (C-30 or C-31 or C-32 or C-33 or C-34)</v>
      </c>
      <c r="F74" t="str">
        <f>IF('HIDDEN import'!G73=0,"",'HIDDEN import'!G73)</f>
        <v>Unknown Offline Authorization</v>
      </c>
      <c r="G74" s="19" t="str">
        <f>IFERROR(VLOOKUP($A74,'HIDDEN Testrun Results'!$A:$B,2,FALSE),"")</f>
        <v/>
      </c>
      <c r="H74" s="3" t="b">
        <f t="shared" si="1"/>
        <v>0</v>
      </c>
      <c r="I74" s="3" t="b">
        <f>IF(VLOOKUP(A74&amp;" "&amp;B74,'HIDDEN import'!A:G,5,FALSE)="M",TRUE,IFERROR(VLOOKUP(E74,'Optional features'!B:D,3,FALSE)="Yes",IFERROR(VLOOKUP(E74,'HIDDEN calc sheet'!A:B,2,FALSE),IFERROR(VLOOKUP(E74,'Additional questions'!B:D,3,FALSE)="Yes",VLOOKUP(E74,'Hardware Feature set'!B:D,3,FALSE)="No"))))</f>
        <v>0</v>
      </c>
      <c r="J74" s="3" t="b">
        <f>IF(VLOOKUP(B74,'Profile selection'!B:C,2,FALSE)="Yes",TRUE,FALSE)</f>
        <v>1</v>
      </c>
      <c r="K74"/>
      <c r="L74"/>
    </row>
    <row r="75" spans="1:12" ht="15.75" customHeight="1" x14ac:dyDescent="0.25">
      <c r="A75" t="str">
        <f>'HIDDEN import'!B74</f>
        <v>TC_C_47_CS</v>
      </c>
      <c r="B75" t="str">
        <f>'HIDDEN import'!C74</f>
        <v>Core</v>
      </c>
      <c r="C75" t="str">
        <f>'HIDDEN import'!D74</f>
        <v>Stop Transaction with a Master Pass - With UI - All transactions</v>
      </c>
      <c r="D75" t="str">
        <f>IF(VLOOKUP(A75&amp;" "&amp;B75,'HIDDEN import'!A:G,5,FALSE)="M",MD!$A$1,(IF(AND(VLOOKUP(A75,'HIDDEN import'!B:E,4,FALSE)="C",OR(NOT(ISERROR(VLOOKUP(E75,'Optional features'!B:D,1,FALSE)=E75)),NOT(ISERROR(VLOOKUP(E75,'HIDDEN calc sheet'!A:C,1,FALSE)=E75)))),MD!$A$3,MD!$A$2)))</f>
        <v>Mandatory for optional feature</v>
      </c>
      <c r="E75" t="str">
        <f>IF('HIDDEN import'!F74=0,"",'HIDDEN import'!F74)</f>
        <v>C-07 and (C-70 or C-71 or C-72)</v>
      </c>
      <c r="F75" t="str">
        <f>IF('HIDDEN import'!G74=0,"",'HIDDEN import'!G74)</f>
        <v>Master Pass - With UI</v>
      </c>
      <c r="G75" s="19" t="str">
        <f>IFERROR(VLOOKUP($A75,'HIDDEN Testrun Results'!$A:$B,2,FALSE),"")</f>
        <v/>
      </c>
      <c r="H75" s="3" t="b">
        <f t="shared" si="1"/>
        <v>0</v>
      </c>
      <c r="I75" s="3" t="b">
        <f>IF(VLOOKUP(A75&amp;" "&amp;B75,'HIDDEN import'!A:G,5,FALSE)="M",TRUE,IFERROR(VLOOKUP(E75,'Optional features'!B:D,3,FALSE)="Yes",IFERROR(VLOOKUP(E75,'HIDDEN calc sheet'!A:B,2,FALSE),IFERROR(VLOOKUP(E75,'Additional questions'!B:D,3,FALSE)="Yes",VLOOKUP(E75,'Hardware Feature set'!B:D,3,FALSE)="No"))))</f>
        <v>0</v>
      </c>
      <c r="J75" s="3" t="b">
        <f>IF(VLOOKUP(B75,'Profile selection'!B:C,2,FALSE)="Yes",TRUE,FALSE)</f>
        <v>1</v>
      </c>
      <c r="K75"/>
      <c r="L75"/>
    </row>
    <row r="76" spans="1:12" ht="15.75" customHeight="1" x14ac:dyDescent="0.25">
      <c r="A76" t="str">
        <f>'HIDDEN import'!B75</f>
        <v>TC_C_48_CS</v>
      </c>
      <c r="B76" t="str">
        <f>'HIDDEN import'!C75</f>
        <v>Core</v>
      </c>
      <c r="C76" t="str">
        <f>'HIDDEN import'!D75</f>
        <v>Stop Transaction with a Master Pass - With UI - With UI - Specific transactions</v>
      </c>
      <c r="D76" t="str">
        <f>IF(VLOOKUP(A76&amp;" "&amp;B76,'HIDDEN import'!A:G,5,FALSE)="M",MD!$A$1,(IF(AND(VLOOKUP(A76,'HIDDEN import'!B:E,4,FALSE)="C",OR(NOT(ISERROR(VLOOKUP(E76,'Optional features'!B:D,1,FALSE)=E76)),NOT(ISERROR(VLOOKUP(E76,'HIDDEN calc sheet'!A:C,1,FALSE)=E76)))),MD!$A$3,MD!$A$2)))</f>
        <v>Mandatory for optional feature</v>
      </c>
      <c r="E76" t="str">
        <f>IF('HIDDEN import'!F75=0,"",'HIDDEN import'!F75)</f>
        <v>C-07 and (C-70 or C-71 or C-72)</v>
      </c>
      <c r="F76" t="str">
        <f>IF('HIDDEN import'!G75=0,"",'HIDDEN import'!G75)</f>
        <v>Master Pass - With UI</v>
      </c>
      <c r="G76" s="19" t="str">
        <f>IFERROR(VLOOKUP($A76,'HIDDEN Testrun Results'!$A:$B,2,FALSE),"")</f>
        <v/>
      </c>
      <c r="H76" s="3" t="b">
        <f t="shared" si="1"/>
        <v>0</v>
      </c>
      <c r="I76" s="3" t="b">
        <f>IF(VLOOKUP(A76&amp;" "&amp;B76,'HIDDEN import'!A:G,5,FALSE)="M",TRUE,IFERROR(VLOOKUP(E76,'Optional features'!B:D,3,FALSE)="Yes",IFERROR(VLOOKUP(E76,'HIDDEN calc sheet'!A:B,2,FALSE),IFERROR(VLOOKUP(E76,'Additional questions'!B:D,3,FALSE)="Yes",VLOOKUP(E76,'Hardware Feature set'!B:D,3,FALSE)="No"))))</f>
        <v>0</v>
      </c>
      <c r="J76" s="3" t="b">
        <f>IF(VLOOKUP(B76,'Profile selection'!B:C,2,FALSE)="Yes",TRUE,FALSE)</f>
        <v>1</v>
      </c>
      <c r="K76"/>
      <c r="L76"/>
    </row>
    <row r="77" spans="1:12" ht="15.75" customHeight="1" x14ac:dyDescent="0.25">
      <c r="A77" t="str">
        <f>'HIDDEN import'!B76</f>
        <v>TC_C_49_CS</v>
      </c>
      <c r="B77" t="str">
        <f>'HIDDEN import'!C76</f>
        <v>Core</v>
      </c>
      <c r="C77" t="str">
        <f>'HIDDEN import'!D76</f>
        <v>Stop Transaction with a Master Pass - Without UI</v>
      </c>
      <c r="D77" t="str">
        <f>IF(VLOOKUP(A77&amp;" "&amp;B77,'HIDDEN import'!A:G,5,FALSE)="M",MD!$A$1,(IF(AND(VLOOKUP(A77,'HIDDEN import'!B:E,4,FALSE)="C",OR(NOT(ISERROR(VLOOKUP(E77,'Optional features'!B:D,1,FALSE)=E77)),NOT(ISERROR(VLOOKUP(E77,'HIDDEN calc sheet'!A:C,1,FALSE)=E77)))),MD!$A$3,MD!$A$2)))</f>
        <v>Mandatory for optional feature</v>
      </c>
      <c r="E77" t="str">
        <f>IF('HIDDEN import'!F76=0,"",'HIDDEN import'!F76)</f>
        <v>C-08 and (C-70 or C-71 or C-72)</v>
      </c>
      <c r="F77" t="str">
        <f>IF('HIDDEN import'!G76=0,"",'HIDDEN import'!G76)</f>
        <v>Master Pass - Without UI</v>
      </c>
      <c r="G77" s="19" t="str">
        <f>IFERROR(VLOOKUP($A77,'HIDDEN Testrun Results'!$A:$B,2,FALSE),"")</f>
        <v/>
      </c>
      <c r="H77" s="3" t="b">
        <f t="shared" si="1"/>
        <v>0</v>
      </c>
      <c r="I77" s="3" t="b">
        <f>IF(VLOOKUP(A77&amp;" "&amp;B77,'HIDDEN import'!A:G,5,FALSE)="M",TRUE,IFERROR(VLOOKUP(E77,'Optional features'!B:D,3,FALSE)="Yes",IFERROR(VLOOKUP(E77,'HIDDEN calc sheet'!A:B,2,FALSE),IFERROR(VLOOKUP(E77,'Additional questions'!B:D,3,FALSE)="Yes",VLOOKUP(E77,'Hardware Feature set'!B:D,3,FALSE)="No"))))</f>
        <v>0</v>
      </c>
      <c r="J77" s="3" t="b">
        <f>IF(VLOOKUP(B77,'Profile selection'!B:C,2,FALSE)="Yes",TRUE,FALSE)</f>
        <v>1</v>
      </c>
      <c r="K77"/>
      <c r="L77"/>
    </row>
    <row r="78" spans="1:12" ht="17.100000000000001" customHeight="1" x14ac:dyDescent="0.25">
      <c r="A78" t="str">
        <f>'HIDDEN import'!B77</f>
        <v>TC_C_32_CS</v>
      </c>
      <c r="B78" t="str">
        <f>'HIDDEN import'!C77</f>
        <v>Core</v>
      </c>
      <c r="C78" t="str">
        <f>'HIDDEN import'!D77</f>
        <v>Store Authorization Data in the Authorization Cache - Persistent over reboot</v>
      </c>
      <c r="D78" t="str">
        <f>IF(VLOOKUP(A78&amp;" "&amp;B78,'HIDDEN import'!A:G,5,FALSE)="M",MD!$A$1,(IF(AND(VLOOKUP(A78,'HIDDEN import'!B:E,4,FALSE)="C",OR(NOT(ISERROR(VLOOKUP(E78,'Optional features'!B:D,1,FALSE)=E78)),NOT(ISERROR(VLOOKUP(E78,'HIDDEN calc sheet'!A:C,1,FALSE)=E78)))),MD!$A$3,MD!$A$2)))</f>
        <v>Mandatory for optional feature</v>
      </c>
      <c r="E78" t="str">
        <f>IF('HIDDEN import'!F77=0,"",'HIDDEN import'!F77)</f>
        <v>C-49 and (((C-30 and C-70) or (C-31 and C-71) or (C-32 and C-72)) or (C-36 or C-37))</v>
      </c>
      <c r="F78" t="str">
        <f>IF('HIDDEN import'!G77=0,"",'HIDDEN import'!G77)</f>
        <v>Authorization Cache</v>
      </c>
      <c r="G78" s="19" t="str">
        <f>IFERROR(VLOOKUP($A78,'HIDDEN Testrun Results'!$A:$B,2,FALSE),"")</f>
        <v/>
      </c>
      <c r="H78" s="3" t="b">
        <f t="shared" si="1"/>
        <v>0</v>
      </c>
      <c r="I78" s="3" t="b">
        <f>IF(VLOOKUP(A78&amp;" "&amp;B78,'HIDDEN import'!A:G,5,FALSE)="M",TRUE,IFERROR(VLOOKUP(E78,'Optional features'!B:D,3,FALSE)="Yes",IFERROR(VLOOKUP(E78,'HIDDEN calc sheet'!A:B,2,FALSE),IFERROR(VLOOKUP(E78,'Additional questions'!B:D,3,FALSE)="Yes",VLOOKUP(E78,'Hardware Feature set'!B:D,3,FALSE)="No"))))</f>
        <v>0</v>
      </c>
      <c r="J78" s="3" t="b">
        <f>IF(VLOOKUP(B78,'Profile selection'!B:C,2,FALSE)="Yes",TRUE,FALSE)</f>
        <v>1</v>
      </c>
      <c r="K78"/>
      <c r="L78"/>
    </row>
    <row r="79" spans="1:12" ht="17.100000000000001" customHeight="1" x14ac:dyDescent="0.25">
      <c r="A79" t="str">
        <f>'HIDDEN import'!B78</f>
        <v>TC_C_33_CS</v>
      </c>
      <c r="B79" t="str">
        <f>'HIDDEN import'!C78</f>
        <v>Core</v>
      </c>
      <c r="C79" t="str">
        <f>'HIDDEN import'!D78</f>
        <v>Store Authorization Data in the Authorization Cache - Update on AuthorizeResponse</v>
      </c>
      <c r="D79" t="str">
        <f>IF(VLOOKUP(A79&amp;" "&amp;B79,'HIDDEN import'!A:G,5,FALSE)="M",MD!$A$1,(IF(AND(VLOOKUP(A79,'HIDDEN import'!B:E,4,FALSE)="C",OR(NOT(ISERROR(VLOOKUP(E79,'Optional features'!B:D,1,FALSE)=E79)),NOT(ISERROR(VLOOKUP(E79,'HIDDEN calc sheet'!A:C,1,FALSE)=E79)))),MD!$A$3,MD!$A$2)))</f>
        <v>Mandatory for optional feature</v>
      </c>
      <c r="E79" t="str">
        <f>IF('HIDDEN import'!F78=0,"",'HIDDEN import'!F78)</f>
        <v>C-49 and (((C-30 and C-70) or (C-31 and C-71) or (C-32 and C-72)) or (C-36 or C-37))</v>
      </c>
      <c r="F79" t="str">
        <f>IF('HIDDEN import'!G78=0,"",'HIDDEN import'!G78)</f>
        <v>Authorization Cache</v>
      </c>
      <c r="G79" s="19" t="str">
        <f>IFERROR(VLOOKUP($A79,'HIDDEN Testrun Results'!$A:$B,2,FALSE),"")</f>
        <v/>
      </c>
      <c r="H79" s="3" t="b">
        <f t="shared" si="1"/>
        <v>0</v>
      </c>
      <c r="I79" s="3" t="b">
        <f>IF(VLOOKUP(A79&amp;" "&amp;B79,'HIDDEN import'!A:G,5,FALSE)="M",TRUE,IFERROR(VLOOKUP(E79,'Optional features'!B:D,3,FALSE)="Yes",IFERROR(VLOOKUP(E79,'HIDDEN calc sheet'!A:B,2,FALSE),IFERROR(VLOOKUP(E79,'Additional questions'!B:D,3,FALSE)="Yes",VLOOKUP(E79,'Hardware Feature set'!B:D,3,FALSE)="No"))))</f>
        <v>0</v>
      </c>
      <c r="J79" s="3" t="b">
        <f>IF(VLOOKUP(B79,'Profile selection'!B:C,2,FALSE)="Yes",TRUE,FALSE)</f>
        <v>1</v>
      </c>
      <c r="K79"/>
      <c r="L79"/>
    </row>
    <row r="80" spans="1:12" ht="17.100000000000001" customHeight="1" x14ac:dyDescent="0.25">
      <c r="A80" t="str">
        <f>'HIDDEN import'!B79</f>
        <v>TC_C_34_CS</v>
      </c>
      <c r="B80" t="str">
        <f>'HIDDEN import'!C79</f>
        <v>Core</v>
      </c>
      <c r="C80" t="str">
        <f>'HIDDEN import'!D79</f>
        <v>Store Authorization Data in the Authorization Cache - Update on TransactionResponse</v>
      </c>
      <c r="D80" t="str">
        <f>IF(VLOOKUP(A80&amp;" "&amp;B80,'HIDDEN import'!A:G,5,FALSE)="M",MD!$A$1,(IF(AND(VLOOKUP(A80,'HIDDEN import'!B:E,4,FALSE)="C",OR(NOT(ISERROR(VLOOKUP(E80,'Optional features'!B:D,1,FALSE)=E80)),NOT(ISERROR(VLOOKUP(E80,'HIDDEN calc sheet'!A:C,1,FALSE)=E80)))),MD!$A$3,MD!$A$2)))</f>
        <v>Mandatory for optional feature</v>
      </c>
      <c r="E80" t="str">
        <f>IF('HIDDEN import'!F79=0,"",'HIDDEN import'!F79)</f>
        <v>C-49 and (((C-30 and C-70) or (C-31 and C-71) or (C-32 and C-72)) or (C-36 or C-37))</v>
      </c>
      <c r="F80" t="str">
        <f>IF('HIDDEN import'!G79=0,"",'HIDDEN import'!G79)</f>
        <v>Authorization Cache</v>
      </c>
      <c r="G80" s="19" t="str">
        <f>IFERROR(VLOOKUP($A80,'HIDDEN Testrun Results'!$A:$B,2,FALSE),"")</f>
        <v/>
      </c>
      <c r="H80" s="3" t="b">
        <f t="shared" si="1"/>
        <v>0</v>
      </c>
      <c r="I80" s="3" t="b">
        <f>IF(VLOOKUP(A80&amp;" "&amp;B80,'HIDDEN import'!A:G,5,FALSE)="M",TRUE,IFERROR(VLOOKUP(E80,'Optional features'!B:D,3,FALSE)="Yes",IFERROR(VLOOKUP(E80,'HIDDEN calc sheet'!A:B,2,FALSE),IFERROR(VLOOKUP(E80,'Additional questions'!B:D,3,FALSE)="Yes",VLOOKUP(E80,'Hardware Feature set'!B:D,3,FALSE)="No"))))</f>
        <v>0</v>
      </c>
      <c r="J80" s="3" t="b">
        <f>IF(VLOOKUP(B80,'Profile selection'!B:C,2,FALSE)="Yes",TRUE,FALSE)</f>
        <v>1</v>
      </c>
      <c r="K80"/>
      <c r="L80"/>
    </row>
    <row r="81" spans="1:12" ht="17.100000000000001" customHeight="1" x14ac:dyDescent="0.25">
      <c r="A81" t="str">
        <f>'HIDDEN import'!B80</f>
        <v>TC_C_36_CS</v>
      </c>
      <c r="B81" t="str">
        <f>'HIDDEN import'!C80</f>
        <v>Core</v>
      </c>
      <c r="C81" t="str">
        <f>'HIDDEN import'!D80</f>
        <v>Store Authorization Data in the Authorization Cache - AuthCacheCtrlr.LocalPreAuthorize = false</v>
      </c>
      <c r="D81" t="str">
        <f>IF(VLOOKUP(A81&amp;" "&amp;B81,'HIDDEN import'!A:G,5,FALSE)="M",MD!$A$1,(IF(AND(VLOOKUP(A81,'HIDDEN import'!B:E,4,FALSE)="C",OR(NOT(ISERROR(VLOOKUP(E81,'Optional features'!B:D,1,FALSE)=E81)),NOT(ISERROR(VLOOKUP(E81,'HIDDEN calc sheet'!A:C,1,FALSE)=E81)))),MD!$A$3,MD!$A$2)))</f>
        <v>Mandatory for optional feature</v>
      </c>
      <c r="E81" t="str">
        <f>IF('HIDDEN import'!F80=0,"",'HIDDEN import'!F80)</f>
        <v>C-49 and (((C-30 and C-70) or (C-31 and C-71) or (C-32 and C-72)) or (C-36 or C-37))</v>
      </c>
      <c r="F81" t="str">
        <f>IF('HIDDEN import'!G80=0,"",'HIDDEN import'!G80)</f>
        <v>Authorization Cache</v>
      </c>
      <c r="G81" s="19" t="str">
        <f>IFERROR(VLOOKUP($A81,'HIDDEN Testrun Results'!$A:$B,2,FALSE),"")</f>
        <v/>
      </c>
      <c r="H81" s="3" t="b">
        <f t="shared" si="1"/>
        <v>0</v>
      </c>
      <c r="I81" s="3" t="b">
        <f>IF(VLOOKUP(A81&amp;" "&amp;B81,'HIDDEN import'!A:G,5,FALSE)="M",TRUE,IFERROR(VLOOKUP(E81,'Optional features'!B:D,3,FALSE)="Yes",IFERROR(VLOOKUP(E81,'HIDDEN calc sheet'!A:B,2,FALSE),IFERROR(VLOOKUP(E81,'Additional questions'!B:D,3,FALSE)="Yes",VLOOKUP(E81,'Hardware Feature set'!B:D,3,FALSE)="No"))))</f>
        <v>0</v>
      </c>
      <c r="J81" s="3" t="b">
        <f>IF(VLOOKUP(B81,'Profile selection'!B:C,2,FALSE)="Yes",TRUE,FALSE)</f>
        <v>1</v>
      </c>
      <c r="K81"/>
      <c r="L81"/>
    </row>
    <row r="82" spans="1:12" ht="17.100000000000001" customHeight="1" x14ac:dyDescent="0.25">
      <c r="A82" t="str">
        <f>'HIDDEN import'!B81</f>
        <v>TC_C_46_CS</v>
      </c>
      <c r="B82" t="str">
        <f>'HIDDEN import'!C81</f>
        <v>Core</v>
      </c>
      <c r="C82" t="str">
        <f>'HIDDEN import'!D81</f>
        <v>Store Authorization Data in the Authorization Cache - AuthCacheLifeTime</v>
      </c>
      <c r="D82" t="str">
        <f>IF(VLOOKUP(A82&amp;" "&amp;B82,'HIDDEN import'!A:G,5,FALSE)="M",MD!$A$1,(IF(AND(VLOOKUP(A82,'HIDDEN import'!B:E,4,FALSE)="C",OR(NOT(ISERROR(VLOOKUP(E82,'Optional features'!B:D,1,FALSE)=E82)),NOT(ISERROR(VLOOKUP(E82,'HIDDEN calc sheet'!A:C,1,FALSE)=E82)))),MD!$A$3,MD!$A$2)))</f>
        <v>Mandatory for optional feature</v>
      </c>
      <c r="E82" t="str">
        <f>IF('HIDDEN import'!F81=0,"",'HIDDEN import'!F81)</f>
        <v>C-49 and C-53 and (((C-30 and C-70) or (C-31 and C-71) or (C-32 and C-72)) or (C-36 or C-37))</v>
      </c>
      <c r="F82" t="str">
        <f>IF('HIDDEN import'!G81=0,"",'HIDDEN import'!G81)</f>
        <v>Authorization Cache &amp; AuthCacheLifeTime</v>
      </c>
      <c r="G82" s="19" t="str">
        <f>IFERROR(VLOOKUP($A82,'HIDDEN Testrun Results'!$A:$B,2,FALSE),"")</f>
        <v/>
      </c>
      <c r="H82" s="3" t="b">
        <f t="shared" si="1"/>
        <v>0</v>
      </c>
      <c r="I82" s="3" t="b">
        <f>IF(VLOOKUP(A82&amp;" "&amp;B82,'HIDDEN import'!A:G,5,FALSE)="M",TRUE,IFERROR(VLOOKUP(E82,'Optional features'!B:D,3,FALSE)="Yes",IFERROR(VLOOKUP(E82,'HIDDEN calc sheet'!A:B,2,FALSE),IFERROR(VLOOKUP(E82,'Additional questions'!B:D,3,FALSE)="Yes",VLOOKUP(E82,'Hardware Feature set'!B:D,3,FALSE)="No"))))</f>
        <v>0</v>
      </c>
      <c r="J82" s="3" t="b">
        <f>IF(VLOOKUP(B82,'Profile selection'!B:C,2,FALSE)="Yes",TRUE,FALSE)</f>
        <v>1</v>
      </c>
      <c r="K82"/>
      <c r="L82"/>
    </row>
    <row r="83" spans="1:12" ht="17.100000000000001" customHeight="1" x14ac:dyDescent="0.25">
      <c r="A83" t="str">
        <f>'HIDDEN import'!B82</f>
        <v>TC_C_37_CS</v>
      </c>
      <c r="B83" t="str">
        <f>'HIDDEN import'!C82</f>
        <v>Core</v>
      </c>
      <c r="C83" t="str">
        <f>'HIDDEN import'!D82</f>
        <v>Clear Authorization Data in Authorization Cache - Accepted</v>
      </c>
      <c r="D83" t="str">
        <f>IF(VLOOKUP(A83&amp;" "&amp;B83,'HIDDEN import'!A:G,5,FALSE)="M",MD!$A$1,(IF(AND(VLOOKUP(A83,'HIDDEN import'!B:E,4,FALSE)="C",OR(NOT(ISERROR(VLOOKUP(E83,'Optional features'!B:D,1,FALSE)=E83)),NOT(ISERROR(VLOOKUP(E83,'HIDDEN calc sheet'!A:C,1,FALSE)=E83)))),MD!$A$3,MD!$A$2)))</f>
        <v>Mandatory for optional feature</v>
      </c>
      <c r="E83" t="str">
        <f>IF('HIDDEN import'!F82=0,"",'HIDDEN import'!F82)</f>
        <v>C-49 and (((C-30 and C-70) or (C-31 and C-71) or (C-32 and C-72)) or (C-36 or C-37))</v>
      </c>
      <c r="F83" t="str">
        <f>IF('HIDDEN import'!G82=0,"",'HIDDEN import'!G82)</f>
        <v>Authorization Cache</v>
      </c>
      <c r="G83" s="19" t="str">
        <f>IFERROR(VLOOKUP($A83,'HIDDEN Testrun Results'!$A:$B,2,FALSE),"")</f>
        <v/>
      </c>
      <c r="H83" s="3" t="b">
        <f t="shared" si="1"/>
        <v>0</v>
      </c>
      <c r="I83" s="3" t="b">
        <f>IF(VLOOKUP(A83&amp;" "&amp;B83,'HIDDEN import'!A:G,5,FALSE)="M",TRUE,IFERROR(VLOOKUP(E83,'Optional features'!B:D,3,FALSE)="Yes",IFERROR(VLOOKUP(E83,'HIDDEN calc sheet'!A:B,2,FALSE),IFERROR(VLOOKUP(E83,'Additional questions'!B:D,3,FALSE)="Yes",VLOOKUP(E83,'Hardware Feature set'!B:D,3,FALSE)="No"))))</f>
        <v>0</v>
      </c>
      <c r="J83" s="3" t="b">
        <f>IF(VLOOKUP(B83,'Profile selection'!B:C,2,FALSE)="Yes",TRUE,FALSE)</f>
        <v>1</v>
      </c>
      <c r="K83"/>
      <c r="L83"/>
    </row>
    <row r="84" spans="1:12" ht="17.100000000000001" customHeight="1" x14ac:dyDescent="0.25">
      <c r="A84" t="str">
        <f>'HIDDEN import'!B83</f>
        <v>TC_C_38_CS</v>
      </c>
      <c r="B84" t="str">
        <f>'HIDDEN import'!C83</f>
        <v>Core</v>
      </c>
      <c r="C84" t="str">
        <f>'HIDDEN import'!D83</f>
        <v>Clear Authorization Data in Authorization Cache - Rejected</v>
      </c>
      <c r="D84" t="str">
        <f>IF(VLOOKUP(A84&amp;" "&amp;B84,'HIDDEN import'!A:G,5,FALSE)="M",MD!$A$1,(IF(AND(VLOOKUP(A84,'HIDDEN import'!B:E,4,FALSE)="C",OR(NOT(ISERROR(VLOOKUP(E84,'Optional features'!B:D,1,FALSE)=E84)),NOT(ISERROR(VLOOKUP(E84,'HIDDEN calc sheet'!A:C,1,FALSE)=E84)))),MD!$A$3,MD!$A$2)))</f>
        <v>Mandatory for optional feature</v>
      </c>
      <c r="E84" t="str">
        <f>IF('HIDDEN import'!F83=0,"",'HIDDEN import'!F83)</f>
        <v>C-49 and (((C-30 and C-70) or (C-31 and C-71) or (C-32 and C-72)) or (C-36 or C-37))</v>
      </c>
      <c r="F84" t="str">
        <f>IF('HIDDEN import'!G83=0,"",'HIDDEN import'!G83)</f>
        <v>Authorization Cache</v>
      </c>
      <c r="G84" s="19" t="str">
        <f>IFERROR(VLOOKUP($A84,'HIDDEN Testrun Results'!$A:$B,2,FALSE),"")</f>
        <v/>
      </c>
      <c r="H84" s="3" t="b">
        <f t="shared" si="1"/>
        <v>0</v>
      </c>
      <c r="I84" s="3" t="b">
        <f>IF(VLOOKUP(A84&amp;" "&amp;B84,'HIDDEN import'!A:G,5,FALSE)="M",TRUE,IFERROR(VLOOKUP(E84,'Optional features'!B:D,3,FALSE)="Yes",IFERROR(VLOOKUP(E84,'HIDDEN calc sheet'!A:B,2,FALSE),IFERROR(VLOOKUP(E84,'Additional questions'!B:D,3,FALSE)="Yes",VLOOKUP(E84,'Hardware Feature set'!B:D,3,FALSE)="No"))))</f>
        <v>0</v>
      </c>
      <c r="J84" s="3" t="b">
        <f>IF(VLOOKUP(B84,'Profile selection'!B:C,2,FALSE)="Yes",TRUE,FALSE)</f>
        <v>1</v>
      </c>
      <c r="K84"/>
      <c r="L84"/>
    </row>
    <row r="85" spans="1:12" ht="17.100000000000001" customHeight="1" x14ac:dyDescent="0.25">
      <c r="A85" t="str">
        <f>'HIDDEN import'!B84</f>
        <v>TC_C_41_CS</v>
      </c>
      <c r="B85" t="str">
        <f>'HIDDEN import'!C84</f>
        <v>Core</v>
      </c>
      <c r="C85" t="str">
        <f>'HIDDEN import'!D84</f>
        <v>Authorization by GroupId - Success with Authorization Cache</v>
      </c>
      <c r="D85" t="str">
        <f>IF(VLOOKUP(A85&amp;" "&amp;B85,'HIDDEN import'!A:G,5,FALSE)="M",MD!$A$1,(IF(AND(VLOOKUP(A85,'HIDDEN import'!B:E,4,FALSE)="C",OR(NOT(ISERROR(VLOOKUP(E85,'Optional features'!B:D,1,FALSE)=E85)),NOT(ISERROR(VLOOKUP(E85,'HIDDEN calc sheet'!A:C,1,FALSE)=E85)))),MD!$A$3,MD!$A$2)))</f>
        <v>Mandatory for optional feature</v>
      </c>
      <c r="E85" t="str">
        <f>IF('HIDDEN import'!F84=0,"",'HIDDEN import'!F84)</f>
        <v>C-49 and ((C-30 and C-70) or (C-31 and C-71) or (C-32 and C-72))</v>
      </c>
      <c r="F85" t="str">
        <f>IF('HIDDEN import'!G84=0,"",'HIDDEN import'!G84)</f>
        <v>Authorization Cache</v>
      </c>
      <c r="G85" s="19" t="str">
        <f>IFERROR(VLOOKUP($A85,'HIDDEN Testrun Results'!$A:$B,2,FALSE),"")</f>
        <v/>
      </c>
      <c r="H85" s="3" t="b">
        <f t="shared" si="1"/>
        <v>0</v>
      </c>
      <c r="I85" s="3" t="b">
        <f>IF(VLOOKUP(A85&amp;" "&amp;B85,'HIDDEN import'!A:G,5,FALSE)="M",TRUE,IFERROR(VLOOKUP(E85,'Optional features'!B:D,3,FALSE)="Yes",IFERROR(VLOOKUP(E85,'HIDDEN calc sheet'!A:B,2,FALSE),IFERROR(VLOOKUP(E85,'Additional questions'!B:D,3,FALSE)="Yes",VLOOKUP(E85,'Hardware Feature set'!B:D,3,FALSE)="No"))))</f>
        <v>0</v>
      </c>
      <c r="J85" s="3" t="b">
        <f>IF(VLOOKUP(B85,'Profile selection'!B:C,2,FALSE)="Yes",TRUE,FALSE)</f>
        <v>1</v>
      </c>
      <c r="K85"/>
      <c r="L85"/>
    </row>
    <row r="86" spans="1:12" ht="17.100000000000001" customHeight="1" x14ac:dyDescent="0.25">
      <c r="A86" t="str">
        <f>'HIDDEN import'!B85</f>
        <v>TC_C_44_CS</v>
      </c>
      <c r="B86" t="str">
        <f>'HIDDEN import'!C85</f>
        <v>Core</v>
      </c>
      <c r="C86" t="str">
        <f>'HIDDEN import'!D85</f>
        <v>Authorization by GroupId - Invalid status with Authorization Cache</v>
      </c>
      <c r="D86" t="str">
        <f>IF(VLOOKUP(A86&amp;" "&amp;B86,'HIDDEN import'!A:G,5,FALSE)="M",MD!$A$1,(IF(AND(VLOOKUP(A86,'HIDDEN import'!B:E,4,FALSE)="C",OR(NOT(ISERROR(VLOOKUP(E86,'Optional features'!B:D,1,FALSE)=E86)),NOT(ISERROR(VLOOKUP(E86,'HIDDEN calc sheet'!A:C,1,FALSE)=E86)))),MD!$A$3,MD!$A$2)))</f>
        <v>Mandatory for optional feature</v>
      </c>
      <c r="E86" t="str">
        <f>IF('HIDDEN import'!F85=0,"",'HIDDEN import'!F85)</f>
        <v>C-49 and ((C-30 and C-70) or (C-31 and C-71) or (C-32 and C-72))</v>
      </c>
      <c r="F86" t="str">
        <f>IF('HIDDEN import'!G85=0,"",'HIDDEN import'!G85)</f>
        <v>Authorization Cache</v>
      </c>
      <c r="G86" s="19" t="str">
        <f>IFERROR(VLOOKUP($A86,'HIDDEN Testrun Results'!$A:$B,2,FALSE),"")</f>
        <v/>
      </c>
      <c r="H86" s="3" t="b">
        <f t="shared" si="1"/>
        <v>0</v>
      </c>
      <c r="I86" s="3" t="b">
        <f>IF(VLOOKUP(A86&amp;" "&amp;B86,'HIDDEN import'!A:G,5,FALSE)="M",TRUE,IFERROR(VLOOKUP(E86,'Optional features'!B:D,3,FALSE)="Yes",IFERROR(VLOOKUP(E86,'HIDDEN calc sheet'!A:B,2,FALSE),IFERROR(VLOOKUP(E86,'Additional questions'!B:D,3,FALSE)="Yes",VLOOKUP(E86,'Hardware Feature set'!B:D,3,FALSE)="No"))))</f>
        <v>0</v>
      </c>
      <c r="J86" s="3" t="b">
        <f>IF(VLOOKUP(B86,'Profile selection'!B:C,2,FALSE)="Yes",TRUE,FALSE)</f>
        <v>1</v>
      </c>
      <c r="K86"/>
      <c r="L86"/>
    </row>
    <row r="87" spans="1:12" ht="17.100000000000001" customHeight="1" x14ac:dyDescent="0.25">
      <c r="A87" t="str">
        <f>'HIDDEN import'!B86</f>
        <v>TC_C_08_CS</v>
      </c>
      <c r="B87" t="str">
        <f>'HIDDEN import'!C86</f>
        <v>Core</v>
      </c>
      <c r="C87" t="str">
        <f>'HIDDEN import'!D86</f>
        <v>Authorization through authorization cache - Accepted</v>
      </c>
      <c r="D87" t="str">
        <f>IF(VLOOKUP(A87&amp;" "&amp;B87,'HIDDEN import'!A:G,5,FALSE)="M",MD!$A$1,(IF(AND(VLOOKUP(A87,'HIDDEN import'!B:E,4,FALSE)="C",OR(NOT(ISERROR(VLOOKUP(E87,'Optional features'!B:D,1,FALSE)=E87)),NOT(ISERROR(VLOOKUP(E87,'HIDDEN calc sheet'!A:C,1,FALSE)=E87)))),MD!$A$3,MD!$A$2)))</f>
        <v>Mandatory for optional feature</v>
      </c>
      <c r="E87" t="str">
        <f>IF('HIDDEN import'!F86=0,"",'HIDDEN import'!F86)</f>
        <v>C-49 and (((C-30 and C-70) or (C-31 and C-71) or (C-32 and C-72)) or (C-36 or C-37))</v>
      </c>
      <c r="F87" t="str">
        <f>IF('HIDDEN import'!G86=0,"",'HIDDEN import'!G86)</f>
        <v>Authorization Cache</v>
      </c>
      <c r="G87" s="19" t="str">
        <f>IFERROR(VLOOKUP($A87,'HIDDEN Testrun Results'!$A:$B,2,FALSE),"")</f>
        <v/>
      </c>
      <c r="H87" s="3" t="b">
        <f t="shared" si="1"/>
        <v>0</v>
      </c>
      <c r="I87" s="3" t="b">
        <f>IF(VLOOKUP(A87&amp;" "&amp;B87,'HIDDEN import'!A:G,5,FALSE)="M",TRUE,IFERROR(VLOOKUP(E87,'Optional features'!B:D,3,FALSE)="Yes",IFERROR(VLOOKUP(E87,'HIDDEN calc sheet'!A:B,2,FALSE),IFERROR(VLOOKUP(E87,'Additional questions'!B:D,3,FALSE)="Yes",VLOOKUP(E87,'Hardware Feature set'!B:D,3,FALSE)="No"))))</f>
        <v>0</v>
      </c>
      <c r="J87" s="3" t="b">
        <f>IF(VLOOKUP(B87,'Profile selection'!B:C,2,FALSE)="Yes",TRUE,FALSE)</f>
        <v>1</v>
      </c>
      <c r="K87"/>
      <c r="L87"/>
    </row>
    <row r="88" spans="1:12" ht="17.100000000000001" customHeight="1" x14ac:dyDescent="0.25">
      <c r="A88" t="str">
        <f>'HIDDEN import'!B87</f>
        <v>TC_C_09_CS</v>
      </c>
      <c r="B88" t="str">
        <f>'HIDDEN import'!C87</f>
        <v>Core</v>
      </c>
      <c r="C88" t="str">
        <f>'HIDDEN import'!D87</f>
        <v>Authorization through authorization cache - Invalid &amp; Not Accepted</v>
      </c>
      <c r="D88" t="str">
        <f>IF(VLOOKUP(A88&amp;" "&amp;B88,'HIDDEN import'!A:G,5,FALSE)="M",MD!$A$1,(IF(AND(VLOOKUP(A88,'HIDDEN import'!B:E,4,FALSE)="C",OR(NOT(ISERROR(VLOOKUP(E88,'Optional features'!B:D,1,FALSE)=E88)),NOT(ISERROR(VLOOKUP(E88,'HIDDEN calc sheet'!A:C,1,FALSE)=E88)))),MD!$A$3,MD!$A$2)))</f>
        <v>Mandatory for optional feature</v>
      </c>
      <c r="E88" t="str">
        <f>IF('HIDDEN import'!F87=0,"",'HIDDEN import'!F87)</f>
        <v>C-49 and (((C-30 and C-70) or (C-31 and C-71) or (C-32 and C-72)) or (C-36 or C-37))</v>
      </c>
      <c r="F88" t="str">
        <f>IF('HIDDEN import'!G87=0,"",'HIDDEN import'!G87)</f>
        <v>Authorization Cache</v>
      </c>
      <c r="G88" s="19" t="str">
        <f>IFERROR(VLOOKUP($A88,'HIDDEN Testrun Results'!$A:$B,2,FALSE),"")</f>
        <v/>
      </c>
      <c r="H88" s="3" t="b">
        <f t="shared" si="1"/>
        <v>0</v>
      </c>
      <c r="I88" s="3" t="b">
        <f>IF(VLOOKUP(A88&amp;" "&amp;B88,'HIDDEN import'!A:G,5,FALSE)="M",TRUE,IFERROR(VLOOKUP(E88,'Optional features'!B:D,3,FALSE)="Yes",IFERROR(VLOOKUP(E88,'HIDDEN calc sheet'!A:B,2,FALSE),IFERROR(VLOOKUP(E88,'Additional questions'!B:D,3,FALSE)="Yes",VLOOKUP(E88,'Hardware Feature set'!B:D,3,FALSE)="No"))))</f>
        <v>0</v>
      </c>
      <c r="J88" s="3" t="b">
        <f>IF(VLOOKUP(B88,'Profile selection'!B:C,2,FALSE)="Yes",TRUE,FALSE)</f>
        <v>1</v>
      </c>
      <c r="K88"/>
      <c r="L88"/>
    </row>
    <row r="89" spans="1:12" ht="17.100000000000001" customHeight="1" x14ac:dyDescent="0.25">
      <c r="A89" t="str">
        <f>'HIDDEN import'!B88</f>
        <v>TC_C_12_CS</v>
      </c>
      <c r="B89" t="str">
        <f>'HIDDEN import'!C88</f>
        <v>Core</v>
      </c>
      <c r="C89" t="str">
        <f>'HIDDEN import'!D88</f>
        <v>Authorization through authorization cache - Invalid &amp; Accepted</v>
      </c>
      <c r="D89" t="str">
        <f>IF(VLOOKUP(A89&amp;" "&amp;B89,'HIDDEN import'!A:G,5,FALSE)="M",MD!$A$1,(IF(AND(VLOOKUP(A89,'HIDDEN import'!B:E,4,FALSE)="C",OR(NOT(ISERROR(VLOOKUP(E89,'Optional features'!B:D,1,FALSE)=E89)),NOT(ISERROR(VLOOKUP(E89,'HIDDEN calc sheet'!A:C,1,FALSE)=E89)))),MD!$A$3,MD!$A$2)))</f>
        <v>Mandatory for optional feature</v>
      </c>
      <c r="E89" t="str">
        <f>IF('HIDDEN import'!F88=0,"",'HIDDEN import'!F88)</f>
        <v>C-49 and (((C-30 and C-70) or (C-31 and C-71) or (C-32 and C-72)) or (C-36 or C-37))</v>
      </c>
      <c r="F89" t="str">
        <f>IF('HIDDEN import'!G88=0,"",'HIDDEN import'!G88)</f>
        <v>Authorization Cache</v>
      </c>
      <c r="G89" s="19" t="str">
        <f>IFERROR(VLOOKUP($A89,'HIDDEN Testrun Results'!$A:$B,2,FALSE),"")</f>
        <v/>
      </c>
      <c r="H89" s="3" t="b">
        <f t="shared" si="1"/>
        <v>0</v>
      </c>
      <c r="I89" s="3" t="b">
        <f>IF(VLOOKUP(A89&amp;" "&amp;B89,'HIDDEN import'!A:G,5,FALSE)="M",TRUE,IFERROR(VLOOKUP(E89,'Optional features'!B:D,3,FALSE)="Yes",IFERROR(VLOOKUP(E89,'HIDDEN calc sheet'!A:B,2,FALSE),IFERROR(VLOOKUP(E89,'Additional questions'!B:D,3,FALSE)="Yes",VLOOKUP(E89,'Hardware Feature set'!B:D,3,FALSE)="No"))))</f>
        <v>0</v>
      </c>
      <c r="J89" s="3" t="b">
        <f>IF(VLOOKUP(B89,'Profile selection'!B:C,2,FALSE)="Yes",TRUE,FALSE)</f>
        <v>1</v>
      </c>
      <c r="K89"/>
      <c r="L89"/>
    </row>
    <row r="90" spans="1:12" ht="17.100000000000001" customHeight="1" x14ac:dyDescent="0.25">
      <c r="A90" t="str">
        <f>'HIDDEN import'!B89</f>
        <v>TC_C_10_CS</v>
      </c>
      <c r="B90" t="str">
        <f>'HIDDEN import'!C89</f>
        <v>Core</v>
      </c>
      <c r="C90" t="str">
        <f>'HIDDEN import'!D89</f>
        <v>Authorization through authorization cache - Blocked</v>
      </c>
      <c r="D90" t="str">
        <f>IF(VLOOKUP(A90&amp;" "&amp;B90,'HIDDEN import'!A:G,5,FALSE)="M",MD!$A$1,(IF(AND(VLOOKUP(A90,'HIDDEN import'!B:E,4,FALSE)="C",OR(NOT(ISERROR(VLOOKUP(E90,'Optional features'!B:D,1,FALSE)=E90)),NOT(ISERROR(VLOOKUP(E90,'HIDDEN calc sheet'!A:C,1,FALSE)=E90)))),MD!$A$3,MD!$A$2)))</f>
        <v>Mandatory for optional feature</v>
      </c>
      <c r="E90" t="str">
        <f>IF('HIDDEN import'!F89=0,"",'HIDDEN import'!F89)</f>
        <v>C-49 and (((C-30 and C-70) or (C-31 and C-71) or (C-32 and C-72)) or (C-36 or C-37))</v>
      </c>
      <c r="F90" t="str">
        <f>IF('HIDDEN import'!G89=0,"",'HIDDEN import'!G89)</f>
        <v>Authorization Cache</v>
      </c>
      <c r="G90" s="19" t="str">
        <f>IFERROR(VLOOKUP($A90,'HIDDEN Testrun Results'!$A:$B,2,FALSE),"")</f>
        <v/>
      </c>
      <c r="H90" s="3" t="b">
        <f t="shared" si="1"/>
        <v>0</v>
      </c>
      <c r="I90" s="3" t="b">
        <f>IF(VLOOKUP(A90&amp;" "&amp;B90,'HIDDEN import'!A:G,5,FALSE)="M",TRUE,IFERROR(VLOOKUP(E90,'Optional features'!B:D,3,FALSE)="Yes",IFERROR(VLOOKUP(E90,'HIDDEN calc sheet'!A:B,2,FALSE),IFERROR(VLOOKUP(E90,'Additional questions'!B:D,3,FALSE)="Yes",VLOOKUP(E90,'Hardware Feature set'!B:D,3,FALSE)="No"))))</f>
        <v>0</v>
      </c>
      <c r="J90" s="3" t="b">
        <f>IF(VLOOKUP(B90,'Profile selection'!B:C,2,FALSE)="Yes",TRUE,FALSE)</f>
        <v>1</v>
      </c>
      <c r="K90"/>
      <c r="L90"/>
    </row>
    <row r="91" spans="1:12" ht="17.100000000000001" customHeight="1" x14ac:dyDescent="0.25">
      <c r="A91" t="str">
        <f>'HIDDEN import'!B90</f>
        <v>TC_C_11_CS</v>
      </c>
      <c r="B91" t="str">
        <f>'HIDDEN import'!C90</f>
        <v>Core</v>
      </c>
      <c r="C91" t="str">
        <f>'HIDDEN import'!D90</f>
        <v>Authorization through authorization cache - Expired</v>
      </c>
      <c r="D91" t="str">
        <f>IF(VLOOKUP(A91&amp;" "&amp;B91,'HIDDEN import'!A:G,5,FALSE)="M",MD!$A$1,(IF(AND(VLOOKUP(A91,'HIDDEN import'!B:E,4,FALSE)="C",OR(NOT(ISERROR(VLOOKUP(E91,'Optional features'!B:D,1,FALSE)=E91)),NOT(ISERROR(VLOOKUP(E91,'HIDDEN calc sheet'!A:C,1,FALSE)=E91)))),MD!$A$3,MD!$A$2)))</f>
        <v>Mandatory for optional feature</v>
      </c>
      <c r="E91" t="str">
        <f>IF('HIDDEN import'!F90=0,"",'HIDDEN import'!F90)</f>
        <v>C-49 and (((C-30 and C-70) or (C-31 and C-71) or (C-32 and C-72)) or (C-36 or C-37))</v>
      </c>
      <c r="F91" t="str">
        <f>IF('HIDDEN import'!G90=0,"",'HIDDEN import'!G90)</f>
        <v>Authorization Cache</v>
      </c>
      <c r="G91" s="19" t="str">
        <f>IFERROR(VLOOKUP($A91,'HIDDEN Testrun Results'!$A:$B,2,FALSE),"")</f>
        <v/>
      </c>
      <c r="H91" s="3" t="b">
        <f t="shared" si="1"/>
        <v>0</v>
      </c>
      <c r="I91" s="3" t="b">
        <f>IF(VLOOKUP(A91&amp;" "&amp;B91,'HIDDEN import'!A:G,5,FALSE)="M",TRUE,IFERROR(VLOOKUP(E91,'Optional features'!B:D,3,FALSE)="Yes",IFERROR(VLOOKUP(E91,'HIDDEN calc sheet'!A:B,2,FALSE),IFERROR(VLOOKUP(E91,'Additional questions'!B:D,3,FALSE)="Yes",VLOOKUP(E91,'Hardware Feature set'!B:D,3,FALSE)="No"))))</f>
        <v>0</v>
      </c>
      <c r="J91" s="3" t="b">
        <f>IF(VLOOKUP(B91,'Profile selection'!B:C,2,FALSE)="Yes",TRUE,FALSE)</f>
        <v>1</v>
      </c>
      <c r="K91"/>
      <c r="L91"/>
    </row>
    <row r="92" spans="1:12" ht="17.100000000000001" customHeight="1" x14ac:dyDescent="0.25">
      <c r="A92" t="str">
        <f>'HIDDEN import'!B91</f>
        <v>TC_C_13_CS</v>
      </c>
      <c r="B92" t="str">
        <f>'HIDDEN import'!C91</f>
        <v>Core</v>
      </c>
      <c r="C92" t="str">
        <f>'HIDDEN import'!D91</f>
        <v>Authorization through authorization cache - Accepted but cable not connected yet.</v>
      </c>
      <c r="D92" t="str">
        <f>IF(VLOOKUP(A92&amp;" "&amp;B92,'HIDDEN import'!A:G,5,FALSE)="M",MD!$A$1,(IF(AND(VLOOKUP(A92,'HIDDEN import'!B:E,4,FALSE)="C",OR(NOT(ISERROR(VLOOKUP(E92,'Optional features'!B:D,1,FALSE)=E92)),NOT(ISERROR(VLOOKUP(E92,'HIDDEN calc sheet'!A:C,1,FALSE)=E92)))),MD!$A$3,MD!$A$2)))</f>
        <v>Mandatory for optional feature</v>
      </c>
      <c r="E92" t="str">
        <f>IF('HIDDEN import'!F91=0,"",'HIDDEN import'!F91)</f>
        <v>C-49 and (((C-30 and C-70) or (C-31 and C-71) or (C-32 and C-72)) or (C-36 or C-37))</v>
      </c>
      <c r="F92" t="str">
        <f>IF('HIDDEN import'!G91=0,"",'HIDDEN import'!G91)</f>
        <v>Authorization Cache</v>
      </c>
      <c r="G92" s="19" t="str">
        <f>IFERROR(VLOOKUP($A92,'HIDDEN Testrun Results'!$A:$B,2,FALSE),"")</f>
        <v/>
      </c>
      <c r="H92" s="3" t="b">
        <f t="shared" si="1"/>
        <v>0</v>
      </c>
      <c r="I92" s="3" t="b">
        <f>IF(VLOOKUP(A92&amp;" "&amp;B92,'HIDDEN import'!A:G,5,FALSE)="M",TRUE,IFERROR(VLOOKUP(E92,'Optional features'!B:D,3,FALSE)="Yes",IFERROR(VLOOKUP(E92,'HIDDEN calc sheet'!A:B,2,FALSE),IFERROR(VLOOKUP(E92,'Additional questions'!B:D,3,FALSE)="Yes",VLOOKUP(E92,'Hardware Feature set'!B:D,3,FALSE)="No"))))</f>
        <v>0</v>
      </c>
      <c r="J92" s="3" t="b">
        <f>IF(VLOOKUP(B92,'Profile selection'!B:C,2,FALSE)="Yes",TRUE,FALSE)</f>
        <v>1</v>
      </c>
      <c r="K92"/>
      <c r="L92"/>
    </row>
    <row r="93" spans="1:12" ht="17.100000000000001" customHeight="1" x14ac:dyDescent="0.25">
      <c r="A93" t="str">
        <f>'HIDDEN import'!B92</f>
        <v>TC_C_15_CS</v>
      </c>
      <c r="B93" t="str">
        <f>'HIDDEN import'!C92</f>
        <v>Core</v>
      </c>
      <c r="C93" t="str">
        <f>'HIDDEN import'!D92</f>
        <v>Authorization through authorization cache - StopTxOnInvalidId = false, MaxEnergyOnInvalidId &gt; 0</v>
      </c>
      <c r="D93" t="str">
        <f>IF(VLOOKUP(A93&amp;" "&amp;B93,'HIDDEN import'!A:G,5,FALSE)="M",MD!$A$1,(IF(AND(VLOOKUP(A93,'HIDDEN import'!B:E,4,FALSE)="C",OR(NOT(ISERROR(VLOOKUP(E93,'Optional features'!B:D,1,FALSE)=E93)),NOT(ISERROR(VLOOKUP(E93,'HIDDEN calc sheet'!A:C,1,FALSE)=E93)))),MD!$A$3,MD!$A$2)))</f>
        <v>Mandatory for optional feature</v>
      </c>
      <c r="E93" t="str">
        <f>IF('HIDDEN import'!F92=0,"",'HIDDEN import'!F92)</f>
        <v>C-49 and C-03 and ((C-30 and C-70) or (C-31 and C-71) or (C-32 and C-72))</v>
      </c>
      <c r="F93" t="str">
        <f>IF('HIDDEN import'!G92=0,"",'HIDDEN import'!G92)</f>
        <v>Authorization Cache &amp; MaxEnergyOnInvalidId</v>
      </c>
      <c r="G93" s="19" t="str">
        <f>IFERROR(VLOOKUP($A93,'HIDDEN Testrun Results'!$A:$B,2,FALSE),"")</f>
        <v/>
      </c>
      <c r="H93" s="3" t="b">
        <f t="shared" si="1"/>
        <v>0</v>
      </c>
      <c r="I93" s="3" t="b">
        <f>IF(VLOOKUP(A93&amp;" "&amp;B93,'HIDDEN import'!A:G,5,FALSE)="M",TRUE,IFERROR(VLOOKUP(E93,'Optional features'!B:D,3,FALSE)="Yes",IFERROR(VLOOKUP(E93,'HIDDEN calc sheet'!A:B,2,FALSE),IFERROR(VLOOKUP(E93,'Additional questions'!B:D,3,FALSE)="Yes",VLOOKUP(E93,'Hardware Feature set'!B:D,3,FALSE)="No"))))</f>
        <v>0</v>
      </c>
      <c r="J93" s="3" t="b">
        <f>IF(VLOOKUP(B93,'Profile selection'!B:C,2,FALSE)="Yes",TRUE,FALSE)</f>
        <v>1</v>
      </c>
      <c r="K93"/>
      <c r="L93"/>
    </row>
    <row r="94" spans="1:12" ht="17.100000000000001" customHeight="1" x14ac:dyDescent="0.25">
      <c r="A94" t="str">
        <f>'HIDDEN import'!B93</f>
        <v>TC_C_16_CS</v>
      </c>
      <c r="B94" t="str">
        <f>'HIDDEN import'!C93</f>
        <v>Core</v>
      </c>
      <c r="C94" t="str">
        <f>'HIDDEN import'!D93</f>
        <v>Authorization through authorization cache - StopTxOnInvalidId = true</v>
      </c>
      <c r="D94" t="str">
        <f>IF(VLOOKUP(A94&amp;" "&amp;B94,'HIDDEN import'!A:G,5,FALSE)="M",MD!$A$1,(IF(AND(VLOOKUP(A94,'HIDDEN import'!B:E,4,FALSE)="C",OR(NOT(ISERROR(VLOOKUP(E94,'Optional features'!B:D,1,FALSE)=E94)),NOT(ISERROR(VLOOKUP(E94,'HIDDEN calc sheet'!A:C,1,FALSE)=E94)))),MD!$A$3,MD!$A$2)))</f>
        <v>Mandatory for optional feature</v>
      </c>
      <c r="E94" t="str">
        <f>IF('HIDDEN import'!F93=0,"",'HIDDEN import'!F93)</f>
        <v>C-49 and ((C-30 and C-70) or (C-31 and C-71) or (C-32 and C-72))</v>
      </c>
      <c r="F94" t="str">
        <f>IF('HIDDEN import'!G93=0,"",'HIDDEN import'!G93)</f>
        <v>Authorization Cache</v>
      </c>
      <c r="G94" s="19" t="str">
        <f>IFERROR(VLOOKUP($A94,'HIDDEN Testrun Results'!$A:$B,2,FALSE),"")</f>
        <v/>
      </c>
      <c r="H94" s="3" t="b">
        <f t="shared" si="1"/>
        <v>0</v>
      </c>
      <c r="I94" s="3" t="b">
        <f>IF(VLOOKUP(A94&amp;" "&amp;B94,'HIDDEN import'!A:G,5,FALSE)="M",TRUE,IFERROR(VLOOKUP(E94,'Optional features'!B:D,3,FALSE)="Yes",IFERROR(VLOOKUP(E94,'HIDDEN calc sheet'!A:B,2,FALSE),IFERROR(VLOOKUP(E94,'Additional questions'!B:D,3,FALSE)="Yes",VLOOKUP(E94,'Hardware Feature set'!B:D,3,FALSE)="No"))))</f>
        <v>0</v>
      </c>
      <c r="J94" s="3" t="b">
        <f>IF(VLOOKUP(B94,'Profile selection'!B:C,2,FALSE)="Yes",TRUE,FALSE)</f>
        <v>1</v>
      </c>
      <c r="K94"/>
      <c r="L94"/>
    </row>
    <row r="95" spans="1:12" ht="17.100000000000001" customHeight="1" x14ac:dyDescent="0.25">
      <c r="A95" t="str">
        <f>'HIDDEN import'!B94</f>
        <v>TC_C_17_CS</v>
      </c>
      <c r="B95" t="str">
        <f>'HIDDEN import'!C94</f>
        <v>Core</v>
      </c>
      <c r="C95" t="str">
        <f>'HIDDEN import'!D94</f>
        <v>Authorization through authorization cache - StopTxOnInvalidId = false</v>
      </c>
      <c r="D95" t="str">
        <f>IF(VLOOKUP(A95&amp;" "&amp;B95,'HIDDEN import'!A:G,5,FALSE)="M",MD!$A$1,(IF(AND(VLOOKUP(A95,'HIDDEN import'!B:E,4,FALSE)="C",OR(NOT(ISERROR(VLOOKUP(E95,'Optional features'!B:D,1,FALSE)=E95)),NOT(ISERROR(VLOOKUP(E95,'HIDDEN calc sheet'!A:C,1,FALSE)=E95)))),MD!$A$3,MD!$A$2)))</f>
        <v>Mandatory for optional feature</v>
      </c>
      <c r="E95" t="str">
        <f>IF('HIDDEN import'!F94=0,"",'HIDDEN import'!F94)</f>
        <v>C-49 and ((C-30 and C-70) or (C-31 and C-71) or (C-32 and C-72))</v>
      </c>
      <c r="F95" t="str">
        <f>IF('HIDDEN import'!G94=0,"",'HIDDEN import'!G94)</f>
        <v>Authorization Cache</v>
      </c>
      <c r="G95" s="19" t="str">
        <f>IFERROR(VLOOKUP($A95,'HIDDEN Testrun Results'!$A:$B,2,FALSE),"")</f>
        <v/>
      </c>
      <c r="H95" s="3" t="b">
        <f t="shared" si="1"/>
        <v>0</v>
      </c>
      <c r="I95" s="3" t="b">
        <f>IF(VLOOKUP(A95&amp;" "&amp;B95,'HIDDEN import'!A:G,5,FALSE)="M",TRUE,IFERROR(VLOOKUP(E95,'Optional features'!B:D,3,FALSE)="Yes",IFERROR(VLOOKUP(E95,'HIDDEN calc sheet'!A:B,2,FALSE),IFERROR(VLOOKUP(E95,'Additional questions'!B:D,3,FALSE)="Yes",VLOOKUP(E95,'Hardware Feature set'!B:D,3,FALSE)="No"))))</f>
        <v>0</v>
      </c>
      <c r="J95" s="3" t="b">
        <f>IF(VLOOKUP(B95,'Profile selection'!B:C,2,FALSE)="Yes",TRUE,FALSE)</f>
        <v>1</v>
      </c>
      <c r="K95"/>
      <c r="L95"/>
    </row>
    <row r="96" spans="1:12" ht="17.100000000000001" customHeight="1" x14ac:dyDescent="0.25">
      <c r="A96" t="str">
        <f>'HIDDEN import'!B95</f>
        <v>TC_C_18_CS</v>
      </c>
      <c r="B96" t="str">
        <f>'HIDDEN import'!C95</f>
        <v>Core</v>
      </c>
      <c r="C96" t="str">
        <f>'HIDDEN import'!D95</f>
        <v>Authorization through authorization cache - StopTxOnInvalidId = true, MaxEnergyOnInvalidId &gt; 0</v>
      </c>
      <c r="D96" t="str">
        <f>IF(VLOOKUP(A96&amp;" "&amp;B96,'HIDDEN import'!A:G,5,FALSE)="M",MD!$A$1,(IF(AND(VLOOKUP(A96,'HIDDEN import'!B:E,4,FALSE)="C",OR(NOT(ISERROR(VLOOKUP(E96,'Optional features'!B:D,1,FALSE)=E96)),NOT(ISERROR(VLOOKUP(E96,'HIDDEN calc sheet'!A:C,1,FALSE)=E96)))),MD!$A$3,MD!$A$2)))</f>
        <v>Mandatory for optional feature</v>
      </c>
      <c r="E96" t="str">
        <f>IF('HIDDEN import'!F95=0,"",'HIDDEN import'!F95)</f>
        <v>C-49 and C-03 and ((C-30 and C-70) or (C-31 and C-71) or (C-32 and C-72))</v>
      </c>
      <c r="F96" t="str">
        <f>IF('HIDDEN import'!G95=0,"",'HIDDEN import'!G95)</f>
        <v>Authorization Cache &amp; MaxEnergyOnInvalidId</v>
      </c>
      <c r="G96" s="19" t="str">
        <f>IFERROR(VLOOKUP($A96,'HIDDEN Testrun Results'!$A:$B,2,FALSE),"")</f>
        <v/>
      </c>
      <c r="H96" s="3" t="b">
        <f t="shared" si="1"/>
        <v>0</v>
      </c>
      <c r="I96" s="3" t="b">
        <f>IF(VLOOKUP(A96&amp;" "&amp;B96,'HIDDEN import'!A:G,5,FALSE)="M",TRUE,IFERROR(VLOOKUP(E96,'Optional features'!B:D,3,FALSE)="Yes",IFERROR(VLOOKUP(E96,'HIDDEN calc sheet'!A:B,2,FALSE),IFERROR(VLOOKUP(E96,'Additional questions'!B:D,3,FALSE)="Yes",VLOOKUP(E96,'Hardware Feature set'!B:D,3,FALSE)="No"))))</f>
        <v>0</v>
      </c>
      <c r="J96" s="3" t="b">
        <f>IF(VLOOKUP(B96,'Profile selection'!B:C,2,FALSE)="Yes",TRUE,FALSE)</f>
        <v>1</v>
      </c>
      <c r="K96"/>
      <c r="L96"/>
    </row>
    <row r="97" spans="1:12" ht="17.100000000000001" customHeight="1" x14ac:dyDescent="0.25">
      <c r="A97" t="str">
        <f>'HIDDEN import'!B96</f>
        <v>TC_C_57_CS</v>
      </c>
      <c r="B97" t="str">
        <f>'HIDDEN import'!C96</f>
        <v>Core</v>
      </c>
      <c r="C97" t="str">
        <f>'HIDDEN import'!D96</f>
        <v>Authorization through authorization cache - AuthCacheDisablePostAuthorize</v>
      </c>
      <c r="D97" t="str">
        <f>IF(VLOOKUP(A97&amp;" "&amp;B97,'HIDDEN import'!A:G,5,FALSE)="M",MD!$A$1,(IF(AND(VLOOKUP(A97,'HIDDEN import'!B:E,4,FALSE)="C",OR(NOT(ISERROR(VLOOKUP(E97,'Optional features'!B:D,1,FALSE)=E97)),NOT(ISERROR(VLOOKUP(E97,'HIDDEN calc sheet'!A:C,1,FALSE)=E97)))),MD!$A$3,MD!$A$2)))</f>
        <v>Mandatory for optional feature</v>
      </c>
      <c r="E97" t="str">
        <f>IF('HIDDEN import'!F96=0,"",'HIDDEN import'!F96)</f>
        <v>C-59 and C-49 and (((C-30 and C-70) or (C-31 and C-71) or (C-32 and C-72)) or (C-36 or C-37))</v>
      </c>
      <c r="F97" t="str">
        <f>IF('HIDDEN import'!G96=0,"",'HIDDEN import'!G96)</f>
        <v/>
      </c>
      <c r="G97" s="19" t="str">
        <f>IFERROR(VLOOKUP($A97,'HIDDEN Testrun Results'!$A:$B,2,FALSE),"")</f>
        <v/>
      </c>
      <c r="H97" s="3" t="b">
        <f t="shared" si="1"/>
        <v>0</v>
      </c>
      <c r="I97" s="3" t="b">
        <f>IF(VLOOKUP(A97&amp;" "&amp;B97,'HIDDEN import'!A:G,5,FALSE)="M",TRUE,IFERROR(VLOOKUP(E97,'Optional features'!B:D,3,FALSE)="Yes",IFERROR(VLOOKUP(E97,'HIDDEN calc sheet'!A:B,2,FALSE),IFERROR(VLOOKUP(E97,'Additional questions'!B:D,3,FALSE)="Yes",VLOOKUP(E97,'Hardware Feature set'!B:D,3,FALSE)="No"))))</f>
        <v>0</v>
      </c>
      <c r="J97" s="3" t="b">
        <f>IF(VLOOKUP(B97,'Profile selection'!B:C,2,FALSE)="Yes",TRUE,FALSE)</f>
        <v>1</v>
      </c>
      <c r="K97"/>
      <c r="L97"/>
    </row>
    <row r="98" spans="1:12" ht="17.100000000000001" customHeight="1" x14ac:dyDescent="0.25">
      <c r="A98" t="str">
        <f>'HIDDEN import'!B97</f>
        <v>TC_E_03_CS</v>
      </c>
      <c r="B98" t="str">
        <f>'HIDDEN import'!C97</f>
        <v>Core</v>
      </c>
      <c r="C98" t="str">
        <f>'HIDDEN import'!D97</f>
        <v>Local start transaction - Cable plugin first - Success</v>
      </c>
      <c r="D98" t="str">
        <f>IF(VLOOKUP(A98&amp;" "&amp;B98,'HIDDEN import'!A:G,5,FALSE)="M",MD!$A$1,(IF(AND(VLOOKUP(A98,'HIDDEN import'!B:E,4,FALSE)="C",OR(NOT(ISERROR(VLOOKUP(E98,'Optional features'!B:D,1,FALSE)=E98)),NOT(ISERROR(VLOOKUP(E98,'HIDDEN calc sheet'!A:C,1,FALSE)=E98)))),MD!$A$3,MD!$A$2)))</f>
        <v>Mandatory for optional feature</v>
      </c>
      <c r="E98" t="str">
        <f>IF('HIDDEN import'!F97=0,"",'HIDDEN import'!F97)</f>
        <v>NOT AQ-2 and (C-30 or C-31 or C-32 or C-33 or C-34 or C-35 or ISO 15118 support)</v>
      </c>
      <c r="F98" t="str">
        <f>IF('HIDDEN import'!G97=0,"",'HIDDEN import'!G97)</f>
        <v>Authorization options for local start</v>
      </c>
      <c r="G98" s="19" t="str">
        <f>IFERROR(VLOOKUP($A98,'HIDDEN Testrun Results'!$A:$B,2,FALSE),"")</f>
        <v/>
      </c>
      <c r="H98" s="3" t="b">
        <f t="shared" si="1"/>
        <v>0</v>
      </c>
      <c r="I98" s="3" t="b">
        <f>IF(VLOOKUP(A98&amp;" "&amp;B98,'HIDDEN import'!A:G,5,FALSE)="M",TRUE,IFERROR(VLOOKUP(E98,'Optional features'!B:D,3,FALSE)="Yes",IFERROR(VLOOKUP(E98,'HIDDEN calc sheet'!A:B,2,FALSE),IFERROR(VLOOKUP(E98,'Additional questions'!B:D,3,FALSE)="Yes",VLOOKUP(E98,'Hardware Feature set'!B:D,3,FALSE)="No"))))</f>
        <v>0</v>
      </c>
      <c r="J98" s="3" t="b">
        <f>IF(VLOOKUP(B98,'Profile selection'!B:C,2,FALSE)="Yes",TRUE,FALSE)</f>
        <v>1</v>
      </c>
      <c r="K98"/>
      <c r="L98"/>
    </row>
    <row r="99" spans="1:12" ht="17.100000000000001" customHeight="1" x14ac:dyDescent="0.25">
      <c r="A99" t="str">
        <f>'HIDDEN import'!B98</f>
        <v>TC_E_04_CS</v>
      </c>
      <c r="B99" t="str">
        <f>'HIDDEN import'!C98</f>
        <v>Core</v>
      </c>
      <c r="C99" t="str">
        <f>'HIDDEN import'!D98</f>
        <v>Local start transaction - Authorization first - Success</v>
      </c>
      <c r="D99" t="str">
        <f>IF(VLOOKUP(A99&amp;" "&amp;B99,'HIDDEN import'!A:G,5,FALSE)="M",MD!$A$1,(IF(AND(VLOOKUP(A99,'HIDDEN import'!B:E,4,FALSE)="C",OR(NOT(ISERROR(VLOOKUP(E99,'Optional features'!B:D,1,FALSE)=E99)),NOT(ISERROR(VLOOKUP(E99,'HIDDEN calc sheet'!A:C,1,FALSE)=E99)))),MD!$A$3,MD!$A$2)))</f>
        <v>Mandatory for optional feature</v>
      </c>
      <c r="E99" t="str">
        <f>IF('HIDDEN import'!F98=0,"",'HIDDEN import'!F98)</f>
        <v>C-30 or C-31 or C-32 or C-33 or C-35</v>
      </c>
      <c r="F99" t="str">
        <f>IF('HIDDEN import'!G98=0,"",'HIDDEN import'!G98)</f>
        <v>Authorization options for local start</v>
      </c>
      <c r="G99" s="19" t="str">
        <f>IFERROR(VLOOKUP($A99,'HIDDEN Testrun Results'!$A:$B,2,FALSE),"")</f>
        <v/>
      </c>
      <c r="H99" s="3" t="b">
        <f t="shared" si="1"/>
        <v>0</v>
      </c>
      <c r="I99" s="3" t="b">
        <f>IF(VLOOKUP(A99&amp;" "&amp;B99,'HIDDEN import'!A:G,5,FALSE)="M",TRUE,IFERROR(VLOOKUP(E99,'Optional features'!B:D,3,FALSE)="Yes",IFERROR(VLOOKUP(E99,'HIDDEN calc sheet'!A:B,2,FALSE),IFERROR(VLOOKUP(E99,'Additional questions'!B:D,3,FALSE)="Yes",VLOOKUP(E99,'Hardware Feature set'!B:D,3,FALSE)="No"))))</f>
        <v>0</v>
      </c>
      <c r="J99" s="3" t="b">
        <f>IF(VLOOKUP(B99,'Profile selection'!B:C,2,FALSE)="Yes",TRUE,FALSE)</f>
        <v>1</v>
      </c>
      <c r="K99"/>
      <c r="L99"/>
    </row>
    <row r="100" spans="1:12" ht="17.100000000000001" customHeight="1" x14ac:dyDescent="0.25">
      <c r="A100" t="str">
        <f>'HIDDEN import'!B99</f>
        <v>TC_E_05_CS</v>
      </c>
      <c r="B100" t="str">
        <f>'HIDDEN import'!C99</f>
        <v>Core</v>
      </c>
      <c r="C100" t="str">
        <f>'HIDDEN import'!D99</f>
        <v>Local start transaction - Authorization first - Cable plugin timeout</v>
      </c>
      <c r="D100" t="str">
        <f>IF(VLOOKUP(A100&amp;" "&amp;B100,'HIDDEN import'!A:G,5,FALSE)="M",MD!$A$1,(IF(AND(VLOOKUP(A100,'HIDDEN import'!B:E,4,FALSE)="C",OR(NOT(ISERROR(VLOOKUP(E100,'Optional features'!B:D,1,FALSE)=E100)),NOT(ISERROR(VLOOKUP(E100,'HIDDEN calc sheet'!A:C,1,FALSE)=E100)))),MD!$A$3,MD!$A$2)))</f>
        <v>Mandatory for optional feature</v>
      </c>
      <c r="E100" t="str">
        <f>IF('HIDDEN import'!F99=0,"",'HIDDEN import'!F99)</f>
        <v>(C-30 or C-31 or C-32 or C-33 or C-35) AND NOT HFS-13</v>
      </c>
      <c r="F100" t="str">
        <f>IF('HIDDEN import'!G99=0,"",'HIDDEN import'!G99)</f>
        <v>Authorization options for local start</v>
      </c>
      <c r="G100" s="19" t="str">
        <f>IFERROR(VLOOKUP($A100,'HIDDEN Testrun Results'!$A:$B,2,FALSE),"")</f>
        <v/>
      </c>
      <c r="H100" s="3" t="b">
        <f t="shared" si="1"/>
        <v>0</v>
      </c>
      <c r="I100" s="3" t="b">
        <f>IF(VLOOKUP(A100&amp;" "&amp;B100,'HIDDEN import'!A:G,5,FALSE)="M",TRUE,IFERROR(VLOOKUP(E100,'Optional features'!B:D,3,FALSE)="Yes",IFERROR(VLOOKUP(E100,'HIDDEN calc sheet'!A:B,2,FALSE),IFERROR(VLOOKUP(E100,'Additional questions'!B:D,3,FALSE)="Yes",VLOOKUP(E100,'Hardware Feature set'!B:D,3,FALSE)="No"))))</f>
        <v>0</v>
      </c>
      <c r="J100" s="3" t="b">
        <f>IF(VLOOKUP(B100,'Profile selection'!B:C,2,FALSE)="Yes",TRUE,FALSE)</f>
        <v>1</v>
      </c>
      <c r="K100"/>
      <c r="L100"/>
    </row>
    <row r="101" spans="1:12" ht="17.100000000000001" customHeight="1" x14ac:dyDescent="0.25">
      <c r="A101" t="str">
        <f>'HIDDEN import'!B100</f>
        <v>TC_E_52_CS</v>
      </c>
      <c r="B101" t="str">
        <f>'HIDDEN import'!C100</f>
        <v>Core</v>
      </c>
      <c r="C101" t="str">
        <f>'HIDDEN import'!D100</f>
        <v>Local start transaction - Authorization first - DisableRemoteAuthorization</v>
      </c>
      <c r="D101" t="str">
        <f>IF(VLOOKUP(A101&amp;" "&amp;B101,'HIDDEN import'!A:G,5,FALSE)="M",MD!$A$1,(IF(AND(VLOOKUP(A101,'HIDDEN import'!B:E,4,FALSE)="C",OR(NOT(ISERROR(VLOOKUP(E101,'Optional features'!B:D,1,FALSE)=E101)),NOT(ISERROR(VLOOKUP(E101,'HIDDEN calc sheet'!A:C,1,FALSE)=E101)))),MD!$A$3,MD!$A$2)))</f>
        <v>Mandatory for optional feature</v>
      </c>
      <c r="E101" t="str">
        <f>IF('HIDDEN import'!F100=0,"",'HIDDEN import'!F100)</f>
        <v>C-58 and (C-30 or C-31 or C-32) and (C-49 or Local Authorization List Management)</v>
      </c>
      <c r="F101" t="str">
        <f>IF('HIDDEN import'!G100=0,"",'HIDDEN import'!G100)</f>
        <v>Local Authorization - using RFID ISO14443 / RFID ISO15693 / KeyCode &amp;</v>
      </c>
      <c r="G101" s="19" t="str">
        <f>IFERROR(VLOOKUP($A101,'HIDDEN Testrun Results'!$A:$B,2,FALSE),"")</f>
        <v/>
      </c>
      <c r="H101" s="3" t="b">
        <f t="shared" si="1"/>
        <v>0</v>
      </c>
      <c r="I101" s="3" t="b">
        <f>IF(VLOOKUP(A101&amp;" "&amp;B101,'HIDDEN import'!A:G,5,FALSE)="M",TRUE,IFERROR(VLOOKUP(E101,'Optional features'!B:D,3,FALSE)="Yes",IFERROR(VLOOKUP(E101,'HIDDEN calc sheet'!A:B,2,FALSE),IFERROR(VLOOKUP(E101,'Additional questions'!B:D,3,FALSE)="Yes",VLOOKUP(E101,'Hardware Feature set'!B:D,3,FALSE)="No"))))</f>
        <v>0</v>
      </c>
      <c r="J101" s="3" t="b">
        <f>IF(VLOOKUP(B101,'Profile selection'!B:C,2,FALSE)="Yes",TRUE,FALSE)</f>
        <v>1</v>
      </c>
      <c r="K101"/>
      <c r="L101"/>
    </row>
    <row r="102" spans="1:12" ht="17.100000000000001" customHeight="1" x14ac:dyDescent="0.25">
      <c r="A102" t="str">
        <f>'HIDDEN import'!B101</f>
        <v>TC_E_09_CS</v>
      </c>
      <c r="B102" t="str">
        <f>'HIDDEN import'!C101</f>
        <v>Core</v>
      </c>
      <c r="C102" t="str">
        <f>'HIDDEN import'!D101</f>
        <v>Start transaction options - EVConnected</v>
      </c>
      <c r="D102" t="str">
        <f>IF(VLOOKUP(A102&amp;" "&amp;B102,'HIDDEN import'!A:G,5,FALSE)="M",MD!$A$1,(IF(AND(VLOOKUP(A102,'HIDDEN import'!B:E,4,FALSE)="C",OR(NOT(ISERROR(VLOOKUP(E102,'Optional features'!B:D,1,FALSE)=E102)),NOT(ISERROR(VLOOKUP(E102,'HIDDEN calc sheet'!A:C,1,FALSE)=E102)))),MD!$A$3,MD!$A$2)))</f>
        <v>Mandatory for optional feature</v>
      </c>
      <c r="E102" t="str">
        <f>IF('HIDDEN import'!F101=0,"",'HIDDEN import'!F101)</f>
        <v>(C-09.1 and (C-51 or NOT C-09.6)) and NOT AQ-2</v>
      </c>
      <c r="F102" t="str">
        <f>IF('HIDDEN import'!G101=0,"",'HIDDEN import'!G101)</f>
        <v/>
      </c>
      <c r="G102" s="19" t="str">
        <f>IFERROR(VLOOKUP($A102,'HIDDEN Testrun Results'!$A:$B,2,FALSE),"")</f>
        <v/>
      </c>
      <c r="H102" s="3" t="b">
        <f t="shared" si="1"/>
        <v>0</v>
      </c>
      <c r="I102" s="3" t="b">
        <f>IF(VLOOKUP(A102&amp;" "&amp;B102,'HIDDEN import'!A:G,5,FALSE)="M",TRUE,IFERROR(VLOOKUP(E102,'Optional features'!B:D,3,FALSE)="Yes",IFERROR(VLOOKUP(E102,'HIDDEN calc sheet'!A:B,2,FALSE),IFERROR(VLOOKUP(E102,'Additional questions'!B:D,3,FALSE)="Yes",VLOOKUP(E102,'Hardware Feature set'!B:D,3,FALSE)="No"))))</f>
        <v>0</v>
      </c>
      <c r="J102" s="3" t="b">
        <f>IF(VLOOKUP(B102,'Profile selection'!B:C,2,FALSE)="Yes",TRUE,FALSE)</f>
        <v>1</v>
      </c>
      <c r="K102"/>
      <c r="L102"/>
    </row>
    <row r="103" spans="1:12" ht="17.100000000000001" customHeight="1" x14ac:dyDescent="0.25">
      <c r="A103" t="str">
        <f>'HIDDEN import'!B102</f>
        <v>TC_E_10_CS</v>
      </c>
      <c r="B103" t="str">
        <f>'HIDDEN import'!C102</f>
        <v>Core</v>
      </c>
      <c r="C103" t="str">
        <f>'HIDDEN import'!D102</f>
        <v>Start transaction options - Authorized - Local</v>
      </c>
      <c r="D103" t="str">
        <f>IF(VLOOKUP(A103&amp;" "&amp;B103,'HIDDEN import'!A:G,5,FALSE)="M",MD!$A$1,(IF(AND(VLOOKUP(A103,'HIDDEN import'!B:E,4,FALSE)="C",OR(NOT(ISERROR(VLOOKUP(E103,'Optional features'!B:D,1,FALSE)=E103)),NOT(ISERROR(VLOOKUP(E103,'HIDDEN calc sheet'!A:C,1,FALSE)=E103)))),MD!$A$3,MD!$A$2)))</f>
        <v>Mandatory for optional feature</v>
      </c>
      <c r="E103" t="str">
        <f>IF('HIDDEN import'!F102=0,"",'HIDDEN import'!F102)</f>
        <v>C-09.2 and (C-30 or C-31 or C-32 or C-33 or C-34 or C-35 or ISO 15118 support)</v>
      </c>
      <c r="F103" t="str">
        <f>IF('HIDDEN import'!G102=0,"",'HIDDEN import'!G102)</f>
        <v>Supported Transaction Start Points &amp; Authorization options for local start &amp; Authorization - eMAID</v>
      </c>
      <c r="G103" s="19" t="str">
        <f>IFERROR(VLOOKUP($A103,'HIDDEN Testrun Results'!$A:$B,2,FALSE),"")</f>
        <v/>
      </c>
      <c r="H103" s="3" t="b">
        <f t="shared" si="1"/>
        <v>0</v>
      </c>
      <c r="I103" s="3" t="b">
        <f>IF(VLOOKUP(A103&amp;" "&amp;B103,'HIDDEN import'!A:G,5,FALSE)="M",TRUE,IFERROR(VLOOKUP(E103,'Optional features'!B:D,3,FALSE)="Yes",IFERROR(VLOOKUP(E103,'HIDDEN calc sheet'!A:B,2,FALSE),IFERROR(VLOOKUP(E103,'Additional questions'!B:D,3,FALSE)="Yes",VLOOKUP(E103,'Hardware Feature set'!B:D,3,FALSE)="No"))))</f>
        <v>0</v>
      </c>
      <c r="J103" s="3" t="b">
        <f>IF(VLOOKUP(B103,'Profile selection'!B:C,2,FALSE)="Yes",TRUE,FALSE)</f>
        <v>1</v>
      </c>
      <c r="K103"/>
      <c r="L103"/>
    </row>
    <row r="104" spans="1:12" ht="17.100000000000001" customHeight="1" x14ac:dyDescent="0.25">
      <c r="A104" t="str">
        <f>'HIDDEN import'!B103</f>
        <v>TC_E_13_CS</v>
      </c>
      <c r="B104" t="str">
        <f>'HIDDEN import'!C103</f>
        <v>Core</v>
      </c>
      <c r="C104" t="str">
        <f>'HIDDEN import'!D103</f>
        <v>Start transaction options - Authorized - Remote</v>
      </c>
      <c r="D104" t="str">
        <f>IF(VLOOKUP(A104&amp;" "&amp;B104,'HIDDEN import'!A:G,5,FALSE)="M",MD!$A$1,(IF(AND(VLOOKUP(A104,'HIDDEN import'!B:E,4,FALSE)="C",OR(NOT(ISERROR(VLOOKUP(E104,'Optional features'!B:D,1,FALSE)=E104)),NOT(ISERROR(VLOOKUP(E104,'HIDDEN calc sheet'!A:C,1,FALSE)=E104)))),MD!$A$3,MD!$A$2)))</f>
        <v>Mandatory for optional feature</v>
      </c>
      <c r="E104" t="str">
        <f>IF('HIDDEN import'!F103=0,"",'HIDDEN import'!F103)</f>
        <v>C-09.2</v>
      </c>
      <c r="F104" t="str">
        <f>IF('HIDDEN import'!G103=0,"",'HIDDEN import'!G103)</f>
        <v>Supported Transaction Start points</v>
      </c>
      <c r="G104" s="19" t="str">
        <f>IFERROR(VLOOKUP($A104,'HIDDEN Testrun Results'!$A:$B,2,FALSE),"")</f>
        <v/>
      </c>
      <c r="H104" s="3" t="b">
        <f t="shared" si="1"/>
        <v>0</v>
      </c>
      <c r="I104" s="3" t="b">
        <f>IF(VLOOKUP(A104&amp;" "&amp;B104,'HIDDEN import'!A:G,5,FALSE)="M",TRUE,IFERROR(VLOOKUP(E104,'Optional features'!B:D,3,FALSE)="Yes",IFERROR(VLOOKUP(E104,'HIDDEN calc sheet'!A:B,2,FALSE),IFERROR(VLOOKUP(E104,'Additional questions'!B:D,3,FALSE)="Yes",VLOOKUP(E104,'Hardware Feature set'!B:D,3,FALSE)="No"))))</f>
        <v>0</v>
      </c>
      <c r="J104" s="3" t="b">
        <f>IF(VLOOKUP(B104,'Profile selection'!B:C,2,FALSE)="Yes",TRUE,FALSE)</f>
        <v>1</v>
      </c>
      <c r="K104"/>
      <c r="L104"/>
    </row>
    <row r="105" spans="1:12" ht="17.100000000000001" customHeight="1" x14ac:dyDescent="0.25">
      <c r="A105" t="str">
        <f>'HIDDEN import'!B104</f>
        <v>TC_E_11_CS</v>
      </c>
      <c r="B105" t="str">
        <f>'HIDDEN import'!C104</f>
        <v>Core</v>
      </c>
      <c r="C105" t="str">
        <f>'HIDDEN import'!D104</f>
        <v>Start transaction options - DataSigned</v>
      </c>
      <c r="D105" t="str">
        <f>IF(VLOOKUP(A105&amp;" "&amp;B105,'HIDDEN import'!A:G,5,FALSE)="M",MD!$A$1,(IF(AND(VLOOKUP(A105,'HIDDEN import'!B:E,4,FALSE)="C",OR(NOT(ISERROR(VLOOKUP(E105,'Optional features'!B:D,1,FALSE)=E105)),NOT(ISERROR(VLOOKUP(E105,'HIDDEN calc sheet'!A:C,1,FALSE)=E105)))),MD!$A$3,MD!$A$2)))</f>
        <v>Mandatory for optional feature</v>
      </c>
      <c r="E105" t="str">
        <f>IF('HIDDEN import'!F104=0,"",'HIDDEN import'!F104)</f>
        <v>C-09.3 and (C-51 or NOT (C-09.1 or C-09.2 or C-09.6))</v>
      </c>
      <c r="F105" t="str">
        <f>IF('HIDDEN import'!G104=0,"",'HIDDEN import'!G104)</f>
        <v>Supported Transaction Start points</v>
      </c>
      <c r="G105" s="19" t="str">
        <f>IFERROR(VLOOKUP($A105,'HIDDEN Testrun Results'!$A:$B,2,FALSE),"")</f>
        <v/>
      </c>
      <c r="H105" s="3" t="b">
        <f t="shared" si="1"/>
        <v>0</v>
      </c>
      <c r="I105" s="3" t="b">
        <f>IF(VLOOKUP(A105&amp;" "&amp;B105,'HIDDEN import'!A:G,5,FALSE)="M",TRUE,IFERROR(VLOOKUP(E105,'Optional features'!B:D,3,FALSE)="Yes",IFERROR(VLOOKUP(E105,'HIDDEN calc sheet'!A:B,2,FALSE),IFERROR(VLOOKUP(E105,'Additional questions'!B:D,3,FALSE)="Yes",VLOOKUP(E105,'Hardware Feature set'!B:D,3,FALSE)="No"))))</f>
        <v>0</v>
      </c>
      <c r="J105" s="3" t="b">
        <f>IF(VLOOKUP(B105,'Profile selection'!B:C,2,FALSE)="Yes",TRUE,FALSE)</f>
        <v>1</v>
      </c>
      <c r="K105"/>
      <c r="L105"/>
    </row>
    <row r="106" spans="1:12" ht="17.100000000000001" customHeight="1" x14ac:dyDescent="0.25">
      <c r="A106" t="str">
        <f>'HIDDEN import'!B105</f>
        <v>TC_E_01_CS</v>
      </c>
      <c r="B106" t="str">
        <f>'HIDDEN import'!C105</f>
        <v>Core</v>
      </c>
      <c r="C106" t="str">
        <f>'HIDDEN import'!D105</f>
        <v>Start transaction options - PowerPathClosed</v>
      </c>
      <c r="D106" t="str">
        <f>IF(VLOOKUP(A106&amp;" "&amp;B106,'HIDDEN import'!A:G,5,FALSE)="M",MD!$A$1,(IF(AND(VLOOKUP(A106,'HIDDEN import'!B:E,4,FALSE)="C",OR(NOT(ISERROR(VLOOKUP(E106,'Optional features'!B:D,1,FALSE)=E106)),NOT(ISERROR(VLOOKUP(E106,'HIDDEN calc sheet'!A:C,1,FALSE)=E106)))),MD!$A$3,MD!$A$2)))</f>
        <v>Mandatory for optional feature</v>
      </c>
      <c r="E106" t="str">
        <f>IF('HIDDEN import'!F105=0,"",'HIDDEN import'!F105)</f>
        <v>C-09.4 and (C-51 or NOT (C-09.1 or C-09.2 or C-09.3 or C-09.6))</v>
      </c>
      <c r="F106" t="str">
        <f>IF('HIDDEN import'!G105=0,"",'HIDDEN import'!G105)</f>
        <v>Supported Transaction Start points</v>
      </c>
      <c r="G106" s="19" t="str">
        <f>IFERROR(VLOOKUP($A106,'HIDDEN Testrun Results'!$A:$B,2,FALSE),"")</f>
        <v/>
      </c>
      <c r="H106" s="3" t="b">
        <f t="shared" si="1"/>
        <v>1</v>
      </c>
      <c r="I106" s="3" t="b">
        <f>IF(VLOOKUP(A106&amp;" "&amp;B106,'HIDDEN import'!A:G,5,FALSE)="M",TRUE,IFERROR(VLOOKUP(E106,'Optional features'!B:D,3,FALSE)="Yes",IFERROR(VLOOKUP(E106,'HIDDEN calc sheet'!A:B,2,FALSE),IFERROR(VLOOKUP(E106,'Additional questions'!B:D,3,FALSE)="Yes",VLOOKUP(E106,'Hardware Feature set'!B:D,3,FALSE)="No"))))</f>
        <v>1</v>
      </c>
      <c r="J106" s="3" t="b">
        <f>IF(VLOOKUP(B106,'Profile selection'!B:C,2,FALSE)="Yes",TRUE,FALSE)</f>
        <v>1</v>
      </c>
      <c r="K106"/>
      <c r="L106"/>
    </row>
    <row r="107" spans="1:12" ht="17.100000000000001" customHeight="1" x14ac:dyDescent="0.25">
      <c r="A107" t="str">
        <f>'HIDDEN import'!B106</f>
        <v>TC_E_02_CS</v>
      </c>
      <c r="B107" t="str">
        <f>'HIDDEN import'!C106</f>
        <v>Core</v>
      </c>
      <c r="C107" t="str">
        <f>'HIDDEN import'!D106</f>
        <v>Start transaction options - EnergyTransfer</v>
      </c>
      <c r="D107" t="str">
        <f>IF(VLOOKUP(A107&amp;" "&amp;B107,'HIDDEN import'!A:G,5,FALSE)="M",MD!$A$1,(IF(AND(VLOOKUP(A107,'HIDDEN import'!B:E,4,FALSE)="C",OR(NOT(ISERROR(VLOOKUP(E107,'Optional features'!B:D,1,FALSE)=E107)),NOT(ISERROR(VLOOKUP(E107,'HIDDEN calc sheet'!A:C,1,FALSE)=E107)))),MD!$A$3,MD!$A$2)))</f>
        <v>Mandatory for optional feature</v>
      </c>
      <c r="E107" t="str">
        <f>IF('HIDDEN import'!F106=0,"",'HIDDEN import'!F106)</f>
        <v>C-09.5 and (C-51 or NOT (C-09.1 or C-09.2 or C-09.3 or C-09.4 or C-09.6))</v>
      </c>
      <c r="F107" t="str">
        <f>IF('HIDDEN import'!G106=0,"",'HIDDEN import'!G106)</f>
        <v>Supported Transaction Start points</v>
      </c>
      <c r="G107" s="19" t="str">
        <f>IFERROR(VLOOKUP($A107,'HIDDEN Testrun Results'!$A:$B,2,FALSE),"")</f>
        <v/>
      </c>
      <c r="H107" s="3" t="b">
        <f t="shared" si="1"/>
        <v>0</v>
      </c>
      <c r="I107" s="3" t="b">
        <f>IF(VLOOKUP(A107&amp;" "&amp;B107,'HIDDEN import'!A:G,5,FALSE)="M",TRUE,IFERROR(VLOOKUP(E107,'Optional features'!B:D,3,FALSE)="Yes",IFERROR(VLOOKUP(E107,'HIDDEN calc sheet'!A:B,2,FALSE),IFERROR(VLOOKUP(E107,'Additional questions'!B:D,3,FALSE)="Yes",VLOOKUP(E107,'Hardware Feature set'!B:D,3,FALSE)="No"))))</f>
        <v>0</v>
      </c>
      <c r="J107" s="3" t="b">
        <f>IF(VLOOKUP(B107,'Profile selection'!B:C,2,FALSE)="Yes",TRUE,FALSE)</f>
        <v>1</v>
      </c>
      <c r="K107"/>
      <c r="L107"/>
    </row>
    <row r="108" spans="1:12" ht="17.100000000000001" customHeight="1" x14ac:dyDescent="0.25">
      <c r="A108" t="str">
        <f>'HIDDEN import'!B107</f>
        <v>TC_E_12_CS</v>
      </c>
      <c r="B108" t="str">
        <f>'HIDDEN import'!C107</f>
        <v>Core</v>
      </c>
      <c r="C108" t="str">
        <f>'HIDDEN import'!D107</f>
        <v>Start transaction options - ParkingBayOccupied</v>
      </c>
      <c r="D108" t="str">
        <f>IF(VLOOKUP(A108&amp;" "&amp;B108,'HIDDEN import'!A:G,5,FALSE)="M",MD!$A$1,(IF(AND(VLOOKUP(A108,'HIDDEN import'!B:E,4,FALSE)="C",OR(NOT(ISERROR(VLOOKUP(E108,'Optional features'!B:D,1,FALSE)=E108)),NOT(ISERROR(VLOOKUP(E108,'HIDDEN calc sheet'!A:C,1,FALSE)=E108)))),MD!$A$3,MD!$A$2)))</f>
        <v>Mandatory for optional feature</v>
      </c>
      <c r="E108" t="str">
        <f>IF('HIDDEN import'!F107=0,"",'HIDDEN import'!F107)</f>
        <v>C-09.6</v>
      </c>
      <c r="F108" t="str">
        <f>IF('HIDDEN import'!G107=0,"",'HIDDEN import'!G107)</f>
        <v>Supported Transaction Start points</v>
      </c>
      <c r="G108" s="19" t="str">
        <f>IFERROR(VLOOKUP($A108,'HIDDEN Testrun Results'!$A:$B,2,FALSE),"")</f>
        <v/>
      </c>
      <c r="H108" s="3" t="b">
        <f t="shared" si="1"/>
        <v>0</v>
      </c>
      <c r="I108" s="3" t="b">
        <f>IF(VLOOKUP(A108&amp;" "&amp;B108,'HIDDEN import'!A:G,5,FALSE)="M",TRUE,IFERROR(VLOOKUP(E108,'Optional features'!B:D,3,FALSE)="Yes",IFERROR(VLOOKUP(E108,'HIDDEN calc sheet'!A:B,2,FALSE),IFERROR(VLOOKUP(E108,'Additional questions'!B:D,3,FALSE)="Yes",VLOOKUP(E108,'Hardware Feature set'!B:D,3,FALSE)="No"))))</f>
        <v>0</v>
      </c>
      <c r="J108" s="3" t="b">
        <f>IF(VLOOKUP(B108,'Profile selection'!B:C,2,FALSE)="Yes",TRUE,FALSE)</f>
        <v>1</v>
      </c>
      <c r="K108"/>
      <c r="L108"/>
    </row>
    <row r="109" spans="1:12" ht="17.100000000000001" customHeight="1" x14ac:dyDescent="0.25">
      <c r="A109" t="str">
        <f>'HIDDEN import'!B108</f>
        <v>TC_E_14_CS</v>
      </c>
      <c r="B109" t="str">
        <f>'HIDDEN import'!C108</f>
        <v>Core</v>
      </c>
      <c r="C109" t="str">
        <f>'HIDDEN import'!D108</f>
        <v>Stop transaction options - EVDisconnected - Charging Station side</v>
      </c>
      <c r="D109" t="str">
        <f>IF(VLOOKUP(A109&amp;" "&amp;B109,'HIDDEN import'!A:G,5,FALSE)="M",MD!$A$1,(IF(AND(VLOOKUP(A109,'HIDDEN import'!B:E,4,FALSE)="C",OR(NOT(ISERROR(VLOOKUP(E109,'Optional features'!B:D,1,FALSE)=E109)),NOT(ISERROR(VLOOKUP(E109,'HIDDEN calc sheet'!A:C,1,FALSE)=E109)))),MD!$A$3,MD!$A$2)))</f>
        <v>Mandatory for optional feature</v>
      </c>
      <c r="E109" t="str">
        <f>IF('HIDDEN import'!F108=0,"",'HIDDEN import'!F108)</f>
        <v>HFS-1 and C-10.1 and (C-52 or NOT (C-10.2 or C-10.3 or C-10.4)) AND NOT HFS-13</v>
      </c>
      <c r="F109" t="str">
        <f>IF('HIDDEN import'!G108=0,"",'HIDDEN import'!G108)</f>
        <v>Supported Transaction Stop points</v>
      </c>
      <c r="G109" s="19" t="str">
        <f>IFERROR(VLOOKUP($A109,'HIDDEN Testrun Results'!$A:$B,2,FALSE),"")</f>
        <v/>
      </c>
      <c r="H109" s="3" t="b">
        <f t="shared" si="1"/>
        <v>0</v>
      </c>
      <c r="I109" s="3" t="b">
        <f>IF(VLOOKUP(A109&amp;" "&amp;B109,'HIDDEN import'!A:G,5,FALSE)="M",TRUE,IFERROR(VLOOKUP(E109,'Optional features'!B:D,3,FALSE)="Yes",IFERROR(VLOOKUP(E109,'HIDDEN calc sheet'!A:B,2,FALSE),IFERROR(VLOOKUP(E109,'Additional questions'!B:D,3,FALSE)="Yes",VLOOKUP(E109,'Hardware Feature set'!B:D,3,FALSE)="No"))))</f>
        <v>0</v>
      </c>
      <c r="J109" s="3" t="b">
        <f>IF(VLOOKUP(B109,'Profile selection'!B:C,2,FALSE)="Yes",TRUE,FALSE)</f>
        <v>1</v>
      </c>
      <c r="K109"/>
      <c r="L109"/>
    </row>
    <row r="110" spans="1:12" ht="17.100000000000001" customHeight="1" x14ac:dyDescent="0.25">
      <c r="A110" t="str">
        <f>'HIDDEN import'!B109</f>
        <v>TC_E_20_CS</v>
      </c>
      <c r="B110" t="str">
        <f>'HIDDEN import'!C109</f>
        <v>Core</v>
      </c>
      <c r="C110" t="str">
        <f>'HIDDEN import'!D109</f>
        <v>Stop transaction options - EVDisconnected - EV side (able to charge IEC 61851-1 EV)</v>
      </c>
      <c r="D110" t="str">
        <f>IF(VLOOKUP(A110&amp;" "&amp;B110,'HIDDEN import'!A:G,5,FALSE)="M",MD!$A$1,(IF(AND(VLOOKUP(A110,'HIDDEN import'!B:E,4,FALSE)="C",OR(NOT(ISERROR(VLOOKUP(E110,'Optional features'!B:D,1,FALSE)=E110)),NOT(ISERROR(VLOOKUP(E110,'HIDDEN calc sheet'!A:C,1,FALSE)=E110)))),MD!$A$3,MD!$A$2)))</f>
        <v>Mandatory for optional feature</v>
      </c>
      <c r="E110" t="str">
        <f>IF('HIDDEN import'!F109=0,"",'HIDDEN import'!F109)</f>
        <v>(C-10.1 AND (NOT (NOT C-52 AND (C-10.3 or C-10.4))) AND NOT (NOT C-06.1 AND NOT C-52 AND C-10.2)) AND (AQ-9 OR Product Subtype "Mode 1/2-only Charging Station") AND NOT Product Subtype "Wireless Charging Station"</v>
      </c>
      <c r="F110" t="str">
        <f>IF('HIDDEN import'!G109=0,"",'HIDDEN import'!G109)</f>
        <v>Supported Transaction Stop points</v>
      </c>
      <c r="G110" s="19" t="str">
        <f>IFERROR(VLOOKUP($A110,'HIDDEN Testrun Results'!$A:$B,2,FALSE),"")</f>
        <v/>
      </c>
      <c r="H110" s="3" t="b">
        <f t="shared" si="1"/>
        <v>0</v>
      </c>
      <c r="I110" s="3" t="b">
        <f>IF(VLOOKUP(A110&amp;" "&amp;B110,'HIDDEN import'!A:G,5,FALSE)="M",TRUE,IFERROR(VLOOKUP(E110,'Optional features'!B:D,3,FALSE)="Yes",IFERROR(VLOOKUP(E110,'HIDDEN calc sheet'!A:B,2,FALSE),IFERROR(VLOOKUP(E110,'Additional questions'!B:D,3,FALSE)="Yes",VLOOKUP(E110,'Hardware Feature set'!B:D,3,FALSE)="No"))))</f>
        <v>0</v>
      </c>
      <c r="J110" s="3" t="b">
        <f>IF(VLOOKUP(B110,'Profile selection'!B:C,2,FALSE)="Yes",TRUE,FALSE)</f>
        <v>1</v>
      </c>
      <c r="K110"/>
      <c r="L110"/>
    </row>
    <row r="111" spans="1:12" ht="17.100000000000001" customHeight="1" x14ac:dyDescent="0.25">
      <c r="A111" t="str">
        <f>'HIDDEN import'!B110</f>
        <v>TC_E_54_CS</v>
      </c>
      <c r="B111" t="str">
        <f>'HIDDEN import'!C110</f>
        <v>Core</v>
      </c>
      <c r="C111" t="str">
        <f>'HIDDEN import'!D110</f>
        <v>Stop transaction options - EVDisconnected - EV side (not able to charge IEC 61851-1 EV)</v>
      </c>
      <c r="D111" t="str">
        <f>IF(VLOOKUP(A111&amp;" "&amp;B111,'HIDDEN import'!A:G,5,FALSE)="M",MD!$A$1,(IF(AND(VLOOKUP(A111,'HIDDEN import'!B:E,4,FALSE)="C",OR(NOT(ISERROR(VLOOKUP(E111,'Optional features'!B:D,1,FALSE)=E111)),NOT(ISERROR(VLOOKUP(E111,'HIDDEN calc sheet'!A:C,1,FALSE)=E111)))),MD!$A$3,MD!$A$2)))</f>
        <v>Mandatory for optional feature</v>
      </c>
      <c r="E111" t="str">
        <f>IF('HIDDEN import'!F110=0,"",'HIDDEN import'!F110)</f>
        <v>C-10.1 AND (NOT (NOT C-52 AND (C-10.2 or C-10.3 or C-10.4))) AND (HFS-4 OR ISO 15118 support OR Product Subtype "Wireless Charging Station") AND NOT Product Subtype "Mode 1/2-only Charging Station" AND NOT HFS-13</v>
      </c>
      <c r="F111" t="str">
        <f>IF('HIDDEN import'!G110=0,"",'HIDDEN import'!G110)</f>
        <v>Supported Transaction Stop points</v>
      </c>
      <c r="G111" s="19" t="str">
        <f>IFERROR(VLOOKUP($A111,'HIDDEN Testrun Results'!$A:$B,2,FALSE),"")</f>
        <v/>
      </c>
      <c r="H111" s="3" t="b">
        <f t="shared" si="1"/>
        <v>0</v>
      </c>
      <c r="I111" s="3" t="b">
        <f>IF(VLOOKUP(A111&amp;" "&amp;B111,'HIDDEN import'!A:G,5,FALSE)="M",TRUE,IFERROR(VLOOKUP(E111,'Optional features'!B:D,3,FALSE)="Yes",IFERROR(VLOOKUP(E111,'HIDDEN calc sheet'!A:B,2,FALSE),IFERROR(VLOOKUP(E111,'Additional questions'!B:D,3,FALSE)="Yes",VLOOKUP(E111,'Hardware Feature set'!B:D,3,FALSE)="No"))))</f>
        <v>0</v>
      </c>
      <c r="J111" s="3" t="b">
        <f>IF(VLOOKUP(B111,'Profile selection'!B:C,2,FALSE)="Yes",TRUE,FALSE)</f>
        <v>1</v>
      </c>
      <c r="K111"/>
      <c r="L111"/>
    </row>
    <row r="112" spans="1:12" ht="17.100000000000001" customHeight="1" x14ac:dyDescent="0.25">
      <c r="A112" t="str">
        <f>'HIDDEN import'!B111</f>
        <v>TC_E_15_CS</v>
      </c>
      <c r="B112" t="str">
        <f>'HIDDEN import'!C111</f>
        <v>Core</v>
      </c>
      <c r="C112" t="str">
        <f>'HIDDEN import'!D111</f>
        <v>Stop transaction options - StopAuthorized - Local</v>
      </c>
      <c r="D112" t="str">
        <f>IF(VLOOKUP(A112&amp;" "&amp;B112,'HIDDEN import'!A:G,5,FALSE)="M",MD!$A$1,(IF(AND(VLOOKUP(A112,'HIDDEN import'!B:E,4,FALSE)="C",OR(NOT(ISERROR(VLOOKUP(E112,'Optional features'!B:D,1,FALSE)=E112)),NOT(ISERROR(VLOOKUP(E112,'HIDDEN calc sheet'!A:C,1,FALSE)=E112)))),MD!$A$3,MD!$A$2)))</f>
        <v>Mandatory for optional feature</v>
      </c>
      <c r="E112" t="str">
        <f>IF('HIDDEN import'!F111=0,"",'HIDDEN import'!F111)</f>
        <v>C-10.2 and (C-70 or C-71 or C-72 or C-75)</v>
      </c>
      <c r="F112" t="str">
        <f>IF('HIDDEN import'!G111=0,"",'HIDDEN import'!G111)</f>
        <v>Supported Transaction Stop Points &amp; Local Authorization - using RFID ISO14443 / RFID ISO15693 / KeyCode / NoAuthorization</v>
      </c>
      <c r="G112" s="19" t="str">
        <f>IFERROR(VLOOKUP($A112,'HIDDEN Testrun Results'!$A:$B,2,FALSE),"")</f>
        <v/>
      </c>
      <c r="H112" s="3" t="b">
        <f t="shared" si="1"/>
        <v>0</v>
      </c>
      <c r="I112" s="3" t="b">
        <f>IF(VLOOKUP(A112&amp;" "&amp;B112,'HIDDEN import'!A:G,5,FALSE)="M",TRUE,IFERROR(VLOOKUP(E112,'Optional features'!B:D,3,FALSE)="Yes",IFERROR(VLOOKUP(E112,'HIDDEN calc sheet'!A:B,2,FALSE),IFERROR(VLOOKUP(E112,'Additional questions'!B:D,3,FALSE)="Yes",VLOOKUP(E112,'Hardware Feature set'!B:D,3,FALSE)="No"))))</f>
        <v>0</v>
      </c>
      <c r="J112" s="3" t="b">
        <f>IF(VLOOKUP(B112,'Profile selection'!B:C,2,FALSE)="Yes",TRUE,FALSE)</f>
        <v>1</v>
      </c>
      <c r="K112"/>
      <c r="L112"/>
    </row>
    <row r="113" spans="1:12" ht="17.100000000000001" customHeight="1" x14ac:dyDescent="0.25">
      <c r="A113" t="str">
        <f>'HIDDEN import'!B112</f>
        <v>TC_E_21_CS</v>
      </c>
      <c r="B113" t="str">
        <f>'HIDDEN import'!C112</f>
        <v>Core</v>
      </c>
      <c r="C113" t="str">
        <f>'HIDDEN import'!D112</f>
        <v>Stop transaction options - StopAuthorized - Remote</v>
      </c>
      <c r="D113" t="str">
        <f>IF(VLOOKUP(A113&amp;" "&amp;B113,'HIDDEN import'!A:G,5,FALSE)="M",MD!$A$1,(IF(AND(VLOOKUP(A113,'HIDDEN import'!B:E,4,FALSE)="C",OR(NOT(ISERROR(VLOOKUP(E113,'Optional features'!B:D,1,FALSE)=E113)),NOT(ISERROR(VLOOKUP(E113,'HIDDEN calc sheet'!A:C,1,FALSE)=E113)))),MD!$A$3,MD!$A$2)))</f>
        <v>Mandatory for optional feature</v>
      </c>
      <c r="E113" t="str">
        <f>IF('HIDDEN import'!F112=0,"",'HIDDEN import'!F112)</f>
        <v>C-10.2</v>
      </c>
      <c r="F113" t="str">
        <f>IF('HIDDEN import'!G112=0,"",'HIDDEN import'!G112)</f>
        <v>Supported Transaction Stop points</v>
      </c>
      <c r="G113" s="19" t="str">
        <f>IFERROR(VLOOKUP($A113,'HIDDEN Testrun Results'!$A:$B,2,FALSE),"")</f>
        <v/>
      </c>
      <c r="H113" s="3" t="b">
        <f t="shared" si="1"/>
        <v>1</v>
      </c>
      <c r="I113" s="3" t="b">
        <f>IF(VLOOKUP(A113&amp;" "&amp;B113,'HIDDEN import'!A:G,5,FALSE)="M",TRUE,IFERROR(VLOOKUP(E113,'Optional features'!B:D,3,FALSE)="Yes",IFERROR(VLOOKUP(E113,'HIDDEN calc sheet'!A:B,2,FALSE),IFERROR(VLOOKUP(E113,'Additional questions'!B:D,3,FALSE)="Yes",VLOOKUP(E113,'Hardware Feature set'!B:D,3,FALSE)="No"))))</f>
        <v>1</v>
      </c>
      <c r="J113" s="3" t="b">
        <f>IF(VLOOKUP(B113,'Profile selection'!B:C,2,FALSE)="Yes",TRUE,FALSE)</f>
        <v>1</v>
      </c>
      <c r="K113"/>
      <c r="L113"/>
    </row>
    <row r="114" spans="1:12" ht="17.100000000000001" customHeight="1" x14ac:dyDescent="0.25">
      <c r="A114" t="str">
        <f>'HIDDEN import'!B113</f>
        <v>TC_E_16_CS</v>
      </c>
      <c r="B114" t="str">
        <f>'HIDDEN import'!C113</f>
        <v>Core</v>
      </c>
      <c r="C114" t="str">
        <f>'HIDDEN import'!D113</f>
        <v>Stop transaction options - Deauthorized - Invalid idToken</v>
      </c>
      <c r="D114" t="str">
        <f>IF(VLOOKUP(A114&amp;" "&amp;B114,'HIDDEN import'!A:G,5,FALSE)="M",MD!$A$1,(IF(AND(VLOOKUP(A114,'HIDDEN import'!B:E,4,FALSE)="C",OR(NOT(ISERROR(VLOOKUP(E114,'Optional features'!B:D,1,FALSE)=E114)),NOT(ISERROR(VLOOKUP(E114,'HIDDEN calc sheet'!A:C,1,FALSE)=E114)))),MD!$A$3,MD!$A$2)))</f>
        <v>Mandatory for optional feature</v>
      </c>
      <c r="E114" t="str">
        <f>IF('HIDDEN import'!F113=0,"",'HIDDEN import'!F113)</f>
        <v>(C-10.2 or C-10.3) and C-01 and NOT C-35</v>
      </c>
      <c r="F114" t="str">
        <f>IF('HIDDEN import'!G113=0,"",'HIDDEN import'!G113)</f>
        <v>Supported Transaction Stop Points &amp; Local Authorization options for local start</v>
      </c>
      <c r="G114" s="19" t="str">
        <f>IFERROR(VLOOKUP($A114,'HIDDEN Testrun Results'!$A:$B,2,FALSE),"")</f>
        <v/>
      </c>
      <c r="H114" s="3" t="b">
        <f t="shared" si="1"/>
        <v>0</v>
      </c>
      <c r="I114" s="3" t="b">
        <f>IF(VLOOKUP(A114&amp;" "&amp;B114,'HIDDEN import'!A:G,5,FALSE)="M",TRUE,IFERROR(VLOOKUP(E114,'Optional features'!B:D,3,FALSE)="Yes",IFERROR(VLOOKUP(E114,'HIDDEN calc sheet'!A:B,2,FALSE),IFERROR(VLOOKUP(E114,'Additional questions'!B:D,3,FALSE)="Yes",VLOOKUP(E114,'Hardware Feature set'!B:D,3,FALSE)="No"))))</f>
        <v>0</v>
      </c>
      <c r="J114" s="3" t="b">
        <f>IF(VLOOKUP(B114,'Profile selection'!B:C,2,FALSE)="Yes",TRUE,FALSE)</f>
        <v>1</v>
      </c>
      <c r="K114"/>
      <c r="L114"/>
    </row>
    <row r="115" spans="1:12" ht="17.100000000000001" customHeight="1" x14ac:dyDescent="0.25">
      <c r="A115" t="str">
        <f>'HIDDEN import'!B114</f>
        <v>TC_E_17_CS</v>
      </c>
      <c r="B115" t="str">
        <f>'HIDDEN import'!C114</f>
        <v>Core</v>
      </c>
      <c r="C115" t="str">
        <f>'HIDDEN import'!D114</f>
        <v>Stop transaction options - Deauthorized - EV side disconnect</v>
      </c>
      <c r="D115" t="str">
        <f>IF(VLOOKUP(A115&amp;" "&amp;B115,'HIDDEN import'!A:G,5,FALSE)="M",MD!$A$1,(IF(AND(VLOOKUP(A115,'HIDDEN import'!B:E,4,FALSE)="C",OR(NOT(ISERROR(VLOOKUP(E115,'Optional features'!B:D,1,FALSE)=E115)),NOT(ISERROR(VLOOKUP(E115,'HIDDEN calc sheet'!A:C,1,FALSE)=E115)))),MD!$A$3,MD!$A$2)))</f>
        <v>Mandatory for optional feature</v>
      </c>
      <c r="E115" t="str">
        <f>IF('HIDDEN import'!F114=0,"",'HIDDEN import'!F114)</f>
        <v>C-10.2 and C-06.2 and AQ-9 and NOT (NOT C-52 AND (C-10.1 OR C-10.3 OR C-10.4))</v>
      </c>
      <c r="F115" t="str">
        <f>IF('HIDDEN import'!G114=0,"",'HIDDEN import'!G114)</f>
        <v>Supported Transaction Stop points</v>
      </c>
      <c r="G115" s="19" t="str">
        <f>IFERROR(VLOOKUP($A115,'HIDDEN Testrun Results'!$A:$B,2,FALSE),"")</f>
        <v/>
      </c>
      <c r="H115" s="3" t="b">
        <f t="shared" si="1"/>
        <v>0</v>
      </c>
      <c r="I115" s="3" t="b">
        <f>IF(VLOOKUP(A115&amp;" "&amp;B115,'HIDDEN import'!A:G,5,FALSE)="M",TRUE,IFERROR(VLOOKUP(E115,'Optional features'!B:D,3,FALSE)="Yes",IFERROR(VLOOKUP(E115,'HIDDEN calc sheet'!A:B,2,FALSE),IFERROR(VLOOKUP(E115,'Additional questions'!B:D,3,FALSE)="Yes",VLOOKUP(E115,'Hardware Feature set'!B:D,3,FALSE)="No"))))</f>
        <v>0</v>
      </c>
      <c r="J115" s="3" t="b">
        <f>IF(VLOOKUP(B115,'Profile selection'!B:C,2,FALSE)="Yes",TRUE,FALSE)</f>
        <v>1</v>
      </c>
      <c r="K115"/>
      <c r="L115"/>
    </row>
    <row r="116" spans="1:12" ht="17.100000000000001" customHeight="1" x14ac:dyDescent="0.25">
      <c r="A116" t="str">
        <f>'HIDDEN import'!B115</f>
        <v>TC_E_39_CS</v>
      </c>
      <c r="B116" t="str">
        <f>'HIDDEN import'!C115</f>
        <v>Core</v>
      </c>
      <c r="C116" t="str">
        <f>'HIDDEN import'!D115</f>
        <v>Stop transaction options - Deauthorized - timeout</v>
      </c>
      <c r="D116" t="str">
        <f>IF(VLOOKUP(A116&amp;" "&amp;B116,'HIDDEN import'!A:G,5,FALSE)="M",MD!$A$1,(IF(AND(VLOOKUP(A116,'HIDDEN import'!B:E,4,FALSE)="C",OR(NOT(ISERROR(VLOOKUP(E116,'Optional features'!B:D,1,FALSE)=E116)),NOT(ISERROR(VLOOKUP(E116,'HIDDEN calc sheet'!A:C,1,FALSE)=E116)))),MD!$A$3,MD!$A$2)))</f>
        <v>Mandatory for optional feature</v>
      </c>
      <c r="E116" t="str">
        <f>IF('HIDDEN import'!F115=0,"",'HIDDEN import'!F115)</f>
        <v>C-10.2 AND NOT HFS-13</v>
      </c>
      <c r="F116" t="str">
        <f>IF('HIDDEN import'!G115=0,"",'HIDDEN import'!G115)</f>
        <v/>
      </c>
      <c r="G116" s="19" t="str">
        <f>IFERROR(VLOOKUP($A116,'HIDDEN Testrun Results'!$A:$B,2,FALSE),"")</f>
        <v/>
      </c>
      <c r="H116" s="3" t="b">
        <f t="shared" si="1"/>
        <v>1</v>
      </c>
      <c r="I116" s="3" t="b">
        <f>IF(VLOOKUP(A116&amp;" "&amp;B116,'HIDDEN import'!A:G,5,FALSE)="M",TRUE,IFERROR(VLOOKUP(E116,'Optional features'!B:D,3,FALSE)="Yes",IFERROR(VLOOKUP(E116,'HIDDEN calc sheet'!A:B,2,FALSE),IFERROR(VLOOKUP(E116,'Additional questions'!B:D,3,FALSE)="Yes",VLOOKUP(E116,'Hardware Feature set'!B:D,3,FALSE)="No"))))</f>
        <v>1</v>
      </c>
      <c r="J116" s="3" t="b">
        <f>IF(VLOOKUP(B116,'Profile selection'!B:C,2,FALSE)="Yes",TRUE,FALSE)</f>
        <v>1</v>
      </c>
      <c r="K116"/>
      <c r="L116"/>
    </row>
    <row r="117" spans="1:12" ht="17.100000000000001" customHeight="1" x14ac:dyDescent="0.25">
      <c r="A117" t="str">
        <f>'HIDDEN import'!B116</f>
        <v>TC_E_07_CS</v>
      </c>
      <c r="B117" t="str">
        <f>'HIDDEN import'!C116</f>
        <v>Core</v>
      </c>
      <c r="C117" t="str">
        <f>'HIDDEN import'!D116</f>
        <v>Stop transaction options - PowerPathClosed - Local stop</v>
      </c>
      <c r="D117" t="str">
        <f>IF(VLOOKUP(A117&amp;" "&amp;B117,'HIDDEN import'!A:G,5,FALSE)="M",MD!$A$1,(IF(AND(VLOOKUP(A117,'HIDDEN import'!B:E,4,FALSE)="C",OR(NOT(ISERROR(VLOOKUP(E117,'Optional features'!B:D,1,FALSE)=E117)),NOT(ISERROR(VLOOKUP(E117,'HIDDEN calc sheet'!A:C,1,FALSE)=E117)))),MD!$A$3,MD!$A$2)))</f>
        <v>Mandatory for optional feature</v>
      </c>
      <c r="E117" t="str">
        <f>IF('HIDDEN import'!F116=0,"",'HIDDEN import'!F116)</f>
        <v>C-10.3 and (C-52 or NOT C-10.2) and (C-70 or C-71 or C-72 or C-75)</v>
      </c>
      <c r="F117" t="str">
        <f>IF('HIDDEN import'!G116=0,"",'HIDDEN import'!G116)</f>
        <v>Supported Transaction Stop Points &amp; Local Authorization - using RFID ISO14443 / RFID ISO15693 / KeyCode / NoAuthorization</v>
      </c>
      <c r="G117" s="19" t="str">
        <f>IFERROR(VLOOKUP($A117,'HIDDEN Testrun Results'!$A:$B,2,FALSE),"")</f>
        <v/>
      </c>
      <c r="H117" s="3" t="b">
        <f t="shared" si="1"/>
        <v>0</v>
      </c>
      <c r="I117" s="3" t="b">
        <f>IF(VLOOKUP(A117&amp;" "&amp;B117,'HIDDEN import'!A:G,5,FALSE)="M",TRUE,IFERROR(VLOOKUP(E117,'Optional features'!B:D,3,FALSE)="Yes",IFERROR(VLOOKUP(E117,'HIDDEN calc sheet'!A:B,2,FALSE),IFERROR(VLOOKUP(E117,'Additional questions'!B:D,3,FALSE)="Yes",VLOOKUP(E117,'Hardware Feature set'!B:D,3,FALSE)="No"))))</f>
        <v>0</v>
      </c>
      <c r="J117" s="3" t="b">
        <f>IF(VLOOKUP(B117,'Profile selection'!B:C,2,FALSE)="Yes",TRUE,FALSE)</f>
        <v>1</v>
      </c>
      <c r="K117"/>
      <c r="L117"/>
    </row>
    <row r="118" spans="1:12" ht="17.100000000000001" customHeight="1" x14ac:dyDescent="0.25">
      <c r="A118" t="str">
        <f>'HIDDEN import'!B117</f>
        <v>TC_E_35_CS</v>
      </c>
      <c r="B118" t="str">
        <f>'HIDDEN import'!C117</f>
        <v>Core</v>
      </c>
      <c r="C118" t="str">
        <f>'HIDDEN import'!D117</f>
        <v>Stop transaction options - PowerPathClosed - Remote stop</v>
      </c>
      <c r="D118" t="str">
        <f>IF(VLOOKUP(A118&amp;" "&amp;B118,'HIDDEN import'!A:G,5,FALSE)="M",MD!$A$1,(IF(AND(VLOOKUP(A118,'HIDDEN import'!B:E,4,FALSE)="C",OR(NOT(ISERROR(VLOOKUP(E118,'Optional features'!B:D,1,FALSE)=E118)),NOT(ISERROR(VLOOKUP(E118,'HIDDEN calc sheet'!A:C,1,FALSE)=E118)))),MD!$A$3,MD!$A$2)))</f>
        <v>Mandatory for optional feature</v>
      </c>
      <c r="E118" t="str">
        <f>IF('HIDDEN import'!F117=0,"",'HIDDEN import'!F117)</f>
        <v>C-10.3 and (C-52 or NOT C-10.2)</v>
      </c>
      <c r="F118" t="str">
        <f>IF('HIDDEN import'!G117=0,"",'HIDDEN import'!G117)</f>
        <v>Supported Transaction Stop points</v>
      </c>
      <c r="G118" s="19" t="str">
        <f>IFERROR(VLOOKUP($A118,'HIDDEN Testrun Results'!$A:$B,2,FALSE),"")</f>
        <v/>
      </c>
      <c r="H118" s="3" t="b">
        <f t="shared" si="1"/>
        <v>0</v>
      </c>
      <c r="I118" s="3" t="b">
        <f>IF(VLOOKUP(A118&amp;" "&amp;B118,'HIDDEN import'!A:G,5,FALSE)="M",TRUE,IFERROR(VLOOKUP(E118,'Optional features'!B:D,3,FALSE)="Yes",IFERROR(VLOOKUP(E118,'HIDDEN calc sheet'!A:B,2,FALSE),IFERROR(VLOOKUP(E118,'Additional questions'!B:D,3,FALSE)="Yes",VLOOKUP(E118,'Hardware Feature set'!B:D,3,FALSE)="No"))))</f>
        <v>0</v>
      </c>
      <c r="J118" s="3" t="b">
        <f>IF(VLOOKUP(B118,'Profile selection'!B:C,2,FALSE)="Yes",TRUE,FALSE)</f>
        <v>1</v>
      </c>
      <c r="K118"/>
      <c r="L118"/>
    </row>
    <row r="119" spans="1:12" ht="17.100000000000001" customHeight="1" x14ac:dyDescent="0.25">
      <c r="A119" t="str">
        <f>'HIDDEN import'!B118</f>
        <v>TC_E_37_CS</v>
      </c>
      <c r="B119" t="str">
        <f>'HIDDEN import'!C118</f>
        <v>Core</v>
      </c>
      <c r="C119" t="str">
        <f>'HIDDEN import'!D118</f>
        <v>Stop transaction options - PowerPathClosed - EV side disconnect</v>
      </c>
      <c r="D119" t="str">
        <f>IF(VLOOKUP(A119&amp;" "&amp;B119,'HIDDEN import'!A:G,5,FALSE)="M",MD!$A$1,(IF(AND(VLOOKUP(A119,'HIDDEN import'!B:E,4,FALSE)="C",OR(NOT(ISERROR(VLOOKUP(E119,'Optional features'!B:D,1,FALSE)=E119)),NOT(ISERROR(VLOOKUP(E119,'HIDDEN calc sheet'!A:C,1,FALSE)=E119)))),MD!$A$3,MD!$A$2)))</f>
        <v>Mandatory for optional feature</v>
      </c>
      <c r="E119" t="str">
        <f>IF('HIDDEN import'!F118=0,"",'HIDDEN import'!F118)</f>
        <v>C-10.3 and (C-52 or NOT (C-10.1 or C-10.4)) AND (AQ-9 OR Product Subtype "Mode 1/2-only Charging Station" OR Product Subtype "Wireless Charging Station")</v>
      </c>
      <c r="F119" t="str">
        <f>IF('HIDDEN import'!G118=0,"",'HIDDEN import'!G118)</f>
        <v>Supported Transaction Stop points</v>
      </c>
      <c r="G119" s="19" t="str">
        <f>IFERROR(VLOOKUP($A119,'HIDDEN Testrun Results'!$A:$B,2,FALSE),"")</f>
        <v/>
      </c>
      <c r="H119" s="3" t="b">
        <f t="shared" si="1"/>
        <v>0</v>
      </c>
      <c r="I119" s="3" t="b">
        <f>IF(VLOOKUP(A119&amp;" "&amp;B119,'HIDDEN import'!A:G,5,FALSE)="M",TRUE,IFERROR(VLOOKUP(E119,'Optional features'!B:D,3,FALSE)="Yes",IFERROR(VLOOKUP(E119,'HIDDEN calc sheet'!A:B,2,FALSE),IFERROR(VLOOKUP(E119,'Additional questions'!B:D,3,FALSE)="Yes",VLOOKUP(E119,'Hardware Feature set'!B:D,3,FALSE)="No"))))</f>
        <v>0</v>
      </c>
      <c r="J119" s="3" t="b">
        <f>IF(VLOOKUP(B119,'Profile selection'!B:C,2,FALSE)="Yes",TRUE,FALSE)</f>
        <v>1</v>
      </c>
      <c r="K119"/>
      <c r="L119"/>
    </row>
    <row r="120" spans="1:12" ht="17.100000000000001" customHeight="1" x14ac:dyDescent="0.25">
      <c r="A120" t="str">
        <f>'HIDDEN import'!B119</f>
        <v>TC_E_08_CS</v>
      </c>
      <c r="B120" t="str">
        <f>'HIDDEN import'!C119</f>
        <v>Core</v>
      </c>
      <c r="C120" t="str">
        <f>'HIDDEN import'!D119</f>
        <v>Stop transaction options - EnergyTransfer stopped - StopAuthorized</v>
      </c>
      <c r="D120" t="str">
        <f>IF(VLOOKUP(A120&amp;" "&amp;B120,'HIDDEN import'!A:G,5,FALSE)="M",MD!$A$1,(IF(AND(VLOOKUP(A120,'HIDDEN import'!B:E,4,FALSE)="C",OR(NOT(ISERROR(VLOOKUP(E120,'Optional features'!B:D,1,FALSE)=E120)),NOT(ISERROR(VLOOKUP(E120,'HIDDEN calc sheet'!A:C,1,FALSE)=E120)))),MD!$A$3,MD!$A$2)))</f>
        <v>Mandatory for optional feature</v>
      </c>
      <c r="E120" t="str">
        <f>IF('HIDDEN import'!F119=0,"",'HIDDEN import'!F119)</f>
        <v>C-10.4 and (C-52 or NOT (C-10.2 or C-10.3))</v>
      </c>
      <c r="F120" t="str">
        <f>IF('HIDDEN import'!G119=0,"",'HIDDEN import'!G119)</f>
        <v>Supported Transaction Stop points</v>
      </c>
      <c r="G120" s="19" t="str">
        <f>IFERROR(VLOOKUP($A120,'HIDDEN Testrun Results'!$A:$B,2,FALSE),"")</f>
        <v/>
      </c>
      <c r="H120" s="3" t="b">
        <f t="shared" si="1"/>
        <v>0</v>
      </c>
      <c r="I120" s="3" t="b">
        <f>IF(VLOOKUP(A120&amp;" "&amp;B120,'HIDDEN import'!A:G,5,FALSE)="M",TRUE,IFERROR(VLOOKUP(E120,'Optional features'!B:D,3,FALSE)="Yes",IFERROR(VLOOKUP(E120,'HIDDEN calc sheet'!A:B,2,FALSE),IFERROR(VLOOKUP(E120,'Additional questions'!B:D,3,FALSE)="Yes",VLOOKUP(E120,'Hardware Feature set'!B:D,3,FALSE)="No"))))</f>
        <v>0</v>
      </c>
      <c r="J120" s="3" t="b">
        <f>IF(VLOOKUP(B120,'Profile selection'!B:C,2,FALSE)="Yes",TRUE,FALSE)</f>
        <v>1</v>
      </c>
      <c r="K120"/>
      <c r="L120"/>
    </row>
    <row r="121" spans="1:12" ht="17.100000000000001" customHeight="1" x14ac:dyDescent="0.25">
      <c r="A121" t="str">
        <f>'HIDDEN import'!B120</f>
        <v>TC_E_22_CS</v>
      </c>
      <c r="B121" t="str">
        <f>'HIDDEN import'!C120</f>
        <v>Core</v>
      </c>
      <c r="C121" t="str">
        <f>'HIDDEN import'!D120</f>
        <v>Stop transaction options - EnergyTransfer stopped - SuspendedEV</v>
      </c>
      <c r="D121" t="str">
        <f>IF(VLOOKUP(A121&amp;" "&amp;B121,'HIDDEN import'!A:G,5,FALSE)="M",MD!$A$1,(IF(AND(VLOOKUP(A121,'HIDDEN import'!B:E,4,FALSE)="C",OR(NOT(ISERROR(VLOOKUP(E121,'Optional features'!B:D,1,FALSE)=E121)),NOT(ISERROR(VLOOKUP(E121,'HIDDEN calc sheet'!A:C,1,FALSE)=E121)))),MD!$A$3,MD!$A$2)))</f>
        <v>Mandatory for optional feature</v>
      </c>
      <c r="E121" t="str">
        <f>IF('HIDDEN import'!F120=0,"",'HIDDEN import'!F120)</f>
        <v>C-10.4</v>
      </c>
      <c r="F121" t="str">
        <f>IF('HIDDEN import'!G120=0,"",'HIDDEN import'!G120)</f>
        <v>Supported Transaction Stop points</v>
      </c>
      <c r="G121" s="19" t="str">
        <f>IFERROR(VLOOKUP($A121,'HIDDEN Testrun Results'!$A:$B,2,FALSE),"")</f>
        <v/>
      </c>
      <c r="H121" s="3" t="b">
        <f t="shared" si="1"/>
        <v>0</v>
      </c>
      <c r="I121" s="3" t="b">
        <f>IF(VLOOKUP(A121&amp;" "&amp;B121,'HIDDEN import'!A:G,5,FALSE)="M",TRUE,IFERROR(VLOOKUP(E121,'Optional features'!B:D,3,FALSE)="Yes",IFERROR(VLOOKUP(E121,'HIDDEN calc sheet'!A:B,2,FALSE),IFERROR(VLOOKUP(E121,'Additional questions'!B:D,3,FALSE)="Yes",VLOOKUP(E121,'Hardware Feature set'!B:D,3,FALSE)="No"))))</f>
        <v>0</v>
      </c>
      <c r="J121" s="3" t="b">
        <f>IF(VLOOKUP(B121,'Profile selection'!B:C,2,FALSE)="Yes",TRUE,FALSE)</f>
        <v>1</v>
      </c>
      <c r="K121"/>
      <c r="L121"/>
    </row>
    <row r="122" spans="1:12" ht="17.100000000000001" customHeight="1" x14ac:dyDescent="0.25">
      <c r="A122" t="str">
        <f>'HIDDEN import'!B121</f>
        <v>TC_E_19_CS</v>
      </c>
      <c r="B122" t="str">
        <f>'HIDDEN import'!C121</f>
        <v>Core</v>
      </c>
      <c r="C122" t="str">
        <f>'HIDDEN import'!D121</f>
        <v>Stop transaction options - ParkingBayUnoccupied</v>
      </c>
      <c r="D122" t="str">
        <f>IF(VLOOKUP(A122&amp;" "&amp;B122,'HIDDEN import'!A:G,5,FALSE)="M",MD!$A$1,(IF(AND(VLOOKUP(A122,'HIDDEN import'!B:E,4,FALSE)="C",OR(NOT(ISERROR(VLOOKUP(E122,'Optional features'!B:D,1,FALSE)=E122)),NOT(ISERROR(VLOOKUP(E122,'HIDDEN calc sheet'!A:C,1,FALSE)=E122)))),MD!$A$3,MD!$A$2)))</f>
        <v>Mandatory for optional feature</v>
      </c>
      <c r="E122" t="str">
        <f>IF('HIDDEN import'!F121=0,"",'HIDDEN import'!F121)</f>
        <v>C-10.5 and (C-52 or NOT (C-10.1 or C-10.2 or C-10.3 or C-10.4))</v>
      </c>
      <c r="F122" t="str">
        <f>IF('HIDDEN import'!G121=0,"",'HIDDEN import'!G121)</f>
        <v>Supported Transaction Stop points</v>
      </c>
      <c r="G122" s="19" t="str">
        <f>IFERROR(VLOOKUP($A122,'HIDDEN Testrun Results'!$A:$B,2,FALSE),"")</f>
        <v/>
      </c>
      <c r="H122" s="3" t="b">
        <f t="shared" si="1"/>
        <v>0</v>
      </c>
      <c r="I122" s="3" t="b">
        <f>IF(VLOOKUP(A122&amp;" "&amp;B122,'HIDDEN import'!A:G,5,FALSE)="M",TRUE,IFERROR(VLOOKUP(E122,'Optional features'!B:D,3,FALSE)="Yes",IFERROR(VLOOKUP(E122,'HIDDEN calc sheet'!A:B,2,FALSE),IFERROR(VLOOKUP(E122,'Additional questions'!B:D,3,FALSE)="Yes",VLOOKUP(E122,'Hardware Feature set'!B:D,3,FALSE)="No"))))</f>
        <v>0</v>
      </c>
      <c r="J122" s="3" t="b">
        <f>IF(VLOOKUP(B122,'Profile selection'!B:C,2,FALSE)="Yes",TRUE,FALSE)</f>
        <v>1</v>
      </c>
      <c r="K122"/>
      <c r="L122"/>
    </row>
    <row r="123" spans="1:12" ht="17.100000000000001" customHeight="1" x14ac:dyDescent="0.25">
      <c r="A123" t="str">
        <f>'HIDDEN import'!B122</f>
        <v>TC_E_24_CS</v>
      </c>
      <c r="B123" t="str">
        <f>'HIDDEN import'!C122</f>
        <v>Core</v>
      </c>
      <c r="C123" t="str">
        <f>'HIDDEN import'!D122</f>
        <v>Disconnect cable on EV-side - Deauthorize transaction - UnlockOnEVSideDisconnect is true</v>
      </c>
      <c r="D123" t="str">
        <f>IF(VLOOKUP(A123&amp;" "&amp;B123,'HIDDEN import'!A:G,5,FALSE)="M",MD!$A$1,(IF(AND(VLOOKUP(A123,'HIDDEN import'!B:E,4,FALSE)="C",OR(NOT(ISERROR(VLOOKUP(E123,'Optional features'!B:D,1,FALSE)=E123)),NOT(ISERROR(VLOOKUP(E123,'HIDDEN calc sheet'!A:C,1,FALSE)=E123)))),MD!$A$3,MD!$A$2)))</f>
        <v>Mandatory for optional feature</v>
      </c>
      <c r="E123" t="str">
        <f>IF('HIDDEN import'!F122=0,"",'HIDDEN import'!F122)</f>
        <v>HFS-1 and C-06.2 and C-12.1 and AQ-18 and NOT (HFS-4 or (ISO 15118 support and NOT AQ-9 ))</v>
      </c>
      <c r="F123" t="str">
        <f>IF('HIDDEN import'!G122=0,"",'HIDDEN import'!G122)</f>
        <v>Support for not maintaining authorization when cable disconnected on EV side &amp; Support for unlocking connector when cable disconnected on EV side</v>
      </c>
      <c r="G123" s="19" t="str">
        <f>IFERROR(VLOOKUP($A123,'HIDDEN Testrun Results'!$A:$B,2,FALSE),"")</f>
        <v/>
      </c>
      <c r="H123" s="3" t="b">
        <f t="shared" si="1"/>
        <v>0</v>
      </c>
      <c r="I123" s="3" t="b">
        <f>IF(VLOOKUP(A123&amp;" "&amp;B123,'HIDDEN import'!A:G,5,FALSE)="M",TRUE,IFERROR(VLOOKUP(E123,'Optional features'!B:D,3,FALSE)="Yes",IFERROR(VLOOKUP(E123,'HIDDEN calc sheet'!A:B,2,FALSE),IFERROR(VLOOKUP(E123,'Additional questions'!B:D,3,FALSE)="Yes",VLOOKUP(E123,'Hardware Feature set'!B:D,3,FALSE)="No"))))</f>
        <v>0</v>
      </c>
      <c r="J123" s="3" t="b">
        <f>IF(VLOOKUP(B123,'Profile selection'!B:C,2,FALSE)="Yes",TRUE,FALSE)</f>
        <v>1</v>
      </c>
      <c r="K123"/>
      <c r="L123"/>
    </row>
    <row r="124" spans="1:12" ht="17.100000000000001" customHeight="1" x14ac:dyDescent="0.25">
      <c r="A124" t="str">
        <f>'HIDDEN import'!B123</f>
        <v>TC_E_25_CS</v>
      </c>
      <c r="B124" t="str">
        <f>'HIDDEN import'!C123</f>
        <v>Core</v>
      </c>
      <c r="C124" t="str">
        <f>'HIDDEN import'!D123</f>
        <v>Disconnect cable on EV-side - Deauthorize transaction - UnlockOnEVSideDisconnect is false</v>
      </c>
      <c r="D124" t="str">
        <f>IF(VLOOKUP(A124&amp;" "&amp;B124,'HIDDEN import'!A:G,5,FALSE)="M",MD!$A$1,(IF(AND(VLOOKUP(A124,'HIDDEN import'!B:E,4,FALSE)="C",OR(NOT(ISERROR(VLOOKUP(E124,'Optional features'!B:D,1,FALSE)=E124)),NOT(ISERROR(VLOOKUP(E124,'HIDDEN calc sheet'!A:C,1,FALSE)=E124)))),MD!$A$3,MD!$A$2)))</f>
        <v>Mandatory for optional feature</v>
      </c>
      <c r="E124" t="str">
        <f>IF('HIDDEN import'!F123=0,"",'HIDDEN import'!F123)</f>
        <v>C-06.2 and C-12.2 and AQ-18 and NOT (HFS-4 or (ISO 15118 support and NOT AQ-9 ))</v>
      </c>
      <c r="F124" t="str">
        <f>IF('HIDDEN import'!G123=0,"",'HIDDEN import'!G123)</f>
        <v>Support for not maintaining authorization when cable disconnected on EV side &amp; Support for not unlocking connector when cable disconnected on EV side</v>
      </c>
      <c r="G124" s="19" t="str">
        <f>IFERROR(VLOOKUP($A124,'HIDDEN Testrun Results'!$A:$B,2,FALSE),"")</f>
        <v/>
      </c>
      <c r="H124" s="3" t="b">
        <f t="shared" si="1"/>
        <v>0</v>
      </c>
      <c r="I124" s="3" t="b">
        <f>IF(VLOOKUP(A124&amp;" "&amp;B124,'HIDDEN import'!A:G,5,FALSE)="M",TRUE,IFERROR(VLOOKUP(E124,'Optional features'!B:D,3,FALSE)="Yes",IFERROR(VLOOKUP(E124,'HIDDEN calc sheet'!A:B,2,FALSE),IFERROR(VLOOKUP(E124,'Additional questions'!B:D,3,FALSE)="Yes",VLOOKUP(E124,'Hardware Feature set'!B:D,3,FALSE)="No"))))</f>
        <v>0</v>
      </c>
      <c r="J124" s="3" t="b">
        <f>IF(VLOOKUP(B124,'Profile selection'!B:C,2,FALSE)="Yes",TRUE,FALSE)</f>
        <v>1</v>
      </c>
      <c r="K124"/>
      <c r="L124"/>
    </row>
    <row r="125" spans="1:12" ht="17.100000000000001" customHeight="1" x14ac:dyDescent="0.25">
      <c r="A125" t="str">
        <f>'HIDDEN import'!B124</f>
        <v>TC_E_26_CS</v>
      </c>
      <c r="B125" t="str">
        <f>'HIDDEN import'!C124</f>
        <v>Core</v>
      </c>
      <c r="C125" t="str">
        <f>'HIDDEN import'!D124</f>
        <v>Disconnect cable on EV-side - Suspend transaction</v>
      </c>
      <c r="D125" t="str">
        <f>IF(VLOOKUP(A125&amp;" "&amp;B125,'HIDDEN import'!A:G,5,FALSE)="M",MD!$A$1,(IF(AND(VLOOKUP(A125,'HIDDEN import'!B:E,4,FALSE)="C",OR(NOT(ISERROR(VLOOKUP(E125,'Optional features'!B:D,1,FALSE)=E125)),NOT(ISERROR(VLOOKUP(E125,'HIDDEN calc sheet'!A:C,1,FALSE)=E125)))),MD!$A$3,MD!$A$2)))</f>
        <v>Mandatory for optional feature</v>
      </c>
      <c r="E125" t="str">
        <f>IF('HIDDEN import'!F124=0,"",'HIDDEN import'!F124)</f>
        <v>(C-10.2 or C-10.5) and (C-52 or NOT (C-10.1 or C-10.3 or C-10.4)) and C-06.1 and C-12.2 and NOT (HFS-4 or (ISO 15118 support and NOT AQ-9 )) and NOT Product Subtype "Mode 1/2-only Charging Station"</v>
      </c>
      <c r="F125" t="str">
        <f>IF('HIDDEN import'!G124=0,"",'HIDDEN import'!G124)</f>
        <v/>
      </c>
      <c r="G125" s="19" t="str">
        <f>IFERROR(VLOOKUP($A125,'HIDDEN Testrun Results'!$A:$B,2,FALSE),"")</f>
        <v/>
      </c>
      <c r="H125" s="3" t="b">
        <f t="shared" si="1"/>
        <v>0</v>
      </c>
      <c r="I125" s="3" t="b">
        <f>IF(VLOOKUP(A125&amp;" "&amp;B125,'HIDDEN import'!A:G,5,FALSE)="M",TRUE,IFERROR(VLOOKUP(E125,'Optional features'!B:D,3,FALSE)="Yes",IFERROR(VLOOKUP(E125,'HIDDEN calc sheet'!A:B,2,FALSE),IFERROR(VLOOKUP(E125,'Additional questions'!B:D,3,FALSE)="Yes",VLOOKUP(E125,'Hardware Feature set'!B:D,3,FALSE)="No"))))</f>
        <v>0</v>
      </c>
      <c r="J125" s="3" t="b">
        <f>IF(VLOOKUP(B125,'Profile selection'!B:C,2,FALSE)="Yes",TRUE,FALSE)</f>
        <v>1</v>
      </c>
      <c r="K125"/>
      <c r="L125"/>
    </row>
    <row r="126" spans="1:12" ht="17.100000000000001" customHeight="1" x14ac:dyDescent="0.25">
      <c r="A126" t="str">
        <f>'HIDDEN import'!B125</f>
        <v>TC_E_27_CS</v>
      </c>
      <c r="B126" t="str">
        <f>'HIDDEN import'!C125</f>
        <v>Core</v>
      </c>
      <c r="C126" t="str">
        <f>'HIDDEN import'!D125</f>
        <v>Disconnect cable on EV-side - Suspend transaction - Fixed cable connection timeout</v>
      </c>
      <c r="D126" t="str">
        <f>IF(VLOOKUP(A126&amp;" "&amp;B126,'HIDDEN import'!A:G,5,FALSE)="M",MD!$A$1,(IF(AND(VLOOKUP(A126,'HIDDEN import'!B:E,4,FALSE)="C",OR(NOT(ISERROR(VLOOKUP(E126,'Optional features'!B:D,1,FALSE)=E126)),NOT(ISERROR(VLOOKUP(E126,'HIDDEN calc sheet'!A:C,1,FALSE)=E126)))),MD!$A$3,MD!$A$2)))</f>
        <v>Mandatory for optional feature</v>
      </c>
      <c r="E126" t="str">
        <f>IF('HIDDEN import'!F125=0,"",'HIDDEN import'!F125)</f>
        <v>(C-10.2 or C-10.5) and (C-52 or NOT (C-10.1 or C-10.3 or C-10.4)) and C-06.1 and C-12.2 and HFS-2 and NOT (HFS-4 or (ISO 15118 support and NOT AQ-9 )) and NOT Product Subtype "Mode 1/2-only Charging Station"</v>
      </c>
      <c r="F126" t="str">
        <f>IF('HIDDEN import'!G125=0,"",'HIDDEN import'!G125)</f>
        <v/>
      </c>
      <c r="G126" s="19" t="str">
        <f>IFERROR(VLOOKUP($A126,'HIDDEN Testrun Results'!$A:$B,2,FALSE),"")</f>
        <v/>
      </c>
      <c r="H126" s="3" t="b">
        <f t="shared" si="1"/>
        <v>0</v>
      </c>
      <c r="I126" s="3" t="b">
        <f>IF(VLOOKUP(A126&amp;" "&amp;B126,'HIDDEN import'!A:G,5,FALSE)="M",TRUE,IFERROR(VLOOKUP(E126,'Optional features'!B:D,3,FALSE)="Yes",IFERROR(VLOOKUP(E126,'HIDDEN calc sheet'!A:B,2,FALSE),IFERROR(VLOOKUP(E126,'Additional questions'!B:D,3,FALSE)="Yes",VLOOKUP(E126,'Hardware Feature set'!B:D,3,FALSE)="No"))))</f>
        <v>0</v>
      </c>
      <c r="J126" s="3" t="b">
        <f>IF(VLOOKUP(B126,'Profile selection'!B:C,2,FALSE)="Yes",TRUE,FALSE)</f>
        <v>1</v>
      </c>
      <c r="K126"/>
      <c r="L126"/>
    </row>
    <row r="127" spans="1:12" ht="17.100000000000001" customHeight="1" x14ac:dyDescent="0.25">
      <c r="A127" t="str">
        <f>'HIDDEN import'!B126</f>
        <v>TC_E_100_CS</v>
      </c>
      <c r="B127" t="str">
        <f>'HIDDEN import'!C126</f>
        <v>Core</v>
      </c>
      <c r="C127" t="str">
        <f>'HIDDEN import'!D126</f>
        <v>Transactions with fixed cost, energy or time - CSMS specifies energy limit</v>
      </c>
      <c r="D127" t="str">
        <f>IF(VLOOKUP(A127&amp;" "&amp;B127,'HIDDEN import'!A:G,5,FALSE)="M",MD!$A$1,(IF(AND(VLOOKUP(A127,'HIDDEN import'!B:E,4,FALSE)="C",OR(NOT(ISERROR(VLOOKUP(E127,'Optional features'!B:D,1,FALSE)=E127)),NOT(ISERROR(VLOOKUP(E127,'HIDDEN calc sheet'!A:C,1,FALSE)=E127)))),MD!$A$3,MD!$A$2)))</f>
        <v>Mandatory for optional feature</v>
      </c>
      <c r="E127" t="str">
        <f>IF('HIDDEN import'!F126=0,"",'HIDDEN import'!F126)</f>
        <v>C-63</v>
      </c>
      <c r="F127" t="str">
        <f>IF('HIDDEN import'!G126=0,"",'HIDDEN import'!G126)</f>
        <v>Support for transaction limits</v>
      </c>
      <c r="G127" s="19" t="str">
        <f>IFERROR(VLOOKUP($A127,'HIDDEN Testrun Results'!$A:$B,2,FALSE),"")</f>
        <v/>
      </c>
      <c r="H127" s="3" t="b">
        <f t="shared" si="1"/>
        <v>0</v>
      </c>
      <c r="I127" s="3" t="b">
        <f>IF(VLOOKUP(A127&amp;" "&amp;B127,'HIDDEN import'!A:G,5,FALSE)="M",TRUE,IFERROR(VLOOKUP(E127,'Optional features'!B:D,3,FALSE)="Yes",IFERROR(VLOOKUP(E127,'HIDDEN calc sheet'!A:B,2,FALSE),IFERROR(VLOOKUP(E127,'Additional questions'!B:D,3,FALSE)="Yes",VLOOKUP(E127,'Hardware Feature set'!B:D,3,FALSE)="No"))))</f>
        <v>0</v>
      </c>
      <c r="J127" s="3" t="b">
        <f>IF(VLOOKUP(B127,'Profile selection'!B:C,2,FALSE)="Yes",TRUE,FALSE)</f>
        <v>1</v>
      </c>
      <c r="K127"/>
      <c r="L127"/>
    </row>
    <row r="128" spans="1:12" ht="17.100000000000001" customHeight="1" x14ac:dyDescent="0.25">
      <c r="A128" t="str">
        <f>'HIDDEN import'!B127</f>
        <v>TC_E_101_CS</v>
      </c>
      <c r="B128" t="str">
        <f>'HIDDEN import'!C127</f>
        <v>Core</v>
      </c>
      <c r="C128" t="str">
        <f>'HIDDEN import'!D127</f>
        <v>Transactions with fixed cost, energy or time - CSMS calculates costs (through CostUpdatedRequest) and CS specifies limit</v>
      </c>
      <c r="D128" t="str">
        <f>IF(VLOOKUP(A128&amp;" "&amp;B128,'HIDDEN import'!A:G,5,FALSE)="M",MD!$A$1,(IF(AND(VLOOKUP(A128,'HIDDEN import'!B:E,4,FALSE)="C",OR(NOT(ISERROR(VLOOKUP(E128,'Optional features'!B:D,1,FALSE)=E128)),NOT(ISERROR(VLOOKUP(E128,'HIDDEN calc sheet'!A:C,1,FALSE)=E128)))),MD!$A$3,MD!$A$2)))</f>
        <v>Mandatory for optional feature</v>
      </c>
      <c r="E128" t="str">
        <f>IF('HIDDEN import'!F127=0,"",'HIDDEN import'!F127)</f>
        <v>C-63</v>
      </c>
      <c r="F128" t="str">
        <f>IF('HIDDEN import'!G127=0,"",'HIDDEN import'!G127)</f>
        <v>Support for transaction limits</v>
      </c>
      <c r="G128" s="19" t="str">
        <f>IFERROR(VLOOKUP($A128,'HIDDEN Testrun Results'!$A:$B,2,FALSE),"")</f>
        <v/>
      </c>
      <c r="H128" s="3" t="b">
        <f t="shared" si="1"/>
        <v>0</v>
      </c>
      <c r="I128" s="3" t="b">
        <f>IF(VLOOKUP(A128&amp;" "&amp;B128,'HIDDEN import'!A:G,5,FALSE)="M",TRUE,IFERROR(VLOOKUP(E128,'Optional features'!B:D,3,FALSE)="Yes",IFERROR(VLOOKUP(E128,'HIDDEN calc sheet'!A:B,2,FALSE),IFERROR(VLOOKUP(E128,'Additional questions'!B:D,3,FALSE)="Yes",VLOOKUP(E128,'Hardware Feature set'!B:D,3,FALSE)="No"))))</f>
        <v>0</v>
      </c>
      <c r="J128" s="3" t="b">
        <f>IF(VLOOKUP(B128,'Profile selection'!B:C,2,FALSE)="Yes",TRUE,FALSE)</f>
        <v>1</v>
      </c>
      <c r="K128"/>
      <c r="L128"/>
    </row>
    <row r="129" spans="1:12" ht="17.100000000000001" customHeight="1" x14ac:dyDescent="0.25">
      <c r="A129" t="str">
        <f>'HIDDEN import'!B128</f>
        <v>TC_E_102_CS</v>
      </c>
      <c r="B129" t="str">
        <f>'HIDDEN import'!C128</f>
        <v>Core</v>
      </c>
      <c r="C129" t="str">
        <f>'HIDDEN import'!D128</f>
        <v>Transactions with fixed cost, energy or time - CSMS and CS both specify limits</v>
      </c>
      <c r="D129" t="str">
        <f>IF(VLOOKUP(A129&amp;" "&amp;B129,'HIDDEN import'!A:G,5,FALSE)="M",MD!$A$1,(IF(AND(VLOOKUP(A129,'HIDDEN import'!B:E,4,FALSE)="C",OR(NOT(ISERROR(VLOOKUP(E129,'Optional features'!B:D,1,FALSE)=E129)),NOT(ISERROR(VLOOKUP(E129,'HIDDEN calc sheet'!A:C,1,FALSE)=E129)))),MD!$A$3,MD!$A$2)))</f>
        <v>Mandatory for optional feature</v>
      </c>
      <c r="E129" t="str">
        <f>IF('HIDDEN import'!F128=0,"",'HIDDEN import'!F128)</f>
        <v>C-63</v>
      </c>
      <c r="F129" t="str">
        <f>IF('HIDDEN import'!G128=0,"",'HIDDEN import'!G128)</f>
        <v>Support for transaction limits</v>
      </c>
      <c r="G129" s="19" t="str">
        <f>IFERROR(VLOOKUP($A129,'HIDDEN Testrun Results'!$A:$B,2,FALSE),"")</f>
        <v/>
      </c>
      <c r="H129" s="3" t="b">
        <f t="shared" si="1"/>
        <v>0</v>
      </c>
      <c r="I129" s="3" t="b">
        <f>IF(VLOOKUP(A129&amp;" "&amp;B129,'HIDDEN import'!A:G,5,FALSE)="M",TRUE,IFERROR(VLOOKUP(E129,'Optional features'!B:D,3,FALSE)="Yes",IFERROR(VLOOKUP(E129,'HIDDEN calc sheet'!A:B,2,FALSE),IFERROR(VLOOKUP(E129,'Additional questions'!B:D,3,FALSE)="Yes",VLOOKUP(E129,'Hardware Feature set'!B:D,3,FALSE)="No"))))</f>
        <v>0</v>
      </c>
      <c r="J129" s="3" t="b">
        <f>IF(VLOOKUP(B129,'Profile selection'!B:C,2,FALSE)="Yes",TRUE,FALSE)</f>
        <v>1</v>
      </c>
      <c r="K129"/>
      <c r="L129"/>
    </row>
    <row r="130" spans="1:12" ht="17.100000000000001" customHeight="1" x14ac:dyDescent="0.25">
      <c r="A130" t="str">
        <f>'HIDDEN import'!B129</f>
        <v>TC_E_103_CS</v>
      </c>
      <c r="B130" t="str">
        <f>'HIDDEN import'!C129</f>
        <v>Core</v>
      </c>
      <c r="C130" t="str">
        <f>'HIDDEN import'!D129</f>
        <v>Transactions with fixed cost, energy or time - CS calculates costs and CSMS specifies limit</v>
      </c>
      <c r="D130" t="str">
        <f>IF(VLOOKUP(A130&amp;" "&amp;B130,'HIDDEN import'!A:G,5,FALSE)="M",MD!$A$1,(IF(AND(VLOOKUP(A130,'HIDDEN import'!B:E,4,FALSE)="C",OR(NOT(ISERROR(VLOOKUP(E130,'Optional features'!B:D,1,FALSE)=E130)),NOT(ISERROR(VLOOKUP(E130,'HIDDEN calc sheet'!A:C,1,FALSE)=E130)))),MD!$A$3,MD!$A$2)))</f>
        <v>Mandatory for optional feature</v>
      </c>
      <c r="E130" t="str">
        <f>IF('HIDDEN import'!F129=0,"",'HIDDEN import'!F129)</f>
        <v>C-63</v>
      </c>
      <c r="F130" t="str">
        <f>IF('HIDDEN import'!G129=0,"",'HIDDEN import'!G129)</f>
        <v>Support for transaction limits</v>
      </c>
      <c r="G130" s="19" t="str">
        <f>IFERROR(VLOOKUP($A130,'HIDDEN Testrun Results'!$A:$B,2,FALSE),"")</f>
        <v/>
      </c>
      <c r="H130" s="3" t="b">
        <f t="shared" si="1"/>
        <v>0</v>
      </c>
      <c r="I130" s="3" t="b">
        <f>IF(VLOOKUP(A130&amp;" "&amp;B130,'HIDDEN import'!A:G,5,FALSE)="M",TRUE,IFERROR(VLOOKUP(E130,'Optional features'!B:D,3,FALSE)="Yes",IFERROR(VLOOKUP(E130,'HIDDEN calc sheet'!A:B,2,FALSE),IFERROR(VLOOKUP(E130,'Additional questions'!B:D,3,FALSE)="Yes",VLOOKUP(E130,'Hardware Feature set'!B:D,3,FALSE)="No"))))</f>
        <v>0</v>
      </c>
      <c r="J130" s="3" t="b">
        <f>IF(VLOOKUP(B130,'Profile selection'!B:C,2,FALSE)="Yes",TRUE,FALSE)</f>
        <v>1</v>
      </c>
      <c r="K130"/>
      <c r="L130"/>
    </row>
    <row r="131" spans="1:12" ht="17.100000000000001" customHeight="1" x14ac:dyDescent="0.25">
      <c r="A131" t="str">
        <f>'HIDDEN import'!B130</f>
        <v>TC_E_104_CS</v>
      </c>
      <c r="B131" t="str">
        <f>'HIDDEN import'!C130</f>
        <v>Core</v>
      </c>
      <c r="C131" t="str">
        <f>'HIDDEN import'!D130</f>
        <v>Transactions with fixed cost, energy or time - CSMS calculates costs (through TransactionEventResponse) and specifies limit</v>
      </c>
      <c r="D131" t="str">
        <f>IF(VLOOKUP(A131&amp;" "&amp;B131,'HIDDEN import'!A:G,5,FALSE)="M",MD!$A$1,(IF(AND(VLOOKUP(A131,'HIDDEN import'!B:E,4,FALSE)="C",OR(NOT(ISERROR(VLOOKUP(E131,'Optional features'!B:D,1,FALSE)=E131)),NOT(ISERROR(VLOOKUP(E131,'HIDDEN calc sheet'!A:C,1,FALSE)=E131)))),MD!$A$3,MD!$A$2)))</f>
        <v>Mandatory for optional feature</v>
      </c>
      <c r="E131" t="str">
        <f>IF('HIDDEN import'!F130=0,"",'HIDDEN import'!F130)</f>
        <v>C-63</v>
      </c>
      <c r="F131" t="str">
        <f>IF('HIDDEN import'!G130=0,"",'HIDDEN import'!G130)</f>
        <v>Support for transaction limits</v>
      </c>
      <c r="G131" s="19" t="str">
        <f>IFERROR(VLOOKUP($A131,'HIDDEN Testrun Results'!$A:$B,2,FALSE),"")</f>
        <v/>
      </c>
      <c r="H131" s="3" t="b">
        <f t="shared" ref="H131:H194" si="2">IF(NOT(J131),FALSE,IF(NOT(ISLOGICAL(I131)),I131,AND(I131,J131)))</f>
        <v>0</v>
      </c>
      <c r="I131" s="3" t="b">
        <f>IF(VLOOKUP(A131&amp;" "&amp;B131,'HIDDEN import'!A:G,5,FALSE)="M",TRUE,IFERROR(VLOOKUP(E131,'Optional features'!B:D,3,FALSE)="Yes",IFERROR(VLOOKUP(E131,'HIDDEN calc sheet'!A:B,2,FALSE),IFERROR(VLOOKUP(E131,'Additional questions'!B:D,3,FALSE)="Yes",VLOOKUP(E131,'Hardware Feature set'!B:D,3,FALSE)="No"))))</f>
        <v>0</v>
      </c>
      <c r="J131" s="3" t="b">
        <f>IF(VLOOKUP(B131,'Profile selection'!B:C,2,FALSE)="Yes",TRUE,FALSE)</f>
        <v>1</v>
      </c>
      <c r="K131"/>
      <c r="L131"/>
    </row>
    <row r="132" spans="1:12" ht="17.100000000000001" customHeight="1" x14ac:dyDescent="0.25">
      <c r="A132" t="str">
        <f>'HIDDEN import'!B131</f>
        <v>TC_E_105_CS</v>
      </c>
      <c r="B132" t="str">
        <f>'HIDDEN import'!C131</f>
        <v>Core</v>
      </c>
      <c r="C132" t="str">
        <f>'HIDDEN import'!D131</f>
        <v>Transactions with fixed cost, energy or time - CSMS specifies time limit</v>
      </c>
      <c r="D132" t="str">
        <f>IF(VLOOKUP(A132&amp;" "&amp;B132,'HIDDEN import'!A:G,5,FALSE)="M",MD!$A$1,(IF(AND(VLOOKUP(A132,'HIDDEN import'!B:E,4,FALSE)="C",OR(NOT(ISERROR(VLOOKUP(E132,'Optional features'!B:D,1,FALSE)=E132)),NOT(ISERROR(VLOOKUP(E132,'HIDDEN calc sheet'!A:C,1,FALSE)=E132)))),MD!$A$3,MD!$A$2)))</f>
        <v>Mandatory for optional feature</v>
      </c>
      <c r="E132" t="str">
        <f>IF('HIDDEN import'!F131=0,"",'HIDDEN import'!F131)</f>
        <v>C-63</v>
      </c>
      <c r="F132" t="str">
        <f>IF('HIDDEN import'!G131=0,"",'HIDDEN import'!G131)</f>
        <v>Support for transaction limits</v>
      </c>
      <c r="G132" s="19" t="str">
        <f>IFERROR(VLOOKUP($A132,'HIDDEN Testrun Results'!$A:$B,2,FALSE),"")</f>
        <v/>
      </c>
      <c r="H132" s="3" t="b">
        <f t="shared" si="2"/>
        <v>0</v>
      </c>
      <c r="I132" s="3" t="b">
        <f>IF(VLOOKUP(A132&amp;" "&amp;B132,'HIDDEN import'!A:G,5,FALSE)="M",TRUE,IFERROR(VLOOKUP(E132,'Optional features'!B:D,3,FALSE)="Yes",IFERROR(VLOOKUP(E132,'HIDDEN calc sheet'!A:B,2,FALSE),IFERROR(VLOOKUP(E132,'Additional questions'!B:D,3,FALSE)="Yes",VLOOKUP(E132,'Hardware Feature set'!B:D,3,FALSE)="No"))))</f>
        <v>0</v>
      </c>
      <c r="J132" s="3" t="b">
        <f>IF(VLOOKUP(B132,'Profile selection'!B:C,2,FALSE)="Yes",TRUE,FALSE)</f>
        <v>1</v>
      </c>
      <c r="K132"/>
      <c r="L132"/>
    </row>
    <row r="133" spans="1:12" ht="17.100000000000001" customHeight="1" x14ac:dyDescent="0.25">
      <c r="A133" t="str">
        <f>'HIDDEN import'!B132</f>
        <v>TC_E_106_CS</v>
      </c>
      <c r="B133" t="str">
        <f>'HIDDEN import'!C132</f>
        <v>Core</v>
      </c>
      <c r="C133" t="str">
        <f>'HIDDEN import'!D132</f>
        <v>Transactions with fixed cost, energy or time - CS specifies energy limit</v>
      </c>
      <c r="D133" t="str">
        <f>IF(VLOOKUP(A133&amp;" "&amp;B133,'HIDDEN import'!A:G,5,FALSE)="M",MD!$A$1,(IF(AND(VLOOKUP(A133,'HIDDEN import'!B:E,4,FALSE)="C",OR(NOT(ISERROR(VLOOKUP(E133,'Optional features'!B:D,1,FALSE)=E133)),NOT(ISERROR(VLOOKUP(E133,'HIDDEN calc sheet'!A:C,1,FALSE)=E133)))),MD!$A$3,MD!$A$2)))</f>
        <v>Mandatory for optional feature</v>
      </c>
      <c r="E133" t="str">
        <f>IF('HIDDEN import'!F132=0,"",'HIDDEN import'!F132)</f>
        <v>C-63</v>
      </c>
      <c r="F133" t="str">
        <f>IF('HIDDEN import'!G132=0,"",'HIDDEN import'!G132)</f>
        <v>Support for transaction limits</v>
      </c>
      <c r="G133" s="19" t="str">
        <f>IFERROR(VLOOKUP($A133,'HIDDEN Testrun Results'!$A:$B,2,FALSE),"")</f>
        <v/>
      </c>
      <c r="H133" s="3" t="b">
        <f t="shared" si="2"/>
        <v>0</v>
      </c>
      <c r="I133" s="3" t="b">
        <f>IF(VLOOKUP(A133&amp;" "&amp;B133,'HIDDEN import'!A:G,5,FALSE)="M",TRUE,IFERROR(VLOOKUP(E133,'Optional features'!B:D,3,FALSE)="Yes",IFERROR(VLOOKUP(E133,'HIDDEN calc sheet'!A:B,2,FALSE),IFERROR(VLOOKUP(E133,'Additional questions'!B:D,3,FALSE)="Yes",VLOOKUP(E133,'Hardware Feature set'!B:D,3,FALSE)="No"))))</f>
        <v>0</v>
      </c>
      <c r="J133" s="3" t="b">
        <f>IF(VLOOKUP(B133,'Profile selection'!B:C,2,FALSE)="Yes",TRUE,FALSE)</f>
        <v>1</v>
      </c>
      <c r="K133"/>
      <c r="L133"/>
    </row>
    <row r="134" spans="1:12" ht="17.100000000000001" customHeight="1" x14ac:dyDescent="0.25">
      <c r="A134" t="str">
        <f>'HIDDEN import'!B133</f>
        <v>TC_E_107_CS</v>
      </c>
      <c r="B134" t="str">
        <f>'HIDDEN import'!C133</f>
        <v>Core</v>
      </c>
      <c r="C134" t="str">
        <f>'HIDDEN import'!D133</f>
        <v>Transactions with fixed cost, energy or time - CS specifies time limit</v>
      </c>
      <c r="D134" t="str">
        <f>IF(VLOOKUP(A134&amp;" "&amp;B134,'HIDDEN import'!A:G,5,FALSE)="M",MD!$A$1,(IF(AND(VLOOKUP(A134,'HIDDEN import'!B:E,4,FALSE)="C",OR(NOT(ISERROR(VLOOKUP(E134,'Optional features'!B:D,1,FALSE)=E134)),NOT(ISERROR(VLOOKUP(E134,'HIDDEN calc sheet'!A:C,1,FALSE)=E134)))),MD!$A$3,MD!$A$2)))</f>
        <v>Mandatory for optional feature</v>
      </c>
      <c r="E134" t="str">
        <f>IF('HIDDEN import'!F133=0,"",'HIDDEN import'!F133)</f>
        <v>C-63</v>
      </c>
      <c r="F134" t="str">
        <f>IF('HIDDEN import'!G133=0,"",'HIDDEN import'!G133)</f>
        <v>Support for transaction limits</v>
      </c>
      <c r="G134" s="19" t="str">
        <f>IFERROR(VLOOKUP($A134,'HIDDEN Testrun Results'!$A:$B,2,FALSE),"")</f>
        <v/>
      </c>
      <c r="H134" s="3" t="b">
        <f t="shared" si="2"/>
        <v>0</v>
      </c>
      <c r="I134" s="3" t="b">
        <f>IF(VLOOKUP(A134&amp;" "&amp;B134,'HIDDEN import'!A:G,5,FALSE)="M",TRUE,IFERROR(VLOOKUP(E134,'Optional features'!B:D,3,FALSE)="Yes",IFERROR(VLOOKUP(E134,'HIDDEN calc sheet'!A:B,2,FALSE),IFERROR(VLOOKUP(E134,'Additional questions'!B:D,3,FALSE)="Yes",VLOOKUP(E134,'Hardware Feature set'!B:D,3,FALSE)="No"))))</f>
        <v>0</v>
      </c>
      <c r="J134" s="3" t="b">
        <f>IF(VLOOKUP(B134,'Profile selection'!B:C,2,FALSE)="Yes",TRUE,FALSE)</f>
        <v>1</v>
      </c>
      <c r="K134"/>
      <c r="L134"/>
    </row>
    <row r="135" spans="1:12" ht="17.100000000000001" customHeight="1" x14ac:dyDescent="0.25">
      <c r="A135" t="str">
        <f>'HIDDEN import'!B134</f>
        <v>TC_E_108_CS</v>
      </c>
      <c r="B135" t="str">
        <f>'HIDDEN import'!C134</f>
        <v>Core</v>
      </c>
      <c r="C135" t="str">
        <f>'HIDDEN import'!D134</f>
        <v>Transactions with fixed cost, energy or time - CS calculates costs and specifies limit</v>
      </c>
      <c r="D135" t="str">
        <f>IF(VLOOKUP(A135&amp;" "&amp;B135,'HIDDEN import'!A:G,5,FALSE)="M",MD!$A$1,(IF(AND(VLOOKUP(A135,'HIDDEN import'!B:E,4,FALSE)="C",OR(NOT(ISERROR(VLOOKUP(E135,'Optional features'!B:D,1,FALSE)=E135)),NOT(ISERROR(VLOOKUP(E135,'HIDDEN calc sheet'!A:C,1,FALSE)=E135)))),MD!$A$3,MD!$A$2)))</f>
        <v>Mandatory for optional feature</v>
      </c>
      <c r="E135" t="str">
        <f>IF('HIDDEN import'!F134=0,"",'HIDDEN import'!F134)</f>
        <v>C-63</v>
      </c>
      <c r="F135" t="str">
        <f>IF('HIDDEN import'!G134=0,"",'HIDDEN import'!G134)</f>
        <v>Support for transaction limits</v>
      </c>
      <c r="G135" s="19" t="str">
        <f>IFERROR(VLOOKUP($A135,'HIDDEN Testrun Results'!$A:$B,2,FALSE),"")</f>
        <v/>
      </c>
      <c r="H135" s="3" t="b">
        <f t="shared" si="2"/>
        <v>0</v>
      </c>
      <c r="I135" s="3" t="b">
        <f>IF(VLOOKUP(A135&amp;" "&amp;B135,'HIDDEN import'!A:G,5,FALSE)="M",TRUE,IFERROR(VLOOKUP(E135,'Optional features'!B:D,3,FALSE)="Yes",IFERROR(VLOOKUP(E135,'HIDDEN calc sheet'!A:B,2,FALSE),IFERROR(VLOOKUP(E135,'Additional questions'!B:D,3,FALSE)="Yes",VLOOKUP(E135,'Hardware Feature set'!B:D,3,FALSE)="No"))))</f>
        <v>0</v>
      </c>
      <c r="J135" s="3" t="b">
        <f>IF(VLOOKUP(B135,'Profile selection'!B:C,2,FALSE)="Yes",TRUE,FALSE)</f>
        <v>1</v>
      </c>
      <c r="K135"/>
      <c r="L135"/>
    </row>
    <row r="136" spans="1:12" ht="17.100000000000001" customHeight="1" x14ac:dyDescent="0.25">
      <c r="A136" t="str">
        <f>'HIDDEN import'!B135</f>
        <v>TC_E_112_CS</v>
      </c>
      <c r="B136" t="str">
        <f>'HIDDEN import'!C135</f>
        <v>Core</v>
      </c>
      <c r="C136" t="str">
        <f>'HIDDEN import'!D135</f>
        <v>Resuming transaction after interruption - TxResumptionTimeout not expired - TxAllowEnergyTransferResumption is false</v>
      </c>
      <c r="D136" t="str">
        <f>IF(VLOOKUP(A136&amp;" "&amp;B136,'HIDDEN import'!A:G,5,FALSE)="M",MD!$A$1,(IF(AND(VLOOKUP(A136,'HIDDEN import'!B:E,4,FALSE)="C",OR(NOT(ISERROR(VLOOKUP(E136,'Optional features'!B:D,1,FALSE)=E136)),NOT(ISERROR(VLOOKUP(E136,'HIDDEN calc sheet'!A:C,1,FALSE)=E136)))),MD!$A$3,MD!$A$2)))</f>
        <v>Mandatory for optional feature</v>
      </c>
      <c r="E136" t="str">
        <f>IF('HIDDEN import'!F135=0,"",'HIDDEN import'!F135)</f>
        <v>C-64</v>
      </c>
      <c r="F136" t="str">
        <f>IF('HIDDEN import'!G135=0,"",'HIDDEN import'!G135)</f>
        <v>Support for resuming power transfer on reset or power interruption</v>
      </c>
      <c r="G136" s="19" t="str">
        <f>IFERROR(VLOOKUP($A136,'HIDDEN Testrun Results'!$A:$B,2,FALSE),"")</f>
        <v/>
      </c>
      <c r="H136" s="3" t="b">
        <f t="shared" si="2"/>
        <v>0</v>
      </c>
      <c r="I136" s="3" t="b">
        <f>IF(VLOOKUP(A136&amp;" "&amp;B136,'HIDDEN import'!A:G,5,FALSE)="M",TRUE,IFERROR(VLOOKUP(E136,'Optional features'!B:D,3,FALSE)="Yes",IFERROR(VLOOKUP(E136,'HIDDEN calc sheet'!A:B,2,FALSE),IFERROR(VLOOKUP(E136,'Additional questions'!B:D,3,FALSE)="Yes",VLOOKUP(E136,'Hardware Feature set'!B:D,3,FALSE)="No"))))</f>
        <v>0</v>
      </c>
      <c r="J136" s="3" t="b">
        <f>IF(VLOOKUP(B136,'Profile selection'!B:C,2,FALSE)="Yes",TRUE,FALSE)</f>
        <v>1</v>
      </c>
      <c r="K136"/>
      <c r="L136"/>
    </row>
    <row r="137" spans="1:12" ht="17.100000000000001" customHeight="1" x14ac:dyDescent="0.25">
      <c r="A137" t="str">
        <f>'HIDDEN import'!B136</f>
        <v>TC_E_113_CS</v>
      </c>
      <c r="B137" t="str">
        <f>'HIDDEN import'!C136</f>
        <v>Core</v>
      </c>
      <c r="C137" t="str">
        <f>'HIDDEN import'!D136</f>
        <v>Resuming transaction after interruption - TxResumptionTimeout not expired - TxAllowEnergyTransferResumption is true</v>
      </c>
      <c r="D137" t="str">
        <f>IF(VLOOKUP(A137&amp;" "&amp;B137,'HIDDEN import'!A:G,5,FALSE)="M",MD!$A$1,(IF(AND(VLOOKUP(A137,'HIDDEN import'!B:E,4,FALSE)="C",OR(NOT(ISERROR(VLOOKUP(E137,'Optional features'!B:D,1,FALSE)=E137)),NOT(ISERROR(VLOOKUP(E137,'HIDDEN calc sheet'!A:C,1,FALSE)=E137)))),MD!$A$3,MD!$A$2)))</f>
        <v>Mandatory for optional feature</v>
      </c>
      <c r="E137" t="str">
        <f>IF('HIDDEN import'!F136=0,"",'HIDDEN import'!F136)</f>
        <v>C-64</v>
      </c>
      <c r="F137" t="str">
        <f>IF('HIDDEN import'!G136=0,"",'HIDDEN import'!G136)</f>
        <v>Support for resuming power transfer on reset or power interruption</v>
      </c>
      <c r="G137" s="19" t="str">
        <f>IFERROR(VLOOKUP($A137,'HIDDEN Testrun Results'!$A:$B,2,FALSE),"")</f>
        <v/>
      </c>
      <c r="H137" s="3" t="b">
        <f t="shared" si="2"/>
        <v>0</v>
      </c>
      <c r="I137" s="3" t="b">
        <f>IF(VLOOKUP(A137&amp;" "&amp;B137,'HIDDEN import'!A:G,5,FALSE)="M",TRUE,IFERROR(VLOOKUP(E137,'Optional features'!B:D,3,FALSE)="Yes",IFERROR(VLOOKUP(E137,'HIDDEN calc sheet'!A:B,2,FALSE),IFERROR(VLOOKUP(E137,'Additional questions'!B:D,3,FALSE)="Yes",VLOOKUP(E137,'Hardware Feature set'!B:D,3,FALSE)="No"))))</f>
        <v>0</v>
      </c>
      <c r="J137" s="3" t="b">
        <f>IF(VLOOKUP(B137,'Profile selection'!B:C,2,FALSE)="Yes",TRUE,FALSE)</f>
        <v>1</v>
      </c>
      <c r="K137"/>
      <c r="L137"/>
    </row>
    <row r="138" spans="1:12" ht="17.100000000000001" customHeight="1" x14ac:dyDescent="0.25">
      <c r="A138" t="str">
        <f>'HIDDEN import'!B137</f>
        <v>TC_E_114_CS</v>
      </c>
      <c r="B138" t="str">
        <f>'HIDDEN import'!C137</f>
        <v>Core</v>
      </c>
      <c r="C138" t="str">
        <f>'HIDDEN import'!D137</f>
        <v>Resuming transaction after interruption - Powerloss - TxResumptionTimeout absent</v>
      </c>
      <c r="D138" t="str">
        <f>IF(VLOOKUP(A138&amp;" "&amp;B138,'HIDDEN import'!A:G,5,FALSE)="M",MD!$A$1,(IF(AND(VLOOKUP(A138,'HIDDEN import'!B:E,4,FALSE)="C",OR(NOT(ISERROR(VLOOKUP(E138,'Optional features'!B:D,1,FALSE)=E138)),NOT(ISERROR(VLOOKUP(E138,'HIDDEN calc sheet'!A:C,1,FALSE)=E138)))),MD!$A$3,MD!$A$2)))</f>
        <v>Mandatory for optional feature</v>
      </c>
      <c r="E138" t="str">
        <f>IF('HIDDEN import'!F137=0,"",'HIDDEN import'!F137)</f>
        <v>NOT C-62 AND NOT C-64</v>
      </c>
      <c r="F138" t="str">
        <f>IF('HIDDEN import'!G137=0,"",'HIDDEN import'!G137)</f>
        <v>No support for resuming transactions on reset or power interruption &amp; No support for resuming power transfer on reset or power interruption</v>
      </c>
      <c r="G138" s="19" t="str">
        <f>IFERROR(VLOOKUP($A138,'HIDDEN Testrun Results'!$A:$B,2,FALSE),"")</f>
        <v/>
      </c>
      <c r="H138" s="3" t="b">
        <f t="shared" si="2"/>
        <v>1</v>
      </c>
      <c r="I138" s="3" t="b">
        <f>IF(VLOOKUP(A138&amp;" "&amp;B138,'HIDDEN import'!A:G,5,FALSE)="M",TRUE,IFERROR(VLOOKUP(E138,'Optional features'!B:D,3,FALSE)="Yes",IFERROR(VLOOKUP(E138,'HIDDEN calc sheet'!A:B,2,FALSE),IFERROR(VLOOKUP(E138,'Additional questions'!B:D,3,FALSE)="Yes",VLOOKUP(E138,'Hardware Feature set'!B:D,3,FALSE)="No"))))</f>
        <v>1</v>
      </c>
      <c r="J138" s="3" t="b">
        <f>IF(VLOOKUP(B138,'Profile selection'!B:C,2,FALSE)="Yes",TRUE,FALSE)</f>
        <v>1</v>
      </c>
      <c r="K138"/>
      <c r="L138"/>
    </row>
    <row r="139" spans="1:12" ht="17.100000000000001" customHeight="1" x14ac:dyDescent="0.25">
      <c r="A139" t="str">
        <f>'HIDDEN import'!B138</f>
        <v>TC_E_115_CS</v>
      </c>
      <c r="B139" t="str">
        <f>'HIDDEN import'!C138</f>
        <v>Core</v>
      </c>
      <c r="C139" t="str">
        <f>'HIDDEN import'!D138</f>
        <v>Resuming transaction after interruption - Powerloss - TxResumptionTimeout = 0</v>
      </c>
      <c r="D139" t="str">
        <f>IF(VLOOKUP(A139&amp;" "&amp;B139,'HIDDEN import'!A:G,5,FALSE)="M",MD!$A$1,(IF(AND(VLOOKUP(A139,'HIDDEN import'!B:E,4,FALSE)="C",OR(NOT(ISERROR(VLOOKUP(E139,'Optional features'!B:D,1,FALSE)=E139)),NOT(ISERROR(VLOOKUP(E139,'HIDDEN calc sheet'!A:C,1,FALSE)=E139)))),MD!$A$3,MD!$A$2)))</f>
        <v>Mandatory for optional feature</v>
      </c>
      <c r="E139" t="str">
        <f>IF('HIDDEN import'!F138=0,"",'HIDDEN import'!F138)</f>
        <v>C-64</v>
      </c>
      <c r="F139" t="str">
        <f>IF('HIDDEN import'!G138=0,"",'HIDDEN import'!G138)</f>
        <v>Support for resuming power transfer on reset or power interruption</v>
      </c>
      <c r="G139" s="19" t="str">
        <f>IFERROR(VLOOKUP($A139,'HIDDEN Testrun Results'!$A:$B,2,FALSE),"")</f>
        <v/>
      </c>
      <c r="H139" s="3" t="b">
        <f t="shared" si="2"/>
        <v>0</v>
      </c>
      <c r="I139" s="3" t="b">
        <f>IF(VLOOKUP(A139&amp;" "&amp;B139,'HIDDEN import'!A:G,5,FALSE)="M",TRUE,IFERROR(VLOOKUP(E139,'Optional features'!B:D,3,FALSE)="Yes",IFERROR(VLOOKUP(E139,'HIDDEN calc sheet'!A:B,2,FALSE),IFERROR(VLOOKUP(E139,'Additional questions'!B:D,3,FALSE)="Yes",VLOOKUP(E139,'Hardware Feature set'!B:D,3,FALSE)="No"))))</f>
        <v>0</v>
      </c>
      <c r="J139" s="3" t="b">
        <f>IF(VLOOKUP(B139,'Profile selection'!B:C,2,FALSE)="Yes",TRUE,FALSE)</f>
        <v>1</v>
      </c>
      <c r="K139"/>
      <c r="L139"/>
    </row>
    <row r="140" spans="1:12" ht="17.100000000000001" customHeight="1" x14ac:dyDescent="0.25">
      <c r="A140" t="str">
        <f>'HIDDEN import'!B139</f>
        <v>TC_E_116_CS</v>
      </c>
      <c r="B140" t="str">
        <f>'HIDDEN import'!C139</f>
        <v>Core</v>
      </c>
      <c r="C140" t="str">
        <f>'HIDDEN import'!D139</f>
        <v>Resuming transaction after interruption - Powerloss - TxResumptionTimeout expired</v>
      </c>
      <c r="D140" t="str">
        <f>IF(VLOOKUP(A140&amp;" "&amp;B140,'HIDDEN import'!A:G,5,FALSE)="M",MD!$A$1,(IF(AND(VLOOKUP(A140,'HIDDEN import'!B:E,4,FALSE)="C",OR(NOT(ISERROR(VLOOKUP(E140,'Optional features'!B:D,1,FALSE)=E140)),NOT(ISERROR(VLOOKUP(E140,'HIDDEN calc sheet'!A:C,1,FALSE)=E140)))),MD!$A$3,MD!$A$2)))</f>
        <v>Mandatory for optional feature</v>
      </c>
      <c r="E140" t="str">
        <f>IF('HIDDEN import'!F139=0,"",'HIDDEN import'!F139)</f>
        <v>C-64</v>
      </c>
      <c r="F140" t="str">
        <f>IF('HIDDEN import'!G139=0,"",'HIDDEN import'!G139)</f>
        <v>Support for resuming power transfer on reset or power interruption</v>
      </c>
      <c r="G140" s="19" t="str">
        <f>IFERROR(VLOOKUP($A140,'HIDDEN Testrun Results'!$A:$B,2,FALSE),"")</f>
        <v/>
      </c>
      <c r="H140" s="3" t="b">
        <f t="shared" si="2"/>
        <v>0</v>
      </c>
      <c r="I140" s="3" t="b">
        <f>IF(VLOOKUP(A140&amp;" "&amp;B140,'HIDDEN import'!A:G,5,FALSE)="M",TRUE,IFERROR(VLOOKUP(E140,'Optional features'!B:D,3,FALSE)="Yes",IFERROR(VLOOKUP(E140,'HIDDEN calc sheet'!A:B,2,FALSE),IFERROR(VLOOKUP(E140,'Additional questions'!B:D,3,FALSE)="Yes",VLOOKUP(E140,'Hardware Feature set'!B:D,3,FALSE)="No"))))</f>
        <v>0</v>
      </c>
      <c r="J140" s="3" t="b">
        <f>IF(VLOOKUP(B140,'Profile selection'!B:C,2,FALSE)="Yes",TRUE,FALSE)</f>
        <v>1</v>
      </c>
      <c r="K140"/>
      <c r="L140"/>
    </row>
    <row r="141" spans="1:12" ht="17.100000000000001" customHeight="1" x14ac:dyDescent="0.25">
      <c r="A141" t="str">
        <f>'HIDDEN import'!B140</f>
        <v>TC_E_41_CS</v>
      </c>
      <c r="B141" t="str">
        <f>'HIDDEN import'!C140</f>
        <v>Core</v>
      </c>
      <c r="C141" t="str">
        <f>'HIDDEN import'!D140</f>
        <v>Retry sending transaction message when failed - Max retry count reached</v>
      </c>
      <c r="D141" t="str">
        <f>IF(VLOOKUP(A141&amp;" "&amp;B141,'HIDDEN import'!A:G,5,FALSE)="M",MD!$A$1,(IF(AND(VLOOKUP(A141,'HIDDEN import'!B:E,4,FALSE)="C",OR(NOT(ISERROR(VLOOKUP(E141,'Optional features'!B:D,1,FALSE)=E141)),NOT(ISERROR(VLOOKUP(E141,'HIDDEN calc sheet'!A:C,1,FALSE)=E141)))),MD!$A$3,MD!$A$2)))</f>
        <v>Mandatory test for a mandatory feature</v>
      </c>
      <c r="E141" t="str">
        <f>IF('HIDDEN import'!F140=0,"",'HIDDEN import'!F140)</f>
        <v/>
      </c>
      <c r="F141" t="str">
        <f>IF('HIDDEN import'!G140=0,"",'HIDDEN import'!G140)</f>
        <v/>
      </c>
      <c r="G141" s="19" t="str">
        <f>IFERROR(VLOOKUP($A141,'HIDDEN Testrun Results'!$A:$B,2,FALSE),"")</f>
        <v/>
      </c>
      <c r="H141" s="3" t="b">
        <f t="shared" si="2"/>
        <v>1</v>
      </c>
      <c r="I141" s="3" t="b">
        <f>IF(VLOOKUP(A141&amp;" "&amp;B141,'HIDDEN import'!A:G,5,FALSE)="M",TRUE,IFERROR(VLOOKUP(E141,'Optional features'!B:D,3,FALSE)="Yes",IFERROR(VLOOKUP(E141,'HIDDEN calc sheet'!A:B,2,FALSE),IFERROR(VLOOKUP(E141,'Additional questions'!B:D,3,FALSE)="Yes",VLOOKUP(E141,'Hardware Feature set'!B:D,3,FALSE)="No"))))</f>
        <v>1</v>
      </c>
      <c r="J141" s="3" t="b">
        <f>IF(VLOOKUP(B141,'Profile selection'!B:C,2,FALSE)="Yes",TRUE,FALSE)</f>
        <v>1</v>
      </c>
      <c r="K141"/>
      <c r="L141"/>
    </row>
    <row r="142" spans="1:12" ht="17.100000000000001" customHeight="1" x14ac:dyDescent="0.25">
      <c r="A142" t="str">
        <f>'HIDDEN import'!B141</f>
        <v>TC_E_42_CS</v>
      </c>
      <c r="B142" t="str">
        <f>'HIDDEN import'!C141</f>
        <v>Core</v>
      </c>
      <c r="C142" t="str">
        <f>'HIDDEN import'!D141</f>
        <v>Retry sending transaction message when failed - Success before reaching the max retry count</v>
      </c>
      <c r="D142" t="str">
        <f>IF(VLOOKUP(A142&amp;" "&amp;B142,'HIDDEN import'!A:G,5,FALSE)="M",MD!$A$1,(IF(AND(VLOOKUP(A142,'HIDDEN import'!B:E,4,FALSE)="C",OR(NOT(ISERROR(VLOOKUP(E142,'Optional features'!B:D,1,FALSE)=E142)),NOT(ISERROR(VLOOKUP(E142,'HIDDEN calc sheet'!A:C,1,FALSE)=E142)))),MD!$A$3,MD!$A$2)))</f>
        <v>Mandatory test for a mandatory feature</v>
      </c>
      <c r="E142" t="str">
        <f>IF('HIDDEN import'!F141=0,"",'HIDDEN import'!F141)</f>
        <v/>
      </c>
      <c r="F142" t="str">
        <f>IF('HIDDEN import'!G141=0,"",'HIDDEN import'!G141)</f>
        <v/>
      </c>
      <c r="G142" s="19" t="str">
        <f>IFERROR(VLOOKUP($A142,'HIDDEN Testrun Results'!$A:$B,2,FALSE),"")</f>
        <v/>
      </c>
      <c r="H142" s="3" t="b">
        <f t="shared" si="2"/>
        <v>1</v>
      </c>
      <c r="I142" s="3" t="b">
        <f>IF(VLOOKUP(A142&amp;" "&amp;B142,'HIDDEN import'!A:G,5,FALSE)="M",TRUE,IFERROR(VLOOKUP(E142,'Optional features'!B:D,3,FALSE)="Yes",IFERROR(VLOOKUP(E142,'HIDDEN calc sheet'!A:B,2,FALSE),IFERROR(VLOOKUP(E142,'Additional questions'!B:D,3,FALSE)="Yes",VLOOKUP(E142,'Hardware Feature set'!B:D,3,FALSE)="No"))))</f>
        <v>1</v>
      </c>
      <c r="J142" s="3" t="b">
        <f>IF(VLOOKUP(B142,'Profile selection'!B:C,2,FALSE)="Yes",TRUE,FALSE)</f>
        <v>1</v>
      </c>
      <c r="K142"/>
      <c r="L142"/>
    </row>
    <row r="143" spans="1:12" ht="17.100000000000001" customHeight="1" x14ac:dyDescent="0.25">
      <c r="A143" t="str">
        <f>'HIDDEN import'!B142</f>
        <v>TC_E_50_CS</v>
      </c>
      <c r="B143" t="str">
        <f>'HIDDEN import'!C142</f>
        <v>Core</v>
      </c>
      <c r="C143" t="str">
        <f>'HIDDEN import'!D142</f>
        <v>Retry sending transaction message when failed - Max retry count reached - CallError</v>
      </c>
      <c r="D143" t="str">
        <f>IF(VLOOKUP(A143&amp;" "&amp;B143,'HIDDEN import'!A:G,5,FALSE)="M",MD!$A$1,(IF(AND(VLOOKUP(A143,'HIDDEN import'!B:E,4,FALSE)="C",OR(NOT(ISERROR(VLOOKUP(E143,'Optional features'!B:D,1,FALSE)=E143)),NOT(ISERROR(VLOOKUP(E143,'HIDDEN calc sheet'!A:C,1,FALSE)=E143)))),MD!$A$3,MD!$A$2)))</f>
        <v>Mandatory test for a mandatory feature</v>
      </c>
      <c r="E143" t="str">
        <f>IF('HIDDEN import'!F142=0,"",'HIDDEN import'!F142)</f>
        <v/>
      </c>
      <c r="F143" t="str">
        <f>IF('HIDDEN import'!G142=0,"",'HIDDEN import'!G142)</f>
        <v/>
      </c>
      <c r="G143" s="19" t="str">
        <f>IFERROR(VLOOKUP($A143,'HIDDEN Testrun Results'!$A:$B,2,FALSE),"")</f>
        <v/>
      </c>
      <c r="H143" s="3" t="b">
        <f t="shared" si="2"/>
        <v>1</v>
      </c>
      <c r="I143" s="3" t="b">
        <f>IF(VLOOKUP(A143&amp;" "&amp;B143,'HIDDEN import'!A:G,5,FALSE)="M",TRUE,IFERROR(VLOOKUP(E143,'Optional features'!B:D,3,FALSE)="Yes",IFERROR(VLOOKUP(E143,'HIDDEN calc sheet'!A:B,2,FALSE),IFERROR(VLOOKUP(E143,'Additional questions'!B:D,3,FALSE)="Yes",VLOOKUP(E143,'Hardware Feature set'!B:D,3,FALSE)="No"))))</f>
        <v>1</v>
      </c>
      <c r="J143" s="3" t="b">
        <f>IF(VLOOKUP(B143,'Profile selection'!B:C,2,FALSE)="Yes",TRUE,FALSE)</f>
        <v>1</v>
      </c>
      <c r="K143"/>
      <c r="L143"/>
    </row>
    <row r="144" spans="1:12" ht="17.100000000000001" customHeight="1" x14ac:dyDescent="0.25">
      <c r="A144" t="str">
        <f>'HIDDEN import'!B143</f>
        <v>TC_E_51_CS</v>
      </c>
      <c r="B144" t="str">
        <f>'HIDDEN import'!C143</f>
        <v>Core</v>
      </c>
      <c r="C144" t="str">
        <f>'HIDDEN import'!D143</f>
        <v>Retry sending transaction message when failed - Success before reaching the max retry count - CallError</v>
      </c>
      <c r="D144" t="str">
        <f>IF(VLOOKUP(A144&amp;" "&amp;B144,'HIDDEN import'!A:G,5,FALSE)="M",MD!$A$1,(IF(AND(VLOOKUP(A144,'HIDDEN import'!B:E,4,FALSE)="C",OR(NOT(ISERROR(VLOOKUP(E144,'Optional features'!B:D,1,FALSE)=E144)),NOT(ISERROR(VLOOKUP(E144,'HIDDEN calc sheet'!A:C,1,FALSE)=E144)))),MD!$A$3,MD!$A$2)))</f>
        <v>Mandatory test for a mandatory feature</v>
      </c>
      <c r="E144" t="str">
        <f>IF('HIDDEN import'!F143=0,"",'HIDDEN import'!F143)</f>
        <v/>
      </c>
      <c r="F144" t="str">
        <f>IF('HIDDEN import'!G143=0,"",'HIDDEN import'!G143)</f>
        <v/>
      </c>
      <c r="G144" s="19" t="str">
        <f>IFERROR(VLOOKUP($A144,'HIDDEN Testrun Results'!$A:$B,2,FALSE),"")</f>
        <v/>
      </c>
      <c r="H144" s="3" t="b">
        <f t="shared" si="2"/>
        <v>1</v>
      </c>
      <c r="I144" s="3" t="b">
        <f>IF(VLOOKUP(A144&amp;" "&amp;B144,'HIDDEN import'!A:G,5,FALSE)="M",TRUE,IFERROR(VLOOKUP(E144,'Optional features'!B:D,3,FALSE)="Yes",IFERROR(VLOOKUP(E144,'HIDDEN calc sheet'!A:B,2,FALSE),IFERROR(VLOOKUP(E144,'Additional questions'!B:D,3,FALSE)="Yes",VLOOKUP(E144,'Hardware Feature set'!B:D,3,FALSE)="No"))))</f>
        <v>1</v>
      </c>
      <c r="J144" s="3" t="b">
        <f>IF(VLOOKUP(B144,'Profile selection'!B:C,2,FALSE)="Yes",TRUE,FALSE)</f>
        <v>1</v>
      </c>
      <c r="K144"/>
      <c r="L144"/>
    </row>
    <row r="145" spans="1:12" ht="17.100000000000001" customHeight="1" x14ac:dyDescent="0.25">
      <c r="A145" t="str">
        <f>'HIDDEN import'!B144</f>
        <v>TC_E_40_CS</v>
      </c>
      <c r="B145" t="str">
        <f>'HIDDEN import'!C144</f>
        <v>Core</v>
      </c>
      <c r="C145" t="str">
        <f>'HIDDEN import'!D144</f>
        <v>Offline Behaviour - Connection loss during transaction</v>
      </c>
      <c r="D145" t="str">
        <f>IF(VLOOKUP(A145&amp;" "&amp;B145,'HIDDEN import'!A:G,5,FALSE)="M",MD!$A$1,(IF(AND(VLOOKUP(A145,'HIDDEN import'!B:E,4,FALSE)="C",OR(NOT(ISERROR(VLOOKUP(E145,'Optional features'!B:D,1,FALSE)=E145)),NOT(ISERROR(VLOOKUP(E145,'HIDDEN calc sheet'!A:C,1,FALSE)=E145)))),MD!$A$3,MD!$A$2)))</f>
        <v>Mandatory test for a mandatory feature</v>
      </c>
      <c r="E145" t="str">
        <f>IF('HIDDEN import'!F144=0,"",'HIDDEN import'!F144)</f>
        <v/>
      </c>
      <c r="F145" t="str">
        <f>IF('HIDDEN import'!G144=0,"",'HIDDEN import'!G144)</f>
        <v/>
      </c>
      <c r="G145" s="19" t="str">
        <f>IFERROR(VLOOKUP($A145,'HIDDEN Testrun Results'!$A:$B,2,FALSE),"")</f>
        <v/>
      </c>
      <c r="H145" s="3" t="b">
        <f t="shared" si="2"/>
        <v>1</v>
      </c>
      <c r="I145" s="3" t="b">
        <f>IF(VLOOKUP(A145&amp;" "&amp;B145,'HIDDEN import'!A:G,5,FALSE)="M",TRUE,IFERROR(VLOOKUP(E145,'Optional features'!B:D,3,FALSE)="Yes",IFERROR(VLOOKUP(E145,'HIDDEN calc sheet'!A:B,2,FALSE),IFERROR(VLOOKUP(E145,'Additional questions'!B:D,3,FALSE)="Yes",VLOOKUP(E145,'Hardware Feature set'!B:D,3,FALSE)="No"))))</f>
        <v>1</v>
      </c>
      <c r="J145" s="3" t="b">
        <f>IF(VLOOKUP(B145,'Profile selection'!B:C,2,FALSE)="Yes",TRUE,FALSE)</f>
        <v>1</v>
      </c>
      <c r="K145"/>
      <c r="L145"/>
    </row>
    <row r="146" spans="1:12" ht="17.100000000000001" customHeight="1" x14ac:dyDescent="0.25">
      <c r="A146" t="str">
        <f>'HIDDEN import'!B145</f>
        <v>TC_E_43_CS</v>
      </c>
      <c r="B146" t="str">
        <f>'HIDDEN import'!C145</f>
        <v>Core</v>
      </c>
      <c r="C146" t="str">
        <f>'HIDDEN import'!D145</f>
        <v>Offline Behaviour - Transaction during offline period</v>
      </c>
      <c r="D146" t="str">
        <f>IF(VLOOKUP(A146&amp;" "&amp;B146,'HIDDEN import'!A:G,5,FALSE)="M",MD!$A$1,(IF(AND(VLOOKUP(A146,'HIDDEN import'!B:E,4,FALSE)="C",OR(NOT(ISERROR(VLOOKUP(E146,'Optional features'!B:D,1,FALSE)=E146)),NOT(ISERROR(VLOOKUP(E146,'HIDDEN calc sheet'!A:C,1,FALSE)=E146)))),MD!$A$3,MD!$A$2)))</f>
        <v>Mandatory for optional feature</v>
      </c>
      <c r="E146" t="str">
        <f>IF('HIDDEN import'!F145=0,"",'HIDDEN import'!F145)</f>
        <v>C-01</v>
      </c>
      <c r="F146" t="str">
        <f>IF('HIDDEN import'!G145=0,"",'HIDDEN import'!G145)</f>
        <v>Offline transaction support</v>
      </c>
      <c r="G146" s="19" t="str">
        <f>IFERROR(VLOOKUP($A146,'HIDDEN Testrun Results'!$A:$B,2,FALSE),"")</f>
        <v/>
      </c>
      <c r="H146" s="3" t="b">
        <f t="shared" si="2"/>
        <v>0</v>
      </c>
      <c r="I146" s="3" t="b">
        <f>IF(VLOOKUP(A146&amp;" "&amp;B146,'HIDDEN import'!A:G,5,FALSE)="M",TRUE,IFERROR(VLOOKUP(E146,'Optional features'!B:D,3,FALSE)="Yes",IFERROR(VLOOKUP(E146,'HIDDEN calc sheet'!A:B,2,FALSE),IFERROR(VLOOKUP(E146,'Additional questions'!B:D,3,FALSE)="Yes",VLOOKUP(E146,'Hardware Feature set'!B:D,3,FALSE)="No"))))</f>
        <v>0</v>
      </c>
      <c r="J146" s="3" t="b">
        <f>IF(VLOOKUP(B146,'Profile selection'!B:C,2,FALSE)="Yes",TRUE,FALSE)</f>
        <v>1</v>
      </c>
      <c r="K146"/>
      <c r="L146"/>
    </row>
    <row r="147" spans="1:12" ht="17.100000000000001" customHeight="1" x14ac:dyDescent="0.25">
      <c r="A147" t="str">
        <f>'HIDDEN import'!B146</f>
        <v>TC_E_44_CS</v>
      </c>
      <c r="B147" t="str">
        <f>'HIDDEN import'!C146</f>
        <v>Core</v>
      </c>
      <c r="C147" t="str">
        <f>'HIDDEN import'!D146</f>
        <v>Offline Behaviour - Stop transaction during offline period</v>
      </c>
      <c r="D147" t="str">
        <f>IF(VLOOKUP(A147&amp;" "&amp;B147,'HIDDEN import'!A:G,5,FALSE)="M",MD!$A$1,(IF(AND(VLOOKUP(A147,'HIDDEN import'!B:E,4,FALSE)="C",OR(NOT(ISERROR(VLOOKUP(E147,'Optional features'!B:D,1,FALSE)=E147)),NOT(ISERROR(VLOOKUP(E147,'HIDDEN calc sheet'!A:C,1,FALSE)=E147)))),MD!$A$3,MD!$A$2)))</f>
        <v>Mandatory for optional feature</v>
      </c>
      <c r="E147" t="str">
        <f>IF('HIDDEN import'!F146=0,"",'HIDDEN import'!F146)</f>
        <v>C-70 or C-71 or C-72 or C-75 or ISO 15118 support</v>
      </c>
      <c r="F147" t="str">
        <f>IF('HIDDEN import'!G146=0,"",'HIDDEN import'!G146)</f>
        <v>Local Authorization options for local start &amp; Authorization - eMAID</v>
      </c>
      <c r="G147" s="19" t="str">
        <f>IFERROR(VLOOKUP($A147,'HIDDEN Testrun Results'!$A:$B,2,FALSE),"")</f>
        <v/>
      </c>
      <c r="H147" s="3" t="b">
        <f t="shared" si="2"/>
        <v>0</v>
      </c>
      <c r="I147" s="3" t="b">
        <f>IF(VLOOKUP(A147&amp;" "&amp;B147,'HIDDEN import'!A:G,5,FALSE)="M",TRUE,IFERROR(VLOOKUP(E147,'Optional features'!B:D,3,FALSE)="Yes",IFERROR(VLOOKUP(E147,'HIDDEN calc sheet'!A:B,2,FALSE),IFERROR(VLOOKUP(E147,'Additional questions'!B:D,3,FALSE)="Yes",VLOOKUP(E147,'Hardware Feature set'!B:D,3,FALSE)="No"))))</f>
        <v>0</v>
      </c>
      <c r="J147" s="3" t="b">
        <f>IF(VLOOKUP(B147,'Profile selection'!B:C,2,FALSE)="Yes",TRUE,FALSE)</f>
        <v>1</v>
      </c>
      <c r="K147"/>
      <c r="L147"/>
    </row>
    <row r="148" spans="1:12" ht="17.100000000000001" customHeight="1" x14ac:dyDescent="0.25">
      <c r="A148" t="str">
        <f>'HIDDEN import'!B147</f>
        <v>TC_E_45_CS</v>
      </c>
      <c r="B148" t="str">
        <f>'HIDDEN import'!C147</f>
        <v>Core</v>
      </c>
      <c r="C148" t="str">
        <f>'HIDDEN import'!D147</f>
        <v>Offline Behaviour - Stop transaction during offline period - Same GroupId</v>
      </c>
      <c r="D148" t="str">
        <f>IF(VLOOKUP(A148&amp;" "&amp;B148,'HIDDEN import'!A:G,5,FALSE)="M",MD!$A$1,(IF(AND(VLOOKUP(A148,'HIDDEN import'!B:E,4,FALSE)="C",OR(NOT(ISERROR(VLOOKUP(E148,'Optional features'!B:D,1,FALSE)=E148)),NOT(ISERROR(VLOOKUP(E148,'HIDDEN calc sheet'!A:C,1,FALSE)=E148)))),MD!$A$3,MD!$A$2)))</f>
        <v>Mandatory for optional feature</v>
      </c>
      <c r="E148" t="str">
        <f>IF('HIDDEN import'!F147=0,"",'HIDDEN import'!F147)</f>
        <v>(C-70 or C-71 or C-72) AND (Local Authorization List Management or C-49)</v>
      </c>
      <c r="F148" t="str">
        <f>IF('HIDDEN import'!G147=0,"",'HIDDEN import'!G147)</f>
        <v>Local Authorization - using RFID ISO14443 / RFID ISO15693 / KeyCode and Local Authorization List or Authorization Cache</v>
      </c>
      <c r="G148" s="19" t="str">
        <f>IFERROR(VLOOKUP($A148,'HIDDEN Testrun Results'!$A:$B,2,FALSE),"")</f>
        <v/>
      </c>
      <c r="H148" s="3" t="b">
        <f t="shared" si="2"/>
        <v>0</v>
      </c>
      <c r="I148" s="3" t="b">
        <f>IF(VLOOKUP(A148&amp;" "&amp;B148,'HIDDEN import'!A:G,5,FALSE)="M",TRUE,IFERROR(VLOOKUP(E148,'Optional features'!B:D,3,FALSE)="Yes",IFERROR(VLOOKUP(E148,'HIDDEN calc sheet'!A:B,2,FALSE),IFERROR(VLOOKUP(E148,'Additional questions'!B:D,3,FALSE)="Yes",VLOOKUP(E148,'Hardware Feature set'!B:D,3,FALSE)="No"))))</f>
        <v>0</v>
      </c>
      <c r="J148" s="3" t="b">
        <f>IF(VLOOKUP(B148,'Profile selection'!B:C,2,FALSE)="Yes",TRUE,FALSE)</f>
        <v>1</v>
      </c>
      <c r="K148"/>
      <c r="L148"/>
    </row>
    <row r="149" spans="1:12" ht="17.100000000000001" customHeight="1" x14ac:dyDescent="0.25">
      <c r="A149" t="str">
        <f>'HIDDEN import'!B148</f>
        <v>TC_E_28_CS</v>
      </c>
      <c r="B149" t="str">
        <f>'HIDDEN import'!C148</f>
        <v>Core</v>
      </c>
      <c r="C149" t="str">
        <f>'HIDDEN import'!D148</f>
        <v>Check Transaction status - TransactionId unknown</v>
      </c>
      <c r="D149" t="str">
        <f>IF(VLOOKUP(A149&amp;" "&amp;B149,'HIDDEN import'!A:G,5,FALSE)="M",MD!$A$1,(IF(AND(VLOOKUP(A149,'HIDDEN import'!B:E,4,FALSE)="C",OR(NOT(ISERROR(VLOOKUP(E149,'Optional features'!B:D,1,FALSE)=E149)),NOT(ISERROR(VLOOKUP(E149,'HIDDEN calc sheet'!A:C,1,FALSE)=E149)))),MD!$A$3,MD!$A$2)))</f>
        <v>Mandatory test for a mandatory feature</v>
      </c>
      <c r="E149" t="str">
        <f>IF('HIDDEN import'!F148=0,"",'HIDDEN import'!F148)</f>
        <v/>
      </c>
      <c r="F149" t="str">
        <f>IF('HIDDEN import'!G148=0,"",'HIDDEN import'!G148)</f>
        <v/>
      </c>
      <c r="G149" s="19" t="str">
        <f>IFERROR(VLOOKUP($A149,'HIDDEN Testrun Results'!$A:$B,2,FALSE),"")</f>
        <v/>
      </c>
      <c r="H149" s="3" t="b">
        <f t="shared" si="2"/>
        <v>1</v>
      </c>
      <c r="I149" s="3" t="b">
        <f>IF(VLOOKUP(A149&amp;" "&amp;B149,'HIDDEN import'!A:G,5,FALSE)="M",TRUE,IFERROR(VLOOKUP(E149,'Optional features'!B:D,3,FALSE)="Yes",IFERROR(VLOOKUP(E149,'HIDDEN calc sheet'!A:B,2,FALSE),IFERROR(VLOOKUP(E149,'Additional questions'!B:D,3,FALSE)="Yes",VLOOKUP(E149,'Hardware Feature set'!B:D,3,FALSE)="No"))))</f>
        <v>1</v>
      </c>
      <c r="J149" s="3" t="b">
        <f>IF(VLOOKUP(B149,'Profile selection'!B:C,2,FALSE)="Yes",TRUE,FALSE)</f>
        <v>1</v>
      </c>
      <c r="K149"/>
      <c r="L149"/>
    </row>
    <row r="150" spans="1:12" ht="17.100000000000001" customHeight="1" x14ac:dyDescent="0.25">
      <c r="A150" t="str">
        <f>'HIDDEN import'!B149</f>
        <v>TC_E_29_CS</v>
      </c>
      <c r="B150" t="str">
        <f>'HIDDEN import'!C149</f>
        <v>Core</v>
      </c>
      <c r="C150" t="str">
        <f>'HIDDEN import'!D149</f>
        <v>Check Transaction status - Transaction with id ongoing - with message in queue</v>
      </c>
      <c r="D150" t="str">
        <f>IF(VLOOKUP(A150&amp;" "&amp;B150,'HIDDEN import'!A:G,5,FALSE)="M",MD!$A$1,(IF(AND(VLOOKUP(A150,'HIDDEN import'!B:E,4,FALSE)="C",OR(NOT(ISERROR(VLOOKUP(E150,'Optional features'!B:D,1,FALSE)=E150)),NOT(ISERROR(VLOOKUP(E150,'HIDDEN calc sheet'!A:C,1,FALSE)=E150)))),MD!$A$3,MD!$A$2)))</f>
        <v>Mandatory test for a mandatory feature</v>
      </c>
      <c r="E150" t="str">
        <f>IF('HIDDEN import'!F149=0,"",'HIDDEN import'!F149)</f>
        <v/>
      </c>
      <c r="F150" t="str">
        <f>IF('HIDDEN import'!G149=0,"",'HIDDEN import'!G149)</f>
        <v/>
      </c>
      <c r="G150" s="19" t="str">
        <f>IFERROR(VLOOKUP($A150,'HIDDEN Testrun Results'!$A:$B,2,FALSE),"")</f>
        <v/>
      </c>
      <c r="H150" s="3" t="b">
        <f t="shared" si="2"/>
        <v>1</v>
      </c>
      <c r="I150" s="3" t="b">
        <f>IF(VLOOKUP(A150&amp;" "&amp;B150,'HIDDEN import'!A:G,5,FALSE)="M",TRUE,IFERROR(VLOOKUP(E150,'Optional features'!B:D,3,FALSE)="Yes",IFERROR(VLOOKUP(E150,'HIDDEN calc sheet'!A:B,2,FALSE),IFERROR(VLOOKUP(E150,'Additional questions'!B:D,3,FALSE)="Yes",VLOOKUP(E150,'Hardware Feature set'!B:D,3,FALSE)="No"))))</f>
        <v>1</v>
      </c>
      <c r="J150" s="3" t="b">
        <f>IF(VLOOKUP(B150,'Profile selection'!B:C,2,FALSE)="Yes",TRUE,FALSE)</f>
        <v>1</v>
      </c>
      <c r="K150"/>
      <c r="L150"/>
    </row>
    <row r="151" spans="1:12" ht="17.100000000000001" customHeight="1" x14ac:dyDescent="0.25">
      <c r="A151" t="str">
        <f>'HIDDEN import'!B150</f>
        <v>TC_E_30_CS</v>
      </c>
      <c r="B151" t="str">
        <f>'HIDDEN import'!C150</f>
        <v>Core</v>
      </c>
      <c r="C151" t="str">
        <f>'HIDDEN import'!D150</f>
        <v>Check Transaction status - Transaction with id ongoing - without message in queue</v>
      </c>
      <c r="D151" t="str">
        <f>IF(VLOOKUP(A151&amp;" "&amp;B151,'HIDDEN import'!A:G,5,FALSE)="M",MD!$A$1,(IF(AND(VLOOKUP(A151,'HIDDEN import'!B:E,4,FALSE)="C",OR(NOT(ISERROR(VLOOKUP(E151,'Optional features'!B:D,1,FALSE)=E151)),NOT(ISERROR(VLOOKUP(E151,'HIDDEN calc sheet'!A:C,1,FALSE)=E151)))),MD!$A$3,MD!$A$2)))</f>
        <v>Mandatory test for a mandatory feature</v>
      </c>
      <c r="E151" t="str">
        <f>IF('HIDDEN import'!F150=0,"",'HIDDEN import'!F150)</f>
        <v/>
      </c>
      <c r="F151" t="str">
        <f>IF('HIDDEN import'!G150=0,"",'HIDDEN import'!G150)</f>
        <v/>
      </c>
      <c r="G151" s="19" t="str">
        <f>IFERROR(VLOOKUP($A151,'HIDDEN Testrun Results'!$A:$B,2,FALSE),"")</f>
        <v/>
      </c>
      <c r="H151" s="3" t="b">
        <f t="shared" si="2"/>
        <v>1</v>
      </c>
      <c r="I151" s="3" t="b">
        <f>IF(VLOOKUP(A151&amp;" "&amp;B151,'HIDDEN import'!A:G,5,FALSE)="M",TRUE,IFERROR(VLOOKUP(E151,'Optional features'!B:D,3,FALSE)="Yes",IFERROR(VLOOKUP(E151,'HIDDEN calc sheet'!A:B,2,FALSE),IFERROR(VLOOKUP(E151,'Additional questions'!B:D,3,FALSE)="Yes",VLOOKUP(E151,'Hardware Feature set'!B:D,3,FALSE)="No"))))</f>
        <v>1</v>
      </c>
      <c r="J151" s="3" t="b">
        <f>IF(VLOOKUP(B151,'Profile selection'!B:C,2,FALSE)="Yes",TRUE,FALSE)</f>
        <v>1</v>
      </c>
      <c r="K151"/>
      <c r="L151"/>
    </row>
    <row r="152" spans="1:12" ht="17.100000000000001" customHeight="1" x14ac:dyDescent="0.25">
      <c r="A152" t="str">
        <f>'HIDDEN import'!B151</f>
        <v>TC_E_31_CS</v>
      </c>
      <c r="B152" t="str">
        <f>'HIDDEN import'!C151</f>
        <v>Core</v>
      </c>
      <c r="C152" t="str">
        <f>'HIDDEN import'!D151</f>
        <v>Check Transaction status - Transaction with id ended - with message in queue</v>
      </c>
      <c r="D152" t="str">
        <f>IF(VLOOKUP(A152&amp;" "&amp;B152,'HIDDEN import'!A:G,5,FALSE)="M",MD!$A$1,(IF(AND(VLOOKUP(A152,'HIDDEN import'!B:E,4,FALSE)="C",OR(NOT(ISERROR(VLOOKUP(E152,'Optional features'!B:D,1,FALSE)=E152)),NOT(ISERROR(VLOOKUP(E152,'HIDDEN calc sheet'!A:C,1,FALSE)=E152)))),MD!$A$3,MD!$A$2)))</f>
        <v>Mandatory for optional feature</v>
      </c>
      <c r="E152" t="str">
        <f>IF('HIDDEN import'!F151=0,"",'HIDDEN import'!F151)</f>
        <v>NOT ( NOT ((C-30 and C-70) or (C-31 and C-71) or (C-32 and C-72) or (C-35 and C-75)) AND (NOT C-10.1 AND NOT C-10.3 AND NOT C-10.4 AND NOT C-10.5) AND NOT C-06.2 )</v>
      </c>
      <c r="F152" t="str">
        <f>IF('HIDDEN import'!G151=0,"",'HIDDEN import'!G151)</f>
        <v/>
      </c>
      <c r="G152" s="19" t="str">
        <f>IFERROR(VLOOKUP($A152,'HIDDEN Testrun Results'!$A:$B,2,FALSE),"")</f>
        <v/>
      </c>
      <c r="H152" s="3" t="b">
        <f t="shared" si="2"/>
        <v>1</v>
      </c>
      <c r="I152" s="3" t="b">
        <f>IF(VLOOKUP(A152&amp;" "&amp;B152,'HIDDEN import'!A:G,5,FALSE)="M",TRUE,IFERROR(VLOOKUP(E152,'Optional features'!B:D,3,FALSE)="Yes",IFERROR(VLOOKUP(E152,'HIDDEN calc sheet'!A:B,2,FALSE),IFERROR(VLOOKUP(E152,'Additional questions'!B:D,3,FALSE)="Yes",VLOOKUP(E152,'Hardware Feature set'!B:D,3,FALSE)="No"))))</f>
        <v>1</v>
      </c>
      <c r="J152" s="3" t="b">
        <f>IF(VLOOKUP(B152,'Profile selection'!B:C,2,FALSE)="Yes",TRUE,FALSE)</f>
        <v>1</v>
      </c>
      <c r="K152"/>
      <c r="L152"/>
    </row>
    <row r="153" spans="1:12" ht="17.100000000000001" customHeight="1" x14ac:dyDescent="0.25">
      <c r="A153" t="str">
        <f>'HIDDEN import'!B152</f>
        <v>TC_E_32_CS</v>
      </c>
      <c r="B153" t="str">
        <f>'HIDDEN import'!C152</f>
        <v>Core</v>
      </c>
      <c r="C153" t="str">
        <f>'HIDDEN import'!D152</f>
        <v>Check Transaction status - Transaction with id ended - without message in queue</v>
      </c>
      <c r="D153" t="str">
        <f>IF(VLOOKUP(A153&amp;" "&amp;B153,'HIDDEN import'!A:G,5,FALSE)="M",MD!$A$1,(IF(AND(VLOOKUP(A153,'HIDDEN import'!B:E,4,FALSE)="C",OR(NOT(ISERROR(VLOOKUP(E153,'Optional features'!B:D,1,FALSE)=E153)),NOT(ISERROR(VLOOKUP(E153,'HIDDEN calc sheet'!A:C,1,FALSE)=E153)))),MD!$A$3,MD!$A$2)))</f>
        <v>Mandatory test for a mandatory feature</v>
      </c>
      <c r="E153" t="str">
        <f>IF('HIDDEN import'!F152=0,"",'HIDDEN import'!F152)</f>
        <v/>
      </c>
      <c r="F153" t="str">
        <f>IF('HIDDEN import'!G152=0,"",'HIDDEN import'!G152)</f>
        <v/>
      </c>
      <c r="G153" s="19" t="str">
        <f>IFERROR(VLOOKUP($A153,'HIDDEN Testrun Results'!$A:$B,2,FALSE),"")</f>
        <v/>
      </c>
      <c r="H153" s="3" t="b">
        <f t="shared" si="2"/>
        <v>1</v>
      </c>
      <c r="I153" s="3" t="b">
        <f>IF(VLOOKUP(A153&amp;" "&amp;B153,'HIDDEN import'!A:G,5,FALSE)="M",TRUE,IFERROR(VLOOKUP(E153,'Optional features'!B:D,3,FALSE)="Yes",IFERROR(VLOOKUP(E153,'HIDDEN calc sheet'!A:B,2,FALSE),IFERROR(VLOOKUP(E153,'Additional questions'!B:D,3,FALSE)="Yes",VLOOKUP(E153,'Hardware Feature set'!B:D,3,FALSE)="No"))))</f>
        <v>1</v>
      </c>
      <c r="J153" s="3" t="b">
        <f>IF(VLOOKUP(B153,'Profile selection'!B:C,2,FALSE)="Yes",TRUE,FALSE)</f>
        <v>1</v>
      </c>
      <c r="K153"/>
      <c r="L153"/>
    </row>
    <row r="154" spans="1:12" ht="17.100000000000001" customHeight="1" x14ac:dyDescent="0.25">
      <c r="A154" t="str">
        <f>'HIDDEN import'!B153</f>
        <v>TC_E_33_CS</v>
      </c>
      <c r="B154" t="str">
        <f>'HIDDEN import'!C153</f>
        <v>Core</v>
      </c>
      <c r="C154" t="str">
        <f>'HIDDEN import'!D153</f>
        <v>Check Transaction status - Without transactionId - with message in queue</v>
      </c>
      <c r="D154" t="str">
        <f>IF(VLOOKUP(A154&amp;" "&amp;B154,'HIDDEN import'!A:G,5,FALSE)="M",MD!$A$1,(IF(AND(VLOOKUP(A154,'HIDDEN import'!B:E,4,FALSE)="C",OR(NOT(ISERROR(VLOOKUP(E154,'Optional features'!B:D,1,FALSE)=E154)),NOT(ISERROR(VLOOKUP(E154,'HIDDEN calc sheet'!A:C,1,FALSE)=E154)))),MD!$A$3,MD!$A$2)))</f>
        <v>Mandatory test for a mandatory feature</v>
      </c>
      <c r="E154" t="str">
        <f>IF('HIDDEN import'!F153=0,"",'HIDDEN import'!F153)</f>
        <v/>
      </c>
      <c r="F154" t="str">
        <f>IF('HIDDEN import'!G153=0,"",'HIDDEN import'!G153)</f>
        <v/>
      </c>
      <c r="G154" s="19" t="str">
        <f>IFERROR(VLOOKUP($A154,'HIDDEN Testrun Results'!$A:$B,2,FALSE),"")</f>
        <v/>
      </c>
      <c r="H154" s="3" t="b">
        <f t="shared" si="2"/>
        <v>1</v>
      </c>
      <c r="I154" s="3" t="b">
        <f>IF(VLOOKUP(A154&amp;" "&amp;B154,'HIDDEN import'!A:G,5,FALSE)="M",TRUE,IFERROR(VLOOKUP(E154,'Optional features'!B:D,3,FALSE)="Yes",IFERROR(VLOOKUP(E154,'HIDDEN calc sheet'!A:B,2,FALSE),IFERROR(VLOOKUP(E154,'Additional questions'!B:D,3,FALSE)="Yes",VLOOKUP(E154,'Hardware Feature set'!B:D,3,FALSE)="No"))))</f>
        <v>1</v>
      </c>
      <c r="J154" s="3" t="b">
        <f>IF(VLOOKUP(B154,'Profile selection'!B:C,2,FALSE)="Yes",TRUE,FALSE)</f>
        <v>1</v>
      </c>
      <c r="K154"/>
      <c r="L154"/>
    </row>
    <row r="155" spans="1:12" ht="17.100000000000001" customHeight="1" x14ac:dyDescent="0.25">
      <c r="A155" t="str">
        <f>'HIDDEN import'!B154</f>
        <v>TC_E_34_CS</v>
      </c>
      <c r="B155" t="str">
        <f>'HIDDEN import'!C154</f>
        <v>Core</v>
      </c>
      <c r="C155" t="str">
        <f>'HIDDEN import'!D154</f>
        <v>Check Transaction status - Without transactionId - without message in queue</v>
      </c>
      <c r="D155" t="str">
        <f>IF(VLOOKUP(A155&amp;" "&amp;B155,'HIDDEN import'!A:G,5,FALSE)="M",MD!$A$1,(IF(AND(VLOOKUP(A155,'HIDDEN import'!B:E,4,FALSE)="C",OR(NOT(ISERROR(VLOOKUP(E155,'Optional features'!B:D,1,FALSE)=E155)),NOT(ISERROR(VLOOKUP(E155,'HIDDEN calc sheet'!A:C,1,FALSE)=E155)))),MD!$A$3,MD!$A$2)))</f>
        <v>Mandatory test for a mandatory feature</v>
      </c>
      <c r="E155" t="str">
        <f>IF('HIDDEN import'!F154=0,"",'HIDDEN import'!F154)</f>
        <v/>
      </c>
      <c r="F155" t="str">
        <f>IF('HIDDEN import'!G154=0,"",'HIDDEN import'!G154)</f>
        <v/>
      </c>
      <c r="G155" s="19" t="str">
        <f>IFERROR(VLOOKUP($A155,'HIDDEN Testrun Results'!$A:$B,2,FALSE),"")</f>
        <v/>
      </c>
      <c r="H155" s="3" t="b">
        <f t="shared" si="2"/>
        <v>1</v>
      </c>
      <c r="I155" s="3" t="b">
        <f>IF(VLOOKUP(A155&amp;" "&amp;B155,'HIDDEN import'!A:G,5,FALSE)="M",TRUE,IFERROR(VLOOKUP(E155,'Optional features'!B:D,3,FALSE)="Yes",IFERROR(VLOOKUP(E155,'HIDDEN calc sheet'!A:B,2,FALSE),IFERROR(VLOOKUP(E155,'Additional questions'!B:D,3,FALSE)="Yes",VLOOKUP(E155,'Hardware Feature set'!B:D,3,FALSE)="No"))))</f>
        <v>1</v>
      </c>
      <c r="J155" s="3" t="b">
        <f>IF(VLOOKUP(B155,'Profile selection'!B:C,2,FALSE)="Yes",TRUE,FALSE)</f>
        <v>1</v>
      </c>
      <c r="K155"/>
      <c r="L155"/>
    </row>
    <row r="156" spans="1:12" ht="17.100000000000001" customHeight="1" x14ac:dyDescent="0.25">
      <c r="A156" t="str">
        <f>'HIDDEN import'!B155</f>
        <v>TC_F_01_CS</v>
      </c>
      <c r="B156" t="str">
        <f>'HIDDEN import'!C155</f>
        <v>Core</v>
      </c>
      <c r="C156" t="str">
        <f>'HIDDEN import'!D155</f>
        <v>Remote start transaction - Cable plugin first</v>
      </c>
      <c r="D156" t="str">
        <f>IF(VLOOKUP(A156&amp;" "&amp;B156,'HIDDEN import'!A:G,5,FALSE)="M",MD!$A$1,(IF(AND(VLOOKUP(A156,'HIDDEN import'!B:E,4,FALSE)="C",OR(NOT(ISERROR(VLOOKUP(E156,'Optional features'!B:D,1,FALSE)=E156)),NOT(ISERROR(VLOOKUP(E156,'HIDDEN calc sheet'!A:C,1,FALSE)=E156)))),MD!$A$3,MD!$A$2)))</f>
        <v>Mandatory for optional feature</v>
      </c>
      <c r="E156" t="str">
        <f>IF('HIDDEN import'!F155=0,"",'HIDDEN import'!F155)</f>
        <v>NOT AQ-2 and (C-36 or C-37 or C-38 or C-39)</v>
      </c>
      <c r="F156" t="str">
        <f>IF('HIDDEN import'!G155=0,"",'HIDDEN import'!G155)</f>
        <v>Authorization options for remote start</v>
      </c>
      <c r="G156" s="19" t="str">
        <f>IFERROR(VLOOKUP($A156,'HIDDEN Testrun Results'!$A:$B,2,FALSE),"")</f>
        <v/>
      </c>
      <c r="H156" s="3" t="b">
        <f t="shared" si="2"/>
        <v>0</v>
      </c>
      <c r="I156" s="3" t="b">
        <f>IF(VLOOKUP(A156&amp;" "&amp;B156,'HIDDEN import'!A:G,5,FALSE)="M",TRUE,IFERROR(VLOOKUP(E156,'Optional features'!B:D,3,FALSE)="Yes",IFERROR(VLOOKUP(E156,'HIDDEN calc sheet'!A:B,2,FALSE),IFERROR(VLOOKUP(E156,'Additional questions'!B:D,3,FALSE)="Yes",VLOOKUP(E156,'Hardware Feature set'!B:D,3,FALSE)="No"))))</f>
        <v>0</v>
      </c>
      <c r="J156" s="3" t="b">
        <f>IF(VLOOKUP(B156,'Profile selection'!B:C,2,FALSE)="Yes",TRUE,FALSE)</f>
        <v>1</v>
      </c>
      <c r="K156"/>
      <c r="L156"/>
    </row>
    <row r="157" spans="1:12" ht="17.100000000000001" customHeight="1" x14ac:dyDescent="0.25">
      <c r="A157" t="str">
        <f>'HIDDEN import'!B156</f>
        <v>TC_F_02_CS</v>
      </c>
      <c r="B157" t="str">
        <f>'HIDDEN import'!C156</f>
        <v>Core</v>
      </c>
      <c r="C157" t="str">
        <f>'HIDDEN import'!D156</f>
        <v>Remote start transaction - Remote start first - AuthorizeRemoteStart is true</v>
      </c>
      <c r="D157" t="str">
        <f>IF(VLOOKUP(A157&amp;" "&amp;B157,'HIDDEN import'!A:G,5,FALSE)="M",MD!$A$1,(IF(AND(VLOOKUP(A157,'HIDDEN import'!B:E,4,FALSE)="C",OR(NOT(ISERROR(VLOOKUP(E157,'Optional features'!B:D,1,FALSE)=E157)),NOT(ISERROR(VLOOKUP(E157,'HIDDEN calc sheet'!A:C,1,FALSE)=E157)))),MD!$A$3,MD!$A$2)))</f>
        <v>Mandatory for optional feature</v>
      </c>
      <c r="E157" t="str">
        <f>IF('HIDDEN import'!F156=0,"",'HIDDEN import'!F156)</f>
        <v>C-48.1 and (C-36 or C-37 or C-38 or C-39)</v>
      </c>
      <c r="F157" t="str">
        <f>IF('HIDDEN import'!G156=0,"",'HIDDEN import'!G156)</f>
        <v>Authorization options for remote start</v>
      </c>
      <c r="G157" s="19" t="str">
        <f>IFERROR(VLOOKUP($A157,'HIDDEN Testrun Results'!$A:$B,2,FALSE),"")</f>
        <v/>
      </c>
      <c r="H157" s="3" t="b">
        <f t="shared" si="2"/>
        <v>0</v>
      </c>
      <c r="I157" s="3" t="b">
        <f>IF(VLOOKUP(A157&amp;" "&amp;B157,'HIDDEN import'!A:G,5,FALSE)="M",TRUE,IFERROR(VLOOKUP(E157,'Optional features'!B:D,3,FALSE)="Yes",IFERROR(VLOOKUP(E157,'HIDDEN calc sheet'!A:B,2,FALSE),IFERROR(VLOOKUP(E157,'Additional questions'!B:D,3,FALSE)="Yes",VLOOKUP(E157,'Hardware Feature set'!B:D,3,FALSE)="No"))))</f>
        <v>0</v>
      </c>
      <c r="J157" s="3" t="b">
        <f>IF(VLOOKUP(B157,'Profile selection'!B:C,2,FALSE)="Yes",TRUE,FALSE)</f>
        <v>1</v>
      </c>
      <c r="K157"/>
      <c r="L157"/>
    </row>
    <row r="158" spans="1:12" ht="17.100000000000001" customHeight="1" x14ac:dyDescent="0.25">
      <c r="A158" t="str">
        <f>'HIDDEN import'!B157</f>
        <v>TC_F_03_CS</v>
      </c>
      <c r="B158" t="str">
        <f>'HIDDEN import'!C157</f>
        <v>Core</v>
      </c>
      <c r="C158" t="str">
        <f>'HIDDEN import'!D157</f>
        <v>Remote start transaction - Remote start first - AuthorizeRemoteStart is false</v>
      </c>
      <c r="D158" t="str">
        <f>IF(VLOOKUP(A158&amp;" "&amp;B158,'HIDDEN import'!A:G,5,FALSE)="M",MD!$A$1,(IF(AND(VLOOKUP(A158,'HIDDEN import'!B:E,4,FALSE)="C",OR(NOT(ISERROR(VLOOKUP(E158,'Optional features'!B:D,1,FALSE)=E158)),NOT(ISERROR(VLOOKUP(E158,'HIDDEN calc sheet'!A:C,1,FALSE)=E158)))),MD!$A$3,MD!$A$2)))</f>
        <v>Mandatory for optional feature</v>
      </c>
      <c r="E158" t="str">
        <f>IF('HIDDEN import'!F157=0,"",'HIDDEN import'!F157)</f>
        <v>C-48.2 and (C-36 or C-37 or C-38 or C-39)</v>
      </c>
      <c r="F158" t="str">
        <f>IF('HIDDEN import'!G157=0,"",'HIDDEN import'!G157)</f>
        <v>Authorization options for remote start</v>
      </c>
      <c r="G158" s="19" t="str">
        <f>IFERROR(VLOOKUP($A158,'HIDDEN Testrun Results'!$A:$B,2,FALSE),"")</f>
        <v/>
      </c>
      <c r="H158" s="3" t="b">
        <f t="shared" si="2"/>
        <v>0</v>
      </c>
      <c r="I158" s="3" t="b">
        <f>IF(VLOOKUP(A158&amp;" "&amp;B158,'HIDDEN import'!A:G,5,FALSE)="M",TRUE,IFERROR(VLOOKUP(E158,'Optional features'!B:D,3,FALSE)="Yes",IFERROR(VLOOKUP(E158,'HIDDEN calc sheet'!A:B,2,FALSE),IFERROR(VLOOKUP(E158,'Additional questions'!B:D,3,FALSE)="Yes",VLOOKUP(E158,'Hardware Feature set'!B:D,3,FALSE)="No"))))</f>
        <v>0</v>
      </c>
      <c r="J158" s="3" t="b">
        <f>IF(VLOOKUP(B158,'Profile selection'!B:C,2,FALSE)="Yes",TRUE,FALSE)</f>
        <v>1</v>
      </c>
      <c r="K158"/>
      <c r="L158"/>
    </row>
    <row r="159" spans="1:12" ht="17.100000000000001" customHeight="1" x14ac:dyDescent="0.25">
      <c r="A159" t="str">
        <f>'HIDDEN import'!B158</f>
        <v>TC_F_04_CS</v>
      </c>
      <c r="B159" t="str">
        <f>'HIDDEN import'!C158</f>
        <v>Core</v>
      </c>
      <c r="C159" t="str">
        <f>'HIDDEN import'!D158</f>
        <v>Remote start transaction - Remote start first - Cable plugin timeout</v>
      </c>
      <c r="D159" t="str">
        <f>IF(VLOOKUP(A159&amp;" "&amp;B159,'HIDDEN import'!A:G,5,FALSE)="M",MD!$A$1,(IF(AND(VLOOKUP(A159,'HIDDEN import'!B:E,4,FALSE)="C",OR(NOT(ISERROR(VLOOKUP(E159,'Optional features'!B:D,1,FALSE)=E159)),NOT(ISERROR(VLOOKUP(E159,'HIDDEN calc sheet'!A:C,1,FALSE)=E159)))),MD!$A$3,MD!$A$2)))</f>
        <v>Mandatory for optional feature</v>
      </c>
      <c r="E159" t="str">
        <f>IF('HIDDEN import'!F158=0,"",'HIDDEN import'!F158)</f>
        <v>NOT HFS-13</v>
      </c>
      <c r="F159" t="str">
        <f>IF('HIDDEN import'!G158=0,"",'HIDDEN import'!G158)</f>
        <v/>
      </c>
      <c r="G159" s="19" t="str">
        <f>IFERROR(VLOOKUP($A159,'HIDDEN Testrun Results'!$A:$B,2,FALSE),"")</f>
        <v/>
      </c>
      <c r="H159" s="3" t="b">
        <f t="shared" si="2"/>
        <v>1</v>
      </c>
      <c r="I159" s="3" t="b">
        <f>IF(VLOOKUP(A159&amp;" "&amp;B159,'HIDDEN import'!A:G,5,FALSE)="M",TRUE,IFERROR(VLOOKUP(E159,'Optional features'!B:D,3,FALSE)="Yes",IFERROR(VLOOKUP(E159,'HIDDEN calc sheet'!A:B,2,FALSE),IFERROR(VLOOKUP(E159,'Additional questions'!B:D,3,FALSE)="Yes",VLOOKUP(E159,'Hardware Feature set'!B:D,3,FALSE)="No"))))</f>
        <v>1</v>
      </c>
      <c r="J159" s="3" t="b">
        <f>IF(VLOOKUP(B159,'Profile selection'!B:C,2,FALSE)="Yes",TRUE,FALSE)</f>
        <v>1</v>
      </c>
      <c r="K159"/>
      <c r="L159"/>
    </row>
    <row r="160" spans="1:12" ht="17.100000000000001" customHeight="1" x14ac:dyDescent="0.25">
      <c r="A160" t="str">
        <f>'HIDDEN import'!B159</f>
        <v>TC_F_08_CS</v>
      </c>
      <c r="B160" t="str">
        <f>'HIDDEN import'!C159</f>
        <v>Core</v>
      </c>
      <c r="C160" t="str">
        <f>'HIDDEN import'!D159</f>
        <v>Remote stop transaction - Success</v>
      </c>
      <c r="D160" t="str">
        <f>IF(VLOOKUP(A160&amp;" "&amp;B160,'HIDDEN import'!A:G,5,FALSE)="M",MD!$A$1,(IF(AND(VLOOKUP(A160,'HIDDEN import'!B:E,4,FALSE)="C",OR(NOT(ISERROR(VLOOKUP(E160,'Optional features'!B:D,1,FALSE)=E160)),NOT(ISERROR(VLOOKUP(E160,'HIDDEN calc sheet'!A:C,1,FALSE)=E160)))),MD!$A$3,MD!$A$2)))</f>
        <v>Mandatory test for a mandatory feature</v>
      </c>
      <c r="E160" t="str">
        <f>IF('HIDDEN import'!F159=0,"",'HIDDEN import'!F159)</f>
        <v/>
      </c>
      <c r="F160" t="str">
        <f>IF('HIDDEN import'!G159=0,"",'HIDDEN import'!G159)</f>
        <v/>
      </c>
      <c r="G160" s="19" t="str">
        <f>IFERROR(VLOOKUP($A160,'HIDDEN Testrun Results'!$A:$B,2,FALSE),"")</f>
        <v/>
      </c>
      <c r="H160" s="3" t="b">
        <f t="shared" si="2"/>
        <v>1</v>
      </c>
      <c r="I160" s="3" t="b">
        <f>IF(VLOOKUP(A160&amp;" "&amp;B160,'HIDDEN import'!A:G,5,FALSE)="M",TRUE,IFERROR(VLOOKUP(E160,'Optional features'!B:D,3,FALSE)="Yes",IFERROR(VLOOKUP(E160,'HIDDEN calc sheet'!A:B,2,FALSE),IFERROR(VLOOKUP(E160,'Additional questions'!B:D,3,FALSE)="Yes",VLOOKUP(E160,'Hardware Feature set'!B:D,3,FALSE)="No"))))</f>
        <v>1</v>
      </c>
      <c r="J160" s="3" t="b">
        <f>IF(VLOOKUP(B160,'Profile selection'!B:C,2,FALSE)="Yes",TRUE,FALSE)</f>
        <v>1</v>
      </c>
      <c r="K160"/>
      <c r="L160"/>
    </row>
    <row r="161" spans="1:12" ht="17.100000000000001" customHeight="1" x14ac:dyDescent="0.25">
      <c r="A161" t="str">
        <f>'HIDDEN import'!B160</f>
        <v>TC_F_09_CS</v>
      </c>
      <c r="B161" t="str">
        <f>'HIDDEN import'!C160</f>
        <v>Core</v>
      </c>
      <c r="C161" t="str">
        <f>'HIDDEN import'!D160</f>
        <v>Remote stop transaction - Rejected</v>
      </c>
      <c r="D161" t="str">
        <f>IF(VLOOKUP(A161&amp;" "&amp;B161,'HIDDEN import'!A:G,5,FALSE)="M",MD!$A$1,(IF(AND(VLOOKUP(A161,'HIDDEN import'!B:E,4,FALSE)="C",OR(NOT(ISERROR(VLOOKUP(E161,'Optional features'!B:D,1,FALSE)=E161)),NOT(ISERROR(VLOOKUP(E161,'HIDDEN calc sheet'!A:C,1,FALSE)=E161)))),MD!$A$3,MD!$A$2)))</f>
        <v>Mandatory test for a mandatory feature</v>
      </c>
      <c r="E161" t="str">
        <f>IF('HIDDEN import'!F160=0,"",'HIDDEN import'!F160)</f>
        <v/>
      </c>
      <c r="F161" t="str">
        <f>IF('HIDDEN import'!G160=0,"",'HIDDEN import'!G160)</f>
        <v/>
      </c>
      <c r="G161" s="19" t="str">
        <f>IFERROR(VLOOKUP($A161,'HIDDEN Testrun Results'!$A:$B,2,FALSE),"")</f>
        <v/>
      </c>
      <c r="H161" s="3" t="b">
        <f t="shared" si="2"/>
        <v>1</v>
      </c>
      <c r="I161" s="3" t="b">
        <f>IF(VLOOKUP(A161&amp;" "&amp;B161,'HIDDEN import'!A:G,5,FALSE)="M",TRUE,IFERROR(VLOOKUP(E161,'Optional features'!B:D,3,FALSE)="Yes",IFERROR(VLOOKUP(E161,'HIDDEN calc sheet'!A:B,2,FALSE),IFERROR(VLOOKUP(E161,'Additional questions'!B:D,3,FALSE)="Yes",VLOOKUP(E161,'Hardware Feature set'!B:D,3,FALSE)="No"))))</f>
        <v>1</v>
      </c>
      <c r="J161" s="3" t="b">
        <f>IF(VLOOKUP(B161,'Profile selection'!B:C,2,FALSE)="Yes",TRUE,FALSE)</f>
        <v>1</v>
      </c>
      <c r="K161"/>
      <c r="L161"/>
    </row>
    <row r="162" spans="1:12" ht="17.100000000000001" customHeight="1" x14ac:dyDescent="0.25">
      <c r="A162" t="str">
        <f>'HIDDEN import'!B161</f>
        <v>TC_F_05_CS</v>
      </c>
      <c r="B162" t="str">
        <f>'HIDDEN import'!C161</f>
        <v>Core</v>
      </c>
      <c r="C162" t="str">
        <f>'HIDDEN import'!D161</f>
        <v>Remote unlock Connector - With ongoing transaction</v>
      </c>
      <c r="D162" t="str">
        <f>IF(VLOOKUP(A162&amp;" "&amp;B162,'HIDDEN import'!A:G,5,FALSE)="M",MD!$A$1,(IF(AND(VLOOKUP(A162,'HIDDEN import'!B:E,4,FALSE)="C",OR(NOT(ISERROR(VLOOKUP(E162,'Optional features'!B:D,1,FALSE)=E162)),NOT(ISERROR(VLOOKUP(E162,'HIDDEN calc sheet'!A:C,1,FALSE)=E162)))),MD!$A$3,MD!$A$2)))</f>
        <v>Mandatory for optional feature</v>
      </c>
      <c r="E162" t="str">
        <f>IF('HIDDEN import'!F161=0,"",'HIDDEN import'!F161)</f>
        <v>HFS-1 and AQ-18</v>
      </c>
      <c r="F162" t="str">
        <f>IF('HIDDEN import'!G161=0,"",'HIDDEN import'!G161)</f>
        <v/>
      </c>
      <c r="G162" s="19" t="str">
        <f>IFERROR(VLOOKUP($A162,'HIDDEN Testrun Results'!$A:$B,2,FALSE),"")</f>
        <v/>
      </c>
      <c r="H162" s="3" t="b">
        <f t="shared" si="2"/>
        <v>0</v>
      </c>
      <c r="I162" s="3" t="b">
        <f>IF(VLOOKUP(A162&amp;" "&amp;B162,'HIDDEN import'!A:G,5,FALSE)="M",TRUE,IFERROR(VLOOKUP(E162,'Optional features'!B:D,3,FALSE)="Yes",IFERROR(VLOOKUP(E162,'HIDDEN calc sheet'!A:B,2,FALSE),IFERROR(VLOOKUP(E162,'Additional questions'!B:D,3,FALSE)="Yes",VLOOKUP(E162,'Hardware Feature set'!B:D,3,FALSE)="No"))))</f>
        <v>0</v>
      </c>
      <c r="J162" s="3" t="b">
        <f>IF(VLOOKUP(B162,'Profile selection'!B:C,2,FALSE)="Yes",TRUE,FALSE)</f>
        <v>1</v>
      </c>
      <c r="K162"/>
      <c r="L162"/>
    </row>
    <row r="163" spans="1:12" ht="17.100000000000001" customHeight="1" x14ac:dyDescent="0.25">
      <c r="A163" t="str">
        <f>'HIDDEN import'!B162</f>
        <v>TC_F_06_CS</v>
      </c>
      <c r="B163" t="str">
        <f>'HIDDEN import'!C162</f>
        <v>Core</v>
      </c>
      <c r="C163" t="str">
        <f>'HIDDEN import'!D162</f>
        <v>Remote unlock Connector - Without ongoing transaction - Accepted</v>
      </c>
      <c r="D163" t="str">
        <f>IF(VLOOKUP(A163&amp;" "&amp;B163,'HIDDEN import'!A:G,5,FALSE)="M",MD!$A$1,(IF(AND(VLOOKUP(A163,'HIDDEN import'!B:E,4,FALSE)="C",OR(NOT(ISERROR(VLOOKUP(E163,'Optional features'!B:D,1,FALSE)=E163)),NOT(ISERROR(VLOOKUP(E163,'HIDDEN calc sheet'!A:C,1,FALSE)=E163)))),MD!$A$3,MD!$A$2)))</f>
        <v>Mandatory for optional feature</v>
      </c>
      <c r="E163" t="str">
        <f>IF('HIDDEN import'!F162=0,"",'HIDDEN import'!F162)</f>
        <v>HFS-1 and AQ-18</v>
      </c>
      <c r="F163" t="str">
        <f>IF('HIDDEN import'!G162=0,"",'HIDDEN import'!G162)</f>
        <v/>
      </c>
      <c r="G163" s="19" t="str">
        <f>IFERROR(VLOOKUP($A163,'HIDDEN Testrun Results'!$A:$B,2,FALSE),"")</f>
        <v/>
      </c>
      <c r="H163" s="3" t="b">
        <f t="shared" si="2"/>
        <v>0</v>
      </c>
      <c r="I163" s="3" t="b">
        <f>IF(VLOOKUP(A163&amp;" "&amp;B163,'HIDDEN import'!A:G,5,FALSE)="M",TRUE,IFERROR(VLOOKUP(E163,'Optional features'!B:D,3,FALSE)="Yes",IFERROR(VLOOKUP(E163,'HIDDEN calc sheet'!A:B,2,FALSE),IFERROR(VLOOKUP(E163,'Additional questions'!B:D,3,FALSE)="Yes",VLOOKUP(E163,'Hardware Feature set'!B:D,3,FALSE)="No"))))</f>
        <v>0</v>
      </c>
      <c r="J163" s="3" t="b">
        <f>IF(VLOOKUP(B163,'Profile selection'!B:C,2,FALSE)="Yes",TRUE,FALSE)</f>
        <v>1</v>
      </c>
      <c r="K163"/>
      <c r="L163"/>
    </row>
    <row r="164" spans="1:12" ht="17.100000000000001" customHeight="1" x14ac:dyDescent="0.25">
      <c r="A164" t="str">
        <f>'HIDDEN import'!B163</f>
        <v>TC_F_07_CS</v>
      </c>
      <c r="B164" t="str">
        <f>'HIDDEN import'!C163</f>
        <v>Core</v>
      </c>
      <c r="C164" t="str">
        <f>'HIDDEN import'!D163</f>
        <v>Remote unlock Connector - Without ongoing transaction - No cable connected</v>
      </c>
      <c r="D164" t="str">
        <f>IF(VLOOKUP(A164&amp;" "&amp;B164,'HIDDEN import'!A:G,5,FALSE)="M",MD!$A$1,(IF(AND(VLOOKUP(A164,'HIDDEN import'!B:E,4,FALSE)="C",OR(NOT(ISERROR(VLOOKUP(E164,'Optional features'!B:D,1,FALSE)=E164)),NOT(ISERROR(VLOOKUP(E164,'HIDDEN calc sheet'!A:C,1,FALSE)=E164)))),MD!$A$3,MD!$A$2)))</f>
        <v>Mandatory for optional feature</v>
      </c>
      <c r="E164" t="str">
        <f>IF('HIDDEN import'!F163=0,"",'HIDDEN import'!F163)</f>
        <v>HFS-1 and AQ-18</v>
      </c>
      <c r="F164" t="str">
        <f>IF('HIDDEN import'!G163=0,"",'HIDDEN import'!G163)</f>
        <v/>
      </c>
      <c r="G164" s="19" t="str">
        <f>IFERROR(VLOOKUP($A164,'HIDDEN Testrun Results'!$A:$B,2,FALSE),"")</f>
        <v/>
      </c>
      <c r="H164" s="3" t="b">
        <f t="shared" si="2"/>
        <v>0</v>
      </c>
      <c r="I164" s="3" t="b">
        <f>IF(VLOOKUP(A164&amp;" "&amp;B164,'HIDDEN import'!A:G,5,FALSE)="M",TRUE,IFERROR(VLOOKUP(E164,'Optional features'!B:D,3,FALSE)="Yes",IFERROR(VLOOKUP(E164,'HIDDEN calc sheet'!A:B,2,FALSE),IFERROR(VLOOKUP(E164,'Additional questions'!B:D,3,FALSE)="Yes",VLOOKUP(E164,'Hardware Feature set'!B:D,3,FALSE)="No"))))</f>
        <v>0</v>
      </c>
      <c r="J164" s="3" t="b">
        <f>IF(VLOOKUP(B164,'Profile selection'!B:C,2,FALSE)="Yes",TRUE,FALSE)</f>
        <v>1</v>
      </c>
      <c r="K164"/>
      <c r="L164"/>
    </row>
    <row r="165" spans="1:12" ht="17.100000000000001" customHeight="1" x14ac:dyDescent="0.25">
      <c r="A165" t="str">
        <f>'HIDDEN import'!B164</f>
        <v>TC_F_10_CS</v>
      </c>
      <c r="B165" t="str">
        <f>'HIDDEN import'!C164</f>
        <v>Core</v>
      </c>
      <c r="C165" t="str">
        <f>'HIDDEN import'!D164</f>
        <v>Remote unlock Connector - Without ongoing transaction - UnknownConnector</v>
      </c>
      <c r="D165" t="str">
        <f>IF(VLOOKUP(A165&amp;" "&amp;B165,'HIDDEN import'!A:G,5,FALSE)="M",MD!$A$1,(IF(AND(VLOOKUP(A165,'HIDDEN import'!B:E,4,FALSE)="C",OR(NOT(ISERROR(VLOOKUP(E165,'Optional features'!B:D,1,FALSE)=E165)),NOT(ISERROR(VLOOKUP(E165,'HIDDEN calc sheet'!A:C,1,FALSE)=E165)))),MD!$A$3,MD!$A$2)))</f>
        <v>Mandatory for optional feature</v>
      </c>
      <c r="E165" t="str">
        <f>IF('HIDDEN import'!F164=0,"",'HIDDEN import'!F164)</f>
        <v>HFS-1 and AQ-18</v>
      </c>
      <c r="F165" t="str">
        <f>IF('HIDDEN import'!G164=0,"",'HIDDEN import'!G164)</f>
        <v/>
      </c>
      <c r="G165" s="19" t="str">
        <f>IFERROR(VLOOKUP($A165,'HIDDEN Testrun Results'!$A:$B,2,FALSE),"")</f>
        <v/>
      </c>
      <c r="H165" s="3" t="b">
        <f t="shared" si="2"/>
        <v>0</v>
      </c>
      <c r="I165" s="3" t="b">
        <f>IF(VLOOKUP(A165&amp;" "&amp;B165,'HIDDEN import'!A:G,5,FALSE)="M",TRUE,IFERROR(VLOOKUP(E165,'Optional features'!B:D,3,FALSE)="Yes",IFERROR(VLOOKUP(E165,'HIDDEN calc sheet'!A:B,2,FALSE),IFERROR(VLOOKUP(E165,'Additional questions'!B:D,3,FALSE)="Yes",VLOOKUP(E165,'Hardware Feature set'!B:D,3,FALSE)="No"))))</f>
        <v>0</v>
      </c>
      <c r="J165" s="3" t="b">
        <f>IF(VLOOKUP(B165,'Profile selection'!B:C,2,FALSE)="Yes",TRUE,FALSE)</f>
        <v>1</v>
      </c>
      <c r="K165"/>
      <c r="L165"/>
    </row>
    <row r="166" spans="1:12" ht="17.100000000000001" customHeight="1" x14ac:dyDescent="0.25">
      <c r="A166" t="str">
        <f>'HIDDEN import'!B165</f>
        <v>TC_F_11_CS</v>
      </c>
      <c r="B166" t="str">
        <f>'HIDDEN import'!C165</f>
        <v>Core</v>
      </c>
      <c r="C166" t="str">
        <f>'HIDDEN import'!D165</f>
        <v>Trigger message - MeterValues - Specific EVSE</v>
      </c>
      <c r="D166" t="str">
        <f>IF(VLOOKUP(A166&amp;" "&amp;B166,'HIDDEN import'!A:G,5,FALSE)="M",MD!$A$1,(IF(AND(VLOOKUP(A166,'HIDDEN import'!B:E,4,FALSE)="C",OR(NOT(ISERROR(VLOOKUP(E166,'Optional features'!B:D,1,FALSE)=E166)),NOT(ISERROR(VLOOKUP(E166,'HIDDEN calc sheet'!A:C,1,FALSE)=E166)))),MD!$A$3,MD!$A$2)))</f>
        <v>Mandatory for optional feature</v>
      </c>
      <c r="E166" t="str">
        <f>IF('HIDDEN import'!F165=0,"",'HIDDEN import'!F165)</f>
        <v>C-29.1</v>
      </c>
      <c r="F166" t="str">
        <f>IF('HIDDEN import'!G165=0,"",'HIDDEN import'!G165)</f>
        <v>TriggerMessage</v>
      </c>
      <c r="G166" s="19" t="str">
        <f>IFERROR(VLOOKUP($A166,'HIDDEN Testrun Results'!$A:$B,2,FALSE),"")</f>
        <v/>
      </c>
      <c r="H166" s="3" t="b">
        <f t="shared" si="2"/>
        <v>0</v>
      </c>
      <c r="I166" s="3" t="b">
        <f>IF(VLOOKUP(A166&amp;" "&amp;B166,'HIDDEN import'!A:G,5,FALSE)="M",TRUE,IFERROR(VLOOKUP(E166,'Optional features'!B:D,3,FALSE)="Yes",IFERROR(VLOOKUP(E166,'HIDDEN calc sheet'!A:B,2,FALSE),IFERROR(VLOOKUP(E166,'Additional questions'!B:D,3,FALSE)="Yes",VLOOKUP(E166,'Hardware Feature set'!B:D,3,FALSE)="No"))))</f>
        <v>0</v>
      </c>
      <c r="J166" s="3" t="b">
        <f>IF(VLOOKUP(B166,'Profile selection'!B:C,2,FALSE)="Yes",TRUE,FALSE)</f>
        <v>1</v>
      </c>
      <c r="K166"/>
      <c r="L166"/>
    </row>
    <row r="167" spans="1:12" ht="17.100000000000001" customHeight="1" x14ac:dyDescent="0.25">
      <c r="A167" t="str">
        <f>'HIDDEN import'!B166</f>
        <v>TC_F_12_CS</v>
      </c>
      <c r="B167" t="str">
        <f>'HIDDEN import'!C166</f>
        <v>Core</v>
      </c>
      <c r="C167" t="str">
        <f>'HIDDEN import'!D166</f>
        <v>Trigger message - MeterValues - All EVSE</v>
      </c>
      <c r="D167" t="str">
        <f>IF(VLOOKUP(A167&amp;" "&amp;B167,'HIDDEN import'!A:G,5,FALSE)="M",MD!$A$1,(IF(AND(VLOOKUP(A167,'HIDDEN import'!B:E,4,FALSE)="C",OR(NOT(ISERROR(VLOOKUP(E167,'Optional features'!B:D,1,FALSE)=E167)),NOT(ISERROR(VLOOKUP(E167,'HIDDEN calc sheet'!A:C,1,FALSE)=E167)))),MD!$A$3,MD!$A$2)))</f>
        <v>Mandatory for optional feature</v>
      </c>
      <c r="E167" t="str">
        <f>IF('HIDDEN import'!F166=0,"",'HIDDEN import'!F166)</f>
        <v>C-29.1</v>
      </c>
      <c r="F167" t="str">
        <f>IF('HIDDEN import'!G166=0,"",'HIDDEN import'!G166)</f>
        <v>TriggerMessage</v>
      </c>
      <c r="G167" s="19" t="str">
        <f>IFERROR(VLOOKUP($A167,'HIDDEN Testrun Results'!$A:$B,2,FALSE),"")</f>
        <v/>
      </c>
      <c r="H167" s="3" t="b">
        <f t="shared" si="2"/>
        <v>0</v>
      </c>
      <c r="I167" s="3" t="b">
        <f>IF(VLOOKUP(A167&amp;" "&amp;B167,'HIDDEN import'!A:G,5,FALSE)="M",TRUE,IFERROR(VLOOKUP(E167,'Optional features'!B:D,3,FALSE)="Yes",IFERROR(VLOOKUP(E167,'HIDDEN calc sheet'!A:B,2,FALSE),IFERROR(VLOOKUP(E167,'Additional questions'!B:D,3,FALSE)="Yes",VLOOKUP(E167,'Hardware Feature set'!B:D,3,FALSE)="No"))))</f>
        <v>0</v>
      </c>
      <c r="J167" s="3" t="b">
        <f>IF(VLOOKUP(B167,'Profile selection'!B:C,2,FALSE)="Yes",TRUE,FALSE)</f>
        <v>1</v>
      </c>
      <c r="K167"/>
      <c r="L167"/>
    </row>
    <row r="168" spans="1:12" ht="17.100000000000001" customHeight="1" x14ac:dyDescent="0.25">
      <c r="A168" t="str">
        <f>'HIDDEN import'!B167</f>
        <v>TC_F_13_CS</v>
      </c>
      <c r="B168" t="str">
        <f>'HIDDEN import'!C167</f>
        <v>Core</v>
      </c>
      <c r="C168" t="str">
        <f>'HIDDEN import'!D167</f>
        <v>Trigger message - TransactionEvent - Specific EVSE</v>
      </c>
      <c r="D168" t="str">
        <f>IF(VLOOKUP(A168&amp;" "&amp;B168,'HIDDEN import'!A:G,5,FALSE)="M",MD!$A$1,(IF(AND(VLOOKUP(A168,'HIDDEN import'!B:E,4,FALSE)="C",OR(NOT(ISERROR(VLOOKUP(E168,'Optional features'!B:D,1,FALSE)=E168)),NOT(ISERROR(VLOOKUP(E168,'HIDDEN calc sheet'!A:C,1,FALSE)=E168)))),MD!$A$3,MD!$A$2)))</f>
        <v>Mandatory for optional feature</v>
      </c>
      <c r="E168" t="str">
        <f>IF('HIDDEN import'!F167=0,"",'HIDDEN import'!F167)</f>
        <v>C-29.2</v>
      </c>
      <c r="F168" t="str">
        <f>IF('HIDDEN import'!G167=0,"",'HIDDEN import'!G167)</f>
        <v>TriggerMessage</v>
      </c>
      <c r="G168" s="19" t="str">
        <f>IFERROR(VLOOKUP($A168,'HIDDEN Testrun Results'!$A:$B,2,FALSE),"")</f>
        <v/>
      </c>
      <c r="H168" s="3" t="b">
        <f t="shared" si="2"/>
        <v>0</v>
      </c>
      <c r="I168" s="3" t="b">
        <f>IF(VLOOKUP(A168&amp;" "&amp;B168,'HIDDEN import'!A:G,5,FALSE)="M",TRUE,IFERROR(VLOOKUP(E168,'Optional features'!B:D,3,FALSE)="Yes",IFERROR(VLOOKUP(E168,'HIDDEN calc sheet'!A:B,2,FALSE),IFERROR(VLOOKUP(E168,'Additional questions'!B:D,3,FALSE)="Yes",VLOOKUP(E168,'Hardware Feature set'!B:D,3,FALSE)="No"))))</f>
        <v>0</v>
      </c>
      <c r="J168" s="3" t="b">
        <f>IF(VLOOKUP(B168,'Profile selection'!B:C,2,FALSE)="Yes",TRUE,FALSE)</f>
        <v>1</v>
      </c>
      <c r="K168"/>
      <c r="L168"/>
    </row>
    <row r="169" spans="1:12" ht="17.100000000000001" customHeight="1" x14ac:dyDescent="0.25">
      <c r="A169" t="str">
        <f>'HIDDEN import'!B168</f>
        <v>TC_F_14_CS</v>
      </c>
      <c r="B169" t="str">
        <f>'HIDDEN import'!C168</f>
        <v>Core</v>
      </c>
      <c r="C169" t="str">
        <f>'HIDDEN import'!D168</f>
        <v>Trigger message - TransactionEvent - All EVSE</v>
      </c>
      <c r="D169" t="str">
        <f>IF(VLOOKUP(A169&amp;" "&amp;B169,'HIDDEN import'!A:G,5,FALSE)="M",MD!$A$1,(IF(AND(VLOOKUP(A169,'HIDDEN import'!B:E,4,FALSE)="C",OR(NOT(ISERROR(VLOOKUP(E169,'Optional features'!B:D,1,FALSE)=E169)),NOT(ISERROR(VLOOKUP(E169,'HIDDEN calc sheet'!A:C,1,FALSE)=E169)))),MD!$A$3,MD!$A$2)))</f>
        <v>Mandatory for optional feature</v>
      </c>
      <c r="E169" t="str">
        <f>IF('HIDDEN import'!F168=0,"",'HIDDEN import'!F168)</f>
        <v>C-29.2</v>
      </c>
      <c r="F169" t="str">
        <f>IF('HIDDEN import'!G168=0,"",'HIDDEN import'!G168)</f>
        <v>TriggerMessage</v>
      </c>
      <c r="G169" s="19" t="str">
        <f>IFERROR(VLOOKUP($A169,'HIDDEN Testrun Results'!$A:$B,2,FALSE),"")</f>
        <v/>
      </c>
      <c r="H169" s="3" t="b">
        <f t="shared" si="2"/>
        <v>0</v>
      </c>
      <c r="I169" s="3" t="b">
        <f>IF(VLOOKUP(A169&amp;" "&amp;B169,'HIDDEN import'!A:G,5,FALSE)="M",TRUE,IFERROR(VLOOKUP(E169,'Optional features'!B:D,3,FALSE)="Yes",IFERROR(VLOOKUP(E169,'HIDDEN calc sheet'!A:B,2,FALSE),IFERROR(VLOOKUP(E169,'Additional questions'!B:D,3,FALSE)="Yes",VLOOKUP(E169,'Hardware Feature set'!B:D,3,FALSE)="No"))))</f>
        <v>0</v>
      </c>
      <c r="J169" s="3" t="b">
        <f>IF(VLOOKUP(B169,'Profile selection'!B:C,2,FALSE)="Yes",TRUE,FALSE)</f>
        <v>1</v>
      </c>
      <c r="K169"/>
      <c r="L169"/>
    </row>
    <row r="170" spans="1:12" ht="17.100000000000001" customHeight="1" x14ac:dyDescent="0.25">
      <c r="A170" t="str">
        <f>'HIDDEN import'!B169</f>
        <v>TC_F_15_CS</v>
      </c>
      <c r="B170" t="str">
        <f>'HIDDEN import'!C169</f>
        <v>Core</v>
      </c>
      <c r="C170" t="str">
        <f>'HIDDEN import'!D169</f>
        <v>Trigger message - LogStatusNotification - Idle</v>
      </c>
      <c r="D170" t="str">
        <f>IF(VLOOKUP(A170&amp;" "&amp;B170,'HIDDEN import'!A:G,5,FALSE)="M",MD!$A$1,(IF(AND(VLOOKUP(A170,'HIDDEN import'!B:E,4,FALSE)="C",OR(NOT(ISERROR(VLOOKUP(E170,'Optional features'!B:D,1,FALSE)=E170)),NOT(ISERROR(VLOOKUP(E170,'HIDDEN calc sheet'!A:C,1,FALSE)=E170)))),MD!$A$3,MD!$A$2)))</f>
        <v>Mandatory for optional feature</v>
      </c>
      <c r="E170" t="str">
        <f>IF('HIDDEN import'!F169=0,"",'HIDDEN import'!F169)</f>
        <v>C-29.3</v>
      </c>
      <c r="F170" t="str">
        <f>IF('HIDDEN import'!G169=0,"",'HIDDEN import'!G169)</f>
        <v>TriggerMessage</v>
      </c>
      <c r="G170" s="19" t="str">
        <f>IFERROR(VLOOKUP($A170,'HIDDEN Testrun Results'!$A:$B,2,FALSE),"")</f>
        <v/>
      </c>
      <c r="H170" s="3" t="b">
        <f t="shared" si="2"/>
        <v>0</v>
      </c>
      <c r="I170" s="3" t="b">
        <f>IF(VLOOKUP(A170&amp;" "&amp;B170,'HIDDEN import'!A:G,5,FALSE)="M",TRUE,IFERROR(VLOOKUP(E170,'Optional features'!B:D,3,FALSE)="Yes",IFERROR(VLOOKUP(E170,'HIDDEN calc sheet'!A:B,2,FALSE),IFERROR(VLOOKUP(E170,'Additional questions'!B:D,3,FALSE)="Yes",VLOOKUP(E170,'Hardware Feature set'!B:D,3,FALSE)="No"))))</f>
        <v>0</v>
      </c>
      <c r="J170" s="3" t="b">
        <f>IF(VLOOKUP(B170,'Profile selection'!B:C,2,FALSE)="Yes",TRUE,FALSE)</f>
        <v>1</v>
      </c>
      <c r="K170"/>
      <c r="L170"/>
    </row>
    <row r="171" spans="1:12" ht="17.100000000000001" customHeight="1" x14ac:dyDescent="0.25">
      <c r="A171" t="str">
        <f>'HIDDEN import'!B170</f>
        <v>TC_F_16_CS</v>
      </c>
      <c r="B171" t="str">
        <f>'HIDDEN import'!C170</f>
        <v>Core</v>
      </c>
      <c r="C171" t="str">
        <f>'HIDDEN import'!D170</f>
        <v>Trigger message - LogStatusNotification - Uploading</v>
      </c>
      <c r="D171" t="str">
        <f>IF(VLOOKUP(A171&amp;" "&amp;B171,'HIDDEN import'!A:G,5,FALSE)="M",MD!$A$1,(IF(AND(VLOOKUP(A171,'HIDDEN import'!B:E,4,FALSE)="C",OR(NOT(ISERROR(VLOOKUP(E171,'Optional features'!B:D,1,FALSE)=E171)),NOT(ISERROR(VLOOKUP(E171,'HIDDEN calc sheet'!A:C,1,FALSE)=E171)))),MD!$A$3,MD!$A$2)))</f>
        <v>Mandatory for optional feature</v>
      </c>
      <c r="E171" t="str">
        <f>IF('HIDDEN import'!F170=0,"",'HIDDEN import'!F170)</f>
        <v>C-29.3</v>
      </c>
      <c r="F171" t="str">
        <f>IF('HIDDEN import'!G170=0,"",'HIDDEN import'!G170)</f>
        <v>TriggerMessage</v>
      </c>
      <c r="G171" s="19" t="str">
        <f>IFERROR(VLOOKUP($A171,'HIDDEN Testrun Results'!$A:$B,2,FALSE),"")</f>
        <v/>
      </c>
      <c r="H171" s="3" t="b">
        <f t="shared" si="2"/>
        <v>0</v>
      </c>
      <c r="I171" s="3" t="b">
        <f>IF(VLOOKUP(A171&amp;" "&amp;B171,'HIDDEN import'!A:G,5,FALSE)="M",TRUE,IFERROR(VLOOKUP(E171,'Optional features'!B:D,3,FALSE)="Yes",IFERROR(VLOOKUP(E171,'HIDDEN calc sheet'!A:B,2,FALSE),IFERROR(VLOOKUP(E171,'Additional questions'!B:D,3,FALSE)="Yes",VLOOKUP(E171,'Hardware Feature set'!B:D,3,FALSE)="No"))))</f>
        <v>0</v>
      </c>
      <c r="J171" s="3" t="b">
        <f>IF(VLOOKUP(B171,'Profile selection'!B:C,2,FALSE)="Yes",TRUE,FALSE)</f>
        <v>1</v>
      </c>
      <c r="K171"/>
      <c r="L171"/>
    </row>
    <row r="172" spans="1:12" ht="17.100000000000001" customHeight="1" x14ac:dyDescent="0.25">
      <c r="A172" t="str">
        <f>'HIDDEN import'!B171</f>
        <v>TC_F_17_CS</v>
      </c>
      <c r="B172" t="str">
        <f>'HIDDEN import'!C171</f>
        <v>Core</v>
      </c>
      <c r="C172" t="str">
        <f>'HIDDEN import'!D171</f>
        <v>Trigger message - FirmwareStatusNotification - Specific EVSE not relevant</v>
      </c>
      <c r="D172" t="str">
        <f>IF(VLOOKUP(A172&amp;" "&amp;B172,'HIDDEN import'!A:G,5,FALSE)="M",MD!$A$1,(IF(AND(VLOOKUP(A172,'HIDDEN import'!B:E,4,FALSE)="C",OR(NOT(ISERROR(VLOOKUP(E172,'Optional features'!B:D,1,FALSE)=E172)),NOT(ISERROR(VLOOKUP(E172,'HIDDEN calc sheet'!A:C,1,FALSE)=E172)))),MD!$A$3,MD!$A$2)))</f>
        <v>Mandatory for optional feature</v>
      </c>
      <c r="E172" t="str">
        <f>IF('HIDDEN import'!F171=0,"",'HIDDEN import'!F171)</f>
        <v>C-29.4</v>
      </c>
      <c r="F172" t="str">
        <f>IF('HIDDEN import'!G171=0,"",'HIDDEN import'!G171)</f>
        <v>TriggerMessage</v>
      </c>
      <c r="G172" s="19" t="str">
        <f>IFERROR(VLOOKUP($A172,'HIDDEN Testrun Results'!$A:$B,2,FALSE),"")</f>
        <v/>
      </c>
      <c r="H172" s="3" t="b">
        <f t="shared" si="2"/>
        <v>0</v>
      </c>
      <c r="I172" s="3" t="b">
        <f>IF(VLOOKUP(A172&amp;" "&amp;B172,'HIDDEN import'!A:G,5,FALSE)="M",TRUE,IFERROR(VLOOKUP(E172,'Optional features'!B:D,3,FALSE)="Yes",IFERROR(VLOOKUP(E172,'HIDDEN calc sheet'!A:B,2,FALSE),IFERROR(VLOOKUP(E172,'Additional questions'!B:D,3,FALSE)="Yes",VLOOKUP(E172,'Hardware Feature set'!B:D,3,FALSE)="No"))))</f>
        <v>0</v>
      </c>
      <c r="J172" s="3" t="b">
        <f>IF(VLOOKUP(B172,'Profile selection'!B:C,2,FALSE)="Yes",TRUE,FALSE)</f>
        <v>1</v>
      </c>
      <c r="K172"/>
      <c r="L172"/>
    </row>
    <row r="173" spans="1:12" ht="17.100000000000001" customHeight="1" x14ac:dyDescent="0.25">
      <c r="A173" t="str">
        <f>'HIDDEN import'!B172</f>
        <v>TC_F_18_CS</v>
      </c>
      <c r="B173" t="str">
        <f>'HIDDEN import'!C172</f>
        <v>Core</v>
      </c>
      <c r="C173" t="str">
        <f>'HIDDEN import'!D172</f>
        <v>Trigger message - FirmwareStatusNotification - Idle</v>
      </c>
      <c r="D173" t="str">
        <f>IF(VLOOKUP(A173&amp;" "&amp;B173,'HIDDEN import'!A:G,5,FALSE)="M",MD!$A$1,(IF(AND(VLOOKUP(A173,'HIDDEN import'!B:E,4,FALSE)="C",OR(NOT(ISERROR(VLOOKUP(E173,'Optional features'!B:D,1,FALSE)=E173)),NOT(ISERROR(VLOOKUP(E173,'HIDDEN calc sheet'!A:C,1,FALSE)=E173)))),MD!$A$3,MD!$A$2)))</f>
        <v>Mandatory for optional feature</v>
      </c>
      <c r="E173" t="str">
        <f>IF('HIDDEN import'!F172=0,"",'HIDDEN import'!F172)</f>
        <v>C-29.4</v>
      </c>
      <c r="F173" t="str">
        <f>IF('HIDDEN import'!G172=0,"",'HIDDEN import'!G172)</f>
        <v>TriggerMessage</v>
      </c>
      <c r="G173" s="19" t="str">
        <f>IFERROR(VLOOKUP($A173,'HIDDEN Testrun Results'!$A:$B,2,FALSE),"")</f>
        <v/>
      </c>
      <c r="H173" s="3" t="b">
        <f t="shared" si="2"/>
        <v>0</v>
      </c>
      <c r="I173" s="3" t="b">
        <f>IF(VLOOKUP(A173&amp;" "&amp;B173,'HIDDEN import'!A:G,5,FALSE)="M",TRUE,IFERROR(VLOOKUP(E173,'Optional features'!B:D,3,FALSE)="Yes",IFERROR(VLOOKUP(E173,'HIDDEN calc sheet'!A:B,2,FALSE),IFERROR(VLOOKUP(E173,'Additional questions'!B:D,3,FALSE)="Yes",VLOOKUP(E173,'Hardware Feature set'!B:D,3,FALSE)="No"))))</f>
        <v>0</v>
      </c>
      <c r="J173" s="3" t="b">
        <f>IF(VLOOKUP(B173,'Profile selection'!B:C,2,FALSE)="Yes",TRUE,FALSE)</f>
        <v>1</v>
      </c>
      <c r="K173"/>
      <c r="L173"/>
    </row>
    <row r="174" spans="1:12" ht="17.100000000000001" customHeight="1" x14ac:dyDescent="0.25">
      <c r="A174" t="str">
        <f>'HIDDEN import'!B173</f>
        <v>TC_F_19_CS</v>
      </c>
      <c r="B174" t="str">
        <f>'HIDDEN import'!C173</f>
        <v>Core</v>
      </c>
      <c r="C174" t="str">
        <f>'HIDDEN import'!D173</f>
        <v>Trigger message - FirmwareStatusNotification - Downloading</v>
      </c>
      <c r="D174" t="str">
        <f>IF(VLOOKUP(A174&amp;" "&amp;B174,'HIDDEN import'!A:G,5,FALSE)="M",MD!$A$1,(IF(AND(VLOOKUP(A174,'HIDDEN import'!B:E,4,FALSE)="C",OR(NOT(ISERROR(VLOOKUP(E174,'Optional features'!B:D,1,FALSE)=E174)),NOT(ISERROR(VLOOKUP(E174,'HIDDEN calc sheet'!A:C,1,FALSE)=E174)))),MD!$A$3,MD!$A$2)))</f>
        <v>Mandatory for optional feature</v>
      </c>
      <c r="E174" t="str">
        <f>IF('HIDDEN import'!F173=0,"",'HIDDEN import'!F173)</f>
        <v>C-29.4</v>
      </c>
      <c r="F174" t="str">
        <f>IF('HIDDEN import'!G173=0,"",'HIDDEN import'!G173)</f>
        <v>TriggerMessage</v>
      </c>
      <c r="G174" s="19" t="str">
        <f>IFERROR(VLOOKUP($A174,'HIDDEN Testrun Results'!$A:$B,2,FALSE),"")</f>
        <v/>
      </c>
      <c r="H174" s="3" t="b">
        <f t="shared" si="2"/>
        <v>0</v>
      </c>
      <c r="I174" s="3" t="b">
        <f>IF(VLOOKUP(A174&amp;" "&amp;B174,'HIDDEN import'!A:G,5,FALSE)="M",TRUE,IFERROR(VLOOKUP(E174,'Optional features'!B:D,3,FALSE)="Yes",IFERROR(VLOOKUP(E174,'HIDDEN calc sheet'!A:B,2,FALSE),IFERROR(VLOOKUP(E174,'Additional questions'!B:D,3,FALSE)="Yes",VLOOKUP(E174,'Hardware Feature set'!B:D,3,FALSE)="No"))))</f>
        <v>0</v>
      </c>
      <c r="J174" s="3" t="b">
        <f>IF(VLOOKUP(B174,'Profile selection'!B:C,2,FALSE)="Yes",TRUE,FALSE)</f>
        <v>1</v>
      </c>
      <c r="K174"/>
      <c r="L174"/>
    </row>
    <row r="175" spans="1:12" ht="17.100000000000001" customHeight="1" x14ac:dyDescent="0.25">
      <c r="A175" t="str">
        <f>'HIDDEN import'!B174</f>
        <v>TC_F_20_CS</v>
      </c>
      <c r="B175" t="str">
        <f>'HIDDEN import'!C174</f>
        <v>Core</v>
      </c>
      <c r="C175" t="str">
        <f>'HIDDEN import'!D174</f>
        <v>Trigger message - Heartbeat</v>
      </c>
      <c r="D175" t="str">
        <f>IF(VLOOKUP(A175&amp;" "&amp;B175,'HIDDEN import'!A:G,5,FALSE)="M",MD!$A$1,(IF(AND(VLOOKUP(A175,'HIDDEN import'!B:E,4,FALSE)="C",OR(NOT(ISERROR(VLOOKUP(E175,'Optional features'!B:D,1,FALSE)=E175)),NOT(ISERROR(VLOOKUP(E175,'HIDDEN calc sheet'!A:C,1,FALSE)=E175)))),MD!$A$3,MD!$A$2)))</f>
        <v>Mandatory test for a mandatory feature</v>
      </c>
      <c r="E175" t="str">
        <f>IF('HIDDEN import'!F174=0,"",'HIDDEN import'!F174)</f>
        <v/>
      </c>
      <c r="F175" t="str">
        <f>IF('HIDDEN import'!G174=0,"",'HIDDEN import'!G174)</f>
        <v/>
      </c>
      <c r="G175" s="19" t="str">
        <f>IFERROR(VLOOKUP($A175,'HIDDEN Testrun Results'!$A:$B,2,FALSE),"")</f>
        <v/>
      </c>
      <c r="H175" s="3" t="b">
        <f t="shared" si="2"/>
        <v>1</v>
      </c>
      <c r="I175" s="3" t="b">
        <f>IF(VLOOKUP(A175&amp;" "&amp;B175,'HIDDEN import'!A:G,5,FALSE)="M",TRUE,IFERROR(VLOOKUP(E175,'Optional features'!B:D,3,FALSE)="Yes",IFERROR(VLOOKUP(E175,'HIDDEN calc sheet'!A:B,2,FALSE),IFERROR(VLOOKUP(E175,'Additional questions'!B:D,3,FALSE)="Yes",VLOOKUP(E175,'Hardware Feature set'!B:D,3,FALSE)="No"))))</f>
        <v>1</v>
      </c>
      <c r="J175" s="3" t="b">
        <f>IF(VLOOKUP(B175,'Profile selection'!B:C,2,FALSE)="Yes",TRUE,FALSE)</f>
        <v>1</v>
      </c>
      <c r="K175"/>
      <c r="L175"/>
    </row>
    <row r="176" spans="1:12" ht="17.100000000000001" customHeight="1" x14ac:dyDescent="0.25">
      <c r="A176" t="str">
        <f>'HIDDEN import'!B175</f>
        <v>TC_F_23_CS</v>
      </c>
      <c r="B176" t="str">
        <f>'HIDDEN import'!C175</f>
        <v>Core</v>
      </c>
      <c r="C176" t="str">
        <f>'HIDDEN import'!D175</f>
        <v>Trigger message - StatusNotification - Specific EVSE - Available</v>
      </c>
      <c r="D176" t="str">
        <f>IF(VLOOKUP(A176&amp;" "&amp;B176,'HIDDEN import'!A:G,5,FALSE)="M",MD!$A$1,(IF(AND(VLOOKUP(A176,'HIDDEN import'!B:E,4,FALSE)="C",OR(NOT(ISERROR(VLOOKUP(E176,'Optional features'!B:D,1,FALSE)=E176)),NOT(ISERROR(VLOOKUP(E176,'HIDDEN calc sheet'!A:C,1,FALSE)=E176)))),MD!$A$3,MD!$A$2)))</f>
        <v>Mandatory for optional feature</v>
      </c>
      <c r="E176" t="str">
        <f>IF('HIDDEN import'!F175=0,"",'HIDDEN import'!F175)</f>
        <v>C-29.5</v>
      </c>
      <c r="F176" t="str">
        <f>IF('HIDDEN import'!G175=0,"",'HIDDEN import'!G175)</f>
        <v>TriggerMessage</v>
      </c>
      <c r="G176" s="19" t="str">
        <f>IFERROR(VLOOKUP($A176,'HIDDEN Testrun Results'!$A:$B,2,FALSE),"")</f>
        <v/>
      </c>
      <c r="H176" s="3" t="b">
        <f t="shared" si="2"/>
        <v>0</v>
      </c>
      <c r="I176" s="3" t="b">
        <f>IF(VLOOKUP(A176&amp;" "&amp;B176,'HIDDEN import'!A:G,5,FALSE)="M",TRUE,IFERROR(VLOOKUP(E176,'Optional features'!B:D,3,FALSE)="Yes",IFERROR(VLOOKUP(E176,'HIDDEN calc sheet'!A:B,2,FALSE),IFERROR(VLOOKUP(E176,'Additional questions'!B:D,3,FALSE)="Yes",VLOOKUP(E176,'Hardware Feature set'!B:D,3,FALSE)="No"))))</f>
        <v>0</v>
      </c>
      <c r="J176" s="3" t="b">
        <f>IF(VLOOKUP(B176,'Profile selection'!B:C,2,FALSE)="Yes",TRUE,FALSE)</f>
        <v>1</v>
      </c>
      <c r="K176"/>
      <c r="L176"/>
    </row>
    <row r="177" spans="1:12" ht="17.100000000000001" customHeight="1" x14ac:dyDescent="0.25">
      <c r="A177" t="str">
        <f>'HIDDEN import'!B176</f>
        <v>TC_F_24_CS</v>
      </c>
      <c r="B177" t="str">
        <f>'HIDDEN import'!C176</f>
        <v>Core</v>
      </c>
      <c r="C177" t="str">
        <f>'HIDDEN import'!D176</f>
        <v>Trigger message - StatusNotification - Specific EVSE - Occupied</v>
      </c>
      <c r="D177" t="str">
        <f>IF(VLOOKUP(A177&amp;" "&amp;B177,'HIDDEN import'!A:G,5,FALSE)="M",MD!$A$1,(IF(AND(VLOOKUP(A177,'HIDDEN import'!B:E,4,FALSE)="C",OR(NOT(ISERROR(VLOOKUP(E177,'Optional features'!B:D,1,FALSE)=E177)),NOT(ISERROR(VLOOKUP(E177,'HIDDEN calc sheet'!A:C,1,FALSE)=E177)))),MD!$A$3,MD!$A$2)))</f>
        <v>Mandatory for optional feature</v>
      </c>
      <c r="E177" t="str">
        <f>IF('HIDDEN import'!F176=0,"",'HIDDEN import'!F176)</f>
        <v>C-29.5</v>
      </c>
      <c r="F177" t="str">
        <f>IF('HIDDEN import'!G176=0,"",'HIDDEN import'!G176)</f>
        <v>TriggerMessage</v>
      </c>
      <c r="G177" s="19" t="str">
        <f>IFERROR(VLOOKUP($A177,'HIDDEN Testrun Results'!$A:$B,2,FALSE),"")</f>
        <v/>
      </c>
      <c r="H177" s="3" t="b">
        <f t="shared" si="2"/>
        <v>0</v>
      </c>
      <c r="I177" s="3" t="b">
        <f>IF(VLOOKUP(A177&amp;" "&amp;B177,'HIDDEN import'!A:G,5,FALSE)="M",TRUE,IFERROR(VLOOKUP(E177,'Optional features'!B:D,3,FALSE)="Yes",IFERROR(VLOOKUP(E177,'HIDDEN calc sheet'!A:B,2,FALSE),IFERROR(VLOOKUP(E177,'Additional questions'!B:D,3,FALSE)="Yes",VLOOKUP(E177,'Hardware Feature set'!B:D,3,FALSE)="No"))))</f>
        <v>0</v>
      </c>
      <c r="J177" s="3" t="b">
        <f>IF(VLOOKUP(B177,'Profile selection'!B:C,2,FALSE)="Yes",TRUE,FALSE)</f>
        <v>1</v>
      </c>
      <c r="K177"/>
      <c r="L177"/>
    </row>
    <row r="178" spans="1:12" ht="17.100000000000001" customHeight="1" x14ac:dyDescent="0.25">
      <c r="A178" t="str">
        <f>'HIDDEN import'!B177</f>
        <v>TC_F_26_CS</v>
      </c>
      <c r="B178" t="str">
        <f>'HIDDEN import'!C177</f>
        <v>Core</v>
      </c>
      <c r="C178" t="str">
        <f>'HIDDEN import'!D177</f>
        <v>Trigger message - BootNotification - Rejected</v>
      </c>
      <c r="D178" t="str">
        <f>IF(VLOOKUP(A178&amp;" "&amp;B178,'HIDDEN import'!A:G,5,FALSE)="M",MD!$A$1,(IF(AND(VLOOKUP(A178,'HIDDEN import'!B:E,4,FALSE)="C",OR(NOT(ISERROR(VLOOKUP(E178,'Optional features'!B:D,1,FALSE)=E178)),NOT(ISERROR(VLOOKUP(E178,'HIDDEN calc sheet'!A:C,1,FALSE)=E178)))),MD!$A$3,MD!$A$2)))</f>
        <v>Mandatory for optional feature</v>
      </c>
      <c r="E178" t="str">
        <f>IF('HIDDEN import'!F177=0,"",'HIDDEN import'!F177)</f>
        <v>C-29.6</v>
      </c>
      <c r="F178" t="str">
        <f>IF('HIDDEN import'!G177=0,"",'HIDDEN import'!G177)</f>
        <v>TriggerMessage</v>
      </c>
      <c r="G178" s="19" t="str">
        <f>IFERROR(VLOOKUP($A178,'HIDDEN Testrun Results'!$A:$B,2,FALSE),"")</f>
        <v/>
      </c>
      <c r="H178" s="3" t="b">
        <f t="shared" si="2"/>
        <v>0</v>
      </c>
      <c r="I178" s="3" t="b">
        <f>IF(VLOOKUP(A178&amp;" "&amp;B178,'HIDDEN import'!A:G,5,FALSE)="M",TRUE,IFERROR(VLOOKUP(E178,'Optional features'!B:D,3,FALSE)="Yes",IFERROR(VLOOKUP(E178,'HIDDEN calc sheet'!A:B,2,FALSE),IFERROR(VLOOKUP(E178,'Additional questions'!B:D,3,FALSE)="Yes",VLOOKUP(E178,'Hardware Feature set'!B:D,3,FALSE)="No"))))</f>
        <v>0</v>
      </c>
      <c r="J178" s="3" t="b">
        <f>IF(VLOOKUP(B178,'Profile selection'!B:C,2,FALSE)="Yes",TRUE,FALSE)</f>
        <v>1</v>
      </c>
      <c r="K178"/>
      <c r="L178"/>
    </row>
    <row r="179" spans="1:12" ht="17.100000000000001" customHeight="1" x14ac:dyDescent="0.25">
      <c r="A179" t="str">
        <f>'HIDDEN import'!B178</f>
        <v>TC_F_27_CS</v>
      </c>
      <c r="B179" t="str">
        <f>'HIDDEN import'!C178</f>
        <v>Core</v>
      </c>
      <c r="C179" t="str">
        <f>'HIDDEN import'!D178</f>
        <v>Trigger message - NotImplemented</v>
      </c>
      <c r="D179" t="str">
        <f>IF(VLOOKUP(A179&amp;" "&amp;B179,'HIDDEN import'!A:G,5,FALSE)="M",MD!$A$1,(IF(AND(VLOOKUP(A179,'HIDDEN import'!B:E,4,FALSE)="C",OR(NOT(ISERROR(VLOOKUP(E179,'Optional features'!B:D,1,FALSE)=E179)),NOT(ISERROR(VLOOKUP(E179,'HIDDEN calc sheet'!A:C,1,FALSE)=E179)))),MD!$A$3,MD!$A$2)))</f>
        <v>Mandatory for optional feature</v>
      </c>
      <c r="E179" t="str">
        <f>IF('HIDDEN import'!F178=0,"",'HIDDEN import'!F178)</f>
        <v>NOT AQ-11</v>
      </c>
      <c r="F179" t="str">
        <f>IF('HIDDEN import'!G178=0,"",'HIDDEN import'!G178)</f>
        <v/>
      </c>
      <c r="G179" s="19" t="str">
        <f>IFERROR(VLOOKUP($A179,'HIDDEN Testrun Results'!$A:$B,2,FALSE),"")</f>
        <v/>
      </c>
      <c r="H179" s="3" t="b">
        <f t="shared" si="2"/>
        <v>1</v>
      </c>
      <c r="I179" s="3" t="b">
        <f>IF(VLOOKUP(A179&amp;" "&amp;B179,'HIDDEN import'!A:G,5,FALSE)="M",TRUE,IFERROR(VLOOKUP(E179,'Optional features'!B:D,3,FALSE)="Yes",IFERROR(VLOOKUP(E179,'HIDDEN calc sheet'!A:B,2,FALSE),IFERROR(VLOOKUP(E179,'Additional questions'!B:D,3,FALSE)="Yes",VLOOKUP(E179,'Hardware Feature set'!B:D,3,FALSE)="No"))))</f>
        <v>1</v>
      </c>
      <c r="J179" s="3" t="b">
        <f>IF(VLOOKUP(B179,'Profile selection'!B:C,2,FALSE)="Yes",TRUE,FALSE)</f>
        <v>1</v>
      </c>
      <c r="K179"/>
      <c r="L179"/>
    </row>
    <row r="180" spans="1:12" ht="17.100000000000001" customHeight="1" x14ac:dyDescent="0.25">
      <c r="A180" t="str">
        <f>'HIDDEN import'!B179</f>
        <v>TC_F_100_CS</v>
      </c>
      <c r="B180" t="str">
        <f>'HIDDEN import'!C179</f>
        <v>Core</v>
      </c>
      <c r="C180" t="str">
        <f>'HIDDEN import'!D179</f>
        <v>Trigger message - CustomTrigger</v>
      </c>
      <c r="D180" t="str">
        <f>IF(VLOOKUP(A180&amp;" "&amp;B180,'HIDDEN import'!A:G,5,FALSE)="M",MD!$A$1,(IF(AND(VLOOKUP(A180,'HIDDEN import'!B:E,4,FALSE)="C",OR(NOT(ISERROR(VLOOKUP(E180,'Optional features'!B:D,1,FALSE)=E180)),NOT(ISERROR(VLOOKUP(E180,'HIDDEN calc sheet'!A:C,1,FALSE)=E180)))),MD!$A$3,MD!$A$2)))</f>
        <v>Mandatory for optional feature</v>
      </c>
      <c r="E180" t="str">
        <f>IF('HIDDEN import'!F179=0,"",'HIDDEN import'!F179)</f>
        <v>C-29.7</v>
      </c>
      <c r="F180" t="str">
        <f>IF('HIDDEN import'!G179=0,"",'HIDDEN import'!G179)</f>
        <v>Trigger message</v>
      </c>
      <c r="G180" s="19" t="str">
        <f>IFERROR(VLOOKUP($A180,'HIDDEN Testrun Results'!$A:$B,2,FALSE),"")</f>
        <v/>
      </c>
      <c r="H180" s="3" t="b">
        <f t="shared" si="2"/>
        <v>0</v>
      </c>
      <c r="I180" s="3" t="b">
        <f>IF(VLOOKUP(A180&amp;" "&amp;B180,'HIDDEN import'!A:G,5,FALSE)="M",TRUE,IFERROR(VLOOKUP(E180,'Optional features'!B:D,3,FALSE)="Yes",IFERROR(VLOOKUP(E180,'HIDDEN calc sheet'!A:B,2,FALSE),IFERROR(VLOOKUP(E180,'Additional questions'!B:D,3,FALSE)="Yes",VLOOKUP(E180,'Hardware Feature set'!B:D,3,FALSE)="No"))))</f>
        <v>0</v>
      </c>
      <c r="J180" s="3" t="b">
        <f>IF(VLOOKUP(B180,'Profile selection'!B:C,2,FALSE)="Yes",TRUE,FALSE)</f>
        <v>1</v>
      </c>
      <c r="K180"/>
      <c r="L180"/>
    </row>
    <row r="181" spans="1:12" ht="17.100000000000001" customHeight="1" x14ac:dyDescent="0.25">
      <c r="A181" t="str">
        <f>'HIDDEN import'!B180</f>
        <v>TC_G_01_CS</v>
      </c>
      <c r="B181" t="str">
        <f>'HIDDEN import'!C180</f>
        <v>Core</v>
      </c>
      <c r="C181" t="str">
        <f>'HIDDEN import'!D180</f>
        <v>Connector status Notification - Available to Occupied</v>
      </c>
      <c r="D181" t="str">
        <f>IF(VLOOKUP(A181&amp;" "&amp;B181,'HIDDEN import'!A:G,5,FALSE)="M",MD!$A$1,(IF(AND(VLOOKUP(A181,'HIDDEN import'!B:E,4,FALSE)="C",OR(NOT(ISERROR(VLOOKUP(E181,'Optional features'!B:D,1,FALSE)=E181)),NOT(ISERROR(VLOOKUP(E181,'HIDDEN calc sheet'!A:C,1,FALSE)=E181)))),MD!$A$3,MD!$A$2)))</f>
        <v>Mandatory test for a mandatory feature</v>
      </c>
      <c r="E181" t="str">
        <f>IF('HIDDEN import'!F180=0,"",'HIDDEN import'!F180)</f>
        <v/>
      </c>
      <c r="F181" t="str">
        <f>IF('HIDDEN import'!G180=0,"",'HIDDEN import'!G180)</f>
        <v/>
      </c>
      <c r="G181" s="19" t="str">
        <f>IFERROR(VLOOKUP($A181,'HIDDEN Testrun Results'!$A:$B,2,FALSE),"")</f>
        <v/>
      </c>
      <c r="H181" s="3" t="b">
        <f t="shared" si="2"/>
        <v>1</v>
      </c>
      <c r="I181" s="3" t="b">
        <f>IF(VLOOKUP(A181&amp;" "&amp;B181,'HIDDEN import'!A:G,5,FALSE)="M",TRUE,IFERROR(VLOOKUP(E181,'Optional features'!B:D,3,FALSE)="Yes",IFERROR(VLOOKUP(E181,'HIDDEN calc sheet'!A:B,2,FALSE),IFERROR(VLOOKUP(E181,'Additional questions'!B:D,3,FALSE)="Yes",VLOOKUP(E181,'Hardware Feature set'!B:D,3,FALSE)="No"))))</f>
        <v>1</v>
      </c>
      <c r="J181" s="3" t="b">
        <f>IF(VLOOKUP(B181,'Profile selection'!B:C,2,FALSE)="Yes",TRUE,FALSE)</f>
        <v>1</v>
      </c>
      <c r="K181"/>
      <c r="L181"/>
    </row>
    <row r="182" spans="1:12" ht="17.100000000000001" customHeight="1" x14ac:dyDescent="0.25">
      <c r="A182" t="str">
        <f>'HIDDEN import'!B181</f>
        <v>TC_G_02_CS</v>
      </c>
      <c r="B182" t="str">
        <f>'HIDDEN import'!C181</f>
        <v>Core</v>
      </c>
      <c r="C182" t="str">
        <f>'HIDDEN import'!D181</f>
        <v>Connector status Notification - Occupied to Available</v>
      </c>
      <c r="D182" t="str">
        <f>IF(VLOOKUP(A182&amp;" "&amp;B182,'HIDDEN import'!A:G,5,FALSE)="M",MD!$A$1,(IF(AND(VLOOKUP(A182,'HIDDEN import'!B:E,4,FALSE)="C",OR(NOT(ISERROR(VLOOKUP(E182,'Optional features'!B:D,1,FALSE)=E182)),NOT(ISERROR(VLOOKUP(E182,'HIDDEN calc sheet'!A:C,1,FALSE)=E182)))),MD!$A$3,MD!$A$2)))</f>
        <v>Mandatory test for a mandatory feature</v>
      </c>
      <c r="E182" t="str">
        <f>IF('HIDDEN import'!F181=0,"",'HIDDEN import'!F181)</f>
        <v/>
      </c>
      <c r="F182" t="str">
        <f>IF('HIDDEN import'!G181=0,"",'HIDDEN import'!G181)</f>
        <v/>
      </c>
      <c r="G182" s="19" t="str">
        <f>IFERROR(VLOOKUP($A182,'HIDDEN Testrun Results'!$A:$B,2,FALSE),"")</f>
        <v/>
      </c>
      <c r="H182" s="3" t="b">
        <f t="shared" si="2"/>
        <v>1</v>
      </c>
      <c r="I182" s="3" t="b">
        <f>IF(VLOOKUP(A182&amp;" "&amp;B182,'HIDDEN import'!A:G,5,FALSE)="M",TRUE,IFERROR(VLOOKUP(E182,'Optional features'!B:D,3,FALSE)="Yes",IFERROR(VLOOKUP(E182,'HIDDEN calc sheet'!A:B,2,FALSE),IFERROR(VLOOKUP(E182,'Additional questions'!B:D,3,FALSE)="Yes",VLOOKUP(E182,'Hardware Feature set'!B:D,3,FALSE)="No"))))</f>
        <v>1</v>
      </c>
      <c r="J182" s="3" t="b">
        <f>IF(VLOOKUP(B182,'Profile selection'!B:C,2,FALSE)="Yes",TRUE,FALSE)</f>
        <v>1</v>
      </c>
      <c r="K182"/>
      <c r="L182"/>
    </row>
    <row r="183" spans="1:12" ht="17.100000000000001" customHeight="1" x14ac:dyDescent="0.25">
      <c r="A183" t="str">
        <f>'HIDDEN import'!B182</f>
        <v>TC_G_03_CS</v>
      </c>
      <c r="B183" t="str">
        <f>'HIDDEN import'!C182</f>
        <v>Core</v>
      </c>
      <c r="C183" t="str">
        <f>'HIDDEN import'!D182</f>
        <v>Change Availability EVSE - Operative to inoperative</v>
      </c>
      <c r="D183" t="str">
        <f>IF(VLOOKUP(A183&amp;" "&amp;B183,'HIDDEN import'!A:G,5,FALSE)="M",MD!$A$1,(IF(AND(VLOOKUP(A183,'HIDDEN import'!B:E,4,FALSE)="C",OR(NOT(ISERROR(VLOOKUP(E183,'Optional features'!B:D,1,FALSE)=E183)),NOT(ISERROR(VLOOKUP(E183,'HIDDEN calc sheet'!A:C,1,FALSE)=E183)))),MD!$A$3,MD!$A$2)))</f>
        <v>Mandatory test for a mandatory feature</v>
      </c>
      <c r="E183" t="str">
        <f>IF('HIDDEN import'!F182=0,"",'HIDDEN import'!F182)</f>
        <v/>
      </c>
      <c r="F183" t="str">
        <f>IF('HIDDEN import'!G182=0,"",'HIDDEN import'!G182)</f>
        <v/>
      </c>
      <c r="G183" s="19" t="str">
        <f>IFERROR(VLOOKUP($A183,'HIDDEN Testrun Results'!$A:$B,2,FALSE),"")</f>
        <v/>
      </c>
      <c r="H183" s="3" t="b">
        <f t="shared" si="2"/>
        <v>1</v>
      </c>
      <c r="I183" s="3" t="b">
        <f>IF(VLOOKUP(A183&amp;" "&amp;B183,'HIDDEN import'!A:G,5,FALSE)="M",TRUE,IFERROR(VLOOKUP(E183,'Optional features'!B:D,3,FALSE)="Yes",IFERROR(VLOOKUP(E183,'HIDDEN calc sheet'!A:B,2,FALSE),IFERROR(VLOOKUP(E183,'Additional questions'!B:D,3,FALSE)="Yes",VLOOKUP(E183,'Hardware Feature set'!B:D,3,FALSE)="No"))))</f>
        <v>1</v>
      </c>
      <c r="J183" s="3" t="b">
        <f>IF(VLOOKUP(B183,'Profile selection'!B:C,2,FALSE)="Yes",TRUE,FALSE)</f>
        <v>1</v>
      </c>
      <c r="K183"/>
      <c r="L183"/>
    </row>
    <row r="184" spans="1:12" ht="17.100000000000001" customHeight="1" x14ac:dyDescent="0.25">
      <c r="A184" t="str">
        <f>'HIDDEN import'!B183</f>
        <v>TC_G_09_CS</v>
      </c>
      <c r="B184" t="str">
        <f>'HIDDEN import'!C183</f>
        <v>Core</v>
      </c>
      <c r="C184" t="str">
        <f>'HIDDEN import'!D183</f>
        <v>Change Availability EVSE - Operative to operative</v>
      </c>
      <c r="D184" t="str">
        <f>IF(VLOOKUP(A184&amp;" "&amp;B184,'HIDDEN import'!A:G,5,FALSE)="M",MD!$A$1,(IF(AND(VLOOKUP(A184,'HIDDEN import'!B:E,4,FALSE)="C",OR(NOT(ISERROR(VLOOKUP(E184,'Optional features'!B:D,1,FALSE)=E184)),NOT(ISERROR(VLOOKUP(E184,'HIDDEN calc sheet'!A:C,1,FALSE)=E184)))),MD!$A$3,MD!$A$2)))</f>
        <v>Mandatory test for a mandatory feature</v>
      </c>
      <c r="E184" t="str">
        <f>IF('HIDDEN import'!F183=0,"",'HIDDEN import'!F183)</f>
        <v/>
      </c>
      <c r="F184" t="str">
        <f>IF('HIDDEN import'!G183=0,"",'HIDDEN import'!G183)</f>
        <v/>
      </c>
      <c r="G184" s="19" t="str">
        <f>IFERROR(VLOOKUP($A184,'HIDDEN Testrun Results'!$A:$B,2,FALSE),"")</f>
        <v/>
      </c>
      <c r="H184" s="3" t="b">
        <f t="shared" si="2"/>
        <v>1</v>
      </c>
      <c r="I184" s="3" t="b">
        <f>IF(VLOOKUP(A184&amp;" "&amp;B184,'HIDDEN import'!A:G,5,FALSE)="M",TRUE,IFERROR(VLOOKUP(E184,'Optional features'!B:D,3,FALSE)="Yes",IFERROR(VLOOKUP(E184,'HIDDEN calc sheet'!A:B,2,FALSE),IFERROR(VLOOKUP(E184,'Additional questions'!B:D,3,FALSE)="Yes",VLOOKUP(E184,'Hardware Feature set'!B:D,3,FALSE)="No"))))</f>
        <v>1</v>
      </c>
      <c r="J184" s="3" t="b">
        <f>IF(VLOOKUP(B184,'Profile selection'!B:C,2,FALSE)="Yes",TRUE,FALSE)</f>
        <v>1</v>
      </c>
      <c r="K184"/>
      <c r="L184"/>
    </row>
    <row r="185" spans="1:12" ht="17.100000000000001" customHeight="1" x14ac:dyDescent="0.25">
      <c r="A185" t="str">
        <f>'HIDDEN import'!B184</f>
        <v>TC_G_04_CS</v>
      </c>
      <c r="B185" t="str">
        <f>'HIDDEN import'!C184</f>
        <v>Core</v>
      </c>
      <c r="C185" t="str">
        <f>'HIDDEN import'!D184</f>
        <v>Change Availability EVSE - Inoperative to operative</v>
      </c>
      <c r="D185" t="str">
        <f>IF(VLOOKUP(A185&amp;" "&amp;B185,'HIDDEN import'!A:G,5,FALSE)="M",MD!$A$1,(IF(AND(VLOOKUP(A185,'HIDDEN import'!B:E,4,FALSE)="C",OR(NOT(ISERROR(VLOOKUP(E185,'Optional features'!B:D,1,FALSE)=E185)),NOT(ISERROR(VLOOKUP(E185,'HIDDEN calc sheet'!A:C,1,FALSE)=E185)))),MD!$A$3,MD!$A$2)))</f>
        <v>Mandatory test for a mandatory feature</v>
      </c>
      <c r="E185" t="str">
        <f>IF('HIDDEN import'!F184=0,"",'HIDDEN import'!F184)</f>
        <v/>
      </c>
      <c r="F185" t="str">
        <f>IF('HIDDEN import'!G184=0,"",'HIDDEN import'!G184)</f>
        <v/>
      </c>
      <c r="G185" s="19" t="str">
        <f>IFERROR(VLOOKUP($A185,'HIDDEN Testrun Results'!$A:$B,2,FALSE),"")</f>
        <v/>
      </c>
      <c r="H185" s="3" t="b">
        <f t="shared" si="2"/>
        <v>1</v>
      </c>
      <c r="I185" s="3" t="b">
        <f>IF(VLOOKUP(A185&amp;" "&amp;B185,'HIDDEN import'!A:G,5,FALSE)="M",TRUE,IFERROR(VLOOKUP(E185,'Optional features'!B:D,3,FALSE)="Yes",IFERROR(VLOOKUP(E185,'HIDDEN calc sheet'!A:B,2,FALSE),IFERROR(VLOOKUP(E185,'Additional questions'!B:D,3,FALSE)="Yes",VLOOKUP(E185,'Hardware Feature set'!B:D,3,FALSE)="No"))))</f>
        <v>1</v>
      </c>
      <c r="J185" s="3" t="b">
        <f>IF(VLOOKUP(B185,'Profile selection'!B:C,2,FALSE)="Yes",TRUE,FALSE)</f>
        <v>1</v>
      </c>
      <c r="K185"/>
      <c r="L185"/>
    </row>
    <row r="186" spans="1:12" ht="17.100000000000001" customHeight="1" x14ac:dyDescent="0.25">
      <c r="A186" t="str">
        <f>'HIDDEN import'!B185</f>
        <v>TC_G_10_CS</v>
      </c>
      <c r="B186" t="str">
        <f>'HIDDEN import'!C185</f>
        <v>Core</v>
      </c>
      <c r="C186" t="str">
        <f>'HIDDEN import'!D185</f>
        <v>Change Availability EVSE - Inoperative to inoperative</v>
      </c>
      <c r="D186" t="str">
        <f>IF(VLOOKUP(A186&amp;" "&amp;B186,'HIDDEN import'!A:G,5,FALSE)="M",MD!$A$1,(IF(AND(VLOOKUP(A186,'HIDDEN import'!B:E,4,FALSE)="C",OR(NOT(ISERROR(VLOOKUP(E186,'Optional features'!B:D,1,FALSE)=E186)),NOT(ISERROR(VLOOKUP(E186,'HIDDEN calc sheet'!A:C,1,FALSE)=E186)))),MD!$A$3,MD!$A$2)))</f>
        <v>Mandatory test for a mandatory feature</v>
      </c>
      <c r="E186" t="str">
        <f>IF('HIDDEN import'!F185=0,"",'HIDDEN import'!F185)</f>
        <v/>
      </c>
      <c r="F186" t="str">
        <f>IF('HIDDEN import'!G185=0,"",'HIDDEN import'!G185)</f>
        <v/>
      </c>
      <c r="G186" s="19" t="str">
        <f>IFERROR(VLOOKUP($A186,'HIDDEN Testrun Results'!$A:$B,2,FALSE),"")</f>
        <v/>
      </c>
      <c r="H186" s="3" t="b">
        <f t="shared" si="2"/>
        <v>1</v>
      </c>
      <c r="I186" s="3" t="b">
        <f>IF(VLOOKUP(A186&amp;" "&amp;B186,'HIDDEN import'!A:G,5,FALSE)="M",TRUE,IFERROR(VLOOKUP(E186,'Optional features'!B:D,3,FALSE)="Yes",IFERROR(VLOOKUP(E186,'HIDDEN calc sheet'!A:B,2,FALSE),IFERROR(VLOOKUP(E186,'Additional questions'!B:D,3,FALSE)="Yes",VLOOKUP(E186,'Hardware Feature set'!B:D,3,FALSE)="No"))))</f>
        <v>1</v>
      </c>
      <c r="J186" s="3" t="b">
        <f>IF(VLOOKUP(B186,'Profile selection'!B:C,2,FALSE)="Yes",TRUE,FALSE)</f>
        <v>1</v>
      </c>
      <c r="K186"/>
      <c r="L186"/>
    </row>
    <row r="187" spans="1:12" ht="17.100000000000001" customHeight="1" x14ac:dyDescent="0.25">
      <c r="A187" t="str">
        <f>'HIDDEN import'!B186</f>
        <v>TC_G_11_CS</v>
      </c>
      <c r="B187" t="str">
        <f>'HIDDEN import'!C186</f>
        <v>Core</v>
      </c>
      <c r="C187" t="str">
        <f>'HIDDEN import'!D186</f>
        <v>Change Availability EVSE - With ongoing transaction</v>
      </c>
      <c r="D187" t="str">
        <f>IF(VLOOKUP(A187&amp;" "&amp;B187,'HIDDEN import'!A:G,5,FALSE)="M",MD!$A$1,(IF(AND(VLOOKUP(A187,'HIDDEN import'!B:E,4,FALSE)="C",OR(NOT(ISERROR(VLOOKUP(E187,'Optional features'!B:D,1,FALSE)=E187)),NOT(ISERROR(VLOOKUP(E187,'HIDDEN calc sheet'!A:C,1,FALSE)=E187)))),MD!$A$3,MD!$A$2)))</f>
        <v>Mandatory test for a mandatory feature</v>
      </c>
      <c r="E187" t="str">
        <f>IF('HIDDEN import'!F186=0,"",'HIDDEN import'!F186)</f>
        <v/>
      </c>
      <c r="F187" t="str">
        <f>IF('HIDDEN import'!G186=0,"",'HIDDEN import'!G186)</f>
        <v/>
      </c>
      <c r="G187" s="19" t="str">
        <f>IFERROR(VLOOKUP($A187,'HIDDEN Testrun Results'!$A:$B,2,FALSE),"")</f>
        <v/>
      </c>
      <c r="H187" s="3" t="b">
        <f t="shared" si="2"/>
        <v>1</v>
      </c>
      <c r="I187" s="3" t="b">
        <f>IF(VLOOKUP(A187&amp;" "&amp;B187,'HIDDEN import'!A:G,5,FALSE)="M",TRUE,IFERROR(VLOOKUP(E187,'Optional features'!B:D,3,FALSE)="Yes",IFERROR(VLOOKUP(E187,'HIDDEN calc sheet'!A:B,2,FALSE),IFERROR(VLOOKUP(E187,'Additional questions'!B:D,3,FALSE)="Yes",VLOOKUP(E187,'Hardware Feature set'!B:D,3,FALSE)="No"))))</f>
        <v>1</v>
      </c>
      <c r="J187" s="3" t="b">
        <f>IF(VLOOKUP(B187,'Profile selection'!B:C,2,FALSE)="Yes",TRUE,FALSE)</f>
        <v>1</v>
      </c>
      <c r="K187"/>
      <c r="L187"/>
    </row>
    <row r="188" spans="1:12" ht="17.100000000000001" customHeight="1" x14ac:dyDescent="0.25">
      <c r="A188" t="str">
        <f>'HIDDEN import'!B187</f>
        <v>TC_G_18_CS</v>
      </c>
      <c r="B188" t="str">
        <f>'HIDDEN import'!C187</f>
        <v>Core</v>
      </c>
      <c r="C188" t="str">
        <f>'HIDDEN import'!D187</f>
        <v>Change Availability EVSE - state persists across reboot</v>
      </c>
      <c r="D188" t="str">
        <f>IF(VLOOKUP(A188&amp;" "&amp;B188,'HIDDEN import'!A:G,5,FALSE)="M",MD!$A$1,(IF(AND(VLOOKUP(A188,'HIDDEN import'!B:E,4,FALSE)="C",OR(NOT(ISERROR(VLOOKUP(E188,'Optional features'!B:D,1,FALSE)=E188)),NOT(ISERROR(VLOOKUP(E188,'HIDDEN calc sheet'!A:C,1,FALSE)=E188)))),MD!$A$3,MD!$A$2)))</f>
        <v>Mandatory test for a mandatory feature</v>
      </c>
      <c r="E188" t="str">
        <f>IF('HIDDEN import'!F187=0,"",'HIDDEN import'!F187)</f>
        <v/>
      </c>
      <c r="F188" t="str">
        <f>IF('HIDDEN import'!G187=0,"",'HIDDEN import'!G187)</f>
        <v/>
      </c>
      <c r="G188" s="19" t="str">
        <f>IFERROR(VLOOKUP($A188,'HIDDEN Testrun Results'!$A:$B,2,FALSE),"")</f>
        <v/>
      </c>
      <c r="H188" s="3" t="b">
        <f t="shared" si="2"/>
        <v>1</v>
      </c>
      <c r="I188" s="3" t="b">
        <f>IF(VLOOKUP(A188&amp;" "&amp;B188,'HIDDEN import'!A:G,5,FALSE)="M",TRUE,IFERROR(VLOOKUP(E188,'Optional features'!B:D,3,FALSE)="Yes",IFERROR(VLOOKUP(E188,'HIDDEN calc sheet'!A:B,2,FALSE),IFERROR(VLOOKUP(E188,'Additional questions'!B:D,3,FALSE)="Yes",VLOOKUP(E188,'Hardware Feature set'!B:D,3,FALSE)="No"))))</f>
        <v>1</v>
      </c>
      <c r="J188" s="3" t="b">
        <f>IF(VLOOKUP(B188,'Profile selection'!B:C,2,FALSE)="Yes",TRUE,FALSE)</f>
        <v>1</v>
      </c>
      <c r="K188"/>
      <c r="L188"/>
    </row>
    <row r="189" spans="1:12" ht="17.100000000000001" customHeight="1" x14ac:dyDescent="0.25">
      <c r="A189" t="str">
        <f>'HIDDEN import'!B188</f>
        <v>TC_G_05_CS</v>
      </c>
      <c r="B189" t="str">
        <f>'HIDDEN import'!C188</f>
        <v>Core</v>
      </c>
      <c r="C189" t="str">
        <f>'HIDDEN import'!D188</f>
        <v>Change Availability Charging Station - Operative to inoperative</v>
      </c>
      <c r="D189" t="str">
        <f>IF(VLOOKUP(A189&amp;" "&amp;B189,'HIDDEN import'!A:G,5,FALSE)="M",MD!$A$1,(IF(AND(VLOOKUP(A189,'HIDDEN import'!B:E,4,FALSE)="C",OR(NOT(ISERROR(VLOOKUP(E189,'Optional features'!B:D,1,FALSE)=E189)),NOT(ISERROR(VLOOKUP(E189,'HIDDEN calc sheet'!A:C,1,FALSE)=E189)))),MD!$A$3,MD!$A$2)))</f>
        <v>Mandatory test for a mandatory feature</v>
      </c>
      <c r="E189" t="str">
        <f>IF('HIDDEN import'!F188=0,"",'HIDDEN import'!F188)</f>
        <v/>
      </c>
      <c r="F189" t="str">
        <f>IF('HIDDEN import'!G188=0,"",'HIDDEN import'!G188)</f>
        <v/>
      </c>
      <c r="G189" s="19" t="str">
        <f>IFERROR(VLOOKUP($A189,'HIDDEN Testrun Results'!$A:$B,2,FALSE),"")</f>
        <v/>
      </c>
      <c r="H189" s="3" t="b">
        <f t="shared" si="2"/>
        <v>1</v>
      </c>
      <c r="I189" s="3" t="b">
        <f>IF(VLOOKUP(A189&amp;" "&amp;B189,'HIDDEN import'!A:G,5,FALSE)="M",TRUE,IFERROR(VLOOKUP(E189,'Optional features'!B:D,3,FALSE)="Yes",IFERROR(VLOOKUP(E189,'HIDDEN calc sheet'!A:B,2,FALSE),IFERROR(VLOOKUP(E189,'Additional questions'!B:D,3,FALSE)="Yes",VLOOKUP(E189,'Hardware Feature set'!B:D,3,FALSE)="No"))))</f>
        <v>1</v>
      </c>
      <c r="J189" s="3" t="b">
        <f>IF(VLOOKUP(B189,'Profile selection'!B:C,2,FALSE)="Yes",TRUE,FALSE)</f>
        <v>1</v>
      </c>
      <c r="K189"/>
      <c r="L189"/>
    </row>
    <row r="190" spans="1:12" ht="17.100000000000001" customHeight="1" x14ac:dyDescent="0.25">
      <c r="A190" t="str">
        <f>'HIDDEN import'!B189</f>
        <v>TC_G_12_CS</v>
      </c>
      <c r="B190" t="str">
        <f>'HIDDEN import'!C189</f>
        <v>Core</v>
      </c>
      <c r="C190" t="str">
        <f>'HIDDEN import'!D189</f>
        <v>Change Availability Charging Station - Operative to operative</v>
      </c>
      <c r="D190" t="str">
        <f>IF(VLOOKUP(A190&amp;" "&amp;B190,'HIDDEN import'!A:G,5,FALSE)="M",MD!$A$1,(IF(AND(VLOOKUP(A190,'HIDDEN import'!B:E,4,FALSE)="C",OR(NOT(ISERROR(VLOOKUP(E190,'Optional features'!B:D,1,FALSE)=E190)),NOT(ISERROR(VLOOKUP(E190,'HIDDEN calc sheet'!A:C,1,FALSE)=E190)))),MD!$A$3,MD!$A$2)))</f>
        <v>Mandatory test for a mandatory feature</v>
      </c>
      <c r="E190" t="str">
        <f>IF('HIDDEN import'!F189=0,"",'HIDDEN import'!F189)</f>
        <v/>
      </c>
      <c r="F190" t="str">
        <f>IF('HIDDEN import'!G189=0,"",'HIDDEN import'!G189)</f>
        <v/>
      </c>
      <c r="G190" s="19" t="str">
        <f>IFERROR(VLOOKUP($A190,'HIDDEN Testrun Results'!$A:$B,2,FALSE),"")</f>
        <v/>
      </c>
      <c r="H190" s="3" t="b">
        <f t="shared" si="2"/>
        <v>1</v>
      </c>
      <c r="I190" s="3" t="b">
        <f>IF(VLOOKUP(A190&amp;" "&amp;B190,'HIDDEN import'!A:G,5,FALSE)="M",TRUE,IFERROR(VLOOKUP(E190,'Optional features'!B:D,3,FALSE)="Yes",IFERROR(VLOOKUP(E190,'HIDDEN calc sheet'!A:B,2,FALSE),IFERROR(VLOOKUP(E190,'Additional questions'!B:D,3,FALSE)="Yes",VLOOKUP(E190,'Hardware Feature set'!B:D,3,FALSE)="No"))))</f>
        <v>1</v>
      </c>
      <c r="J190" s="3" t="b">
        <f>IF(VLOOKUP(B190,'Profile selection'!B:C,2,FALSE)="Yes",TRUE,FALSE)</f>
        <v>1</v>
      </c>
      <c r="K190"/>
      <c r="L190"/>
    </row>
    <row r="191" spans="1:12" ht="17.100000000000001" customHeight="1" x14ac:dyDescent="0.25">
      <c r="A191" t="str">
        <f>'HIDDEN import'!B190</f>
        <v>TC_G_06_CS</v>
      </c>
      <c r="B191" t="str">
        <f>'HIDDEN import'!C190</f>
        <v>Core</v>
      </c>
      <c r="C191" t="str">
        <f>'HIDDEN import'!D190</f>
        <v>Change Availability Charging Station - Inoperative to operative</v>
      </c>
      <c r="D191" t="str">
        <f>IF(VLOOKUP(A191&amp;" "&amp;B191,'HIDDEN import'!A:G,5,FALSE)="M",MD!$A$1,(IF(AND(VLOOKUP(A191,'HIDDEN import'!B:E,4,FALSE)="C",OR(NOT(ISERROR(VLOOKUP(E191,'Optional features'!B:D,1,FALSE)=E191)),NOT(ISERROR(VLOOKUP(E191,'HIDDEN calc sheet'!A:C,1,FALSE)=E191)))),MD!$A$3,MD!$A$2)))</f>
        <v>Mandatory test for a mandatory feature</v>
      </c>
      <c r="E191" t="str">
        <f>IF('HIDDEN import'!F190=0,"",'HIDDEN import'!F190)</f>
        <v/>
      </c>
      <c r="F191" t="str">
        <f>IF('HIDDEN import'!G190=0,"",'HIDDEN import'!G190)</f>
        <v/>
      </c>
      <c r="G191" s="19" t="str">
        <f>IFERROR(VLOOKUP($A191,'HIDDEN Testrun Results'!$A:$B,2,FALSE),"")</f>
        <v/>
      </c>
      <c r="H191" s="3" t="b">
        <f t="shared" si="2"/>
        <v>1</v>
      </c>
      <c r="I191" s="3" t="b">
        <f>IF(VLOOKUP(A191&amp;" "&amp;B191,'HIDDEN import'!A:G,5,FALSE)="M",TRUE,IFERROR(VLOOKUP(E191,'Optional features'!B:D,3,FALSE)="Yes",IFERROR(VLOOKUP(E191,'HIDDEN calc sheet'!A:B,2,FALSE),IFERROR(VLOOKUP(E191,'Additional questions'!B:D,3,FALSE)="Yes",VLOOKUP(E191,'Hardware Feature set'!B:D,3,FALSE)="No"))))</f>
        <v>1</v>
      </c>
      <c r="J191" s="3" t="b">
        <f>IF(VLOOKUP(B191,'Profile selection'!B:C,2,FALSE)="Yes",TRUE,FALSE)</f>
        <v>1</v>
      </c>
      <c r="K191"/>
      <c r="L191"/>
    </row>
    <row r="192" spans="1:12" ht="17.100000000000001" customHeight="1" x14ac:dyDescent="0.25">
      <c r="A192" t="str">
        <f>'HIDDEN import'!B191</f>
        <v>TC_G_13_CS</v>
      </c>
      <c r="B192" t="str">
        <f>'HIDDEN import'!C191</f>
        <v>Core</v>
      </c>
      <c r="C192" t="str">
        <f>'HIDDEN import'!D191</f>
        <v>Change Availability Charging Station - Inoperative to inoperative</v>
      </c>
      <c r="D192" t="str">
        <f>IF(VLOOKUP(A192&amp;" "&amp;B192,'HIDDEN import'!A:G,5,FALSE)="M",MD!$A$1,(IF(AND(VLOOKUP(A192,'HIDDEN import'!B:E,4,FALSE)="C",OR(NOT(ISERROR(VLOOKUP(E192,'Optional features'!B:D,1,FALSE)=E192)),NOT(ISERROR(VLOOKUP(E192,'HIDDEN calc sheet'!A:C,1,FALSE)=E192)))),MD!$A$3,MD!$A$2)))</f>
        <v>Mandatory test for a mandatory feature</v>
      </c>
      <c r="E192" t="str">
        <f>IF('HIDDEN import'!F191=0,"",'HIDDEN import'!F191)</f>
        <v/>
      </c>
      <c r="F192" t="str">
        <f>IF('HIDDEN import'!G191=0,"",'HIDDEN import'!G191)</f>
        <v/>
      </c>
      <c r="G192" s="19" t="str">
        <f>IFERROR(VLOOKUP($A192,'HIDDEN Testrun Results'!$A:$B,2,FALSE),"")</f>
        <v/>
      </c>
      <c r="H192" s="3" t="b">
        <f t="shared" si="2"/>
        <v>1</v>
      </c>
      <c r="I192" s="3" t="b">
        <f>IF(VLOOKUP(A192&amp;" "&amp;B192,'HIDDEN import'!A:G,5,FALSE)="M",TRUE,IFERROR(VLOOKUP(E192,'Optional features'!B:D,3,FALSE)="Yes",IFERROR(VLOOKUP(E192,'HIDDEN calc sheet'!A:B,2,FALSE),IFERROR(VLOOKUP(E192,'Additional questions'!B:D,3,FALSE)="Yes",VLOOKUP(E192,'Hardware Feature set'!B:D,3,FALSE)="No"))))</f>
        <v>1</v>
      </c>
      <c r="J192" s="3" t="b">
        <f>IF(VLOOKUP(B192,'Profile selection'!B:C,2,FALSE)="Yes",TRUE,FALSE)</f>
        <v>1</v>
      </c>
      <c r="K192"/>
      <c r="L192"/>
    </row>
    <row r="193" spans="1:12" ht="17.100000000000001" customHeight="1" x14ac:dyDescent="0.25">
      <c r="A193" t="str">
        <f>'HIDDEN import'!B192</f>
        <v>TC_G_21_CS</v>
      </c>
      <c r="B193" t="str">
        <f>'HIDDEN import'!C192</f>
        <v>Core</v>
      </c>
      <c r="C193" t="str">
        <f>'HIDDEN import'!D192</f>
        <v>Change Availability Charging Station - state persists across reboot</v>
      </c>
      <c r="D193" t="str">
        <f>IF(VLOOKUP(A193&amp;" "&amp;B193,'HIDDEN import'!A:G,5,FALSE)="M",MD!$A$1,(IF(AND(VLOOKUP(A193,'HIDDEN import'!B:E,4,FALSE)="C",OR(NOT(ISERROR(VLOOKUP(E193,'Optional features'!B:D,1,FALSE)=E193)),NOT(ISERROR(VLOOKUP(E193,'HIDDEN calc sheet'!A:C,1,FALSE)=E193)))),MD!$A$3,MD!$A$2)))</f>
        <v>Mandatory test for a mandatory feature</v>
      </c>
      <c r="E193" t="str">
        <f>IF('HIDDEN import'!F192=0,"",'HIDDEN import'!F192)</f>
        <v/>
      </c>
      <c r="F193" t="str">
        <f>IF('HIDDEN import'!G192=0,"",'HIDDEN import'!G192)</f>
        <v/>
      </c>
      <c r="G193" s="19" t="str">
        <f>IFERROR(VLOOKUP($A193,'HIDDEN Testrun Results'!$A:$B,2,FALSE),"")</f>
        <v/>
      </c>
      <c r="H193" s="3" t="b">
        <f t="shared" si="2"/>
        <v>1</v>
      </c>
      <c r="I193" s="3" t="b">
        <f>IF(VLOOKUP(A193&amp;" "&amp;B193,'HIDDEN import'!A:G,5,FALSE)="M",TRUE,IFERROR(VLOOKUP(E193,'Optional features'!B:D,3,FALSE)="Yes",IFERROR(VLOOKUP(E193,'HIDDEN calc sheet'!A:B,2,FALSE),IFERROR(VLOOKUP(E193,'Additional questions'!B:D,3,FALSE)="Yes",VLOOKUP(E193,'Hardware Feature set'!B:D,3,FALSE)="No"))))</f>
        <v>1</v>
      </c>
      <c r="J193" s="3" t="b">
        <f>IF(VLOOKUP(B193,'Profile selection'!B:C,2,FALSE)="Yes",TRUE,FALSE)</f>
        <v>1</v>
      </c>
      <c r="K193"/>
      <c r="L193"/>
    </row>
    <row r="194" spans="1:12" ht="17.100000000000001" customHeight="1" x14ac:dyDescent="0.25">
      <c r="A194" t="str">
        <f>'HIDDEN import'!B193</f>
        <v>TC_G_14_CS</v>
      </c>
      <c r="B194" t="str">
        <f>'HIDDEN import'!C193</f>
        <v>Core</v>
      </c>
      <c r="C194" t="str">
        <f>'HIDDEN import'!D193</f>
        <v>Change Availability Charging Station - With ongoing transaction</v>
      </c>
      <c r="D194" t="str">
        <f>IF(VLOOKUP(A194&amp;" "&amp;B194,'HIDDEN import'!A:G,5,FALSE)="M",MD!$A$1,(IF(AND(VLOOKUP(A194,'HIDDEN import'!B:E,4,FALSE)="C",OR(NOT(ISERROR(VLOOKUP(E194,'Optional features'!B:D,1,FALSE)=E194)),NOT(ISERROR(VLOOKUP(E194,'HIDDEN calc sheet'!A:C,1,FALSE)=E194)))),MD!$A$3,MD!$A$2)))</f>
        <v>Mandatory test for a mandatory feature</v>
      </c>
      <c r="E194" t="str">
        <f>IF('HIDDEN import'!F193=0,"",'HIDDEN import'!F193)</f>
        <v/>
      </c>
      <c r="F194" t="str">
        <f>IF('HIDDEN import'!G193=0,"",'HIDDEN import'!G193)</f>
        <v/>
      </c>
      <c r="G194" s="19" t="str">
        <f>IFERROR(VLOOKUP($A194,'HIDDEN Testrun Results'!$A:$B,2,FALSE),"")</f>
        <v/>
      </c>
      <c r="H194" s="3" t="b">
        <f t="shared" si="2"/>
        <v>1</v>
      </c>
      <c r="I194" s="3" t="b">
        <f>IF(VLOOKUP(A194&amp;" "&amp;B194,'HIDDEN import'!A:G,5,FALSE)="M",TRUE,IFERROR(VLOOKUP(E194,'Optional features'!B:D,3,FALSE)="Yes",IFERROR(VLOOKUP(E194,'HIDDEN calc sheet'!A:B,2,FALSE),IFERROR(VLOOKUP(E194,'Additional questions'!B:D,3,FALSE)="Yes",VLOOKUP(E194,'Hardware Feature set'!B:D,3,FALSE)="No"))))</f>
        <v>1</v>
      </c>
      <c r="J194" s="3" t="b">
        <f>IF(VLOOKUP(B194,'Profile selection'!B:C,2,FALSE)="Yes",TRUE,FALSE)</f>
        <v>1</v>
      </c>
      <c r="K194"/>
      <c r="L194"/>
    </row>
    <row r="195" spans="1:12" ht="17.100000000000001" customHeight="1" x14ac:dyDescent="0.25">
      <c r="A195" t="str">
        <f>'HIDDEN import'!B194</f>
        <v>TC_G_07_CS</v>
      </c>
      <c r="B195" t="str">
        <f>'HIDDEN import'!C194</f>
        <v>Core</v>
      </c>
      <c r="C195" t="str">
        <f>'HIDDEN import'!D194</f>
        <v>Change Availability Connector - Operative to inoperative</v>
      </c>
      <c r="D195" t="str">
        <f>IF(VLOOKUP(A195&amp;" "&amp;B195,'HIDDEN import'!A:G,5,FALSE)="M",MD!$A$1,(IF(AND(VLOOKUP(A195,'HIDDEN import'!B:E,4,FALSE)="C",OR(NOT(ISERROR(VLOOKUP(E195,'Optional features'!B:D,1,FALSE)=E195)),NOT(ISERROR(VLOOKUP(E195,'HIDDEN calc sheet'!A:C,1,FALSE)=E195)))),MD!$A$3,MD!$A$2)))</f>
        <v>Mandatory test for a mandatory feature</v>
      </c>
      <c r="E195" t="str">
        <f>IF('HIDDEN import'!F194=0,"",'HIDDEN import'!F194)</f>
        <v/>
      </c>
      <c r="F195" t="str">
        <f>IF('HIDDEN import'!G194=0,"",'HIDDEN import'!G194)</f>
        <v/>
      </c>
      <c r="G195" s="19" t="str">
        <f>IFERROR(VLOOKUP($A195,'HIDDEN Testrun Results'!$A:$B,2,FALSE),"")</f>
        <v/>
      </c>
      <c r="H195" s="3" t="b">
        <f t="shared" ref="H195:H258" si="3">IF(NOT(J195),FALSE,IF(NOT(ISLOGICAL(I195)),I195,AND(I195,J195)))</f>
        <v>1</v>
      </c>
      <c r="I195" s="3" t="b">
        <f>IF(VLOOKUP(A195&amp;" "&amp;B195,'HIDDEN import'!A:G,5,FALSE)="M",TRUE,IFERROR(VLOOKUP(E195,'Optional features'!B:D,3,FALSE)="Yes",IFERROR(VLOOKUP(E195,'HIDDEN calc sheet'!A:B,2,FALSE),IFERROR(VLOOKUP(E195,'Additional questions'!B:D,3,FALSE)="Yes",VLOOKUP(E195,'Hardware Feature set'!B:D,3,FALSE)="No"))))</f>
        <v>1</v>
      </c>
      <c r="J195" s="3" t="b">
        <f>IF(VLOOKUP(B195,'Profile selection'!B:C,2,FALSE)="Yes",TRUE,FALSE)</f>
        <v>1</v>
      </c>
      <c r="K195"/>
      <c r="L195"/>
    </row>
    <row r="196" spans="1:12" ht="17.100000000000001" customHeight="1" x14ac:dyDescent="0.25">
      <c r="A196" t="str">
        <f>'HIDDEN import'!B195</f>
        <v>TC_G_15_CS</v>
      </c>
      <c r="B196" t="str">
        <f>'HIDDEN import'!C195</f>
        <v>Core</v>
      </c>
      <c r="C196" t="str">
        <f>'HIDDEN import'!D195</f>
        <v>Change Availability Connector - Operative to operative</v>
      </c>
      <c r="D196" t="str">
        <f>IF(VLOOKUP(A196&amp;" "&amp;B196,'HIDDEN import'!A:G,5,FALSE)="M",MD!$A$1,(IF(AND(VLOOKUP(A196,'HIDDEN import'!B:E,4,FALSE)="C",OR(NOT(ISERROR(VLOOKUP(E196,'Optional features'!B:D,1,FALSE)=E196)),NOT(ISERROR(VLOOKUP(E196,'HIDDEN calc sheet'!A:C,1,FALSE)=E196)))),MD!$A$3,MD!$A$2)))</f>
        <v>Mandatory test for a mandatory feature</v>
      </c>
      <c r="E196" t="str">
        <f>IF('HIDDEN import'!F195=0,"",'HIDDEN import'!F195)</f>
        <v/>
      </c>
      <c r="F196" t="str">
        <f>IF('HIDDEN import'!G195=0,"",'HIDDEN import'!G195)</f>
        <v/>
      </c>
      <c r="G196" s="19" t="str">
        <f>IFERROR(VLOOKUP($A196,'HIDDEN Testrun Results'!$A:$B,2,FALSE),"")</f>
        <v/>
      </c>
      <c r="H196" s="3" t="b">
        <f t="shared" si="3"/>
        <v>1</v>
      </c>
      <c r="I196" s="3" t="b">
        <f>IF(VLOOKUP(A196&amp;" "&amp;B196,'HIDDEN import'!A:G,5,FALSE)="M",TRUE,IFERROR(VLOOKUP(E196,'Optional features'!B:D,3,FALSE)="Yes",IFERROR(VLOOKUP(E196,'HIDDEN calc sheet'!A:B,2,FALSE),IFERROR(VLOOKUP(E196,'Additional questions'!B:D,3,FALSE)="Yes",VLOOKUP(E196,'Hardware Feature set'!B:D,3,FALSE)="No"))))</f>
        <v>1</v>
      </c>
      <c r="J196" s="3" t="b">
        <f>IF(VLOOKUP(B196,'Profile selection'!B:C,2,FALSE)="Yes",TRUE,FALSE)</f>
        <v>1</v>
      </c>
      <c r="K196"/>
      <c r="L196"/>
    </row>
    <row r="197" spans="1:12" ht="17.100000000000001" customHeight="1" x14ac:dyDescent="0.25">
      <c r="A197" t="str">
        <f>'HIDDEN import'!B196</f>
        <v>TC_G_08_CS</v>
      </c>
      <c r="B197" t="str">
        <f>'HIDDEN import'!C196</f>
        <v>Core</v>
      </c>
      <c r="C197" t="str">
        <f>'HIDDEN import'!D196</f>
        <v>Change Availability Connector - Inoperative to operative</v>
      </c>
      <c r="D197" t="str">
        <f>IF(VLOOKUP(A197&amp;" "&amp;B197,'HIDDEN import'!A:G,5,FALSE)="M",MD!$A$1,(IF(AND(VLOOKUP(A197,'HIDDEN import'!B:E,4,FALSE)="C",OR(NOT(ISERROR(VLOOKUP(E197,'Optional features'!B:D,1,FALSE)=E197)),NOT(ISERROR(VLOOKUP(E197,'HIDDEN calc sheet'!A:C,1,FALSE)=E197)))),MD!$A$3,MD!$A$2)))</f>
        <v>Mandatory test for a mandatory feature</v>
      </c>
      <c r="E197" t="str">
        <f>IF('HIDDEN import'!F196=0,"",'HIDDEN import'!F196)</f>
        <v/>
      </c>
      <c r="F197" t="str">
        <f>IF('HIDDEN import'!G196=0,"",'HIDDEN import'!G196)</f>
        <v/>
      </c>
      <c r="G197" s="19" t="str">
        <f>IFERROR(VLOOKUP($A197,'HIDDEN Testrun Results'!$A:$B,2,FALSE),"")</f>
        <v/>
      </c>
      <c r="H197" s="3" t="b">
        <f t="shared" si="3"/>
        <v>1</v>
      </c>
      <c r="I197" s="3" t="b">
        <f>IF(VLOOKUP(A197&amp;" "&amp;B197,'HIDDEN import'!A:G,5,FALSE)="M",TRUE,IFERROR(VLOOKUP(E197,'Optional features'!B:D,3,FALSE)="Yes",IFERROR(VLOOKUP(E197,'HIDDEN calc sheet'!A:B,2,FALSE),IFERROR(VLOOKUP(E197,'Additional questions'!B:D,3,FALSE)="Yes",VLOOKUP(E197,'Hardware Feature set'!B:D,3,FALSE)="No"))))</f>
        <v>1</v>
      </c>
      <c r="J197" s="3" t="b">
        <f>IF(VLOOKUP(B197,'Profile selection'!B:C,2,FALSE)="Yes",TRUE,FALSE)</f>
        <v>1</v>
      </c>
      <c r="K197"/>
      <c r="L197"/>
    </row>
    <row r="198" spans="1:12" ht="17.100000000000001" customHeight="1" x14ac:dyDescent="0.25">
      <c r="A198" t="str">
        <f>'HIDDEN import'!B197</f>
        <v>TC_G_16_CS</v>
      </c>
      <c r="B198" t="str">
        <f>'HIDDEN import'!C197</f>
        <v>Core</v>
      </c>
      <c r="C198" t="str">
        <f>'HIDDEN import'!D197</f>
        <v>Change Availability Connector - Inoperative to inoperative</v>
      </c>
      <c r="D198" t="str">
        <f>IF(VLOOKUP(A198&amp;" "&amp;B198,'HIDDEN import'!A:G,5,FALSE)="M",MD!$A$1,(IF(AND(VLOOKUP(A198,'HIDDEN import'!B:E,4,FALSE)="C",OR(NOT(ISERROR(VLOOKUP(E198,'Optional features'!B:D,1,FALSE)=E198)),NOT(ISERROR(VLOOKUP(E198,'HIDDEN calc sheet'!A:C,1,FALSE)=E198)))),MD!$A$3,MD!$A$2)))</f>
        <v>Mandatory test for a mandatory feature</v>
      </c>
      <c r="E198" t="str">
        <f>IF('HIDDEN import'!F197=0,"",'HIDDEN import'!F197)</f>
        <v/>
      </c>
      <c r="F198" t="str">
        <f>IF('HIDDEN import'!G197=0,"",'HIDDEN import'!G197)</f>
        <v/>
      </c>
      <c r="G198" s="19" t="str">
        <f>IFERROR(VLOOKUP($A198,'HIDDEN Testrun Results'!$A:$B,2,FALSE),"")</f>
        <v/>
      </c>
      <c r="H198" s="3" t="b">
        <f t="shared" si="3"/>
        <v>1</v>
      </c>
      <c r="I198" s="3" t="b">
        <f>IF(VLOOKUP(A198&amp;" "&amp;B198,'HIDDEN import'!A:G,5,FALSE)="M",TRUE,IFERROR(VLOOKUP(E198,'Optional features'!B:D,3,FALSE)="Yes",IFERROR(VLOOKUP(E198,'HIDDEN calc sheet'!A:B,2,FALSE),IFERROR(VLOOKUP(E198,'Additional questions'!B:D,3,FALSE)="Yes",VLOOKUP(E198,'Hardware Feature set'!B:D,3,FALSE)="No"))))</f>
        <v>1</v>
      </c>
      <c r="J198" s="3" t="b">
        <f>IF(VLOOKUP(B198,'Profile selection'!B:C,2,FALSE)="Yes",TRUE,FALSE)</f>
        <v>1</v>
      </c>
      <c r="K198"/>
      <c r="L198"/>
    </row>
    <row r="199" spans="1:12" ht="17.100000000000001" customHeight="1" x14ac:dyDescent="0.25">
      <c r="A199" t="str">
        <f>'HIDDEN import'!B198</f>
        <v>TC_G_17_CS</v>
      </c>
      <c r="B199" t="str">
        <f>'HIDDEN import'!C198</f>
        <v>Core</v>
      </c>
      <c r="C199" t="str">
        <f>'HIDDEN import'!D198</f>
        <v>Change Availability Connector - With ongoing transaction</v>
      </c>
      <c r="D199" t="str">
        <f>IF(VLOOKUP(A199&amp;" "&amp;B199,'HIDDEN import'!A:G,5,FALSE)="M",MD!$A$1,(IF(AND(VLOOKUP(A199,'HIDDEN import'!B:E,4,FALSE)="C",OR(NOT(ISERROR(VLOOKUP(E199,'Optional features'!B:D,1,FALSE)=E199)),NOT(ISERROR(VLOOKUP(E199,'HIDDEN calc sheet'!A:C,1,FALSE)=E199)))),MD!$A$3,MD!$A$2)))</f>
        <v>Mandatory test for a mandatory feature</v>
      </c>
      <c r="E199" t="str">
        <f>IF('HIDDEN import'!F198=0,"",'HIDDEN import'!F198)</f>
        <v/>
      </c>
      <c r="F199" t="str">
        <f>IF('HIDDEN import'!G198=0,"",'HIDDEN import'!G198)</f>
        <v/>
      </c>
      <c r="G199" s="19" t="str">
        <f>IFERROR(VLOOKUP($A199,'HIDDEN Testrun Results'!$A:$B,2,FALSE),"")</f>
        <v/>
      </c>
      <c r="H199" s="3" t="b">
        <f t="shared" si="3"/>
        <v>1</v>
      </c>
      <c r="I199" s="3" t="b">
        <f>IF(VLOOKUP(A199&amp;" "&amp;B199,'HIDDEN import'!A:G,5,FALSE)="M",TRUE,IFERROR(VLOOKUP(E199,'Optional features'!B:D,3,FALSE)="Yes",IFERROR(VLOOKUP(E199,'HIDDEN calc sheet'!A:B,2,FALSE),IFERROR(VLOOKUP(E199,'Additional questions'!B:D,3,FALSE)="Yes",VLOOKUP(E199,'Hardware Feature set'!B:D,3,FALSE)="No"))))</f>
        <v>1</v>
      </c>
      <c r="J199" s="3" t="b">
        <f>IF(VLOOKUP(B199,'Profile selection'!B:C,2,FALSE)="Yes",TRUE,FALSE)</f>
        <v>1</v>
      </c>
      <c r="K199"/>
      <c r="L199"/>
    </row>
    <row r="200" spans="1:12" ht="17.100000000000001" customHeight="1" x14ac:dyDescent="0.25">
      <c r="A200" t="str">
        <f>'HIDDEN import'!B199</f>
        <v>TC_G_19_CS</v>
      </c>
      <c r="B200" t="str">
        <f>'HIDDEN import'!C199</f>
        <v>Core</v>
      </c>
      <c r="C200" t="str">
        <f>'HIDDEN import'!D199</f>
        <v>Change Availability Connector - state persists across reboot</v>
      </c>
      <c r="D200" t="str">
        <f>IF(VLOOKUP(A200&amp;" "&amp;B200,'HIDDEN import'!A:G,5,FALSE)="M",MD!$A$1,(IF(AND(VLOOKUP(A200,'HIDDEN import'!B:E,4,FALSE)="C",OR(NOT(ISERROR(VLOOKUP(E200,'Optional features'!B:D,1,FALSE)=E200)),NOT(ISERROR(VLOOKUP(E200,'HIDDEN calc sheet'!A:C,1,FALSE)=E200)))),MD!$A$3,MD!$A$2)))</f>
        <v>Mandatory test for a mandatory feature</v>
      </c>
      <c r="E200" t="str">
        <f>IF('HIDDEN import'!F199=0,"",'HIDDEN import'!F199)</f>
        <v/>
      </c>
      <c r="F200" t="str">
        <f>IF('HIDDEN import'!G199=0,"",'HIDDEN import'!G199)</f>
        <v/>
      </c>
      <c r="G200" s="19" t="str">
        <f>IFERROR(VLOOKUP($A200,'HIDDEN Testrun Results'!$A:$B,2,FALSE),"")</f>
        <v/>
      </c>
      <c r="H200" s="3" t="b">
        <f t="shared" si="3"/>
        <v>1</v>
      </c>
      <c r="I200" s="3" t="b">
        <f>IF(VLOOKUP(A200&amp;" "&amp;B200,'HIDDEN import'!A:G,5,FALSE)="M",TRUE,IFERROR(VLOOKUP(E200,'Optional features'!B:D,3,FALSE)="Yes",IFERROR(VLOOKUP(E200,'HIDDEN calc sheet'!A:B,2,FALSE),IFERROR(VLOOKUP(E200,'Additional questions'!B:D,3,FALSE)="Yes",VLOOKUP(E200,'Hardware Feature set'!B:D,3,FALSE)="No"))))</f>
        <v>1</v>
      </c>
      <c r="J200" s="3" t="b">
        <f>IF(VLOOKUP(B200,'Profile selection'!B:C,2,FALSE)="Yes",TRUE,FALSE)</f>
        <v>1</v>
      </c>
      <c r="K200"/>
      <c r="L200"/>
    </row>
    <row r="201" spans="1:12" ht="17.100000000000001" customHeight="1" x14ac:dyDescent="0.25">
      <c r="A201" t="str">
        <f>'HIDDEN import'!B200</f>
        <v>TC_J_01_CS</v>
      </c>
      <c r="B201" t="str">
        <f>'HIDDEN import'!C200</f>
        <v>Core</v>
      </c>
      <c r="C201" t="str">
        <f>'HIDDEN import'!D200</f>
        <v>Clock-aligned Meter Values - No transaction ongoing</v>
      </c>
      <c r="D201" t="str">
        <f>IF(VLOOKUP(A201&amp;" "&amp;B201,'HIDDEN import'!A:G,5,FALSE)="M",MD!$A$1,(IF(AND(VLOOKUP(A201,'HIDDEN import'!B:E,4,FALSE)="C",OR(NOT(ISERROR(VLOOKUP(E201,'Optional features'!B:D,1,FALSE)=E201)),NOT(ISERROR(VLOOKUP(E201,'HIDDEN calc sheet'!A:C,1,FALSE)=E201)))),MD!$A$3,MD!$A$2)))</f>
        <v>Mandatory test for a mandatory feature</v>
      </c>
      <c r="E201" t="str">
        <f>IF('HIDDEN import'!F200=0,"",'HIDDEN import'!F200)</f>
        <v/>
      </c>
      <c r="F201" t="str">
        <f>IF('HIDDEN import'!G200=0,"",'HIDDEN import'!G200)</f>
        <v/>
      </c>
      <c r="G201" s="19" t="str">
        <f>IFERROR(VLOOKUP($A201,'HIDDEN Testrun Results'!$A:$B,2,FALSE),"")</f>
        <v/>
      </c>
      <c r="H201" s="3" t="b">
        <f t="shared" si="3"/>
        <v>1</v>
      </c>
      <c r="I201" s="3" t="b">
        <f>IF(VLOOKUP(A201&amp;" "&amp;B201,'HIDDEN import'!A:G,5,FALSE)="M",TRUE,IFERROR(VLOOKUP(E201,'Optional features'!B:D,3,FALSE)="Yes",IFERROR(VLOOKUP(E201,'HIDDEN calc sheet'!A:B,2,FALSE),IFERROR(VLOOKUP(E201,'Additional questions'!B:D,3,FALSE)="Yes",VLOOKUP(E201,'Hardware Feature set'!B:D,3,FALSE)="No"))))</f>
        <v>1</v>
      </c>
      <c r="J201" s="3" t="b">
        <f>IF(VLOOKUP(B201,'Profile selection'!B:C,2,FALSE)="Yes",TRUE,FALSE)</f>
        <v>1</v>
      </c>
      <c r="K201"/>
      <c r="L201"/>
    </row>
    <row r="202" spans="1:12" ht="17.100000000000001" customHeight="1" x14ac:dyDescent="0.25">
      <c r="A202" t="str">
        <f>'HIDDEN import'!B201</f>
        <v>TC_J_02_CS</v>
      </c>
      <c r="B202" t="str">
        <f>'HIDDEN import'!C201</f>
        <v>Core</v>
      </c>
      <c r="C202" t="str">
        <f>'HIDDEN import'!D201</f>
        <v>Clock-aligned Meter Values - Transaction ongoing</v>
      </c>
      <c r="D202" t="str">
        <f>IF(VLOOKUP(A202&amp;" "&amp;B202,'HIDDEN import'!A:G,5,FALSE)="M",MD!$A$1,(IF(AND(VLOOKUP(A202,'HIDDEN import'!B:E,4,FALSE)="C",OR(NOT(ISERROR(VLOOKUP(E202,'Optional features'!B:D,1,FALSE)=E202)),NOT(ISERROR(VLOOKUP(E202,'HIDDEN calc sheet'!A:C,1,FALSE)=E202)))),MD!$A$3,MD!$A$2)))</f>
        <v>Mandatory test for a mandatory feature</v>
      </c>
      <c r="E202" t="str">
        <f>IF('HIDDEN import'!F201=0,"",'HIDDEN import'!F201)</f>
        <v/>
      </c>
      <c r="F202" t="str">
        <f>IF('HIDDEN import'!G201=0,"",'HIDDEN import'!G201)</f>
        <v/>
      </c>
      <c r="G202" s="19" t="str">
        <f>IFERROR(VLOOKUP($A202,'HIDDEN Testrun Results'!$A:$B,2,FALSE),"")</f>
        <v/>
      </c>
      <c r="H202" s="3" t="b">
        <f t="shared" si="3"/>
        <v>1</v>
      </c>
      <c r="I202" s="3" t="b">
        <f>IF(VLOOKUP(A202&amp;" "&amp;B202,'HIDDEN import'!A:G,5,FALSE)="M",TRUE,IFERROR(VLOOKUP(E202,'Optional features'!B:D,3,FALSE)="Yes",IFERROR(VLOOKUP(E202,'HIDDEN calc sheet'!A:B,2,FALSE),IFERROR(VLOOKUP(E202,'Additional questions'!B:D,3,FALSE)="Yes",VLOOKUP(E202,'Hardware Feature set'!B:D,3,FALSE)="No"))))</f>
        <v>1</v>
      </c>
      <c r="J202" s="3" t="b">
        <f>IF(VLOOKUP(B202,'Profile selection'!B:C,2,FALSE)="Yes",TRUE,FALSE)</f>
        <v>1</v>
      </c>
      <c r="K202"/>
      <c r="L202"/>
    </row>
    <row r="203" spans="1:12" ht="17.100000000000001" customHeight="1" x14ac:dyDescent="0.25">
      <c r="A203" t="str">
        <f>'HIDDEN import'!B202</f>
        <v>TC_J_03_CS</v>
      </c>
      <c r="B203" t="str">
        <f>'HIDDEN import'!C202</f>
        <v>Core</v>
      </c>
      <c r="C203" t="str">
        <f>'HIDDEN import'!D202</f>
        <v>Clock-aligned Meter Values - EventType Ended</v>
      </c>
      <c r="D203" t="str">
        <f>IF(VLOOKUP(A203&amp;" "&amp;B203,'HIDDEN import'!A:G,5,FALSE)="M",MD!$A$1,(IF(AND(VLOOKUP(A203,'HIDDEN import'!B:E,4,FALSE)="C",OR(NOT(ISERROR(VLOOKUP(E203,'Optional features'!B:D,1,FALSE)=E203)),NOT(ISERROR(VLOOKUP(E203,'HIDDEN calc sheet'!A:C,1,FALSE)=E203)))),MD!$A$3,MD!$A$2)))</f>
        <v>Mandatory test for a mandatory feature</v>
      </c>
      <c r="E203" t="str">
        <f>IF('HIDDEN import'!F202=0,"",'HIDDEN import'!F202)</f>
        <v/>
      </c>
      <c r="F203" t="str">
        <f>IF('HIDDEN import'!G202=0,"",'HIDDEN import'!G202)</f>
        <v/>
      </c>
      <c r="G203" s="19" t="str">
        <f>IFERROR(VLOOKUP($A203,'HIDDEN Testrun Results'!$A:$B,2,FALSE),"")</f>
        <v/>
      </c>
      <c r="H203" s="3" t="b">
        <f t="shared" si="3"/>
        <v>1</v>
      </c>
      <c r="I203" s="3" t="b">
        <f>IF(VLOOKUP(A203&amp;" "&amp;B203,'HIDDEN import'!A:G,5,FALSE)="M",TRUE,IFERROR(VLOOKUP(E203,'Optional features'!B:D,3,FALSE)="Yes",IFERROR(VLOOKUP(E203,'HIDDEN calc sheet'!A:B,2,FALSE),IFERROR(VLOOKUP(E203,'Additional questions'!B:D,3,FALSE)="Yes",VLOOKUP(E203,'Hardware Feature set'!B:D,3,FALSE)="No"))))</f>
        <v>1</v>
      </c>
      <c r="J203" s="3" t="b">
        <f>IF(VLOOKUP(B203,'Profile selection'!B:C,2,FALSE)="Yes",TRUE,FALSE)</f>
        <v>1</v>
      </c>
      <c r="K203"/>
      <c r="L203"/>
    </row>
    <row r="204" spans="1:12" ht="17.100000000000001" customHeight="1" x14ac:dyDescent="0.25">
      <c r="A204" t="str">
        <f>'HIDDEN import'!B203</f>
        <v>TC_J_04_CS</v>
      </c>
      <c r="B204" t="str">
        <f>'HIDDEN import'!C203</f>
        <v>Core</v>
      </c>
      <c r="C204" t="str">
        <f>'HIDDEN import'!D203</f>
        <v>Clock-aligned Meter Values - Signed</v>
      </c>
      <c r="D204" t="str">
        <f>IF(VLOOKUP(A204&amp;" "&amp;B204,'HIDDEN import'!A:G,5,FALSE)="M",MD!$A$1,(IF(AND(VLOOKUP(A204,'HIDDEN import'!B:E,4,FALSE)="C",OR(NOT(ISERROR(VLOOKUP(E204,'Optional features'!B:D,1,FALSE)=E204)),NOT(ISERROR(VLOOKUP(E204,'HIDDEN calc sheet'!A:C,1,FALSE)=E204)))),MD!$A$3,MD!$A$2)))</f>
        <v>Mandatory for optional feature</v>
      </c>
      <c r="E204" t="str">
        <f>IF('HIDDEN import'!F203=0,"",'HIDDEN import'!F203)</f>
        <v>C-42</v>
      </c>
      <c r="F204" t="str">
        <f>IF('HIDDEN import'!G203=0,"",'HIDDEN import'!G203)</f>
        <v>Supported MeterValue Measurands &amp; Signed Metervalues</v>
      </c>
      <c r="G204" s="19" t="str">
        <f>IFERROR(VLOOKUP($A204,'HIDDEN Testrun Results'!$A:$B,2,FALSE),"")</f>
        <v/>
      </c>
      <c r="H204" s="3" t="b">
        <f t="shared" si="3"/>
        <v>0</v>
      </c>
      <c r="I204" s="3" t="b">
        <f>IF(VLOOKUP(A204&amp;" "&amp;B204,'HIDDEN import'!A:G,5,FALSE)="M",TRUE,IFERROR(VLOOKUP(E204,'Optional features'!B:D,3,FALSE)="Yes",IFERROR(VLOOKUP(E204,'HIDDEN calc sheet'!A:B,2,FALSE),IFERROR(VLOOKUP(E204,'Additional questions'!B:D,3,FALSE)="Yes",VLOOKUP(E204,'Hardware Feature set'!B:D,3,FALSE)="No"))))</f>
        <v>0</v>
      </c>
      <c r="J204" s="3" t="b">
        <f>IF(VLOOKUP(B204,'Profile selection'!B:C,2,FALSE)="Yes",TRUE,FALSE)</f>
        <v>1</v>
      </c>
      <c r="K204"/>
      <c r="L204"/>
    </row>
    <row r="205" spans="1:12" ht="17.100000000000001" customHeight="1" x14ac:dyDescent="0.25">
      <c r="A205" t="str">
        <f>'HIDDEN import'!B204</f>
        <v>TC_J_06_CS</v>
      </c>
      <c r="B205" t="str">
        <f>'HIDDEN import'!C204</f>
        <v>Core</v>
      </c>
      <c r="C205" t="str">
        <f>'HIDDEN import'!D204</f>
        <v>Clock-aligned Meter Values - No Meter Values during transaction</v>
      </c>
      <c r="D205" t="str">
        <f>IF(VLOOKUP(A205&amp;" "&amp;B205,'HIDDEN import'!A:G,5,FALSE)="M",MD!$A$1,(IF(AND(VLOOKUP(A205,'HIDDEN import'!B:E,4,FALSE)="C",OR(NOT(ISERROR(VLOOKUP(E205,'Optional features'!B:D,1,FALSE)=E205)),NOT(ISERROR(VLOOKUP(E205,'HIDDEN calc sheet'!A:C,1,FALSE)=E205)))),MD!$A$3,MD!$A$2)))</f>
        <v>Mandatory for optional feature</v>
      </c>
      <c r="E205" t="str">
        <f>IF('HIDDEN import'!F204=0,"",'HIDDEN import'!F204)</f>
        <v>C-28</v>
      </c>
      <c r="F205" t="str">
        <f>IF('HIDDEN import'!G204=0,"",'HIDDEN import'!G204)</f>
        <v>AlignedDataSendDuringIdle</v>
      </c>
      <c r="G205" s="19" t="str">
        <f>IFERROR(VLOOKUP($A205,'HIDDEN Testrun Results'!$A:$B,2,FALSE),"")</f>
        <v/>
      </c>
      <c r="H205" s="3" t="b">
        <f t="shared" si="3"/>
        <v>0</v>
      </c>
      <c r="I205" s="3" t="b">
        <f>IF(VLOOKUP(A205&amp;" "&amp;B205,'HIDDEN import'!A:G,5,FALSE)="M",TRUE,IFERROR(VLOOKUP(E205,'Optional features'!B:D,3,FALSE)="Yes",IFERROR(VLOOKUP(E205,'HIDDEN calc sheet'!A:B,2,FALSE),IFERROR(VLOOKUP(E205,'Additional questions'!B:D,3,FALSE)="Yes",VLOOKUP(E205,'Hardware Feature set'!B:D,3,FALSE)="No"))))</f>
        <v>0</v>
      </c>
      <c r="J205" s="3" t="b">
        <f>IF(VLOOKUP(B205,'Profile selection'!B:C,2,FALSE)="Yes",TRUE,FALSE)</f>
        <v>1</v>
      </c>
      <c r="K205"/>
      <c r="L205"/>
    </row>
    <row r="206" spans="1:12" ht="17.100000000000001" customHeight="1" x14ac:dyDescent="0.25">
      <c r="A206" t="str">
        <f>'HIDDEN import'!B205</f>
        <v>TC_J_07_CS</v>
      </c>
      <c r="B206" t="str">
        <f>'HIDDEN import'!C205</f>
        <v>Core</v>
      </c>
      <c r="C206" t="str">
        <f>'HIDDEN import'!D205</f>
        <v>Sampled Meter Values - EventType Started - EVSE known</v>
      </c>
      <c r="D206" t="str">
        <f>IF(VLOOKUP(A206&amp;" "&amp;B206,'HIDDEN import'!A:G,5,FALSE)="M",MD!$A$1,(IF(AND(VLOOKUP(A206,'HIDDEN import'!B:E,4,FALSE)="C",OR(NOT(ISERROR(VLOOKUP(E206,'Optional features'!B:D,1,FALSE)=E206)),NOT(ISERROR(VLOOKUP(E206,'HIDDEN calc sheet'!A:C,1,FALSE)=E206)))),MD!$A$3,MD!$A$2)))</f>
        <v>Mandatory test for a mandatory feature</v>
      </c>
      <c r="E206" t="str">
        <f>IF('HIDDEN import'!F205=0,"",'HIDDEN import'!F205)</f>
        <v/>
      </c>
      <c r="F206" t="str">
        <f>IF('HIDDEN import'!G205=0,"",'HIDDEN import'!G205)</f>
        <v/>
      </c>
      <c r="G206" s="19" t="str">
        <f>IFERROR(VLOOKUP($A206,'HIDDEN Testrun Results'!$A:$B,2,FALSE),"")</f>
        <v/>
      </c>
      <c r="H206" s="3" t="b">
        <f t="shared" si="3"/>
        <v>1</v>
      </c>
      <c r="I206" s="3" t="b">
        <f>IF(VLOOKUP(A206&amp;" "&amp;B206,'HIDDEN import'!A:G,5,FALSE)="M",TRUE,IFERROR(VLOOKUP(E206,'Optional features'!B:D,3,FALSE)="Yes",IFERROR(VLOOKUP(E206,'HIDDEN calc sheet'!A:B,2,FALSE),IFERROR(VLOOKUP(E206,'Additional questions'!B:D,3,FALSE)="Yes",VLOOKUP(E206,'Hardware Feature set'!B:D,3,FALSE)="No"))))</f>
        <v>1</v>
      </c>
      <c r="J206" s="3" t="b">
        <f>IF(VLOOKUP(B206,'Profile selection'!B:C,2,FALSE)="Yes",TRUE,FALSE)</f>
        <v>1</v>
      </c>
      <c r="K206"/>
      <c r="L206"/>
    </row>
    <row r="207" spans="1:12" ht="17.100000000000001" customHeight="1" x14ac:dyDescent="0.25">
      <c r="A207" t="str">
        <f>'HIDDEN import'!B206</f>
        <v>TC_J_08_CS</v>
      </c>
      <c r="B207" t="str">
        <f>'HIDDEN import'!C206</f>
        <v>Core</v>
      </c>
      <c r="C207" t="str">
        <f>'HIDDEN import'!D206</f>
        <v>Sampled Meter Values - Context Transaction.Begin - EVSE not known</v>
      </c>
      <c r="D207" t="str">
        <f>IF(VLOOKUP(A207&amp;" "&amp;B207,'HIDDEN import'!A:G,5,FALSE)="M",MD!$A$1,(IF(AND(VLOOKUP(A207,'HIDDEN import'!B:E,4,FALSE)="C",OR(NOT(ISERROR(VLOOKUP(E207,'Optional features'!B:D,1,FALSE)=E207)),NOT(ISERROR(VLOOKUP(E207,'HIDDEN calc sheet'!A:C,1,FALSE)=E207)))),MD!$A$3,MD!$A$2)))</f>
        <v>Mandatory for optional feature</v>
      </c>
      <c r="E207" t="str">
        <f>IF('HIDDEN import'!F206=0,"",'HIDDEN import'!F206)</f>
        <v>C-40 and NOT AQ-8 AND (C-09.2 OR C-09.6)</v>
      </c>
      <c r="F207" t="str">
        <f>IF('HIDDEN import'!G206=0,"",'HIDDEN import'!G206)</f>
        <v>Supported MeterValue Measurands &amp; possibility to enforce EVSE being known.</v>
      </c>
      <c r="G207" s="19" t="str">
        <f>IFERROR(VLOOKUP($A207,'HIDDEN Testrun Results'!$A:$B,2,FALSE),"")</f>
        <v/>
      </c>
      <c r="H207" s="3" t="b">
        <f t="shared" si="3"/>
        <v>0</v>
      </c>
      <c r="I207" s="3" t="b">
        <f>IF(VLOOKUP(A207&amp;" "&amp;B207,'HIDDEN import'!A:G,5,FALSE)="M",TRUE,IFERROR(VLOOKUP(E207,'Optional features'!B:D,3,FALSE)="Yes",IFERROR(VLOOKUP(E207,'HIDDEN calc sheet'!A:B,2,FALSE),IFERROR(VLOOKUP(E207,'Additional questions'!B:D,3,FALSE)="Yes",VLOOKUP(E207,'Hardware Feature set'!B:D,3,FALSE)="No"))))</f>
        <v>0</v>
      </c>
      <c r="J207" s="3" t="b">
        <f>IF(VLOOKUP(B207,'Profile selection'!B:C,2,FALSE)="Yes",TRUE,FALSE)</f>
        <v>1</v>
      </c>
      <c r="K207"/>
      <c r="L207"/>
    </row>
    <row r="208" spans="1:12" ht="17.100000000000001" customHeight="1" x14ac:dyDescent="0.25">
      <c r="A208" t="str">
        <f>'HIDDEN import'!B207</f>
        <v>TC_J_09_CS</v>
      </c>
      <c r="B208" t="str">
        <f>'HIDDEN import'!C207</f>
        <v>Core</v>
      </c>
      <c r="C208" t="str">
        <f>'HIDDEN import'!D207</f>
        <v>Sampled Meter Values - EventType Updated</v>
      </c>
      <c r="D208" t="str">
        <f>IF(VLOOKUP(A208&amp;" "&amp;B208,'HIDDEN import'!A:G,5,FALSE)="M",MD!$A$1,(IF(AND(VLOOKUP(A208,'HIDDEN import'!B:E,4,FALSE)="C",OR(NOT(ISERROR(VLOOKUP(E208,'Optional features'!B:D,1,FALSE)=E208)),NOT(ISERROR(VLOOKUP(E208,'HIDDEN calc sheet'!A:C,1,FALSE)=E208)))),MD!$A$3,MD!$A$2)))</f>
        <v>Mandatory test for a mandatory feature</v>
      </c>
      <c r="E208" t="str">
        <f>IF('HIDDEN import'!F207=0,"",'HIDDEN import'!F207)</f>
        <v/>
      </c>
      <c r="F208" t="str">
        <f>IF('HIDDEN import'!G207=0,"",'HIDDEN import'!G207)</f>
        <v/>
      </c>
      <c r="G208" s="19" t="str">
        <f>IFERROR(VLOOKUP($A208,'HIDDEN Testrun Results'!$A:$B,2,FALSE),"")</f>
        <v/>
      </c>
      <c r="H208" s="3" t="b">
        <f t="shared" si="3"/>
        <v>1</v>
      </c>
      <c r="I208" s="3" t="b">
        <f>IF(VLOOKUP(A208&amp;" "&amp;B208,'HIDDEN import'!A:G,5,FALSE)="M",TRUE,IFERROR(VLOOKUP(E208,'Optional features'!B:D,3,FALSE)="Yes",IFERROR(VLOOKUP(E208,'HIDDEN calc sheet'!A:B,2,FALSE),IFERROR(VLOOKUP(E208,'Additional questions'!B:D,3,FALSE)="Yes",VLOOKUP(E208,'Hardware Feature set'!B:D,3,FALSE)="No"))))</f>
        <v>1</v>
      </c>
      <c r="J208" s="3" t="b">
        <f>IF(VLOOKUP(B208,'Profile selection'!B:C,2,FALSE)="Yes",TRUE,FALSE)</f>
        <v>1</v>
      </c>
      <c r="K208"/>
      <c r="L208"/>
    </row>
    <row r="209" spans="1:12" ht="17.100000000000001" customHeight="1" x14ac:dyDescent="0.25">
      <c r="A209" t="str">
        <f>'HIDDEN import'!B208</f>
        <v>TC_J_10_CS</v>
      </c>
      <c r="B209" t="str">
        <f>'HIDDEN import'!C208</f>
        <v>Core</v>
      </c>
      <c r="C209" t="str">
        <f>'HIDDEN import'!D208</f>
        <v>Sampled Meter Values - EventType Ended</v>
      </c>
      <c r="D209" t="str">
        <f>IF(VLOOKUP(A209&amp;" "&amp;B209,'HIDDEN import'!A:G,5,FALSE)="M",MD!$A$1,(IF(AND(VLOOKUP(A209,'HIDDEN import'!B:E,4,FALSE)="C",OR(NOT(ISERROR(VLOOKUP(E209,'Optional features'!B:D,1,FALSE)=E209)),NOT(ISERROR(VLOOKUP(E209,'HIDDEN calc sheet'!A:C,1,FALSE)=E209)))),MD!$A$3,MD!$A$2)))</f>
        <v>Mandatory test for a mandatory feature</v>
      </c>
      <c r="E209" t="str">
        <f>IF('HIDDEN import'!F208=0,"",'HIDDEN import'!F208)</f>
        <v/>
      </c>
      <c r="F209" t="str">
        <f>IF('HIDDEN import'!G208=0,"",'HIDDEN import'!G208)</f>
        <v/>
      </c>
      <c r="G209" s="19" t="str">
        <f>IFERROR(VLOOKUP($A209,'HIDDEN Testrun Results'!$A:$B,2,FALSE),"")</f>
        <v/>
      </c>
      <c r="H209" s="3" t="b">
        <f t="shared" si="3"/>
        <v>1</v>
      </c>
      <c r="I209" s="3" t="b">
        <f>IF(VLOOKUP(A209&amp;" "&amp;B209,'HIDDEN import'!A:G,5,FALSE)="M",TRUE,IFERROR(VLOOKUP(E209,'Optional features'!B:D,3,FALSE)="Yes",IFERROR(VLOOKUP(E209,'HIDDEN calc sheet'!A:B,2,FALSE),IFERROR(VLOOKUP(E209,'Additional questions'!B:D,3,FALSE)="Yes",VLOOKUP(E209,'Hardware Feature set'!B:D,3,FALSE)="No"))))</f>
        <v>1</v>
      </c>
      <c r="J209" s="3" t="b">
        <f>IF(VLOOKUP(B209,'Profile selection'!B:C,2,FALSE)="Yes",TRUE,FALSE)</f>
        <v>1</v>
      </c>
      <c r="K209"/>
      <c r="L209"/>
    </row>
    <row r="210" spans="1:12" ht="17.100000000000001" customHeight="1" x14ac:dyDescent="0.25">
      <c r="A210" t="str">
        <f>'HIDDEN import'!B209</f>
        <v>TC_J_11_CS</v>
      </c>
      <c r="B210" t="str">
        <f>'HIDDEN import'!C209</f>
        <v>Core</v>
      </c>
      <c r="C210" t="str">
        <f>'HIDDEN import'!D209</f>
        <v>Sampled Meter Values - Signed</v>
      </c>
      <c r="D210" t="str">
        <f>IF(VLOOKUP(A210&amp;" "&amp;B210,'HIDDEN import'!A:G,5,FALSE)="M",MD!$A$1,(IF(AND(VLOOKUP(A210,'HIDDEN import'!B:E,4,FALSE)="C",OR(NOT(ISERROR(VLOOKUP(E210,'Optional features'!B:D,1,FALSE)=E210)),NOT(ISERROR(VLOOKUP(E210,'HIDDEN calc sheet'!A:C,1,FALSE)=E210)))),MD!$A$3,MD!$A$2)))</f>
        <v>Mandatory for optional feature</v>
      </c>
      <c r="E210" t="str">
        <f>IF('HIDDEN import'!F209=0,"",'HIDDEN import'!F209)</f>
        <v>C-42</v>
      </c>
      <c r="F210" t="str">
        <f>IF('HIDDEN import'!G209=0,"",'HIDDEN import'!G209)</f>
        <v>Supported MeterValue Measurands &amp; Signed Metervalues</v>
      </c>
      <c r="G210" s="19" t="str">
        <f>IFERROR(VLOOKUP($A210,'HIDDEN Testrun Results'!$A:$B,2,FALSE),"")</f>
        <v/>
      </c>
      <c r="H210" s="3" t="b">
        <f t="shared" si="3"/>
        <v>0</v>
      </c>
      <c r="I210" s="3" t="b">
        <f>IF(VLOOKUP(A210&amp;" "&amp;B210,'HIDDEN import'!A:G,5,FALSE)="M",TRUE,IFERROR(VLOOKUP(E210,'Optional features'!B:D,3,FALSE)="Yes",IFERROR(VLOOKUP(E210,'HIDDEN calc sheet'!A:B,2,FALSE),IFERROR(VLOOKUP(E210,'Additional questions'!B:D,3,FALSE)="Yes",VLOOKUP(E210,'Hardware Feature set'!B:D,3,FALSE)="No"))))</f>
        <v>0</v>
      </c>
      <c r="J210" s="3" t="b">
        <f>IF(VLOOKUP(B210,'Profile selection'!B:C,2,FALSE)="Yes",TRUE,FALSE)</f>
        <v>1</v>
      </c>
      <c r="K210"/>
      <c r="L210"/>
    </row>
    <row r="211" spans="1:12" ht="17.100000000000001" customHeight="1" x14ac:dyDescent="0.25">
      <c r="A211" t="str">
        <f>'HIDDEN import'!B210</f>
        <v>TC_K_38_CS</v>
      </c>
      <c r="B211" t="str">
        <f>'HIDDEN import'!C210</f>
        <v>Core</v>
      </c>
      <c r="C211" t="str">
        <f>'HIDDEN import'!D210</f>
        <v>Remote start transaction with charging profile - Ignore chargingProfile</v>
      </c>
      <c r="D211" t="str">
        <f>IF(VLOOKUP(A211&amp;" "&amp;B211,'HIDDEN import'!A:G,5,FALSE)="M",MD!$A$1,(IF(AND(VLOOKUP(A211,'HIDDEN import'!B:E,4,FALSE)="C",OR(NOT(ISERROR(VLOOKUP(E211,'Optional features'!B:D,1,FALSE)=E211)),NOT(ISERROR(VLOOKUP(E211,'HIDDEN calc sheet'!A:C,1,FALSE)=E211)))),MD!$A$3,MD!$A$2)))</f>
        <v>Mandatory for optional feature</v>
      </c>
      <c r="E211" t="str">
        <f>IF('HIDDEN import'!F210=0,"",'HIDDEN import'!F210)</f>
        <v>NOT Smart Charging</v>
      </c>
      <c r="F211" t="str">
        <f>IF('HIDDEN import'!G210=0,"",'HIDDEN import'!G210)</f>
        <v/>
      </c>
      <c r="G211" s="19" t="str">
        <f>IFERROR(VLOOKUP($A211,'HIDDEN Testrun Results'!$A:$B,2,FALSE),"")</f>
        <v/>
      </c>
      <c r="H211" s="3" t="b">
        <f t="shared" si="3"/>
        <v>1</v>
      </c>
      <c r="I211" s="3" t="b">
        <f>IF(VLOOKUP(A211&amp;" "&amp;B211,'HIDDEN import'!A:G,5,FALSE)="M",TRUE,IFERROR(VLOOKUP(E211,'Optional features'!B:D,3,FALSE)="Yes",IFERROR(VLOOKUP(E211,'HIDDEN calc sheet'!A:B,2,FALSE),IFERROR(VLOOKUP(E211,'Additional questions'!B:D,3,FALSE)="Yes",VLOOKUP(E211,'Hardware Feature set'!B:D,3,FALSE)="No"))))</f>
        <v>1</v>
      </c>
      <c r="J211" s="3" t="b">
        <f>IF(VLOOKUP(B211,'Profile selection'!B:C,2,FALSE)="Yes",TRUE,FALSE)</f>
        <v>1</v>
      </c>
      <c r="K211"/>
      <c r="L211"/>
    </row>
    <row r="212" spans="1:12" ht="17.100000000000001" customHeight="1" x14ac:dyDescent="0.25">
      <c r="A212" t="str">
        <f>'HIDDEN import'!B211</f>
        <v>TC_L_01_CS</v>
      </c>
      <c r="B212" t="str">
        <f>'HIDDEN import'!C211</f>
        <v>Core</v>
      </c>
      <c r="C212" t="str">
        <f>'HIDDEN import'!D211</f>
        <v>Secure Firmware Update - Installation successful</v>
      </c>
      <c r="D212" t="str">
        <f>IF(VLOOKUP(A212&amp;" "&amp;B212,'HIDDEN import'!A:G,5,FALSE)="M",MD!$A$1,(IF(AND(VLOOKUP(A212,'HIDDEN import'!B:E,4,FALSE)="C",OR(NOT(ISERROR(VLOOKUP(E212,'Optional features'!B:D,1,FALSE)=E212)),NOT(ISERROR(VLOOKUP(E212,'HIDDEN calc sheet'!A:C,1,FALSE)=E212)))),MD!$A$3,MD!$A$2)))</f>
        <v>Mandatory test for a mandatory feature</v>
      </c>
      <c r="E212" t="str">
        <f>IF('HIDDEN import'!F211=0,"",'HIDDEN import'!F211)</f>
        <v/>
      </c>
      <c r="F212" t="str">
        <f>IF('HIDDEN import'!G211=0,"",'HIDDEN import'!G211)</f>
        <v/>
      </c>
      <c r="G212" s="19" t="str">
        <f>IFERROR(VLOOKUP($A212,'HIDDEN Testrun Results'!$A:$B,2,FALSE),"")</f>
        <v/>
      </c>
      <c r="H212" s="3" t="b">
        <f t="shared" si="3"/>
        <v>1</v>
      </c>
      <c r="I212" s="3" t="b">
        <f>IF(VLOOKUP(A212&amp;" "&amp;B212,'HIDDEN import'!A:G,5,FALSE)="M",TRUE,IFERROR(VLOOKUP(E212,'Optional features'!B:D,3,FALSE)="Yes",IFERROR(VLOOKUP(E212,'HIDDEN calc sheet'!A:B,2,FALSE),IFERROR(VLOOKUP(E212,'Additional questions'!B:D,3,FALSE)="Yes",VLOOKUP(E212,'Hardware Feature set'!B:D,3,FALSE)="No"))))</f>
        <v>1</v>
      </c>
      <c r="J212" s="3" t="b">
        <f>IF(VLOOKUP(B212,'Profile selection'!B:C,2,FALSE)="Yes",TRUE,FALSE)</f>
        <v>1</v>
      </c>
      <c r="K212"/>
      <c r="L212"/>
    </row>
    <row r="213" spans="1:12" ht="17.100000000000001" customHeight="1" x14ac:dyDescent="0.25">
      <c r="A213" t="str">
        <f>'HIDDEN import'!B212</f>
        <v>TC_L_02_CS</v>
      </c>
      <c r="B213" t="str">
        <f>'HIDDEN import'!C212</f>
        <v>Core</v>
      </c>
      <c r="C213" t="str">
        <f>'HIDDEN import'!D212</f>
        <v>Secure Firmware Update - InstallScheduled</v>
      </c>
      <c r="D213" t="str">
        <f>IF(VLOOKUP(A213&amp;" "&amp;B213,'HIDDEN import'!A:G,5,FALSE)="M",MD!$A$1,(IF(AND(VLOOKUP(A213,'HIDDEN import'!B:E,4,FALSE)="C",OR(NOT(ISERROR(VLOOKUP(E213,'Optional features'!B:D,1,FALSE)=E213)),NOT(ISERROR(VLOOKUP(E213,'HIDDEN calc sheet'!A:C,1,FALSE)=E213)))),MD!$A$3,MD!$A$2)))</f>
        <v>Mandatory test for a mandatory feature</v>
      </c>
      <c r="E213" t="str">
        <f>IF('HIDDEN import'!F212=0,"",'HIDDEN import'!F212)</f>
        <v/>
      </c>
      <c r="F213" t="str">
        <f>IF('HIDDEN import'!G212=0,"",'HIDDEN import'!G212)</f>
        <v/>
      </c>
      <c r="G213" s="19" t="str">
        <f>IFERROR(VLOOKUP($A213,'HIDDEN Testrun Results'!$A:$B,2,FALSE),"")</f>
        <v/>
      </c>
      <c r="H213" s="3" t="b">
        <f t="shared" si="3"/>
        <v>1</v>
      </c>
      <c r="I213" s="3" t="b">
        <f>IF(VLOOKUP(A213&amp;" "&amp;B213,'HIDDEN import'!A:G,5,FALSE)="M",TRUE,IFERROR(VLOOKUP(E213,'Optional features'!B:D,3,FALSE)="Yes",IFERROR(VLOOKUP(E213,'HIDDEN calc sheet'!A:B,2,FALSE),IFERROR(VLOOKUP(E213,'Additional questions'!B:D,3,FALSE)="Yes",VLOOKUP(E213,'Hardware Feature set'!B:D,3,FALSE)="No"))))</f>
        <v>1</v>
      </c>
      <c r="J213" s="3" t="b">
        <f>IF(VLOOKUP(B213,'Profile selection'!B:C,2,FALSE)="Yes",TRUE,FALSE)</f>
        <v>1</v>
      </c>
      <c r="K213"/>
      <c r="L213"/>
    </row>
    <row r="214" spans="1:12" ht="17.100000000000001" customHeight="1" x14ac:dyDescent="0.25">
      <c r="A214" t="str">
        <f>'HIDDEN import'!B213</f>
        <v>TC_L_03_CS</v>
      </c>
      <c r="B214" t="str">
        <f>'HIDDEN import'!C213</f>
        <v>Core</v>
      </c>
      <c r="C214" t="str">
        <f>'HIDDEN import'!D213</f>
        <v>Secure Firmware Update - DownloadScheduled</v>
      </c>
      <c r="D214" t="str">
        <f>IF(VLOOKUP(A214&amp;" "&amp;B214,'HIDDEN import'!A:G,5,FALSE)="M",MD!$A$1,(IF(AND(VLOOKUP(A214,'HIDDEN import'!B:E,4,FALSE)="C",OR(NOT(ISERROR(VLOOKUP(E214,'Optional features'!B:D,1,FALSE)=E214)),NOT(ISERROR(VLOOKUP(E214,'HIDDEN calc sheet'!A:C,1,FALSE)=E214)))),MD!$A$3,MD!$A$2)))</f>
        <v>Mandatory test for a mandatory feature</v>
      </c>
      <c r="E214" t="str">
        <f>IF('HIDDEN import'!F213=0,"",'HIDDEN import'!F213)</f>
        <v/>
      </c>
      <c r="F214" t="str">
        <f>IF('HIDDEN import'!G213=0,"",'HIDDEN import'!G213)</f>
        <v/>
      </c>
      <c r="G214" s="19" t="str">
        <f>IFERROR(VLOOKUP($A214,'HIDDEN Testrun Results'!$A:$B,2,FALSE),"")</f>
        <v/>
      </c>
      <c r="H214" s="3" t="b">
        <f t="shared" si="3"/>
        <v>1</v>
      </c>
      <c r="I214" s="3" t="b">
        <f>IF(VLOOKUP(A214&amp;" "&amp;B214,'HIDDEN import'!A:G,5,FALSE)="M",TRUE,IFERROR(VLOOKUP(E214,'Optional features'!B:D,3,FALSE)="Yes",IFERROR(VLOOKUP(E214,'HIDDEN calc sheet'!A:B,2,FALSE),IFERROR(VLOOKUP(E214,'Additional questions'!B:D,3,FALSE)="Yes",VLOOKUP(E214,'Hardware Feature set'!B:D,3,FALSE)="No"))))</f>
        <v>1</v>
      </c>
      <c r="J214" s="3" t="b">
        <f>IF(VLOOKUP(B214,'Profile selection'!B:C,2,FALSE)="Yes",TRUE,FALSE)</f>
        <v>1</v>
      </c>
      <c r="K214"/>
      <c r="L214"/>
    </row>
    <row r="215" spans="1:12" ht="17.100000000000001" customHeight="1" x14ac:dyDescent="0.25">
      <c r="A215" t="str">
        <f>'HIDDEN import'!B214</f>
        <v>TC_L_05_CS</v>
      </c>
      <c r="B215" t="str">
        <f>'HIDDEN import'!C214</f>
        <v>Core</v>
      </c>
      <c r="C215" t="str">
        <f>'HIDDEN import'!D214</f>
        <v>Secure Firmware Update - InvalidCertificate</v>
      </c>
      <c r="D215" t="str">
        <f>IF(VLOOKUP(A215&amp;" "&amp;B215,'HIDDEN import'!A:G,5,FALSE)="M",MD!$A$1,(IF(AND(VLOOKUP(A215,'HIDDEN import'!B:E,4,FALSE)="C",OR(NOT(ISERROR(VLOOKUP(E215,'Optional features'!B:D,1,FALSE)=E215)),NOT(ISERROR(VLOOKUP(E215,'HIDDEN calc sheet'!A:C,1,FALSE)=E215)))),MD!$A$3,MD!$A$2)))</f>
        <v>Mandatory test for a mandatory feature</v>
      </c>
      <c r="E215" t="str">
        <f>IF('HIDDEN import'!F214=0,"",'HIDDEN import'!F214)</f>
        <v/>
      </c>
      <c r="F215" t="str">
        <f>IF('HIDDEN import'!G214=0,"",'HIDDEN import'!G214)</f>
        <v/>
      </c>
      <c r="G215" s="19" t="str">
        <f>IFERROR(VLOOKUP($A215,'HIDDEN Testrun Results'!$A:$B,2,FALSE),"")</f>
        <v/>
      </c>
      <c r="H215" s="3" t="b">
        <f t="shared" si="3"/>
        <v>1</v>
      </c>
      <c r="I215" s="3" t="b">
        <f>IF(VLOOKUP(A215&amp;" "&amp;B215,'HIDDEN import'!A:G,5,FALSE)="M",TRUE,IFERROR(VLOOKUP(E215,'Optional features'!B:D,3,FALSE)="Yes",IFERROR(VLOOKUP(E215,'HIDDEN calc sheet'!A:B,2,FALSE),IFERROR(VLOOKUP(E215,'Additional questions'!B:D,3,FALSE)="Yes",VLOOKUP(E215,'Hardware Feature set'!B:D,3,FALSE)="No"))))</f>
        <v>1</v>
      </c>
      <c r="J215" s="3" t="b">
        <f>IF(VLOOKUP(B215,'Profile selection'!B:C,2,FALSE)="Yes",TRUE,FALSE)</f>
        <v>1</v>
      </c>
      <c r="K215"/>
      <c r="L215"/>
    </row>
    <row r="216" spans="1:12" ht="17.100000000000001" customHeight="1" x14ac:dyDescent="0.25">
      <c r="A216" t="str">
        <f>'HIDDEN import'!B215</f>
        <v>TC_L_06_CS</v>
      </c>
      <c r="B216" t="str">
        <f>'HIDDEN import'!C215</f>
        <v>Core</v>
      </c>
      <c r="C216" t="str">
        <f>'HIDDEN import'!D215</f>
        <v>Secure Firmware Update - InvalidSignature</v>
      </c>
      <c r="D216" t="str">
        <f>IF(VLOOKUP(A216&amp;" "&amp;B216,'HIDDEN import'!A:G,5,FALSE)="M",MD!$A$1,(IF(AND(VLOOKUP(A216,'HIDDEN import'!B:E,4,FALSE)="C",OR(NOT(ISERROR(VLOOKUP(E216,'Optional features'!B:D,1,FALSE)=E216)),NOT(ISERROR(VLOOKUP(E216,'HIDDEN calc sheet'!A:C,1,FALSE)=E216)))),MD!$A$3,MD!$A$2)))</f>
        <v>Mandatory test for a mandatory feature</v>
      </c>
      <c r="E216" t="str">
        <f>IF('HIDDEN import'!F215=0,"",'HIDDEN import'!F215)</f>
        <v/>
      </c>
      <c r="F216" t="str">
        <f>IF('HIDDEN import'!G215=0,"",'HIDDEN import'!G215)</f>
        <v/>
      </c>
      <c r="G216" s="19" t="str">
        <f>IFERROR(VLOOKUP($A216,'HIDDEN Testrun Results'!$A:$B,2,FALSE),"")</f>
        <v/>
      </c>
      <c r="H216" s="3" t="b">
        <f t="shared" si="3"/>
        <v>1</v>
      </c>
      <c r="I216" s="3" t="b">
        <f>IF(VLOOKUP(A216&amp;" "&amp;B216,'HIDDEN import'!A:G,5,FALSE)="M",TRUE,IFERROR(VLOOKUP(E216,'Optional features'!B:D,3,FALSE)="Yes",IFERROR(VLOOKUP(E216,'HIDDEN calc sheet'!A:B,2,FALSE),IFERROR(VLOOKUP(E216,'Additional questions'!B:D,3,FALSE)="Yes",VLOOKUP(E216,'Hardware Feature set'!B:D,3,FALSE)="No"))))</f>
        <v>1</v>
      </c>
      <c r="J216" s="3" t="b">
        <f>IF(VLOOKUP(B216,'Profile selection'!B:C,2,FALSE)="Yes",TRUE,FALSE)</f>
        <v>1</v>
      </c>
      <c r="K216"/>
      <c r="L216"/>
    </row>
    <row r="217" spans="1:12" ht="17.100000000000001" customHeight="1" x14ac:dyDescent="0.25">
      <c r="A217" t="str">
        <f>'HIDDEN import'!B216</f>
        <v>TC_L_07_CS</v>
      </c>
      <c r="B217" t="str">
        <f>'HIDDEN import'!C216</f>
        <v>Core</v>
      </c>
      <c r="C217" t="str">
        <f>'HIDDEN import'!D216</f>
        <v>Secure Firmware Update - DownloadFailed</v>
      </c>
      <c r="D217" t="str">
        <f>IF(VLOOKUP(A217&amp;" "&amp;B217,'HIDDEN import'!A:G,5,FALSE)="M",MD!$A$1,(IF(AND(VLOOKUP(A217,'HIDDEN import'!B:E,4,FALSE)="C",OR(NOT(ISERROR(VLOOKUP(E217,'Optional features'!B:D,1,FALSE)=E217)),NOT(ISERROR(VLOOKUP(E217,'HIDDEN calc sheet'!A:C,1,FALSE)=E217)))),MD!$A$3,MD!$A$2)))</f>
        <v>Mandatory test for a mandatory feature</v>
      </c>
      <c r="E217" t="str">
        <f>IF('HIDDEN import'!F216=0,"",'HIDDEN import'!F216)</f>
        <v/>
      </c>
      <c r="F217" t="str">
        <f>IF('HIDDEN import'!G216=0,"",'HIDDEN import'!G216)</f>
        <v/>
      </c>
      <c r="G217" s="19" t="str">
        <f>IFERROR(VLOOKUP($A217,'HIDDEN Testrun Results'!$A:$B,2,FALSE),"")</f>
        <v/>
      </c>
      <c r="H217" s="3" t="b">
        <f t="shared" si="3"/>
        <v>1</v>
      </c>
      <c r="I217" s="3" t="b">
        <f>IF(VLOOKUP(A217&amp;" "&amp;B217,'HIDDEN import'!A:G,5,FALSE)="M",TRUE,IFERROR(VLOOKUP(E217,'Optional features'!B:D,3,FALSE)="Yes",IFERROR(VLOOKUP(E217,'HIDDEN calc sheet'!A:B,2,FALSE),IFERROR(VLOOKUP(E217,'Additional questions'!B:D,3,FALSE)="Yes",VLOOKUP(E217,'Hardware Feature set'!B:D,3,FALSE)="No"))))</f>
        <v>1</v>
      </c>
      <c r="J217" s="3" t="b">
        <f>IF(VLOOKUP(B217,'Profile selection'!B:C,2,FALSE)="Yes",TRUE,FALSE)</f>
        <v>1</v>
      </c>
      <c r="K217"/>
      <c r="L217"/>
    </row>
    <row r="218" spans="1:12" ht="17.100000000000001" customHeight="1" x14ac:dyDescent="0.25">
      <c r="A218" t="str">
        <f>'HIDDEN import'!B217</f>
        <v>TC_L_08_CS</v>
      </c>
      <c r="B218" t="str">
        <f>'HIDDEN import'!C217</f>
        <v>Core</v>
      </c>
      <c r="C218" t="str">
        <f>'HIDDEN import'!D217</f>
        <v>Secure Firmware Update - InstallVerificationFailed or InstallationFailed</v>
      </c>
      <c r="D218" t="str">
        <f>IF(VLOOKUP(A218&amp;" "&amp;B218,'HIDDEN import'!A:G,5,FALSE)="M",MD!$A$1,(IF(AND(VLOOKUP(A218,'HIDDEN import'!B:E,4,FALSE)="C",OR(NOT(ISERROR(VLOOKUP(E218,'Optional features'!B:D,1,FALSE)=E218)),NOT(ISERROR(VLOOKUP(E218,'HIDDEN calc sheet'!A:C,1,FALSE)=E218)))),MD!$A$3,MD!$A$2)))</f>
        <v>Mandatory test for a mandatory feature</v>
      </c>
      <c r="E218" t="str">
        <f>IF('HIDDEN import'!F217=0,"",'HIDDEN import'!F217)</f>
        <v/>
      </c>
      <c r="F218" t="str">
        <f>IF('HIDDEN import'!G217=0,"",'HIDDEN import'!G217)</f>
        <v/>
      </c>
      <c r="G218" s="19" t="str">
        <f>IFERROR(VLOOKUP($A218,'HIDDEN Testrun Results'!$A:$B,2,FALSE),"")</f>
        <v/>
      </c>
      <c r="H218" s="3" t="b">
        <f t="shared" si="3"/>
        <v>1</v>
      </c>
      <c r="I218" s="3" t="b">
        <f>IF(VLOOKUP(A218&amp;" "&amp;B218,'HIDDEN import'!A:G,5,FALSE)="M",TRUE,IFERROR(VLOOKUP(E218,'Optional features'!B:D,3,FALSE)="Yes",IFERROR(VLOOKUP(E218,'HIDDEN calc sheet'!A:B,2,FALSE),IFERROR(VLOOKUP(E218,'Additional questions'!B:D,3,FALSE)="Yes",VLOOKUP(E218,'Hardware Feature set'!B:D,3,FALSE)="No"))))</f>
        <v>1</v>
      </c>
      <c r="J218" s="3" t="b">
        <f>IF(VLOOKUP(B218,'Profile selection'!B:C,2,FALSE)="Yes",TRUE,FALSE)</f>
        <v>1</v>
      </c>
      <c r="K218"/>
      <c r="L218"/>
    </row>
    <row r="219" spans="1:12" ht="17.100000000000001" customHeight="1" x14ac:dyDescent="0.25">
      <c r="A219" t="str">
        <f>'HIDDEN import'!B218</f>
        <v>TC_L_10_CS</v>
      </c>
      <c r="B219" t="str">
        <f>'HIDDEN import'!C218</f>
        <v>Core</v>
      </c>
      <c r="C219" t="str">
        <f>'HIDDEN import'!D218</f>
        <v>Secure Firmware Update - AcceptedCanceled</v>
      </c>
      <c r="D219" t="str">
        <f>IF(VLOOKUP(A219&amp;" "&amp;B219,'HIDDEN import'!A:G,5,FALSE)="M",MD!$A$1,(IF(AND(VLOOKUP(A219,'HIDDEN import'!B:E,4,FALSE)="C",OR(NOT(ISERROR(VLOOKUP(E219,'Optional features'!B:D,1,FALSE)=E219)),NOT(ISERROR(VLOOKUP(E219,'HIDDEN calc sheet'!A:C,1,FALSE)=E219)))),MD!$A$3,MD!$A$2)))</f>
        <v>Mandatory for optional feature</v>
      </c>
      <c r="E219" t="str">
        <f>IF('HIDDEN import'!F218=0,"",'HIDDEN import'!F218)</f>
        <v>C-60</v>
      </c>
      <c r="F219" t="str">
        <f>IF('HIDDEN import'!G218=0,"",'HIDDEN import'!G218)</f>
        <v/>
      </c>
      <c r="G219" s="19" t="str">
        <f>IFERROR(VLOOKUP($A219,'HIDDEN Testrun Results'!$A:$B,2,FALSE),"")</f>
        <v/>
      </c>
      <c r="H219" s="3" t="b">
        <f t="shared" si="3"/>
        <v>0</v>
      </c>
      <c r="I219" s="3" t="b">
        <f>IF(VLOOKUP(A219&amp;" "&amp;B219,'HIDDEN import'!A:G,5,FALSE)="M",TRUE,IFERROR(VLOOKUP(E219,'Optional features'!B:D,3,FALSE)="Yes",IFERROR(VLOOKUP(E219,'HIDDEN calc sheet'!A:B,2,FALSE),IFERROR(VLOOKUP(E219,'Additional questions'!B:D,3,FALSE)="Yes",VLOOKUP(E219,'Hardware Feature set'!B:D,3,FALSE)="No"))))</f>
        <v>0</v>
      </c>
      <c r="J219" s="3" t="b">
        <f>IF(VLOOKUP(B219,'Profile selection'!B:C,2,FALSE)="Yes",TRUE,FALSE)</f>
        <v>1</v>
      </c>
      <c r="K219"/>
      <c r="L219"/>
    </row>
    <row r="220" spans="1:12" ht="17.100000000000001" customHeight="1" x14ac:dyDescent="0.25">
      <c r="A220" t="str">
        <f>'HIDDEN import'!B219</f>
        <v>TC_L_11_CS</v>
      </c>
      <c r="B220" t="str">
        <f>'HIDDEN import'!C219</f>
        <v>Core</v>
      </c>
      <c r="C220" t="str">
        <f>'HIDDEN import'!D219</f>
        <v>Secure Firmware Update - Unable to cancel</v>
      </c>
      <c r="D220" t="str">
        <f>IF(VLOOKUP(A220&amp;" "&amp;B220,'HIDDEN import'!A:G,5,FALSE)="M",MD!$A$1,(IF(AND(VLOOKUP(A220,'HIDDEN import'!B:E,4,FALSE)="C",OR(NOT(ISERROR(VLOOKUP(E220,'Optional features'!B:D,1,FALSE)=E220)),NOT(ISERROR(VLOOKUP(E220,'HIDDEN calc sheet'!A:C,1,FALSE)=E220)))),MD!$A$3,MD!$A$2)))</f>
        <v>Mandatory for optional feature</v>
      </c>
      <c r="E220" t="str">
        <f>IF('HIDDEN import'!F219=0,"",'HIDDEN import'!F219)</f>
        <v>NOT C-60</v>
      </c>
      <c r="F220" t="str">
        <f>IF('HIDDEN import'!G219=0,"",'HIDDEN import'!G219)</f>
        <v/>
      </c>
      <c r="G220" s="19" t="str">
        <f>IFERROR(VLOOKUP($A220,'HIDDEN Testrun Results'!$A:$B,2,FALSE),"")</f>
        <v/>
      </c>
      <c r="H220" s="3" t="b">
        <f t="shared" si="3"/>
        <v>1</v>
      </c>
      <c r="I220" s="3" t="b">
        <f>IF(VLOOKUP(A220&amp;" "&amp;B220,'HIDDEN import'!A:G,5,FALSE)="M",TRUE,IFERROR(VLOOKUP(E220,'Optional features'!B:D,3,FALSE)="Yes",IFERROR(VLOOKUP(E220,'HIDDEN calc sheet'!A:B,2,FALSE),IFERROR(VLOOKUP(E220,'Additional questions'!B:D,3,FALSE)="Yes",VLOOKUP(E220,'Hardware Feature set'!B:D,3,FALSE)="No"))))</f>
        <v>1</v>
      </c>
      <c r="J220" s="3" t="b">
        <f>IF(VLOOKUP(B220,'Profile selection'!B:C,2,FALSE)="Yes",TRUE,FALSE)</f>
        <v>1</v>
      </c>
      <c r="K220"/>
      <c r="L220"/>
    </row>
    <row r="221" spans="1:12" ht="17.100000000000001" customHeight="1" x14ac:dyDescent="0.25">
      <c r="A221" t="str">
        <f>'HIDDEN import'!B220</f>
        <v>TC_L_18_CS</v>
      </c>
      <c r="B221" t="str">
        <f>'HIDDEN import'!C220</f>
        <v>Core</v>
      </c>
      <c r="C221" t="str">
        <f>'HIDDEN import'!D220</f>
        <v>Secure Firmware Update - Missing firmware signing certificate and signature</v>
      </c>
      <c r="D221" t="str">
        <f>IF(VLOOKUP(A221&amp;" "&amp;B221,'HIDDEN import'!A:G,5,FALSE)="M",MD!$A$1,(IF(AND(VLOOKUP(A221,'HIDDEN import'!B:E,4,FALSE)="C",OR(NOT(ISERROR(VLOOKUP(E221,'Optional features'!B:D,1,FALSE)=E221)),NOT(ISERROR(VLOOKUP(E221,'HIDDEN calc sheet'!A:C,1,FALSE)=E221)))),MD!$A$3,MD!$A$2)))</f>
        <v>Mandatory test for a mandatory feature</v>
      </c>
      <c r="E221" t="str">
        <f>IF('HIDDEN import'!F220=0,"",'HIDDEN import'!F220)</f>
        <v/>
      </c>
      <c r="F221" t="str">
        <f>IF('HIDDEN import'!G220=0,"",'HIDDEN import'!G220)</f>
        <v/>
      </c>
      <c r="G221" s="19" t="str">
        <f>IFERROR(VLOOKUP($A221,'HIDDEN Testrun Results'!$A:$B,2,FALSE),"")</f>
        <v/>
      </c>
      <c r="H221" s="3" t="b">
        <f t="shared" si="3"/>
        <v>1</v>
      </c>
      <c r="I221" s="3" t="b">
        <f>IF(VLOOKUP(A221&amp;" "&amp;B221,'HIDDEN import'!A:G,5,FALSE)="M",TRUE,IFERROR(VLOOKUP(E221,'Optional features'!B:D,3,FALSE)="Yes",IFERROR(VLOOKUP(E221,'HIDDEN calc sheet'!A:B,2,FALSE),IFERROR(VLOOKUP(E221,'Additional questions'!B:D,3,FALSE)="Yes",VLOOKUP(E221,'Hardware Feature set'!B:D,3,FALSE)="No"))))</f>
        <v>1</v>
      </c>
      <c r="J221" s="3" t="b">
        <f>IF(VLOOKUP(B221,'Profile selection'!B:C,2,FALSE)="Yes",TRUE,FALSE)</f>
        <v>1</v>
      </c>
      <c r="K221"/>
      <c r="L221"/>
    </row>
    <row r="222" spans="1:12" ht="17.100000000000001" customHeight="1" x14ac:dyDescent="0.25">
      <c r="A222" t="str">
        <f>'HIDDEN import'!B221</f>
        <v>TC_L_12_CS</v>
      </c>
      <c r="B222" t="str">
        <f>'HIDDEN import'!C221</f>
        <v>Core</v>
      </c>
      <c r="C222" t="str">
        <f>'HIDDEN import'!D221</f>
        <v>Secure Firmware Update - Unable to download/install firmware with ongoing transaction - AllowNewSessionsPendingFirmwareUpdate is true</v>
      </c>
      <c r="D222" t="str">
        <f>IF(VLOOKUP(A222&amp;" "&amp;B222,'HIDDEN import'!A:G,5,FALSE)="M",MD!$A$1,(IF(AND(VLOOKUP(A222,'HIDDEN import'!B:E,4,FALSE)="C",OR(NOT(ISERROR(VLOOKUP(E222,'Optional features'!B:D,1,FALSE)=E222)),NOT(ISERROR(VLOOKUP(E222,'HIDDEN calc sheet'!A:C,1,FALSE)=E222)))),MD!$A$3,MD!$A$2)))</f>
        <v>Mandatory for optional feature</v>
      </c>
      <c r="E222" t="str">
        <f>IF('HIDDEN import'!F221=0,"",'HIDDEN import'!F221)</f>
        <v>C-20 and NOT C-43 and NOT AQ-7 and HFS-8 &gt; 1</v>
      </c>
      <c r="F222" t="str">
        <f>IF('HIDDEN import'!G221=0,"",'HIDDEN import'!G221)</f>
        <v>AllowNewSessionsPendingFirmwareUpdate</v>
      </c>
      <c r="G222" s="19" t="str">
        <f>IFERROR(VLOOKUP($A222,'HIDDEN Testrun Results'!$A:$B,2,FALSE),"")</f>
        <v/>
      </c>
      <c r="H222" s="3" t="b">
        <f t="shared" si="3"/>
        <v>0</v>
      </c>
      <c r="I222" s="3" t="b">
        <f>IF(VLOOKUP(A222&amp;" "&amp;B222,'HIDDEN import'!A:G,5,FALSE)="M",TRUE,IFERROR(VLOOKUP(E222,'Optional features'!B:D,3,FALSE)="Yes",IFERROR(VLOOKUP(E222,'HIDDEN calc sheet'!A:B,2,FALSE),IFERROR(VLOOKUP(E222,'Additional questions'!B:D,3,FALSE)="Yes",VLOOKUP(E222,'Hardware Feature set'!B:D,3,FALSE)="No"))))</f>
        <v>0</v>
      </c>
      <c r="J222" s="3" t="b">
        <f>IF(VLOOKUP(B222,'Profile selection'!B:C,2,FALSE)="Yes",TRUE,FALSE)</f>
        <v>1</v>
      </c>
      <c r="K222"/>
      <c r="L222"/>
    </row>
    <row r="223" spans="1:12" ht="17.100000000000001" customHeight="1" x14ac:dyDescent="0.25">
      <c r="A223" t="str">
        <f>'HIDDEN import'!B222</f>
        <v>TC_L_13_CS</v>
      </c>
      <c r="B223" t="str">
        <f>'HIDDEN import'!C222</f>
        <v>Core</v>
      </c>
      <c r="C223" t="str">
        <f>'HIDDEN import'!D222</f>
        <v>Secure Firmware Update - Unable to download/install firmware with ongoing transaction - AllowNewSessionsPendingFirmwareUpdate is false</v>
      </c>
      <c r="D223" t="str">
        <f>IF(VLOOKUP(A223&amp;" "&amp;B223,'HIDDEN import'!A:G,5,FALSE)="M",MD!$A$1,(IF(AND(VLOOKUP(A223,'HIDDEN import'!B:E,4,FALSE)="C",OR(NOT(ISERROR(VLOOKUP(E223,'Optional features'!B:D,1,FALSE)=E223)),NOT(ISERROR(VLOOKUP(E223,'HIDDEN calc sheet'!A:C,1,FALSE)=E223)))),MD!$A$3,MD!$A$2)))</f>
        <v>Mandatory for optional feature</v>
      </c>
      <c r="E223" t="str">
        <f>IF('HIDDEN import'!F222=0,"",'HIDDEN import'!F222)</f>
        <v>NOT C-43 and NOT AQ-7</v>
      </c>
      <c r="F223" t="str">
        <f>IF('HIDDEN import'!G222=0,"",'HIDDEN import'!G222)</f>
        <v/>
      </c>
      <c r="G223" s="19" t="str">
        <f>IFERROR(VLOOKUP($A223,'HIDDEN Testrun Results'!$A:$B,2,FALSE),"")</f>
        <v/>
      </c>
      <c r="H223" s="3" t="b">
        <f t="shared" si="3"/>
        <v>1</v>
      </c>
      <c r="I223" s="3" t="b">
        <f>IF(VLOOKUP(A223&amp;" "&amp;B223,'HIDDEN import'!A:G,5,FALSE)="M",TRUE,IFERROR(VLOOKUP(E223,'Optional features'!B:D,3,FALSE)="Yes",IFERROR(VLOOKUP(E223,'HIDDEN calc sheet'!A:B,2,FALSE),IFERROR(VLOOKUP(E223,'Additional questions'!B:D,3,FALSE)="Yes",VLOOKUP(E223,'Hardware Feature set'!B:D,3,FALSE)="No"))))</f>
        <v>1</v>
      </c>
      <c r="J223" s="3" t="b">
        <f>IF(VLOOKUP(B223,'Profile selection'!B:C,2,FALSE)="Yes",TRUE,FALSE)</f>
        <v>1</v>
      </c>
      <c r="K223"/>
      <c r="L223"/>
    </row>
    <row r="224" spans="1:12" ht="17.100000000000001" customHeight="1" x14ac:dyDescent="0.25">
      <c r="A224" t="str">
        <f>'HIDDEN import'!B223</f>
        <v>TC_L_14_CS</v>
      </c>
      <c r="B224" t="str">
        <f>'HIDDEN import'!C223</f>
        <v>Core</v>
      </c>
      <c r="C224" t="str">
        <f>'HIDDEN import'!D223</f>
        <v>Secure Firmware Update - Unable to install and activate firmware with ongoing transaction - AllowNewSessionsPendingFirmwareUpdate is true</v>
      </c>
      <c r="D224" t="str">
        <f>IF(VLOOKUP(A224&amp;" "&amp;B224,'HIDDEN import'!A:G,5,FALSE)="M",MD!$A$1,(IF(AND(VLOOKUP(A224,'HIDDEN import'!B:E,4,FALSE)="C",OR(NOT(ISERROR(VLOOKUP(E224,'Optional features'!B:D,1,FALSE)=E224)),NOT(ISERROR(VLOOKUP(E224,'HIDDEN calc sheet'!A:C,1,FALSE)=E224)))),MD!$A$3,MD!$A$2)))</f>
        <v>Mandatory for optional feature</v>
      </c>
      <c r="E224" t="str">
        <f>IF('HIDDEN import'!F223=0,"",'HIDDEN import'!F223)</f>
        <v>C-20 and NOT C-43 and AQ-7 and HFS-8 &gt; 1</v>
      </c>
      <c r="F224" t="str">
        <f>IF('HIDDEN import'!G223=0,"",'HIDDEN import'!G223)</f>
        <v>AllowNewSessionsPendingFirmwareUpdate</v>
      </c>
      <c r="G224" s="19" t="str">
        <f>IFERROR(VLOOKUP($A224,'HIDDEN Testrun Results'!$A:$B,2,FALSE),"")</f>
        <v/>
      </c>
      <c r="H224" s="3" t="b">
        <f t="shared" si="3"/>
        <v>0</v>
      </c>
      <c r="I224" s="3" t="b">
        <f>IF(VLOOKUP(A224&amp;" "&amp;B224,'HIDDEN import'!A:G,5,FALSE)="M",TRUE,IFERROR(VLOOKUP(E224,'Optional features'!B:D,3,FALSE)="Yes",IFERROR(VLOOKUP(E224,'HIDDEN calc sheet'!A:B,2,FALSE),IFERROR(VLOOKUP(E224,'Additional questions'!B:D,3,FALSE)="Yes",VLOOKUP(E224,'Hardware Feature set'!B:D,3,FALSE)="No"))))</f>
        <v>0</v>
      </c>
      <c r="J224" s="3" t="b">
        <f>IF(VLOOKUP(B224,'Profile selection'!B:C,2,FALSE)="Yes",TRUE,FALSE)</f>
        <v>1</v>
      </c>
      <c r="K224"/>
      <c r="L224"/>
    </row>
    <row r="225" spans="1:12" ht="17.100000000000001" customHeight="1" x14ac:dyDescent="0.25">
      <c r="A225" t="str">
        <f>'HIDDEN import'!B224</f>
        <v>TC_L_15_CS</v>
      </c>
      <c r="B225" t="str">
        <f>'HIDDEN import'!C224</f>
        <v>Core</v>
      </c>
      <c r="C225" t="str">
        <f>'HIDDEN import'!D224</f>
        <v>Secure Firmware Update - Unable to install firmware with ongoing transaction - AllowNewSessionsPendingFirmwareUpdate is false</v>
      </c>
      <c r="D225" t="str">
        <f>IF(VLOOKUP(A225&amp;" "&amp;B225,'HIDDEN import'!A:G,5,FALSE)="M",MD!$A$1,(IF(AND(VLOOKUP(A225,'HIDDEN import'!B:E,4,FALSE)="C",OR(NOT(ISERROR(VLOOKUP(E225,'Optional features'!B:D,1,FALSE)=E225)),NOT(ISERROR(VLOOKUP(E225,'HIDDEN calc sheet'!A:C,1,FALSE)=E225)))),MD!$A$3,MD!$A$2)))</f>
        <v>Mandatory for optional feature</v>
      </c>
      <c r="E225" t="str">
        <f>IF('HIDDEN import'!F224=0,"",'HIDDEN import'!F224)</f>
        <v>NOT C-43 and AQ-7</v>
      </c>
      <c r="F225" t="str">
        <f>IF('HIDDEN import'!G224=0,"",'HIDDEN import'!G224)</f>
        <v/>
      </c>
      <c r="G225" s="19" t="str">
        <f>IFERROR(VLOOKUP($A225,'HIDDEN Testrun Results'!$A:$B,2,FALSE),"")</f>
        <v/>
      </c>
      <c r="H225" s="3" t="b">
        <f t="shared" si="3"/>
        <v>0</v>
      </c>
      <c r="I225" s="3" t="b">
        <f>IF(VLOOKUP(A225&amp;" "&amp;B225,'HIDDEN import'!A:G,5,FALSE)="M",TRUE,IFERROR(VLOOKUP(E225,'Optional features'!B:D,3,FALSE)="Yes",IFERROR(VLOOKUP(E225,'HIDDEN calc sheet'!A:B,2,FALSE),IFERROR(VLOOKUP(E225,'Additional questions'!B:D,3,FALSE)="Yes",VLOOKUP(E225,'Hardware Feature set'!B:D,3,FALSE)="No"))))</f>
        <v>0</v>
      </c>
      <c r="J225" s="3" t="b">
        <f>IF(VLOOKUP(B225,'Profile selection'!B:C,2,FALSE)="Yes",TRUE,FALSE)</f>
        <v>1</v>
      </c>
      <c r="K225"/>
      <c r="L225"/>
    </row>
    <row r="226" spans="1:12" ht="17.100000000000001" customHeight="1" x14ac:dyDescent="0.25">
      <c r="A226" t="str">
        <f>'HIDDEN import'!B225</f>
        <v>TC_L_16_CS</v>
      </c>
      <c r="B226" t="str">
        <f>'HIDDEN import'!C225</f>
        <v>Core</v>
      </c>
      <c r="C226" t="str">
        <f>'HIDDEN import'!D225</f>
        <v>Secure Firmware Update - Able to update firmware with ongoing transaction</v>
      </c>
      <c r="D226" t="str">
        <f>IF(VLOOKUP(A226&amp;" "&amp;B226,'HIDDEN import'!A:G,5,FALSE)="M",MD!$A$1,(IF(AND(VLOOKUP(A226,'HIDDEN import'!B:E,4,FALSE)="C",OR(NOT(ISERROR(VLOOKUP(E226,'Optional features'!B:D,1,FALSE)=E226)),NOT(ISERROR(VLOOKUP(E226,'HIDDEN calc sheet'!A:C,1,FALSE)=E226)))),MD!$A$3,MD!$A$2)))</f>
        <v>Mandatory for optional feature</v>
      </c>
      <c r="E226" t="str">
        <f>IF('HIDDEN import'!F225=0,"",'HIDDEN import'!F225)</f>
        <v>C-43</v>
      </c>
      <c r="F226" t="str">
        <f>IF('HIDDEN import'!G225=0,"",'HIDDEN import'!G225)</f>
        <v>Install Firmware with ongoing transaction(s)</v>
      </c>
      <c r="G226" s="19" t="str">
        <f>IFERROR(VLOOKUP($A226,'HIDDEN Testrun Results'!$A:$B,2,FALSE),"")</f>
        <v/>
      </c>
      <c r="H226" s="3" t="b">
        <f t="shared" si="3"/>
        <v>0</v>
      </c>
      <c r="I226" s="3" t="b">
        <f>IF(VLOOKUP(A226&amp;" "&amp;B226,'HIDDEN import'!A:G,5,FALSE)="M",TRUE,IFERROR(VLOOKUP(E226,'Optional features'!B:D,3,FALSE)="Yes",IFERROR(VLOOKUP(E226,'HIDDEN calc sheet'!A:B,2,FALSE),IFERROR(VLOOKUP(E226,'Additional questions'!B:D,3,FALSE)="Yes",VLOOKUP(E226,'Hardware Feature set'!B:D,3,FALSE)="No"))))</f>
        <v>0</v>
      </c>
      <c r="J226" s="3" t="b">
        <f>IF(VLOOKUP(B226,'Profile selection'!B:C,2,FALSE)="Yes",TRUE,FALSE)</f>
        <v>1</v>
      </c>
      <c r="K226"/>
      <c r="L226"/>
    </row>
    <row r="227" spans="1:12" ht="17.100000000000001" customHeight="1" x14ac:dyDescent="0.25">
      <c r="A227" t="str">
        <f>'HIDDEN import'!B226</f>
        <v>TC_M_12_CS</v>
      </c>
      <c r="B227" t="str">
        <f>'HIDDEN import'!C226</f>
        <v>Core</v>
      </c>
      <c r="C227" t="str">
        <f>'HIDDEN import'!D226</f>
        <v>Retrieve certificates from Charging Station - CSMSRootCertificate</v>
      </c>
      <c r="D227" t="str">
        <f>IF(VLOOKUP(A227&amp;" "&amp;B227,'HIDDEN import'!A:G,5,FALSE)="M",MD!$A$1,(IF(AND(VLOOKUP(A227,'HIDDEN import'!B:E,4,FALSE)="C",OR(NOT(ISERROR(VLOOKUP(E227,'Optional features'!B:D,1,FALSE)=E227)),NOT(ISERROR(VLOOKUP(E227,'HIDDEN calc sheet'!A:C,1,FALSE)=E227)))),MD!$A$3,MD!$A$2)))</f>
        <v>Mandatory test for a mandatory feature</v>
      </c>
      <c r="E227" t="str">
        <f>IF('HIDDEN import'!F226=0,"",'HIDDEN import'!F226)</f>
        <v/>
      </c>
      <c r="F227" t="str">
        <f>IF('HIDDEN import'!G226=0,"",'HIDDEN import'!G226)</f>
        <v/>
      </c>
      <c r="G227" s="19" t="str">
        <f>IFERROR(VLOOKUP($A227,'HIDDEN Testrun Results'!$A:$B,2,FALSE),"")</f>
        <v/>
      </c>
      <c r="H227" s="3" t="b">
        <f t="shared" si="3"/>
        <v>1</v>
      </c>
      <c r="I227" s="3" t="b">
        <f>IF(VLOOKUP(A227&amp;" "&amp;B227,'HIDDEN import'!A:G,5,FALSE)="M",TRUE,IFERROR(VLOOKUP(E227,'Optional features'!B:D,3,FALSE)="Yes",IFERROR(VLOOKUP(E227,'HIDDEN calc sheet'!A:B,2,FALSE),IFERROR(VLOOKUP(E227,'Additional questions'!B:D,3,FALSE)="Yes",VLOOKUP(E227,'Hardware Feature set'!B:D,3,FALSE)="No"))))</f>
        <v>1</v>
      </c>
      <c r="J227" s="3" t="b">
        <f>IF(VLOOKUP(B227,'Profile selection'!B:C,2,FALSE)="Yes",TRUE,FALSE)</f>
        <v>1</v>
      </c>
      <c r="K227"/>
      <c r="L227"/>
    </row>
    <row r="228" spans="1:12" ht="17.100000000000001" customHeight="1" x14ac:dyDescent="0.25">
      <c r="A228" t="str">
        <f>'HIDDEN import'!B227</f>
        <v>TC_M_13_CS</v>
      </c>
      <c r="B228" t="str">
        <f>'HIDDEN import'!C227</f>
        <v>Core</v>
      </c>
      <c r="C228" t="str">
        <f>'HIDDEN import'!D227</f>
        <v>Retrieve certificates from Charging Station - ManufacturerRootCertificate</v>
      </c>
      <c r="D228" t="str">
        <f>IF(VLOOKUP(A228&amp;" "&amp;B228,'HIDDEN import'!A:G,5,FALSE)="M",MD!$A$1,(IF(AND(VLOOKUP(A228,'HIDDEN import'!B:E,4,FALSE)="C",OR(NOT(ISERROR(VLOOKUP(E228,'Optional features'!B:D,1,FALSE)=E228)),NOT(ISERROR(VLOOKUP(E228,'HIDDEN calc sheet'!A:C,1,FALSE)=E228)))),MD!$A$3,MD!$A$2)))</f>
        <v>Mandatory test for a mandatory feature</v>
      </c>
      <c r="E228" t="str">
        <f>IF('HIDDEN import'!F227=0,"",'HIDDEN import'!F227)</f>
        <v/>
      </c>
      <c r="F228" t="str">
        <f>IF('HIDDEN import'!G227=0,"",'HIDDEN import'!G227)</f>
        <v/>
      </c>
      <c r="G228" s="19" t="str">
        <f>IFERROR(VLOOKUP($A228,'HIDDEN Testrun Results'!$A:$B,2,FALSE),"")</f>
        <v/>
      </c>
      <c r="H228" s="3" t="b">
        <f t="shared" si="3"/>
        <v>1</v>
      </c>
      <c r="I228" s="3" t="b">
        <f>IF(VLOOKUP(A228&amp;" "&amp;B228,'HIDDEN import'!A:G,5,FALSE)="M",TRUE,IFERROR(VLOOKUP(E228,'Optional features'!B:D,3,FALSE)="Yes",IFERROR(VLOOKUP(E228,'HIDDEN calc sheet'!A:B,2,FALSE),IFERROR(VLOOKUP(E228,'Additional questions'!B:D,3,FALSE)="Yes",VLOOKUP(E228,'Hardware Feature set'!B:D,3,FALSE)="No"))))</f>
        <v>1</v>
      </c>
      <c r="J228" s="3" t="b">
        <f>IF(VLOOKUP(B228,'Profile selection'!B:C,2,FALSE)="Yes",TRUE,FALSE)</f>
        <v>1</v>
      </c>
      <c r="K228"/>
      <c r="L228"/>
    </row>
    <row r="229" spans="1:12" ht="17.100000000000001" customHeight="1" x14ac:dyDescent="0.25">
      <c r="A229" t="str">
        <f>'HIDDEN import'!B228</f>
        <v>TC_M_17_CS</v>
      </c>
      <c r="B229" t="str">
        <f>'HIDDEN import'!C228</f>
        <v>Core</v>
      </c>
      <c r="C229" t="str">
        <f>'HIDDEN import'!D228</f>
        <v>Retrieve certificates from Charging Station - CSMSRootCertificate &amp; ManufacturerRootCertificate</v>
      </c>
      <c r="D229" t="str">
        <f>IF(VLOOKUP(A229&amp;" "&amp;B229,'HIDDEN import'!A:G,5,FALSE)="M",MD!$A$1,(IF(AND(VLOOKUP(A229,'HIDDEN import'!B:E,4,FALSE)="C",OR(NOT(ISERROR(VLOOKUP(E229,'Optional features'!B:D,1,FALSE)=E229)),NOT(ISERROR(VLOOKUP(E229,'HIDDEN calc sheet'!A:C,1,FALSE)=E229)))),MD!$A$3,MD!$A$2)))</f>
        <v>Mandatory test for a mandatory feature</v>
      </c>
      <c r="E229" t="str">
        <f>IF('HIDDEN import'!F228=0,"",'HIDDEN import'!F228)</f>
        <v/>
      </c>
      <c r="F229" t="str">
        <f>IF('HIDDEN import'!G228=0,"",'HIDDEN import'!G228)</f>
        <v/>
      </c>
      <c r="G229" s="19" t="str">
        <f>IFERROR(VLOOKUP($A229,'HIDDEN Testrun Results'!$A:$B,2,FALSE),"")</f>
        <v/>
      </c>
      <c r="H229" s="3" t="b">
        <f t="shared" si="3"/>
        <v>1</v>
      </c>
      <c r="I229" s="3" t="b">
        <f>IF(VLOOKUP(A229&amp;" "&amp;B229,'HIDDEN import'!A:G,5,FALSE)="M",TRUE,IFERROR(VLOOKUP(E229,'Optional features'!B:D,3,FALSE)="Yes",IFERROR(VLOOKUP(E229,'HIDDEN calc sheet'!A:B,2,FALSE),IFERROR(VLOOKUP(E229,'Additional questions'!B:D,3,FALSE)="Yes",VLOOKUP(E229,'Hardware Feature set'!B:D,3,FALSE)="No"))))</f>
        <v>1</v>
      </c>
      <c r="J229" s="3" t="b">
        <f>IF(VLOOKUP(B229,'Profile selection'!B:C,2,FALSE)="Yes",TRUE,FALSE)</f>
        <v>1</v>
      </c>
      <c r="K229"/>
      <c r="L229"/>
    </row>
    <row r="230" spans="1:12" ht="17.100000000000001" customHeight="1" x14ac:dyDescent="0.25">
      <c r="A230" t="str">
        <f>'HIDDEN import'!B229</f>
        <v>TC_M_18_CS</v>
      </c>
      <c r="B230" t="str">
        <f>'HIDDEN import'!C229</f>
        <v>Core</v>
      </c>
      <c r="C230" t="str">
        <f>'HIDDEN import'!D229</f>
        <v>Retrieve certificates from Charging Station - All certificateTypes</v>
      </c>
      <c r="D230" t="str">
        <f>IF(VLOOKUP(A230&amp;" "&amp;B230,'HIDDEN import'!A:G,5,FALSE)="M",MD!$A$1,(IF(AND(VLOOKUP(A230,'HIDDEN import'!B:E,4,FALSE)="C",OR(NOT(ISERROR(VLOOKUP(E230,'Optional features'!B:D,1,FALSE)=E230)),NOT(ISERROR(VLOOKUP(E230,'HIDDEN calc sheet'!A:C,1,FALSE)=E230)))),MD!$A$3,MD!$A$2)))</f>
        <v>Mandatory test for a mandatory feature</v>
      </c>
      <c r="E230" t="str">
        <f>IF('HIDDEN import'!F229=0,"",'HIDDEN import'!F229)</f>
        <v/>
      </c>
      <c r="F230" t="str">
        <f>IF('HIDDEN import'!G229=0,"",'HIDDEN import'!G229)</f>
        <v/>
      </c>
      <c r="G230" s="19" t="str">
        <f>IFERROR(VLOOKUP($A230,'HIDDEN Testrun Results'!$A:$B,2,FALSE),"")</f>
        <v/>
      </c>
      <c r="H230" s="3" t="b">
        <f t="shared" si="3"/>
        <v>1</v>
      </c>
      <c r="I230" s="3" t="b">
        <f>IF(VLOOKUP(A230&amp;" "&amp;B230,'HIDDEN import'!A:G,5,FALSE)="M",TRUE,IFERROR(VLOOKUP(E230,'Optional features'!B:D,3,FALSE)="Yes",IFERROR(VLOOKUP(E230,'HIDDEN calc sheet'!A:B,2,FALSE),IFERROR(VLOOKUP(E230,'Additional questions'!B:D,3,FALSE)="Yes",VLOOKUP(E230,'Hardware Feature set'!B:D,3,FALSE)="No"))))</f>
        <v>1</v>
      </c>
      <c r="J230" s="3" t="b">
        <f>IF(VLOOKUP(B230,'Profile selection'!B:C,2,FALSE)="Yes",TRUE,FALSE)</f>
        <v>1</v>
      </c>
      <c r="K230"/>
      <c r="L230"/>
    </row>
    <row r="231" spans="1:12" ht="17.100000000000001" customHeight="1" x14ac:dyDescent="0.25">
      <c r="A231" t="str">
        <f>'HIDDEN import'!B230</f>
        <v>TC_M_19_CS</v>
      </c>
      <c r="B231" t="str">
        <f>'HIDDEN import'!C230</f>
        <v>Core</v>
      </c>
      <c r="C231" t="str">
        <f>'HIDDEN import'!D230</f>
        <v>Retrieve certificates from Charging Station - No matching certificate found</v>
      </c>
      <c r="D231" t="str">
        <f>IF(VLOOKUP(A231&amp;" "&amp;B231,'HIDDEN import'!A:G,5,FALSE)="M",MD!$A$1,(IF(AND(VLOOKUP(A231,'HIDDEN import'!B:E,4,FALSE)="C",OR(NOT(ISERROR(VLOOKUP(E231,'Optional features'!B:D,1,FALSE)=E231)),NOT(ISERROR(VLOOKUP(E231,'HIDDEN calc sheet'!A:C,1,FALSE)=E231)))),MD!$A$3,MD!$A$2)))</f>
        <v>Mandatory test for a mandatory feature</v>
      </c>
      <c r="E231" t="str">
        <f>IF('HIDDEN import'!F230=0,"",'HIDDEN import'!F230)</f>
        <v/>
      </c>
      <c r="F231" t="str">
        <f>IF('HIDDEN import'!G230=0,"",'HIDDEN import'!G230)</f>
        <v/>
      </c>
      <c r="G231" s="19" t="str">
        <f>IFERROR(VLOOKUP($A231,'HIDDEN Testrun Results'!$A:$B,2,FALSE),"")</f>
        <v/>
      </c>
      <c r="H231" s="3" t="b">
        <f t="shared" si="3"/>
        <v>1</v>
      </c>
      <c r="I231" s="3" t="b">
        <f>IF(VLOOKUP(A231&amp;" "&amp;B231,'HIDDEN import'!A:G,5,FALSE)="M",TRUE,IFERROR(VLOOKUP(E231,'Optional features'!B:D,3,FALSE)="Yes",IFERROR(VLOOKUP(E231,'HIDDEN calc sheet'!A:B,2,FALSE),IFERROR(VLOOKUP(E231,'Additional questions'!B:D,3,FALSE)="Yes",VLOOKUP(E231,'Hardware Feature set'!B:D,3,FALSE)="No"))))</f>
        <v>1</v>
      </c>
      <c r="J231" s="3" t="b">
        <f>IF(VLOOKUP(B231,'Profile selection'!B:C,2,FALSE)="Yes",TRUE,FALSE)</f>
        <v>1</v>
      </c>
      <c r="K231"/>
      <c r="L231"/>
    </row>
    <row r="232" spans="1:12" ht="17.100000000000001" customHeight="1" x14ac:dyDescent="0.25">
      <c r="A232" t="str">
        <f>'HIDDEN import'!B231</f>
        <v>TC_M_20_CS</v>
      </c>
      <c r="B232" t="str">
        <f>'HIDDEN import'!C231</f>
        <v>Core</v>
      </c>
      <c r="C232" t="str">
        <f>'HIDDEN import'!D231</f>
        <v>Delete a certificate from a Charging Station - Success</v>
      </c>
      <c r="D232" t="str">
        <f>IF(VLOOKUP(A232&amp;" "&amp;B232,'HIDDEN import'!A:G,5,FALSE)="M",MD!$A$1,(IF(AND(VLOOKUP(A232,'HIDDEN import'!B:E,4,FALSE)="C",OR(NOT(ISERROR(VLOOKUP(E232,'Optional features'!B:D,1,FALSE)=E232)),NOT(ISERROR(VLOOKUP(E232,'HIDDEN calc sheet'!A:C,1,FALSE)=E232)))),MD!$A$3,MD!$A$2)))</f>
        <v>Mandatory test for a mandatory feature</v>
      </c>
      <c r="E232" t="str">
        <f>IF('HIDDEN import'!F231=0,"",'HIDDEN import'!F231)</f>
        <v/>
      </c>
      <c r="F232" t="str">
        <f>IF('HIDDEN import'!G231=0,"",'HIDDEN import'!G231)</f>
        <v/>
      </c>
      <c r="G232" s="19" t="str">
        <f>IFERROR(VLOOKUP($A232,'HIDDEN Testrun Results'!$A:$B,2,FALSE),"")</f>
        <v/>
      </c>
      <c r="H232" s="3" t="b">
        <f t="shared" si="3"/>
        <v>1</v>
      </c>
      <c r="I232" s="3" t="b">
        <f>IF(VLOOKUP(A232&amp;" "&amp;B232,'HIDDEN import'!A:G,5,FALSE)="M",TRUE,IFERROR(VLOOKUP(E232,'Optional features'!B:D,3,FALSE)="Yes",IFERROR(VLOOKUP(E232,'HIDDEN calc sheet'!A:B,2,FALSE),IFERROR(VLOOKUP(E232,'Additional questions'!B:D,3,FALSE)="Yes",VLOOKUP(E232,'Hardware Feature set'!B:D,3,FALSE)="No"))))</f>
        <v>1</v>
      </c>
      <c r="J232" s="3" t="b">
        <f>IF(VLOOKUP(B232,'Profile selection'!B:C,2,FALSE)="Yes",TRUE,FALSE)</f>
        <v>1</v>
      </c>
      <c r="K232"/>
      <c r="L232"/>
    </row>
    <row r="233" spans="1:12" ht="17.100000000000001" customHeight="1" x14ac:dyDescent="0.25">
      <c r="A233" t="str">
        <f>'HIDDEN import'!B232</f>
        <v>TC_M_22_CS</v>
      </c>
      <c r="B233" t="str">
        <f>'HIDDEN import'!C232</f>
        <v>Core</v>
      </c>
      <c r="C233" t="str">
        <f>'HIDDEN import'!D232</f>
        <v>Delete a certificate from a Charging Station - No matching certificate found</v>
      </c>
      <c r="D233" t="str">
        <f>IF(VLOOKUP(A233&amp;" "&amp;B233,'HIDDEN import'!A:G,5,FALSE)="M",MD!$A$1,(IF(AND(VLOOKUP(A233,'HIDDEN import'!B:E,4,FALSE)="C",OR(NOT(ISERROR(VLOOKUP(E233,'Optional features'!B:D,1,FALSE)=E233)),NOT(ISERROR(VLOOKUP(E233,'HIDDEN calc sheet'!A:C,1,FALSE)=E233)))),MD!$A$3,MD!$A$2)))</f>
        <v>Mandatory test for a mandatory feature</v>
      </c>
      <c r="E233" t="str">
        <f>IF('HIDDEN import'!F232=0,"",'HIDDEN import'!F232)</f>
        <v/>
      </c>
      <c r="F233" t="str">
        <f>IF('HIDDEN import'!G232=0,"",'HIDDEN import'!G232)</f>
        <v/>
      </c>
      <c r="G233" s="19" t="str">
        <f>IFERROR(VLOOKUP($A233,'HIDDEN Testrun Results'!$A:$B,2,FALSE),"")</f>
        <v/>
      </c>
      <c r="H233" s="3" t="b">
        <f t="shared" si="3"/>
        <v>1</v>
      </c>
      <c r="I233" s="3" t="b">
        <f>IF(VLOOKUP(A233&amp;" "&amp;B233,'HIDDEN import'!A:G,5,FALSE)="M",TRUE,IFERROR(VLOOKUP(E233,'Optional features'!B:D,3,FALSE)="Yes",IFERROR(VLOOKUP(E233,'HIDDEN calc sheet'!A:B,2,FALSE),IFERROR(VLOOKUP(E233,'Additional questions'!B:D,3,FALSE)="Yes",VLOOKUP(E233,'Hardware Feature set'!B:D,3,FALSE)="No"))))</f>
        <v>1</v>
      </c>
      <c r="J233" s="3" t="b">
        <f>IF(VLOOKUP(B233,'Profile selection'!B:C,2,FALSE)="Yes",TRUE,FALSE)</f>
        <v>1</v>
      </c>
      <c r="K233"/>
      <c r="L233"/>
    </row>
    <row r="234" spans="1:12" ht="17.100000000000001" customHeight="1" x14ac:dyDescent="0.25">
      <c r="A234" t="str">
        <f>'HIDDEN import'!B233</f>
        <v>TC_M_01_CS</v>
      </c>
      <c r="B234" t="str">
        <f>'HIDDEN import'!C233</f>
        <v>Core</v>
      </c>
      <c r="C234" t="str">
        <f>'HIDDEN import'!D233</f>
        <v>Install CA certificate - CSMSRootCertificate</v>
      </c>
      <c r="D234" t="str">
        <f>IF(VLOOKUP(A234&amp;" "&amp;B234,'HIDDEN import'!A:G,5,FALSE)="M",MD!$A$1,(IF(AND(VLOOKUP(A234,'HIDDEN import'!B:E,4,FALSE)="C",OR(NOT(ISERROR(VLOOKUP(E234,'Optional features'!B:D,1,FALSE)=E234)),NOT(ISERROR(VLOOKUP(E234,'HIDDEN calc sheet'!A:C,1,FALSE)=E234)))),MD!$A$3,MD!$A$2)))</f>
        <v>Mandatory test for a mandatory feature</v>
      </c>
      <c r="E234" t="str">
        <f>IF('HIDDEN import'!F233=0,"",'HIDDEN import'!F233)</f>
        <v/>
      </c>
      <c r="F234" t="str">
        <f>IF('HIDDEN import'!G233=0,"",'HIDDEN import'!G233)</f>
        <v/>
      </c>
      <c r="G234" s="19" t="str">
        <f>IFERROR(VLOOKUP($A234,'HIDDEN Testrun Results'!$A:$B,2,FALSE),"")</f>
        <v/>
      </c>
      <c r="H234" s="3" t="b">
        <f t="shared" si="3"/>
        <v>1</v>
      </c>
      <c r="I234" s="3" t="b">
        <f>IF(VLOOKUP(A234&amp;" "&amp;B234,'HIDDEN import'!A:G,5,FALSE)="M",TRUE,IFERROR(VLOOKUP(E234,'Optional features'!B:D,3,FALSE)="Yes",IFERROR(VLOOKUP(E234,'HIDDEN calc sheet'!A:B,2,FALSE),IFERROR(VLOOKUP(E234,'Additional questions'!B:D,3,FALSE)="Yes",VLOOKUP(E234,'Hardware Feature set'!B:D,3,FALSE)="No"))))</f>
        <v>1</v>
      </c>
      <c r="J234" s="3" t="b">
        <f>IF(VLOOKUP(B234,'Profile selection'!B:C,2,FALSE)="Yes",TRUE,FALSE)</f>
        <v>1</v>
      </c>
      <c r="K234"/>
      <c r="L234"/>
    </row>
    <row r="235" spans="1:12" ht="17.100000000000001" customHeight="1" x14ac:dyDescent="0.25">
      <c r="A235" t="str">
        <f>'HIDDEN import'!B234</f>
        <v>TC_M_02_CS</v>
      </c>
      <c r="B235" t="str">
        <f>'HIDDEN import'!C234</f>
        <v>Core</v>
      </c>
      <c r="C235" t="str">
        <f>'HIDDEN import'!D234</f>
        <v>Install CA certificate - ManufacturerRootCertificate</v>
      </c>
      <c r="D235" t="str">
        <f>IF(VLOOKUP(A235&amp;" "&amp;B235,'HIDDEN import'!A:G,5,FALSE)="M",MD!$A$1,(IF(AND(VLOOKUP(A235,'HIDDEN import'!B:E,4,FALSE)="C",OR(NOT(ISERROR(VLOOKUP(E235,'Optional features'!B:D,1,FALSE)=E235)),NOT(ISERROR(VLOOKUP(E235,'HIDDEN calc sheet'!A:C,1,FALSE)=E235)))),MD!$A$3,MD!$A$2)))</f>
        <v>Mandatory test for a mandatory feature</v>
      </c>
      <c r="E235" t="str">
        <f>IF('HIDDEN import'!F234=0,"",'HIDDEN import'!F234)</f>
        <v/>
      </c>
      <c r="F235" t="str">
        <f>IF('HIDDEN import'!G234=0,"",'HIDDEN import'!G234)</f>
        <v/>
      </c>
      <c r="G235" s="19" t="str">
        <f>IFERROR(VLOOKUP($A235,'HIDDEN Testrun Results'!$A:$B,2,FALSE),"")</f>
        <v/>
      </c>
      <c r="H235" s="3" t="b">
        <f t="shared" si="3"/>
        <v>1</v>
      </c>
      <c r="I235" s="3" t="b">
        <f>IF(VLOOKUP(A235&amp;" "&amp;B235,'HIDDEN import'!A:G,5,FALSE)="M",TRUE,IFERROR(VLOOKUP(E235,'Optional features'!B:D,3,FALSE)="Yes",IFERROR(VLOOKUP(E235,'HIDDEN calc sheet'!A:B,2,FALSE),IFERROR(VLOOKUP(E235,'Additional questions'!B:D,3,FALSE)="Yes",VLOOKUP(E235,'Hardware Feature set'!B:D,3,FALSE)="No"))))</f>
        <v>1</v>
      </c>
      <c r="J235" s="3" t="b">
        <f>IF(VLOOKUP(B235,'Profile selection'!B:C,2,FALSE)="Yes",TRUE,FALSE)</f>
        <v>1</v>
      </c>
      <c r="K235"/>
      <c r="L235"/>
    </row>
    <row r="236" spans="1:12" ht="17.100000000000001" customHeight="1" x14ac:dyDescent="0.25">
      <c r="A236" t="str">
        <f>'HIDDEN import'!B235</f>
        <v>TC_M_07_CS</v>
      </c>
      <c r="B236" t="str">
        <f>'HIDDEN import'!C235</f>
        <v>Core</v>
      </c>
      <c r="C236" t="str">
        <f>'HIDDEN import'!D235</f>
        <v>Install CA certificate - Rejected - Certificate invalid</v>
      </c>
      <c r="D236" t="str">
        <f>IF(VLOOKUP(A236&amp;" "&amp;B236,'HIDDEN import'!A:G,5,FALSE)="M",MD!$A$1,(IF(AND(VLOOKUP(A236,'HIDDEN import'!B:E,4,FALSE)="C",OR(NOT(ISERROR(VLOOKUP(E236,'Optional features'!B:D,1,FALSE)=E236)),NOT(ISERROR(VLOOKUP(E236,'HIDDEN calc sheet'!A:C,1,FALSE)=E236)))),MD!$A$3,MD!$A$2)))</f>
        <v>Mandatory test for a mandatory feature</v>
      </c>
      <c r="E236" t="str">
        <f>IF('HIDDEN import'!F235=0,"",'HIDDEN import'!F235)</f>
        <v/>
      </c>
      <c r="F236" t="str">
        <f>IF('HIDDEN import'!G235=0,"",'HIDDEN import'!G235)</f>
        <v/>
      </c>
      <c r="G236" s="19" t="str">
        <f>IFERROR(VLOOKUP($A236,'HIDDEN Testrun Results'!$A:$B,2,FALSE),"")</f>
        <v/>
      </c>
      <c r="H236" s="3" t="b">
        <f t="shared" si="3"/>
        <v>1</v>
      </c>
      <c r="I236" s="3" t="b">
        <f>IF(VLOOKUP(A236&amp;" "&amp;B236,'HIDDEN import'!A:G,5,FALSE)="M",TRUE,IFERROR(VLOOKUP(E236,'Optional features'!B:D,3,FALSE)="Yes",IFERROR(VLOOKUP(E236,'HIDDEN calc sheet'!A:B,2,FALSE),IFERROR(VLOOKUP(E236,'Additional questions'!B:D,3,FALSE)="Yes",VLOOKUP(E236,'Hardware Feature set'!B:D,3,FALSE)="No"))))</f>
        <v>1</v>
      </c>
      <c r="J236" s="3" t="b">
        <f>IF(VLOOKUP(B236,'Profile selection'!B:C,2,FALSE)="Yes",TRUE,FALSE)</f>
        <v>1</v>
      </c>
      <c r="K236"/>
      <c r="L236"/>
    </row>
    <row r="237" spans="1:12" ht="17.100000000000001" customHeight="1" x14ac:dyDescent="0.25">
      <c r="A237" t="str">
        <f>'HIDDEN import'!B236</f>
        <v>TC_M_09_CS</v>
      </c>
      <c r="B237" t="str">
        <f>'HIDDEN import'!C236</f>
        <v>Core</v>
      </c>
      <c r="C237" t="str">
        <f>'HIDDEN import'!D236</f>
        <v>Install CA certificate - AdditionalRootCertificateCheck - Rejected</v>
      </c>
      <c r="D237" t="str">
        <f>IF(VLOOKUP(A237&amp;" "&amp;B237,'HIDDEN import'!A:G,5,FALSE)="M",MD!$A$1,(IF(AND(VLOOKUP(A237,'HIDDEN import'!B:E,4,FALSE)="C",OR(NOT(ISERROR(VLOOKUP(E237,'Optional features'!B:D,1,FALSE)=E237)),NOT(ISERROR(VLOOKUP(E237,'HIDDEN calc sheet'!A:C,1,FALSE)=E237)))),MD!$A$3,MD!$A$2)))</f>
        <v>Mandatory for optional feature</v>
      </c>
      <c r="E237" t="str">
        <f>IF('HIDDEN import'!F236=0,"",'HIDDEN import'!F236)</f>
        <v>AS-2</v>
      </c>
      <c r="F237" t="str">
        <f>IF('HIDDEN import'!G236=0,"",'HIDDEN import'!G236)</f>
        <v>Additional Root Certificate check mechanism implemented</v>
      </c>
      <c r="G237" s="19" t="str">
        <f>IFERROR(VLOOKUP($A237,'HIDDEN Testrun Results'!$A:$B,2,FALSE),"")</f>
        <v/>
      </c>
      <c r="H237" s="3" t="b">
        <f t="shared" si="3"/>
        <v>0</v>
      </c>
      <c r="I237" s="3" t="b">
        <f>IF(VLOOKUP(A237&amp;" "&amp;B237,'HIDDEN import'!A:G,5,FALSE)="M",TRUE,IFERROR(VLOOKUP(E237,'Optional features'!B:D,3,FALSE)="Yes",IFERROR(VLOOKUP(E237,'HIDDEN calc sheet'!A:B,2,FALSE),IFERROR(VLOOKUP(E237,'Additional questions'!B:D,3,FALSE)="Yes",VLOOKUP(E237,'Hardware Feature set'!B:D,3,FALSE)="No"))))</f>
        <v>0</v>
      </c>
      <c r="J237" s="3" t="b">
        <f>IF(VLOOKUP(B237,'Profile selection'!B:C,2,FALSE)="Yes",TRUE,FALSE)</f>
        <v>1</v>
      </c>
      <c r="K237"/>
      <c r="L237"/>
    </row>
    <row r="238" spans="1:12" ht="17.100000000000001" customHeight="1" x14ac:dyDescent="0.25">
      <c r="A238" t="str">
        <f>'HIDDEN import'!B237</f>
        <v>TC_M_30_CS</v>
      </c>
      <c r="B238" t="str">
        <f>'HIDDEN import'!C237</f>
        <v>Core</v>
      </c>
      <c r="C238" t="str">
        <f>'HIDDEN import'!D237</f>
        <v>Install CA certificate - AdditionalRootCertificateCheck - Reconnect using new CSMS Root - Success</v>
      </c>
      <c r="D238" t="str">
        <f>IF(VLOOKUP(A238&amp;" "&amp;B238,'HIDDEN import'!A:G,5,FALSE)="M",MD!$A$1,(IF(AND(VLOOKUP(A238,'HIDDEN import'!B:E,4,FALSE)="C",OR(NOT(ISERROR(VLOOKUP(E238,'Optional features'!B:D,1,FALSE)=E238)),NOT(ISERROR(VLOOKUP(E238,'HIDDEN calc sheet'!A:C,1,FALSE)=E238)))),MD!$A$3,MD!$A$2)))</f>
        <v>Mandatory for optional feature</v>
      </c>
      <c r="E238" t="str">
        <f>IF('HIDDEN import'!F237=0,"",'HIDDEN import'!F237)</f>
        <v>AS-2</v>
      </c>
      <c r="F238" t="str">
        <f>IF('HIDDEN import'!G237=0,"",'HIDDEN import'!G237)</f>
        <v>Additional Root Certificate check mechanism implemented</v>
      </c>
      <c r="G238" s="19" t="str">
        <f>IFERROR(VLOOKUP($A238,'HIDDEN Testrun Results'!$A:$B,2,FALSE),"")</f>
        <v/>
      </c>
      <c r="H238" s="3" t="b">
        <f t="shared" si="3"/>
        <v>0</v>
      </c>
      <c r="I238" s="3" t="b">
        <f>IF(VLOOKUP(A238&amp;" "&amp;B238,'HIDDEN import'!A:G,5,FALSE)="M",TRUE,IFERROR(VLOOKUP(E238,'Optional features'!B:D,3,FALSE)="Yes",IFERROR(VLOOKUP(E238,'HIDDEN calc sheet'!A:B,2,FALSE),IFERROR(VLOOKUP(E238,'Additional questions'!B:D,3,FALSE)="Yes",VLOOKUP(E238,'Hardware Feature set'!B:D,3,FALSE)="No"))))</f>
        <v>0</v>
      </c>
      <c r="J238" s="3" t="b">
        <f>IF(VLOOKUP(B238,'Profile selection'!B:C,2,FALSE)="Yes",TRUE,FALSE)</f>
        <v>1</v>
      </c>
      <c r="K238"/>
      <c r="L238"/>
    </row>
    <row r="239" spans="1:12" ht="17.100000000000001" customHeight="1" x14ac:dyDescent="0.25">
      <c r="A239" t="str">
        <f>'HIDDEN import'!B238</f>
        <v>TC_M_31_CS</v>
      </c>
      <c r="B239" t="str">
        <f>'HIDDEN import'!C238</f>
        <v>Core</v>
      </c>
      <c r="C239" t="str">
        <f>'HIDDEN import'!D238</f>
        <v>Install CA certificate - AdditionalRootCertificateCheck - Reconnect using new CSMS Root - Fallback mechanism</v>
      </c>
      <c r="D239" t="str">
        <f>IF(VLOOKUP(A239&amp;" "&amp;B239,'HIDDEN import'!A:G,5,FALSE)="M",MD!$A$1,(IF(AND(VLOOKUP(A239,'HIDDEN import'!B:E,4,FALSE)="C",OR(NOT(ISERROR(VLOOKUP(E239,'Optional features'!B:D,1,FALSE)=E239)),NOT(ISERROR(VLOOKUP(E239,'HIDDEN calc sheet'!A:C,1,FALSE)=E239)))),MD!$A$3,MD!$A$2)))</f>
        <v>Mandatory for optional feature</v>
      </c>
      <c r="E239" t="str">
        <f>IF('HIDDEN import'!F238=0,"",'HIDDEN import'!F238)</f>
        <v>AS-2</v>
      </c>
      <c r="F239" t="str">
        <f>IF('HIDDEN import'!G238=0,"",'HIDDEN import'!G238)</f>
        <v>Additional Root Certificate check mechanism implemented</v>
      </c>
      <c r="G239" s="19" t="str">
        <f>IFERROR(VLOOKUP($A239,'HIDDEN Testrun Results'!$A:$B,2,FALSE),"")</f>
        <v/>
      </c>
      <c r="H239" s="3" t="b">
        <f t="shared" si="3"/>
        <v>0</v>
      </c>
      <c r="I239" s="3" t="b">
        <f>IF(VLOOKUP(A239&amp;" "&amp;B239,'HIDDEN import'!A:G,5,FALSE)="M",TRUE,IFERROR(VLOOKUP(E239,'Optional features'!B:D,3,FALSE)="Yes",IFERROR(VLOOKUP(E239,'HIDDEN calc sheet'!A:B,2,FALSE),IFERROR(VLOOKUP(E239,'Additional questions'!B:D,3,FALSE)="Yes",VLOOKUP(E239,'Hardware Feature set'!B:D,3,FALSE)="No"))))</f>
        <v>0</v>
      </c>
      <c r="J239" s="3" t="b">
        <f>IF(VLOOKUP(B239,'Profile selection'!B:C,2,FALSE)="Yes",TRUE,FALSE)</f>
        <v>1</v>
      </c>
      <c r="K239"/>
      <c r="L239"/>
    </row>
    <row r="240" spans="1:12" ht="17.100000000000001" customHeight="1" x14ac:dyDescent="0.25">
      <c r="A240" t="str">
        <f>'HIDDEN import'!B239</f>
        <v>TC_N_25_CS</v>
      </c>
      <c r="B240" t="str">
        <f>'HIDDEN import'!C239</f>
        <v>Core</v>
      </c>
      <c r="C240" t="str">
        <f>'HIDDEN import'!D239</f>
        <v>Retrieve Log Information - Diagnostics Log - Success</v>
      </c>
      <c r="D240" t="str">
        <f>IF(VLOOKUP(A240&amp;" "&amp;B240,'HIDDEN import'!A:G,5,FALSE)="M",MD!$A$1,(IF(AND(VLOOKUP(A240,'HIDDEN import'!B:E,4,FALSE)="C",OR(NOT(ISERROR(VLOOKUP(E240,'Optional features'!B:D,1,FALSE)=E240)),NOT(ISERROR(VLOOKUP(E240,'HIDDEN calc sheet'!A:C,1,FALSE)=E240)))),MD!$A$3,MD!$A$2)))</f>
        <v>Mandatory test for a mandatory feature</v>
      </c>
      <c r="E240" t="str">
        <f>IF('HIDDEN import'!F239=0,"",'HIDDEN import'!F239)</f>
        <v/>
      </c>
      <c r="F240" t="str">
        <f>IF('HIDDEN import'!G239=0,"",'HIDDEN import'!G239)</f>
        <v/>
      </c>
      <c r="G240" s="19" t="str">
        <f>IFERROR(VLOOKUP($A240,'HIDDEN Testrun Results'!$A:$B,2,FALSE),"")</f>
        <v/>
      </c>
      <c r="H240" s="3" t="b">
        <f t="shared" si="3"/>
        <v>1</v>
      </c>
      <c r="I240" s="3" t="b">
        <f>IF(VLOOKUP(A240&amp;" "&amp;B240,'HIDDEN import'!A:G,5,FALSE)="M",TRUE,IFERROR(VLOOKUP(E240,'Optional features'!B:D,3,FALSE)="Yes",IFERROR(VLOOKUP(E240,'HIDDEN calc sheet'!A:B,2,FALSE),IFERROR(VLOOKUP(E240,'Additional questions'!B:D,3,FALSE)="Yes",VLOOKUP(E240,'Hardware Feature set'!B:D,3,FALSE)="No"))))</f>
        <v>1</v>
      </c>
      <c r="J240" s="3" t="b">
        <f>IF(VLOOKUP(B240,'Profile selection'!B:C,2,FALSE)="Yes",TRUE,FALSE)</f>
        <v>1</v>
      </c>
      <c r="K240"/>
      <c r="L240"/>
    </row>
    <row r="241" spans="1:12" ht="17.100000000000001" customHeight="1" x14ac:dyDescent="0.25">
      <c r="A241" t="str">
        <f>'HIDDEN import'!B240</f>
        <v>TC_N_26_CS</v>
      </c>
      <c r="B241" t="str">
        <f>'HIDDEN import'!C240</f>
        <v>Core</v>
      </c>
      <c r="C241" t="str">
        <f>'HIDDEN import'!D240</f>
        <v>Retrieve Log Information - Diagnostics Log - Upload failed</v>
      </c>
      <c r="D241" t="str">
        <f>IF(VLOOKUP(A241&amp;" "&amp;B241,'HIDDEN import'!A:G,5,FALSE)="M",MD!$A$1,(IF(AND(VLOOKUP(A241,'HIDDEN import'!B:E,4,FALSE)="C",OR(NOT(ISERROR(VLOOKUP(E241,'Optional features'!B:D,1,FALSE)=E241)),NOT(ISERROR(VLOOKUP(E241,'HIDDEN calc sheet'!A:C,1,FALSE)=E241)))),MD!$A$3,MD!$A$2)))</f>
        <v>Mandatory test for a mandatory feature</v>
      </c>
      <c r="E241" t="str">
        <f>IF('HIDDEN import'!F240=0,"",'HIDDEN import'!F240)</f>
        <v/>
      </c>
      <c r="F241" t="str">
        <f>IF('HIDDEN import'!G240=0,"",'HIDDEN import'!G240)</f>
        <v/>
      </c>
      <c r="G241" s="19" t="str">
        <f>IFERROR(VLOOKUP($A241,'HIDDEN Testrun Results'!$A:$B,2,FALSE),"")</f>
        <v/>
      </c>
      <c r="H241" s="3" t="b">
        <f t="shared" si="3"/>
        <v>1</v>
      </c>
      <c r="I241" s="3" t="b">
        <f>IF(VLOOKUP(A241&amp;" "&amp;B241,'HIDDEN import'!A:G,5,FALSE)="M",TRUE,IFERROR(VLOOKUP(E241,'Optional features'!B:D,3,FALSE)="Yes",IFERROR(VLOOKUP(E241,'HIDDEN calc sheet'!A:B,2,FALSE),IFERROR(VLOOKUP(E241,'Additional questions'!B:D,3,FALSE)="Yes",VLOOKUP(E241,'Hardware Feature set'!B:D,3,FALSE)="No"))))</f>
        <v>1</v>
      </c>
      <c r="J241" s="3" t="b">
        <f>IF(VLOOKUP(B241,'Profile selection'!B:C,2,FALSE)="Yes",TRUE,FALSE)</f>
        <v>1</v>
      </c>
      <c r="K241"/>
      <c r="L241"/>
    </row>
    <row r="242" spans="1:12" ht="17.100000000000001" customHeight="1" x14ac:dyDescent="0.25">
      <c r="A242" t="str">
        <f>'HIDDEN import'!B241</f>
        <v>TC_N_35_CS</v>
      </c>
      <c r="B242" t="str">
        <f>'HIDDEN import'!C241</f>
        <v>Core</v>
      </c>
      <c r="C242" t="str">
        <f>'HIDDEN import'!D241</f>
        <v>Retrieve Log Information - Security Log - Success</v>
      </c>
      <c r="D242" t="str">
        <f>IF(VLOOKUP(A242&amp;" "&amp;B242,'HIDDEN import'!A:G,5,FALSE)="M",MD!$A$1,(IF(AND(VLOOKUP(A242,'HIDDEN import'!B:E,4,FALSE)="C",OR(NOT(ISERROR(VLOOKUP(E242,'Optional features'!B:D,1,FALSE)=E242)),NOT(ISERROR(VLOOKUP(E242,'HIDDEN calc sheet'!A:C,1,FALSE)=E242)))),MD!$A$3,MD!$A$2)))</f>
        <v>Mandatory test for a mandatory feature</v>
      </c>
      <c r="E242" t="str">
        <f>IF('HIDDEN import'!F241=0,"",'HIDDEN import'!F241)</f>
        <v/>
      </c>
      <c r="F242" t="str">
        <f>IF('HIDDEN import'!G241=0,"",'HIDDEN import'!G241)</f>
        <v/>
      </c>
      <c r="G242" s="19" t="str">
        <f>IFERROR(VLOOKUP($A242,'HIDDEN Testrun Results'!$A:$B,2,FALSE),"")</f>
        <v/>
      </c>
      <c r="H242" s="3" t="b">
        <f t="shared" si="3"/>
        <v>1</v>
      </c>
      <c r="I242" s="3" t="b">
        <f>IF(VLOOKUP(A242&amp;" "&amp;B242,'HIDDEN import'!A:G,5,FALSE)="M",TRUE,IFERROR(VLOOKUP(E242,'Optional features'!B:D,3,FALSE)="Yes",IFERROR(VLOOKUP(E242,'HIDDEN calc sheet'!A:B,2,FALSE),IFERROR(VLOOKUP(E242,'Additional questions'!B:D,3,FALSE)="Yes",VLOOKUP(E242,'Hardware Feature set'!B:D,3,FALSE)="No"))))</f>
        <v>1</v>
      </c>
      <c r="J242" s="3" t="b">
        <f>IF(VLOOKUP(B242,'Profile selection'!B:C,2,FALSE)="Yes",TRUE,FALSE)</f>
        <v>1</v>
      </c>
      <c r="K242"/>
      <c r="L242"/>
    </row>
    <row r="243" spans="1:12" ht="17.100000000000001" customHeight="1" x14ac:dyDescent="0.25">
      <c r="A243" t="str">
        <f>'HIDDEN import'!B242</f>
        <v>TC_N_36_CS</v>
      </c>
      <c r="B243" t="str">
        <f>'HIDDEN import'!C242</f>
        <v>Core</v>
      </c>
      <c r="C243" t="str">
        <f>'HIDDEN import'!D242</f>
        <v>Retrieve Log Information - Second Request</v>
      </c>
      <c r="D243" t="str">
        <f>IF(VLOOKUP(A243&amp;" "&amp;B243,'HIDDEN import'!A:G,5,FALSE)="M",MD!$A$1,(IF(AND(VLOOKUP(A243,'HIDDEN import'!B:E,4,FALSE)="C",OR(NOT(ISERROR(VLOOKUP(E243,'Optional features'!B:D,1,FALSE)=E243)),NOT(ISERROR(VLOOKUP(E243,'HIDDEN calc sheet'!A:C,1,FALSE)=E243)))),MD!$A$3,MD!$A$2)))</f>
        <v>Mandatory for optional feature</v>
      </c>
      <c r="E243" t="str">
        <f>IF('HIDDEN import'!F242=0,"",'HIDDEN import'!F242)</f>
        <v>C-57</v>
      </c>
      <c r="F243" t="str">
        <f>IF('HIDDEN import'!G242=0,"",'HIDDEN import'!G242)</f>
        <v/>
      </c>
      <c r="G243" s="19" t="str">
        <f>IFERROR(VLOOKUP($A243,'HIDDEN Testrun Results'!$A:$B,2,FALSE),"")</f>
        <v/>
      </c>
      <c r="H243" s="3" t="b">
        <f t="shared" si="3"/>
        <v>0</v>
      </c>
      <c r="I243" s="3" t="b">
        <f>IF(VLOOKUP(A243&amp;" "&amp;B243,'HIDDEN import'!A:G,5,FALSE)="M",TRUE,IFERROR(VLOOKUP(E243,'Optional features'!B:D,3,FALSE)="Yes",IFERROR(VLOOKUP(E243,'HIDDEN calc sheet'!A:B,2,FALSE),IFERROR(VLOOKUP(E243,'Additional questions'!B:D,3,FALSE)="Yes",VLOOKUP(E243,'Hardware Feature set'!B:D,3,FALSE)="No"))))</f>
        <v>0</v>
      </c>
      <c r="J243" s="3" t="b">
        <f>IF(VLOOKUP(B243,'Profile selection'!B:C,2,FALSE)="Yes",TRUE,FALSE)</f>
        <v>1</v>
      </c>
      <c r="K243"/>
      <c r="L243"/>
    </row>
    <row r="244" spans="1:12" ht="17.100000000000001" customHeight="1" x14ac:dyDescent="0.25">
      <c r="A244" t="str">
        <f>'HIDDEN import'!B243</f>
        <v>TC_N_100_CS</v>
      </c>
      <c r="B244" t="str">
        <f>'HIDDEN import'!C243</f>
        <v>Core</v>
      </c>
      <c r="C244" t="str">
        <f>'HIDDEN import'!D243</f>
        <v>Retrieve Log Information - DataCollectorLog - Success</v>
      </c>
      <c r="D244" t="str">
        <f>IF(VLOOKUP(A244&amp;" "&amp;B244,'HIDDEN import'!A:G,5,FALSE)="M",MD!$A$1,(IF(AND(VLOOKUP(A244,'HIDDEN import'!B:E,4,FALSE)="C",OR(NOT(ISERROR(VLOOKUP(E244,'Optional features'!B:D,1,FALSE)=E244)),NOT(ISERROR(VLOOKUP(E244,'HIDDEN calc sheet'!A:C,1,FALSE)=E244)))),MD!$A$3,MD!$A$2)))</f>
        <v>Mandatory for optional feature</v>
      </c>
      <c r="E244" t="str">
        <f>IF('HIDDEN import'!F243=0,"",'HIDDEN import'!F243)</f>
        <v>C-65</v>
      </c>
      <c r="F244" t="str">
        <f>IF('HIDDEN import'!G243=0,"",'HIDDEN import'!G243)</f>
        <v>Support for DataCollectorLog</v>
      </c>
      <c r="G244" s="19" t="str">
        <f>IFERROR(VLOOKUP($A244,'HIDDEN Testrun Results'!$A:$B,2,FALSE),"")</f>
        <v/>
      </c>
      <c r="H244" s="3" t="b">
        <f t="shared" si="3"/>
        <v>0</v>
      </c>
      <c r="I244" s="3" t="b">
        <f>IF(VLOOKUP(A244&amp;" "&amp;B244,'HIDDEN import'!A:G,5,FALSE)="M",TRUE,IFERROR(VLOOKUP(E244,'Optional features'!B:D,3,FALSE)="Yes",IFERROR(VLOOKUP(E244,'HIDDEN calc sheet'!A:B,2,FALSE),IFERROR(VLOOKUP(E244,'Additional questions'!B:D,3,FALSE)="Yes",VLOOKUP(E244,'Hardware Feature set'!B:D,3,FALSE)="No"))))</f>
        <v>0</v>
      </c>
      <c r="J244" s="3" t="b">
        <f>IF(VLOOKUP(B244,'Profile selection'!B:C,2,FALSE)="Yes",TRUE,FALSE)</f>
        <v>1</v>
      </c>
      <c r="K244"/>
      <c r="L244"/>
    </row>
    <row r="245" spans="1:12" ht="17.100000000000001" customHeight="1" x14ac:dyDescent="0.25">
      <c r="A245" t="str">
        <f>'HIDDEN import'!B244</f>
        <v>TC_N_101_CS</v>
      </c>
      <c r="B245" t="str">
        <f>'HIDDEN import'!C244</f>
        <v>Core</v>
      </c>
      <c r="C245" t="str">
        <f>'HIDDEN import'!D244</f>
        <v>Retrieve Log Information - Validations</v>
      </c>
      <c r="D245" t="str">
        <f>IF(VLOOKUP(A245&amp;" "&amp;B245,'HIDDEN import'!A:G,5,FALSE)="M",MD!$A$1,(IF(AND(VLOOKUP(A245,'HIDDEN import'!B:E,4,FALSE)="C",OR(NOT(ISERROR(VLOOKUP(E245,'Optional features'!B:D,1,FALSE)=E245)),NOT(ISERROR(VLOOKUP(E245,'HIDDEN calc sheet'!A:C,1,FALSE)=E245)))),MD!$A$3,MD!$A$2)))</f>
        <v>Mandatory for optional feature</v>
      </c>
      <c r="E245" t="str">
        <f>IF('HIDDEN import'!F244=0,"",'HIDDEN import'!F244)</f>
        <v>Supported file transfer protocols contains HTTP or HTTPS</v>
      </c>
      <c r="F245" t="str">
        <f>IF('HIDDEN import'!G244=0,"",'HIDDEN import'!G244)</f>
        <v/>
      </c>
      <c r="G245" s="19" t="str">
        <f>IFERROR(VLOOKUP($A245,'HIDDEN Testrun Results'!$A:$B,2,FALSE),"")</f>
        <v/>
      </c>
      <c r="H245" s="3" t="b">
        <f t="shared" si="3"/>
        <v>0</v>
      </c>
      <c r="I245" s="3" t="b">
        <f>IF(VLOOKUP(A245&amp;" "&amp;B245,'HIDDEN import'!A:G,5,FALSE)="M",TRUE,IFERROR(VLOOKUP(E245,'Optional features'!B:D,3,FALSE)="Yes",IFERROR(VLOOKUP(E245,'HIDDEN calc sheet'!A:B,2,FALSE),IFERROR(VLOOKUP(E245,'Additional questions'!B:D,3,FALSE)="Yes",VLOOKUP(E245,'Hardware Feature set'!B:D,3,FALSE)="No"))))</f>
        <v>0</v>
      </c>
      <c r="J245" s="3" t="b">
        <f>IF(VLOOKUP(B245,'Profile selection'!B:C,2,FALSE)="Yes",TRUE,FALSE)</f>
        <v>1</v>
      </c>
      <c r="K245"/>
      <c r="L245"/>
    </row>
    <row r="246" spans="1:12" ht="17.100000000000001" customHeight="1" x14ac:dyDescent="0.25">
      <c r="A246" t="str">
        <f>'HIDDEN import'!B245</f>
        <v>TC_N_102_CS</v>
      </c>
      <c r="B246" t="str">
        <f>'HIDDEN import'!C245</f>
        <v>Core</v>
      </c>
      <c r="C246" t="str">
        <f>'HIDDEN import'!D245</f>
        <v>Retrieve Log Information - Authentication - HTTP</v>
      </c>
      <c r="D246" t="str">
        <f>IF(VLOOKUP(A246&amp;" "&amp;B246,'HIDDEN import'!A:G,5,FALSE)="M",MD!$A$1,(IF(AND(VLOOKUP(A246,'HIDDEN import'!B:E,4,FALSE)="C",OR(NOT(ISERROR(VLOOKUP(E246,'Optional features'!B:D,1,FALSE)=E246)),NOT(ISERROR(VLOOKUP(E246,'HIDDEN calc sheet'!A:C,1,FALSE)=E246)))),MD!$A$3,MD!$A$2)))</f>
        <v>Mandatory for optional feature</v>
      </c>
      <c r="E246" t="str">
        <f>IF('HIDDEN import'!F245=0,"",'HIDDEN import'!F245)</f>
        <v>Supported file transfer protocols contains HTTP</v>
      </c>
      <c r="F246" t="str">
        <f>IF('HIDDEN import'!G245=0,"",'HIDDEN import'!G245)</f>
        <v/>
      </c>
      <c r="G246" s="19" t="str">
        <f>IFERROR(VLOOKUP($A246,'HIDDEN Testrun Results'!$A:$B,2,FALSE),"")</f>
        <v/>
      </c>
      <c r="H246" s="3" t="b">
        <f t="shared" si="3"/>
        <v>0</v>
      </c>
      <c r="I246" s="3" t="b">
        <f>IF(VLOOKUP(A246&amp;" "&amp;B246,'HIDDEN import'!A:G,5,FALSE)="M",TRUE,IFERROR(VLOOKUP(E246,'Optional features'!B:D,3,FALSE)="Yes",IFERROR(VLOOKUP(E246,'HIDDEN calc sheet'!A:B,2,FALSE),IFERROR(VLOOKUP(E246,'Additional questions'!B:D,3,FALSE)="Yes",VLOOKUP(E246,'Hardware Feature set'!B:D,3,FALSE)="No"))))</f>
        <v>0</v>
      </c>
      <c r="J246" s="3" t="b">
        <f>IF(VLOOKUP(B246,'Profile selection'!B:C,2,FALSE)="Yes",TRUE,FALSE)</f>
        <v>1</v>
      </c>
      <c r="K246"/>
      <c r="L246"/>
    </row>
    <row r="247" spans="1:12" ht="17.100000000000001" customHeight="1" x14ac:dyDescent="0.25">
      <c r="A247" t="str">
        <f>'HIDDEN import'!B246</f>
        <v>TC_N_103_CS</v>
      </c>
      <c r="B247" t="str">
        <f>'HIDDEN import'!C246</f>
        <v>Core</v>
      </c>
      <c r="C247" t="str">
        <f>'HIDDEN import'!D246</f>
        <v>Retrieve Log Information - Authentication - HTTPS</v>
      </c>
      <c r="D247" t="str">
        <f>IF(VLOOKUP(A247&amp;" "&amp;B247,'HIDDEN import'!A:G,5,FALSE)="M",MD!$A$1,(IF(AND(VLOOKUP(A247,'HIDDEN import'!B:E,4,FALSE)="C",OR(NOT(ISERROR(VLOOKUP(E247,'Optional features'!B:D,1,FALSE)=E247)),NOT(ISERROR(VLOOKUP(E247,'HIDDEN calc sheet'!A:C,1,FALSE)=E247)))),MD!$A$3,MD!$A$2)))</f>
        <v>Mandatory for optional feature</v>
      </c>
      <c r="E247" t="str">
        <f>IF('HIDDEN import'!F246=0,"",'HIDDEN import'!F246)</f>
        <v>Supported file transfer protocols contains HTTPS</v>
      </c>
      <c r="F247" t="str">
        <f>IF('HIDDEN import'!G246=0,"",'HIDDEN import'!G246)</f>
        <v/>
      </c>
      <c r="G247" s="19" t="str">
        <f>IFERROR(VLOOKUP($A247,'HIDDEN Testrun Results'!$A:$B,2,FALSE),"")</f>
        <v/>
      </c>
      <c r="H247" s="3" t="b">
        <f t="shared" si="3"/>
        <v>0</v>
      </c>
      <c r="I247" s="3" t="b">
        <f>IF(VLOOKUP(A247&amp;" "&amp;B247,'HIDDEN import'!A:G,5,FALSE)="M",TRUE,IFERROR(VLOOKUP(E247,'Optional features'!B:D,3,FALSE)="Yes",IFERROR(VLOOKUP(E247,'HIDDEN calc sheet'!A:B,2,FALSE),IFERROR(VLOOKUP(E247,'Additional questions'!B:D,3,FALSE)="Yes",VLOOKUP(E247,'Hardware Feature set'!B:D,3,FALSE)="No"))))</f>
        <v>0</v>
      </c>
      <c r="J247" s="3" t="b">
        <f>IF(VLOOKUP(B247,'Profile selection'!B:C,2,FALSE)="Yes",TRUE,FALSE)</f>
        <v>1</v>
      </c>
      <c r="K247"/>
      <c r="L247"/>
    </row>
    <row r="248" spans="1:12" ht="17.100000000000001" customHeight="1" x14ac:dyDescent="0.25">
      <c r="A248" t="str">
        <f>'HIDDEN import'!B247</f>
        <v>TC_N_27_CS</v>
      </c>
      <c r="B248" t="str">
        <f>'HIDDEN import'!C247</f>
        <v>Core</v>
      </c>
      <c r="C248" t="str">
        <f>'HIDDEN import'!D247</f>
        <v>Get Customer Information - Accepted + data</v>
      </c>
      <c r="D248" t="str">
        <f>IF(VLOOKUP(A248&amp;" "&amp;B248,'HIDDEN import'!A:G,5,FALSE)="M",MD!$A$1,(IF(AND(VLOOKUP(A248,'HIDDEN import'!B:E,4,FALSE)="C",OR(NOT(ISERROR(VLOOKUP(E248,'Optional features'!B:D,1,FALSE)=E248)),NOT(ISERROR(VLOOKUP(E248,'HIDDEN calc sheet'!A:C,1,FALSE)=E248)))),MD!$A$3,MD!$A$2)))</f>
        <v>Mandatory for optional feature</v>
      </c>
      <c r="E248" t="str">
        <f>IF('HIDDEN import'!F247=0,"",'HIDDEN import'!F247)</f>
        <v>((C-30 and C-70) or (C-31 and C-71)) and (Local Authorization List Management or C-49)</v>
      </c>
      <c r="F248" t="str">
        <f>IF('HIDDEN import'!G247=0,"",'HIDDEN import'!G247)</f>
        <v/>
      </c>
      <c r="G248" s="19" t="str">
        <f>IFERROR(VLOOKUP($A248,'HIDDEN Testrun Results'!$A:$B,2,FALSE),"")</f>
        <v/>
      </c>
      <c r="H248" s="3" t="b">
        <f t="shared" si="3"/>
        <v>0</v>
      </c>
      <c r="I248" s="3" t="b">
        <f>IF(VLOOKUP(A248&amp;" "&amp;B248,'HIDDEN import'!A:G,5,FALSE)="M",TRUE,IFERROR(VLOOKUP(E248,'Optional features'!B:D,3,FALSE)="Yes",IFERROR(VLOOKUP(E248,'HIDDEN calc sheet'!A:B,2,FALSE),IFERROR(VLOOKUP(E248,'Additional questions'!B:D,3,FALSE)="Yes",VLOOKUP(E248,'Hardware Feature set'!B:D,3,FALSE)="No"))))</f>
        <v>0</v>
      </c>
      <c r="J248" s="3" t="b">
        <f>IF(VLOOKUP(B248,'Profile selection'!B:C,2,FALSE)="Yes",TRUE,FALSE)</f>
        <v>1</v>
      </c>
      <c r="K248"/>
      <c r="L248"/>
    </row>
    <row r="249" spans="1:12" ht="17.100000000000001" customHeight="1" x14ac:dyDescent="0.25">
      <c r="A249" t="str">
        <f>'HIDDEN import'!B248</f>
        <v>TC_N_28_CS</v>
      </c>
      <c r="B249" t="str">
        <f>'HIDDEN import'!C248</f>
        <v>Core</v>
      </c>
      <c r="C249" t="str">
        <f>'HIDDEN import'!D248</f>
        <v>Get Customer Information - Accepted + no data</v>
      </c>
      <c r="D249" t="str">
        <f>IF(VLOOKUP(A249&amp;" "&amp;B249,'HIDDEN import'!A:G,5,FALSE)="M",MD!$A$1,(IF(AND(VLOOKUP(A249,'HIDDEN import'!B:E,4,FALSE)="C",OR(NOT(ISERROR(VLOOKUP(E249,'Optional features'!B:D,1,FALSE)=E249)),NOT(ISERROR(VLOOKUP(E249,'HIDDEN calc sheet'!A:C,1,FALSE)=E249)))),MD!$A$3,MD!$A$2)))</f>
        <v>Mandatory for optional feature</v>
      </c>
      <c r="E249" t="str">
        <f>IF('HIDDEN import'!F248=0,"",'HIDDEN import'!F248)</f>
        <v>((C-30 and C-70) or (C-31 and C-71)) and (Local Authorization List Management or C-49)</v>
      </c>
      <c r="F249" t="str">
        <f>IF('HIDDEN import'!G248=0,"",'HIDDEN import'!G248)</f>
        <v/>
      </c>
      <c r="G249" s="19" t="str">
        <f>IFERROR(VLOOKUP($A249,'HIDDEN Testrun Results'!$A:$B,2,FALSE),"")</f>
        <v/>
      </c>
      <c r="H249" s="3" t="b">
        <f t="shared" si="3"/>
        <v>0</v>
      </c>
      <c r="I249" s="3" t="b">
        <f>IF(VLOOKUP(A249&amp;" "&amp;B249,'HIDDEN import'!A:G,5,FALSE)="M",TRUE,IFERROR(VLOOKUP(E249,'Optional features'!B:D,3,FALSE)="Yes",IFERROR(VLOOKUP(E249,'HIDDEN calc sheet'!A:B,2,FALSE),IFERROR(VLOOKUP(E249,'Additional questions'!B:D,3,FALSE)="Yes",VLOOKUP(E249,'Hardware Feature set'!B:D,3,FALSE)="No"))))</f>
        <v>0</v>
      </c>
      <c r="J249" s="3" t="b">
        <f>IF(VLOOKUP(B249,'Profile selection'!B:C,2,FALSE)="Yes",TRUE,FALSE)</f>
        <v>1</v>
      </c>
      <c r="K249"/>
      <c r="L249"/>
    </row>
    <row r="250" spans="1:12" ht="17.100000000000001" customHeight="1" x14ac:dyDescent="0.25">
      <c r="A250" t="str">
        <f>'HIDDEN import'!B249</f>
        <v>TC_N_30_CS</v>
      </c>
      <c r="B250" t="str">
        <f>'HIDDEN import'!C249</f>
        <v>Core</v>
      </c>
      <c r="C250" t="str">
        <f>'HIDDEN import'!D249</f>
        <v>Clear Customer Information - Clear and report + data</v>
      </c>
      <c r="D250" t="str">
        <f>IF(VLOOKUP(A250&amp;" "&amp;B250,'HIDDEN import'!A:G,5,FALSE)="M",MD!$A$1,(IF(AND(VLOOKUP(A250,'HIDDEN import'!B:E,4,FALSE)="C",OR(NOT(ISERROR(VLOOKUP(E250,'Optional features'!B:D,1,FALSE)=E250)),NOT(ISERROR(VLOOKUP(E250,'HIDDEN calc sheet'!A:C,1,FALSE)=E250)))),MD!$A$3,MD!$A$2)))</f>
        <v>Mandatory for optional feature</v>
      </c>
      <c r="E250" t="str">
        <f>IF('HIDDEN import'!F249=0,"",'HIDDEN import'!F249)</f>
        <v>((C-30 and C-70) or (C-31 and C-71)) and (Local Authorization List Management or C-49)</v>
      </c>
      <c r="F250" t="str">
        <f>IF('HIDDEN import'!G249=0,"",'HIDDEN import'!G249)</f>
        <v/>
      </c>
      <c r="G250" s="19" t="str">
        <f>IFERROR(VLOOKUP($A250,'HIDDEN Testrun Results'!$A:$B,2,FALSE),"")</f>
        <v/>
      </c>
      <c r="H250" s="3" t="b">
        <f t="shared" si="3"/>
        <v>0</v>
      </c>
      <c r="I250" s="3" t="b">
        <f>IF(VLOOKUP(A250&amp;" "&amp;B250,'HIDDEN import'!A:G,5,FALSE)="M",TRUE,IFERROR(VLOOKUP(E250,'Optional features'!B:D,3,FALSE)="Yes",IFERROR(VLOOKUP(E250,'HIDDEN calc sheet'!A:B,2,FALSE),IFERROR(VLOOKUP(E250,'Additional questions'!B:D,3,FALSE)="Yes",VLOOKUP(E250,'Hardware Feature set'!B:D,3,FALSE)="No"))))</f>
        <v>0</v>
      </c>
      <c r="J250" s="3" t="b">
        <f>IF(VLOOKUP(B250,'Profile selection'!B:C,2,FALSE)="Yes",TRUE,FALSE)</f>
        <v>1</v>
      </c>
      <c r="K250"/>
      <c r="L250"/>
    </row>
    <row r="251" spans="1:12" ht="17.100000000000001" customHeight="1" x14ac:dyDescent="0.25">
      <c r="A251" t="str">
        <f>'HIDDEN import'!B250</f>
        <v>TC_N_31_CS</v>
      </c>
      <c r="B251" t="str">
        <f>'HIDDEN import'!C250</f>
        <v>Core</v>
      </c>
      <c r="C251" t="str">
        <f>'HIDDEN import'!D250</f>
        <v>Clear Customer Information - Clear and report + no data</v>
      </c>
      <c r="D251" t="str">
        <f>IF(VLOOKUP(A251&amp;" "&amp;B251,'HIDDEN import'!A:G,5,FALSE)="M",MD!$A$1,(IF(AND(VLOOKUP(A251,'HIDDEN import'!B:E,4,FALSE)="C",OR(NOT(ISERROR(VLOOKUP(E251,'Optional features'!B:D,1,FALSE)=E251)),NOT(ISERROR(VLOOKUP(E251,'HIDDEN calc sheet'!A:C,1,FALSE)=E251)))),MD!$A$3,MD!$A$2)))</f>
        <v>Mandatory for optional feature</v>
      </c>
      <c r="E251" t="str">
        <f>IF('HIDDEN import'!F250=0,"",'HIDDEN import'!F250)</f>
        <v>((C-30 and C-70) or (C-31 and C-71)) and (Local Authorization List Management or C-49)</v>
      </c>
      <c r="F251" t="str">
        <f>IF('HIDDEN import'!G250=0,"",'HIDDEN import'!G250)</f>
        <v/>
      </c>
      <c r="G251" s="19" t="str">
        <f>IFERROR(VLOOKUP($A251,'HIDDEN Testrun Results'!$A:$B,2,FALSE),"")</f>
        <v/>
      </c>
      <c r="H251" s="3" t="b">
        <f t="shared" si="3"/>
        <v>0</v>
      </c>
      <c r="I251" s="3" t="b">
        <f>IF(VLOOKUP(A251&amp;" "&amp;B251,'HIDDEN import'!A:G,5,FALSE)="M",TRUE,IFERROR(VLOOKUP(E251,'Optional features'!B:D,3,FALSE)="Yes",IFERROR(VLOOKUP(E251,'HIDDEN calc sheet'!A:B,2,FALSE),IFERROR(VLOOKUP(E251,'Additional questions'!B:D,3,FALSE)="Yes",VLOOKUP(E251,'Hardware Feature set'!B:D,3,FALSE)="No"))))</f>
        <v>0</v>
      </c>
      <c r="J251" s="3" t="b">
        <f>IF(VLOOKUP(B251,'Profile selection'!B:C,2,FALSE)="Yes",TRUE,FALSE)</f>
        <v>1</v>
      </c>
      <c r="K251"/>
      <c r="L251"/>
    </row>
    <row r="252" spans="1:12" ht="17.100000000000001" customHeight="1" x14ac:dyDescent="0.25">
      <c r="A252" t="str">
        <f>'HIDDEN import'!B251</f>
        <v>TC_N_32_CS</v>
      </c>
      <c r="B252" t="str">
        <f>'HIDDEN import'!C251</f>
        <v>Core</v>
      </c>
      <c r="C252" t="str">
        <f>'HIDDEN import'!D251</f>
        <v>Clear Customer Information - Clear and no report</v>
      </c>
      <c r="D252" t="str">
        <f>IF(VLOOKUP(A252&amp;" "&amp;B252,'HIDDEN import'!A:G,5,FALSE)="M",MD!$A$1,(IF(AND(VLOOKUP(A252,'HIDDEN import'!B:E,4,FALSE)="C",OR(NOT(ISERROR(VLOOKUP(E252,'Optional features'!B:D,1,FALSE)=E252)),NOT(ISERROR(VLOOKUP(E252,'HIDDEN calc sheet'!A:C,1,FALSE)=E252)))),MD!$A$3,MD!$A$2)))</f>
        <v>Mandatory test for a mandatory feature</v>
      </c>
      <c r="E252" t="str">
        <f>IF('HIDDEN import'!F251=0,"",'HIDDEN import'!F251)</f>
        <v/>
      </c>
      <c r="F252" t="str">
        <f>IF('HIDDEN import'!G251=0,"",'HIDDEN import'!G251)</f>
        <v/>
      </c>
      <c r="G252" s="19" t="str">
        <f>IFERROR(VLOOKUP($A252,'HIDDEN Testrun Results'!$A:$B,2,FALSE),"")</f>
        <v/>
      </c>
      <c r="H252" s="3" t="b">
        <f t="shared" si="3"/>
        <v>1</v>
      </c>
      <c r="I252" s="3" t="b">
        <f>IF(VLOOKUP(A252&amp;" "&amp;B252,'HIDDEN import'!A:G,5,FALSE)="M",TRUE,IFERROR(VLOOKUP(E252,'Optional features'!B:D,3,FALSE)="Yes",IFERROR(VLOOKUP(E252,'HIDDEN calc sheet'!A:B,2,FALSE),IFERROR(VLOOKUP(E252,'Additional questions'!B:D,3,FALSE)="Yes",VLOOKUP(E252,'Hardware Feature set'!B:D,3,FALSE)="No"))))</f>
        <v>1</v>
      </c>
      <c r="J252" s="3" t="b">
        <f>IF(VLOOKUP(B252,'Profile selection'!B:C,2,FALSE)="Yes",TRUE,FALSE)</f>
        <v>1</v>
      </c>
      <c r="K252"/>
      <c r="L252"/>
    </row>
    <row r="253" spans="1:12" ht="17.100000000000001" customHeight="1" x14ac:dyDescent="0.25">
      <c r="A253" t="str">
        <f>'HIDDEN import'!B252</f>
        <v>TC_N_62_CS</v>
      </c>
      <c r="B253" t="str">
        <f>'HIDDEN import'!C252</f>
        <v>Core</v>
      </c>
      <c r="C253" t="str">
        <f>'HIDDEN import'!D252</f>
        <v>Clear Customer Information - Clear and report - customerIdentifier</v>
      </c>
      <c r="D253" t="str">
        <f>IF(VLOOKUP(A253&amp;" "&amp;B253,'HIDDEN import'!A:G,5,FALSE)="M",MD!$A$1,(IF(AND(VLOOKUP(A253,'HIDDEN import'!B:E,4,FALSE)="C",OR(NOT(ISERROR(VLOOKUP(E253,'Optional features'!B:D,1,FALSE)=E253)),NOT(ISERROR(VLOOKUP(E253,'HIDDEN calc sheet'!A:C,1,FALSE)=E253)))),MD!$A$3,MD!$A$2)))</f>
        <v>Mandatory for optional feature</v>
      </c>
      <c r="E253" t="str">
        <f>IF('HIDDEN import'!F252=0,"",'HIDDEN import'!F252)</f>
        <v>C-14</v>
      </c>
      <c r="F253" t="str">
        <f>IF('HIDDEN import'!G252=0,"",'HIDDEN import'!G252)</f>
        <v/>
      </c>
      <c r="G253" s="19" t="str">
        <f>IFERROR(VLOOKUP($A253,'HIDDEN Testrun Results'!$A:$B,2,FALSE),"")</f>
        <v/>
      </c>
      <c r="H253" s="3" t="b">
        <f t="shared" si="3"/>
        <v>0</v>
      </c>
      <c r="I253" s="3" t="b">
        <f>IF(VLOOKUP(A253&amp;" "&amp;B253,'HIDDEN import'!A:G,5,FALSE)="M",TRUE,IFERROR(VLOOKUP(E253,'Optional features'!B:D,3,FALSE)="Yes",IFERROR(VLOOKUP(E253,'HIDDEN calc sheet'!A:B,2,FALSE),IFERROR(VLOOKUP(E253,'Additional questions'!B:D,3,FALSE)="Yes",VLOOKUP(E253,'Hardware Feature set'!B:D,3,FALSE)="No"))))</f>
        <v>0</v>
      </c>
      <c r="J253" s="3" t="b">
        <f>IF(VLOOKUP(B253,'Profile selection'!B:C,2,FALSE)="Yes",TRUE,FALSE)</f>
        <v>1</v>
      </c>
      <c r="K253"/>
      <c r="L253"/>
    </row>
    <row r="254" spans="1:12" ht="17.100000000000001" customHeight="1" x14ac:dyDescent="0.25">
      <c r="A254" t="str">
        <f>'HIDDEN import'!B253</f>
        <v>TC_P_01_CS</v>
      </c>
      <c r="B254" t="str">
        <f>'HIDDEN import'!C253</f>
        <v>Core</v>
      </c>
      <c r="C254" t="str">
        <f>'HIDDEN import'!D253</f>
        <v>Data Transfer to the Charging Station - Rejected / Unknown VendorId / Unknown MessageId</v>
      </c>
      <c r="D254" t="str">
        <f>IF(VLOOKUP(A254&amp;" "&amp;B254,'HIDDEN import'!A:G,5,FALSE)="M",MD!$A$1,(IF(AND(VLOOKUP(A254,'HIDDEN import'!B:E,4,FALSE)="C",OR(NOT(ISERROR(VLOOKUP(E254,'Optional features'!B:D,1,FALSE)=E254)),NOT(ISERROR(VLOOKUP(E254,'HIDDEN calc sheet'!A:C,1,FALSE)=E254)))),MD!$A$3,MD!$A$2)))</f>
        <v>Mandatory test for a mandatory feature</v>
      </c>
      <c r="E254" t="str">
        <f>IF('HIDDEN import'!F253=0,"",'HIDDEN import'!F253)</f>
        <v/>
      </c>
      <c r="F254" t="str">
        <f>IF('HIDDEN import'!G253=0,"",'HIDDEN import'!G253)</f>
        <v/>
      </c>
      <c r="G254" s="19" t="str">
        <f>IFERROR(VLOOKUP($A254,'HIDDEN Testrun Results'!$A:$B,2,FALSE),"")</f>
        <v/>
      </c>
      <c r="H254" s="3" t="b">
        <f t="shared" si="3"/>
        <v>1</v>
      </c>
      <c r="I254" s="3" t="b">
        <f>IF(VLOOKUP(A254&amp;" "&amp;B254,'HIDDEN import'!A:G,5,FALSE)="M",TRUE,IFERROR(VLOOKUP(E254,'Optional features'!B:D,3,FALSE)="Yes",IFERROR(VLOOKUP(E254,'HIDDEN calc sheet'!A:B,2,FALSE),IFERROR(VLOOKUP(E254,'Additional questions'!B:D,3,FALSE)="Yes",VLOOKUP(E254,'Hardware Feature set'!B:D,3,FALSE)="No"))))</f>
        <v>1</v>
      </c>
      <c r="J254" s="3" t="b">
        <f>IF(VLOOKUP(B254,'Profile selection'!B:C,2,FALSE)="Yes",TRUE,FALSE)</f>
        <v>1</v>
      </c>
      <c r="K254"/>
      <c r="L254"/>
    </row>
    <row r="255" spans="1:12" ht="17.100000000000001" customHeight="1" x14ac:dyDescent="0.25">
      <c r="A255" t="str">
        <f>'HIDDEN import'!B254</f>
        <v>TC_P_03_CS</v>
      </c>
      <c r="B255" t="str">
        <f>'HIDDEN import'!C254</f>
        <v>Core</v>
      </c>
      <c r="C255" t="str">
        <f>'HIDDEN import'!D254</f>
        <v>CustomData - Receive custom data</v>
      </c>
      <c r="D255" t="str">
        <f>IF(VLOOKUP(A255&amp;" "&amp;B255,'HIDDEN import'!A:G,5,FALSE)="M",MD!$A$1,(IF(AND(VLOOKUP(A255,'HIDDEN import'!B:E,4,FALSE)="C",OR(NOT(ISERROR(VLOOKUP(E255,'Optional features'!B:D,1,FALSE)=E255)),NOT(ISERROR(VLOOKUP(E255,'HIDDEN calc sheet'!A:C,1,FALSE)=E255)))),MD!$A$3,MD!$A$2)))</f>
        <v>Mandatory test for a mandatory feature</v>
      </c>
      <c r="E255" t="str">
        <f>IF('HIDDEN import'!F254=0,"",'HIDDEN import'!F254)</f>
        <v/>
      </c>
      <c r="F255" t="str">
        <f>IF('HIDDEN import'!G254=0,"",'HIDDEN import'!G254)</f>
        <v/>
      </c>
      <c r="G255" s="19" t="str">
        <f>IFERROR(VLOOKUP($A255,'HIDDEN Testrun Results'!$A:$B,2,FALSE),"")</f>
        <v/>
      </c>
      <c r="H255" s="3" t="b">
        <f t="shared" si="3"/>
        <v>1</v>
      </c>
      <c r="I255" s="3" t="b">
        <f>IF(VLOOKUP(A255&amp;" "&amp;B255,'HIDDEN import'!A:G,5,FALSE)="M",TRUE,IFERROR(VLOOKUP(E255,'Optional features'!B:D,3,FALSE)="Yes",IFERROR(VLOOKUP(E255,'HIDDEN calc sheet'!A:B,2,FALSE),IFERROR(VLOOKUP(E255,'Additional questions'!B:D,3,FALSE)="Yes",VLOOKUP(E255,'Hardware Feature set'!B:D,3,FALSE)="No"))))</f>
        <v>1</v>
      </c>
      <c r="J255" s="3" t="b">
        <f>IF(VLOOKUP(B255,'Profile selection'!B:C,2,FALSE)="Yes",TRUE,FALSE)</f>
        <v>1</v>
      </c>
      <c r="K255"/>
      <c r="L255"/>
    </row>
    <row r="256" spans="1:12" ht="17.100000000000001" customHeight="1" x14ac:dyDescent="0.25">
      <c r="A256" t="str">
        <f>'HIDDEN import'!B255</f>
        <v>TC_S_102_CS</v>
      </c>
      <c r="B256" t="str">
        <f>'HIDDEN import'!C255</f>
        <v>Core</v>
      </c>
      <c r="C256" t="str">
        <f>'HIDDEN import'!D255</f>
        <v>Battery Swap - Remote Start - not enough batteries</v>
      </c>
      <c r="D256" t="str">
        <f>IF(VLOOKUP(A256&amp;" "&amp;B256,'HIDDEN import'!A:G,5,FALSE)="M",MD!$A$1,(IF(AND(VLOOKUP(A256,'HIDDEN import'!B:E,4,FALSE)="C",OR(NOT(ISERROR(VLOOKUP(E256,'Optional features'!B:D,1,FALSE)=E256)),NOT(ISERROR(VLOOKUP(E256,'HIDDEN calc sheet'!A:C,1,FALSE)=E256)))),MD!$A$3,MD!$A$2)))</f>
        <v>Mandatory for optional feature</v>
      </c>
      <c r="E256" t="str">
        <f>IF('HIDDEN import'!F255=0,"",'HIDDEN import'!F255)</f>
        <v>HFS-13</v>
      </c>
      <c r="F256" t="str">
        <f>IF('HIDDEN import'!G255=0,"",'HIDDEN import'!G255)</f>
        <v/>
      </c>
      <c r="G256" s="19" t="str">
        <f>IFERROR(VLOOKUP($A256,'HIDDEN Testrun Results'!$A:$B,2,FALSE),"")</f>
        <v/>
      </c>
      <c r="H256" s="3" t="b">
        <f t="shared" si="3"/>
        <v>0</v>
      </c>
      <c r="I256" s="3" t="b">
        <f>IF(VLOOKUP(A256&amp;" "&amp;B256,'HIDDEN import'!A:G,5,FALSE)="M",TRUE,IFERROR(VLOOKUP(E256,'Optional features'!B:D,3,FALSE)="Yes",IFERROR(VLOOKUP(E256,'HIDDEN calc sheet'!A:B,2,FALSE),IFERROR(VLOOKUP(E256,'Additional questions'!B:D,3,FALSE)="Yes",VLOOKUP(E256,'Hardware Feature set'!B:D,3,FALSE)="No"))))</f>
        <v>0</v>
      </c>
      <c r="J256" s="3" t="b">
        <f>IF(VLOOKUP(B256,'Profile selection'!B:C,2,FALSE)="Yes",TRUE,FALSE)</f>
        <v>1</v>
      </c>
      <c r="K256"/>
      <c r="L256"/>
    </row>
    <row r="257" spans="1:12" ht="17.100000000000001" customHeight="1" x14ac:dyDescent="0.25">
      <c r="A257" t="str">
        <f>'HIDDEN import'!B256</f>
        <v>TC_S_104_CS</v>
      </c>
      <c r="B257" t="str">
        <f>'HIDDEN import'!C256</f>
        <v>Core</v>
      </c>
      <c r="C257" t="str">
        <f>'HIDDEN import'!D256</f>
        <v>Battery Swap - Charging - Variables validation</v>
      </c>
      <c r="D257" t="str">
        <f>IF(VLOOKUP(A257&amp;" "&amp;B257,'HIDDEN import'!A:G,5,FALSE)="M",MD!$A$1,(IF(AND(VLOOKUP(A257,'HIDDEN import'!B:E,4,FALSE)="C",OR(NOT(ISERROR(VLOOKUP(E257,'Optional features'!B:D,1,FALSE)=E257)),NOT(ISERROR(VLOOKUP(E257,'HIDDEN calc sheet'!A:C,1,FALSE)=E257)))),MD!$A$3,MD!$A$2)))</f>
        <v>Mandatory for optional feature</v>
      </c>
      <c r="E257" t="str">
        <f>IF('HIDDEN import'!F256=0,"",'HIDDEN import'!F256)</f>
        <v>HFS-13</v>
      </c>
      <c r="F257" t="str">
        <f>IF('HIDDEN import'!G256=0,"",'HIDDEN import'!G256)</f>
        <v/>
      </c>
      <c r="G257" s="19" t="str">
        <f>IFERROR(VLOOKUP($A257,'HIDDEN Testrun Results'!$A:$B,2,FALSE),"")</f>
        <v/>
      </c>
      <c r="H257" s="3" t="b">
        <f t="shared" si="3"/>
        <v>0</v>
      </c>
      <c r="I257" s="3" t="b">
        <f>IF(VLOOKUP(A257&amp;" "&amp;B257,'HIDDEN import'!A:G,5,FALSE)="M",TRUE,IFERROR(VLOOKUP(E257,'Optional features'!B:D,3,FALSE)="Yes",IFERROR(VLOOKUP(E257,'HIDDEN calc sheet'!A:B,2,FALSE),IFERROR(VLOOKUP(E257,'Additional questions'!B:D,3,FALSE)="Yes",VLOOKUP(E257,'Hardware Feature set'!B:D,3,FALSE)="No"))))</f>
        <v>0</v>
      </c>
      <c r="J257" s="3" t="b">
        <f>IF(VLOOKUP(B257,'Profile selection'!B:C,2,FALSE)="Yes",TRUE,FALSE)</f>
        <v>1</v>
      </c>
      <c r="K257"/>
      <c r="L257"/>
    </row>
    <row r="258" spans="1:12" ht="17.100000000000001" customHeight="1" x14ac:dyDescent="0.25">
      <c r="A258" t="str">
        <f>'HIDDEN import'!B257</f>
        <v>TC_S_105_CS</v>
      </c>
      <c r="B258" t="str">
        <f>'HIDDEN import'!C257</f>
        <v>Core</v>
      </c>
      <c r="C258" t="str">
        <f>'HIDDEN import'!D257</f>
        <v>Battery Swap - Charging - Battery Swap Charging</v>
      </c>
      <c r="D258" t="str">
        <f>IF(VLOOKUP(A258&amp;" "&amp;B258,'HIDDEN import'!A:G,5,FALSE)="M",MD!$A$1,(IF(AND(VLOOKUP(A258,'HIDDEN import'!B:E,4,FALSE)="C",OR(NOT(ISERROR(VLOOKUP(E258,'Optional features'!B:D,1,FALSE)=E258)),NOT(ISERROR(VLOOKUP(E258,'HIDDEN calc sheet'!A:C,1,FALSE)=E258)))),MD!$A$3,MD!$A$2)))</f>
        <v>Mandatory for optional feature</v>
      </c>
      <c r="E258" t="str">
        <f>IF('HIDDEN import'!F257=0,"",'HIDDEN import'!F257)</f>
        <v>HFS-13</v>
      </c>
      <c r="F258" t="str">
        <f>IF('HIDDEN import'!G257=0,"",'HIDDEN import'!G257)</f>
        <v/>
      </c>
      <c r="G258" s="19" t="str">
        <f>IFERROR(VLOOKUP($A258,'HIDDEN Testrun Results'!$A:$B,2,FALSE),"")</f>
        <v/>
      </c>
      <c r="H258" s="3" t="b">
        <f t="shared" si="3"/>
        <v>0</v>
      </c>
      <c r="I258" s="3" t="b">
        <f>IF(VLOOKUP(A258&amp;" "&amp;B258,'HIDDEN import'!A:G,5,FALSE)="M",TRUE,IFERROR(VLOOKUP(E258,'Optional features'!B:D,3,FALSE)="Yes",IFERROR(VLOOKUP(E258,'HIDDEN calc sheet'!A:B,2,FALSE),IFERROR(VLOOKUP(E258,'Additional questions'!B:D,3,FALSE)="Yes",VLOOKUP(E258,'Hardware Feature set'!B:D,3,FALSE)="No"))))</f>
        <v>0</v>
      </c>
      <c r="J258" s="3" t="b">
        <f>IF(VLOOKUP(B258,'Profile selection'!B:C,2,FALSE)="Yes",TRUE,FALSE)</f>
        <v>1</v>
      </c>
      <c r="K258"/>
      <c r="L258"/>
    </row>
    <row r="259" spans="1:12" ht="17.100000000000001" customHeight="1" x14ac:dyDescent="0.25">
      <c r="A259" t="str">
        <f>'HIDDEN import'!B258</f>
        <v>TC_C_21_CS</v>
      </c>
      <c r="B259" t="str">
        <f>'HIDDEN import'!C258</f>
        <v>Core</v>
      </c>
      <c r="C259" t="str">
        <f>'HIDDEN import'!D258</f>
        <v>Offline authorization through local authorization list - Accepted</v>
      </c>
      <c r="D259" t="str">
        <f>IF(VLOOKUP(A259&amp;" "&amp;B259,'HIDDEN import'!A:G,5,FALSE)="M",MD!$A$1,(IF(AND(VLOOKUP(A259,'HIDDEN import'!B:E,4,FALSE)="C",OR(NOT(ISERROR(VLOOKUP(E259,'Optional features'!B:D,1,FALSE)=E259)),NOT(ISERROR(VLOOKUP(E259,'HIDDEN calc sheet'!A:C,1,FALSE)=E259)))),MD!$A$3,MD!$A$2)))</f>
        <v>Mandatory for optional feature</v>
      </c>
      <c r="E259" t="str">
        <f>IF('HIDDEN import'!F258=0,"",'HIDDEN import'!F258)</f>
        <v>LA-0 and ((C-30 and C-70) or (C-31 and C-71) or (C-32 and C-72))</v>
      </c>
      <c r="F259" t="str">
        <f>IF('HIDDEN import'!G258=0,"",'HIDDEN import'!G258)</f>
        <v/>
      </c>
      <c r="G259" s="19" t="str">
        <f>IFERROR(VLOOKUP($A259,'HIDDEN Testrun Results'!$A:$B,2,FALSE),"")</f>
        <v/>
      </c>
      <c r="H259" s="3" t="b">
        <f t="shared" ref="H259:H322" si="4">IF(NOT(J259),FALSE,IF(NOT(ISLOGICAL(I259)),I259,AND(I259,J259)))</f>
        <v>0</v>
      </c>
      <c r="I259" s="3" t="b">
        <f>IF(VLOOKUP(A259&amp;" "&amp;B259,'HIDDEN import'!A:G,5,FALSE)="M",TRUE,IFERROR(VLOOKUP(E259,'Optional features'!B:D,3,FALSE)="Yes",IFERROR(VLOOKUP(E259,'HIDDEN calc sheet'!A:B,2,FALSE),IFERROR(VLOOKUP(E259,'Additional questions'!B:D,3,FALSE)="Yes",VLOOKUP(E259,'Hardware Feature set'!B:D,3,FALSE)="No"))))</f>
        <v>0</v>
      </c>
      <c r="J259" s="3" t="b">
        <f>IF(VLOOKUP(B259,'Profile selection'!B:C,2,FALSE)="Yes",TRUE,FALSE)</f>
        <v>1</v>
      </c>
      <c r="K259"/>
      <c r="L259"/>
    </row>
    <row r="260" spans="1:12" ht="17.100000000000001" customHeight="1" x14ac:dyDescent="0.25">
      <c r="A260" t="str">
        <f>'HIDDEN import'!B259</f>
        <v>TC_C_22_CS</v>
      </c>
      <c r="B260" t="str">
        <f>'HIDDEN import'!C259</f>
        <v>Core</v>
      </c>
      <c r="C260" t="str">
        <f>'HIDDEN import'!D259</f>
        <v>Offline authorization through local authorization list - Invalid</v>
      </c>
      <c r="D260" t="str">
        <f>IF(VLOOKUP(A260&amp;" "&amp;B260,'HIDDEN import'!A:G,5,FALSE)="M",MD!$A$1,(IF(AND(VLOOKUP(A260,'HIDDEN import'!B:E,4,FALSE)="C",OR(NOT(ISERROR(VLOOKUP(E260,'Optional features'!B:D,1,FALSE)=E260)),NOT(ISERROR(VLOOKUP(E260,'HIDDEN calc sheet'!A:C,1,FALSE)=E260)))),MD!$A$3,MD!$A$2)))</f>
        <v>Mandatory for optional feature</v>
      </c>
      <c r="E260" t="str">
        <f>IF('HIDDEN import'!F259=0,"",'HIDDEN import'!F259)</f>
        <v>LA-0 and (C-30 or C-31 or C-32)</v>
      </c>
      <c r="F260" t="str">
        <f>IF('HIDDEN import'!G259=0,"",'HIDDEN import'!G259)</f>
        <v/>
      </c>
      <c r="G260" s="19" t="str">
        <f>IFERROR(VLOOKUP($A260,'HIDDEN Testrun Results'!$A:$B,2,FALSE),"")</f>
        <v/>
      </c>
      <c r="H260" s="3" t="b">
        <f t="shared" si="4"/>
        <v>0</v>
      </c>
      <c r="I260" s="3" t="b">
        <f>IF(VLOOKUP(A260&amp;" "&amp;B260,'HIDDEN import'!A:G,5,FALSE)="M",TRUE,IFERROR(VLOOKUP(E260,'Optional features'!B:D,3,FALSE)="Yes",IFERROR(VLOOKUP(E260,'HIDDEN calc sheet'!A:B,2,FALSE),IFERROR(VLOOKUP(E260,'Additional questions'!B:D,3,FALSE)="Yes",VLOOKUP(E260,'Hardware Feature set'!B:D,3,FALSE)="No"))))</f>
        <v>0</v>
      </c>
      <c r="J260" s="3" t="b">
        <f>IF(VLOOKUP(B260,'Profile selection'!B:C,2,FALSE)="Yes",TRUE,FALSE)</f>
        <v>1</v>
      </c>
      <c r="K260"/>
      <c r="L260"/>
    </row>
    <row r="261" spans="1:12" ht="17.100000000000001" customHeight="1" x14ac:dyDescent="0.25">
      <c r="A261" t="str">
        <f>'HIDDEN import'!B260</f>
        <v>TC_C_23_CS</v>
      </c>
      <c r="B261" t="str">
        <f>'HIDDEN import'!C260</f>
        <v>Core</v>
      </c>
      <c r="C261" t="str">
        <f>'HIDDEN import'!D260</f>
        <v>Offline authorization through local authorization list - Blocked</v>
      </c>
      <c r="D261" t="str">
        <f>IF(VLOOKUP(A261&amp;" "&amp;B261,'HIDDEN import'!A:G,5,FALSE)="M",MD!$A$1,(IF(AND(VLOOKUP(A261,'HIDDEN import'!B:E,4,FALSE)="C",OR(NOT(ISERROR(VLOOKUP(E261,'Optional features'!B:D,1,FALSE)=E261)),NOT(ISERROR(VLOOKUP(E261,'HIDDEN calc sheet'!A:C,1,FALSE)=E261)))),MD!$A$3,MD!$A$2)))</f>
        <v>Mandatory for optional feature</v>
      </c>
      <c r="E261" t="str">
        <f>IF('HIDDEN import'!F260=0,"",'HIDDEN import'!F260)</f>
        <v>LA-0 and (C-30 or C-31 or C-32)</v>
      </c>
      <c r="F261" t="str">
        <f>IF('HIDDEN import'!G260=0,"",'HIDDEN import'!G260)</f>
        <v/>
      </c>
      <c r="G261" s="19" t="str">
        <f>IFERROR(VLOOKUP($A261,'HIDDEN Testrun Results'!$A:$B,2,FALSE),"")</f>
        <v/>
      </c>
      <c r="H261" s="3" t="b">
        <f t="shared" si="4"/>
        <v>0</v>
      </c>
      <c r="I261" s="3" t="b">
        <f>IF(VLOOKUP(A261&amp;" "&amp;B261,'HIDDEN import'!A:G,5,FALSE)="M",TRUE,IFERROR(VLOOKUP(E261,'Optional features'!B:D,3,FALSE)="Yes",IFERROR(VLOOKUP(E261,'HIDDEN calc sheet'!A:B,2,FALSE),IFERROR(VLOOKUP(E261,'Additional questions'!B:D,3,FALSE)="Yes",VLOOKUP(E261,'Hardware Feature set'!B:D,3,FALSE)="No"))))</f>
        <v>0</v>
      </c>
      <c r="J261" s="3" t="b">
        <f>IF(VLOOKUP(B261,'Profile selection'!B:C,2,FALSE)="Yes",TRUE,FALSE)</f>
        <v>1</v>
      </c>
      <c r="K261"/>
      <c r="L261"/>
    </row>
    <row r="262" spans="1:12" ht="17.100000000000001" customHeight="1" x14ac:dyDescent="0.25">
      <c r="A262" t="str">
        <f>'HIDDEN import'!B261</f>
        <v>TC_C_24_CS</v>
      </c>
      <c r="B262" t="str">
        <f>'HIDDEN import'!C261</f>
        <v>Core</v>
      </c>
      <c r="C262" t="str">
        <f>'HIDDEN import'!D261</f>
        <v>Offline authorization through local authorization list - Expired</v>
      </c>
      <c r="D262" t="str">
        <f>IF(VLOOKUP(A262&amp;" "&amp;B262,'HIDDEN import'!A:G,5,FALSE)="M",MD!$A$1,(IF(AND(VLOOKUP(A262,'HIDDEN import'!B:E,4,FALSE)="C",OR(NOT(ISERROR(VLOOKUP(E262,'Optional features'!B:D,1,FALSE)=E262)),NOT(ISERROR(VLOOKUP(E262,'HIDDEN calc sheet'!A:C,1,FALSE)=E262)))),MD!$A$3,MD!$A$2)))</f>
        <v>Mandatory for optional feature</v>
      </c>
      <c r="E262" t="str">
        <f>IF('HIDDEN import'!F261=0,"",'HIDDEN import'!F261)</f>
        <v>LA-0 and (C-30 or C-31 or C-32)</v>
      </c>
      <c r="F262" t="str">
        <f>IF('HIDDEN import'!G261=0,"",'HIDDEN import'!G261)</f>
        <v/>
      </c>
      <c r="G262" s="19" t="str">
        <f>IFERROR(VLOOKUP($A262,'HIDDEN Testrun Results'!$A:$B,2,FALSE),"")</f>
        <v/>
      </c>
      <c r="H262" s="3" t="b">
        <f t="shared" si="4"/>
        <v>0</v>
      </c>
      <c r="I262" s="3" t="b">
        <f>IF(VLOOKUP(A262&amp;" "&amp;B262,'HIDDEN import'!A:G,5,FALSE)="M",TRUE,IFERROR(VLOOKUP(E262,'Optional features'!B:D,3,FALSE)="Yes",IFERROR(VLOOKUP(E262,'HIDDEN calc sheet'!A:B,2,FALSE),IFERROR(VLOOKUP(E262,'Additional questions'!B:D,3,FALSE)="Yes",VLOOKUP(E262,'Hardware Feature set'!B:D,3,FALSE)="No"))))</f>
        <v>0</v>
      </c>
      <c r="J262" s="3" t="b">
        <f>IF(VLOOKUP(B262,'Profile selection'!B:C,2,FALSE)="Yes",TRUE,FALSE)</f>
        <v>1</v>
      </c>
      <c r="K262"/>
      <c r="L262"/>
    </row>
    <row r="263" spans="1:12" ht="17.100000000000001" customHeight="1" x14ac:dyDescent="0.25">
      <c r="A263" t="str">
        <f>'HIDDEN import'!B262</f>
        <v>TC_C_25_CS</v>
      </c>
      <c r="B263" t="str">
        <f>'HIDDEN import'!C262</f>
        <v>Core</v>
      </c>
      <c r="C263" t="str">
        <f>'HIDDEN import'!D262</f>
        <v>Offline authorization through local authorization list - Local Authorization List &gt; Authorization Cache</v>
      </c>
      <c r="D263" t="str">
        <f>IF(VLOOKUP(A263&amp;" "&amp;B263,'HIDDEN import'!A:G,5,FALSE)="M",MD!$A$1,(IF(AND(VLOOKUP(A263,'HIDDEN import'!B:E,4,FALSE)="C",OR(NOT(ISERROR(VLOOKUP(E263,'Optional features'!B:D,1,FALSE)=E263)),NOT(ISERROR(VLOOKUP(E263,'HIDDEN calc sheet'!A:C,1,FALSE)=E263)))),MD!$A$3,MD!$A$2)))</f>
        <v>Mandatory for optional feature</v>
      </c>
      <c r="E263" t="str">
        <f>IF('HIDDEN import'!F262=0,"",'HIDDEN import'!F262)</f>
        <v>LA-0 and C-49 and (C-30 or C-31 or (C-32 and C-72))</v>
      </c>
      <c r="F263" t="str">
        <f>IF('HIDDEN import'!G262=0,"",'HIDDEN import'!G262)</f>
        <v/>
      </c>
      <c r="G263" s="19" t="str">
        <f>IFERROR(VLOOKUP($A263,'HIDDEN Testrun Results'!$A:$B,2,FALSE),"")</f>
        <v/>
      </c>
      <c r="H263" s="3" t="b">
        <f t="shared" si="4"/>
        <v>0</v>
      </c>
      <c r="I263" s="3" t="b">
        <f>IF(VLOOKUP(A263&amp;" "&amp;B263,'HIDDEN import'!A:G,5,FALSE)="M",TRUE,IFERROR(VLOOKUP(E263,'Optional features'!B:D,3,FALSE)="Yes",IFERROR(VLOOKUP(E263,'HIDDEN calc sheet'!A:B,2,FALSE),IFERROR(VLOOKUP(E263,'Additional questions'!B:D,3,FALSE)="Yes",VLOOKUP(E263,'Hardware Feature set'!B:D,3,FALSE)="No"))))</f>
        <v>0</v>
      </c>
      <c r="J263" s="3" t="b">
        <f>IF(VLOOKUP(B263,'Profile selection'!B:C,2,FALSE)="Yes",TRUE,FALSE)</f>
        <v>1</v>
      </c>
      <c r="K263"/>
      <c r="L263"/>
    </row>
    <row r="264" spans="1:12" ht="17.100000000000001" customHeight="1" x14ac:dyDescent="0.25">
      <c r="A264" t="str">
        <f>'HIDDEN import'!B263</f>
        <v>TC_C_27_CS</v>
      </c>
      <c r="B264" t="str">
        <f>'HIDDEN import'!C263</f>
        <v>Core</v>
      </c>
      <c r="C264" t="str">
        <f>'HIDDEN import'!D263</f>
        <v>Online authorization through local authorization list - Accepted</v>
      </c>
      <c r="D264" t="str">
        <f>IF(VLOOKUP(A264&amp;" "&amp;B264,'HIDDEN import'!A:G,5,FALSE)="M",MD!$A$1,(IF(AND(VLOOKUP(A264,'HIDDEN import'!B:E,4,FALSE)="C",OR(NOT(ISERROR(VLOOKUP(E264,'Optional features'!B:D,1,FALSE)=E264)),NOT(ISERROR(VLOOKUP(E264,'HIDDEN calc sheet'!A:C,1,FALSE)=E264)))),MD!$A$3,MD!$A$2)))</f>
        <v>Mandatory for optional feature</v>
      </c>
      <c r="E264" t="str">
        <f>IF('HIDDEN import'!F263=0,"",'HIDDEN import'!F263)</f>
        <v>LA-0</v>
      </c>
      <c r="F264" t="str">
        <f>IF('HIDDEN import'!G263=0,"",'HIDDEN import'!G263)</f>
        <v/>
      </c>
      <c r="G264" s="19" t="str">
        <f>IFERROR(VLOOKUP($A264,'HIDDEN Testrun Results'!$A:$B,2,FALSE),"")</f>
        <v/>
      </c>
      <c r="H264" s="3" t="b">
        <f t="shared" si="4"/>
        <v>0</v>
      </c>
      <c r="I264" s="3" t="b">
        <f>IF(VLOOKUP(A264&amp;" "&amp;B264,'HIDDEN import'!A:G,5,FALSE)="M",TRUE,IFERROR(VLOOKUP(E264,'Optional features'!B:D,3,FALSE)="Yes",IFERROR(VLOOKUP(E264,'HIDDEN calc sheet'!A:B,2,FALSE),IFERROR(VLOOKUP(E264,'Additional questions'!B:D,3,FALSE)="Yes",VLOOKUP(E264,'Hardware Feature set'!B:D,3,FALSE)="No"))))</f>
        <v>0</v>
      </c>
      <c r="J264" s="3" t="b">
        <f>IF(VLOOKUP(B264,'Profile selection'!B:C,2,FALSE)="Yes",TRUE,FALSE)</f>
        <v>1</v>
      </c>
      <c r="K264"/>
      <c r="L264"/>
    </row>
    <row r="265" spans="1:12" ht="17.100000000000001" customHeight="1" x14ac:dyDescent="0.25">
      <c r="A265" t="str">
        <f>'HIDDEN import'!B264</f>
        <v>TC_C_28_CS</v>
      </c>
      <c r="B265" t="str">
        <f>'HIDDEN import'!C264</f>
        <v>Core</v>
      </c>
      <c r="C265" t="str">
        <f>'HIDDEN import'!D264</f>
        <v>Online authorization through local authorization list - Invalid &amp; Not Accepted</v>
      </c>
      <c r="D265" t="str">
        <f>IF(VLOOKUP(A265&amp;" "&amp;B265,'HIDDEN import'!A:G,5,FALSE)="M",MD!$A$1,(IF(AND(VLOOKUP(A265,'HIDDEN import'!B:E,4,FALSE)="C",OR(NOT(ISERROR(VLOOKUP(E265,'Optional features'!B:D,1,FALSE)=E265)),NOT(ISERROR(VLOOKUP(E265,'HIDDEN calc sheet'!A:C,1,FALSE)=E265)))),MD!$A$3,MD!$A$2)))</f>
        <v>Mandatory for optional feature</v>
      </c>
      <c r="E265" t="str">
        <f>IF('HIDDEN import'!F264=0,"",'HIDDEN import'!F264)</f>
        <v>LA-0</v>
      </c>
      <c r="F265" t="str">
        <f>IF('HIDDEN import'!G264=0,"",'HIDDEN import'!G264)</f>
        <v/>
      </c>
      <c r="G265" s="19" t="str">
        <f>IFERROR(VLOOKUP($A265,'HIDDEN Testrun Results'!$A:$B,2,FALSE),"")</f>
        <v/>
      </c>
      <c r="H265" s="3" t="b">
        <f t="shared" si="4"/>
        <v>0</v>
      </c>
      <c r="I265" s="3" t="b">
        <f>IF(VLOOKUP(A265&amp;" "&amp;B265,'HIDDEN import'!A:G,5,FALSE)="M",TRUE,IFERROR(VLOOKUP(E265,'Optional features'!B:D,3,FALSE)="Yes",IFERROR(VLOOKUP(E265,'HIDDEN calc sheet'!A:B,2,FALSE),IFERROR(VLOOKUP(E265,'Additional questions'!B:D,3,FALSE)="Yes",VLOOKUP(E265,'Hardware Feature set'!B:D,3,FALSE)="No"))))</f>
        <v>0</v>
      </c>
      <c r="J265" s="3" t="b">
        <f>IF(VLOOKUP(B265,'Profile selection'!B:C,2,FALSE)="Yes",TRUE,FALSE)</f>
        <v>1</v>
      </c>
      <c r="K265"/>
      <c r="L265"/>
    </row>
    <row r="266" spans="1:12" ht="17.100000000000001" customHeight="1" x14ac:dyDescent="0.25">
      <c r="A266" t="str">
        <f>'HIDDEN import'!B265</f>
        <v>TC_C_31_CS</v>
      </c>
      <c r="B266" t="str">
        <f>'HIDDEN import'!C265</f>
        <v>Core</v>
      </c>
      <c r="C266" t="str">
        <f>'HIDDEN import'!D265</f>
        <v>Online authorization through local authorization list - Invalid &amp; Accepted</v>
      </c>
      <c r="D266" t="str">
        <f>IF(VLOOKUP(A266&amp;" "&amp;B266,'HIDDEN import'!A:G,5,FALSE)="M",MD!$A$1,(IF(AND(VLOOKUP(A266,'HIDDEN import'!B:E,4,FALSE)="C",OR(NOT(ISERROR(VLOOKUP(E266,'Optional features'!B:D,1,FALSE)=E266)),NOT(ISERROR(VLOOKUP(E266,'HIDDEN calc sheet'!A:C,1,FALSE)=E266)))),MD!$A$3,MD!$A$2)))</f>
        <v>Mandatory for optional feature</v>
      </c>
      <c r="E266" t="str">
        <f>IF('HIDDEN import'!F265=0,"",'HIDDEN import'!F265)</f>
        <v>LA-0</v>
      </c>
      <c r="F266" t="str">
        <f>IF('HIDDEN import'!G265=0,"",'HIDDEN import'!G265)</f>
        <v/>
      </c>
      <c r="G266" s="19" t="str">
        <f>IFERROR(VLOOKUP($A266,'HIDDEN Testrun Results'!$A:$B,2,FALSE),"")</f>
        <v/>
      </c>
      <c r="H266" s="3" t="b">
        <f t="shared" si="4"/>
        <v>0</v>
      </c>
      <c r="I266" s="3" t="b">
        <f>IF(VLOOKUP(A266&amp;" "&amp;B266,'HIDDEN import'!A:G,5,FALSE)="M",TRUE,IFERROR(VLOOKUP(E266,'Optional features'!B:D,3,FALSE)="Yes",IFERROR(VLOOKUP(E266,'HIDDEN calc sheet'!A:B,2,FALSE),IFERROR(VLOOKUP(E266,'Additional questions'!B:D,3,FALSE)="Yes",VLOOKUP(E266,'Hardware Feature set'!B:D,3,FALSE)="No"))))</f>
        <v>0</v>
      </c>
      <c r="J266" s="3" t="b">
        <f>IF(VLOOKUP(B266,'Profile selection'!B:C,2,FALSE)="Yes",TRUE,FALSE)</f>
        <v>1</v>
      </c>
      <c r="K266"/>
      <c r="L266"/>
    </row>
    <row r="267" spans="1:12" ht="17.100000000000001" customHeight="1" x14ac:dyDescent="0.25">
      <c r="A267" t="str">
        <f>'HIDDEN import'!B266</f>
        <v>TC_C_29_CS</v>
      </c>
      <c r="B267" t="str">
        <f>'HIDDEN import'!C266</f>
        <v>Core</v>
      </c>
      <c r="C267" t="str">
        <f>'HIDDEN import'!D266</f>
        <v>Online authorization through local authorization list - Blocked</v>
      </c>
      <c r="D267" t="str">
        <f>IF(VLOOKUP(A267&amp;" "&amp;B267,'HIDDEN import'!A:G,5,FALSE)="M",MD!$A$1,(IF(AND(VLOOKUP(A267,'HIDDEN import'!B:E,4,FALSE)="C",OR(NOT(ISERROR(VLOOKUP(E267,'Optional features'!B:D,1,FALSE)=E267)),NOT(ISERROR(VLOOKUP(E267,'HIDDEN calc sheet'!A:C,1,FALSE)=E267)))),MD!$A$3,MD!$A$2)))</f>
        <v>Mandatory for optional feature</v>
      </c>
      <c r="E267" t="str">
        <f>IF('HIDDEN import'!F266=0,"",'HIDDEN import'!F266)</f>
        <v>LA-0</v>
      </c>
      <c r="F267" t="str">
        <f>IF('HIDDEN import'!G266=0,"",'HIDDEN import'!G266)</f>
        <v/>
      </c>
      <c r="G267" s="19" t="str">
        <f>IFERROR(VLOOKUP($A267,'HIDDEN Testrun Results'!$A:$B,2,FALSE),"")</f>
        <v/>
      </c>
      <c r="H267" s="3" t="b">
        <f t="shared" si="4"/>
        <v>0</v>
      </c>
      <c r="I267" s="3" t="b">
        <f>IF(VLOOKUP(A267&amp;" "&amp;B267,'HIDDEN import'!A:G,5,FALSE)="M",TRUE,IFERROR(VLOOKUP(E267,'Optional features'!B:D,3,FALSE)="Yes",IFERROR(VLOOKUP(E267,'HIDDEN calc sheet'!A:B,2,FALSE),IFERROR(VLOOKUP(E267,'Additional questions'!B:D,3,FALSE)="Yes",VLOOKUP(E267,'Hardware Feature set'!B:D,3,FALSE)="No"))))</f>
        <v>0</v>
      </c>
      <c r="J267" s="3" t="b">
        <f>IF(VLOOKUP(B267,'Profile selection'!B:C,2,FALSE)="Yes",TRUE,FALSE)</f>
        <v>1</v>
      </c>
      <c r="K267"/>
      <c r="L267"/>
    </row>
    <row r="268" spans="1:12" ht="17.100000000000001" customHeight="1" x14ac:dyDescent="0.25">
      <c r="A268" t="str">
        <f>'HIDDEN import'!B267</f>
        <v>TC_C_30_CS</v>
      </c>
      <c r="B268" t="str">
        <f>'HIDDEN import'!C267</f>
        <v>Core</v>
      </c>
      <c r="C268" t="str">
        <f>'HIDDEN import'!D267</f>
        <v>Online authorization through local authorization list - Expired</v>
      </c>
      <c r="D268" t="str">
        <f>IF(VLOOKUP(A268&amp;" "&amp;B268,'HIDDEN import'!A:G,5,FALSE)="M",MD!$A$1,(IF(AND(VLOOKUP(A268,'HIDDEN import'!B:E,4,FALSE)="C",OR(NOT(ISERROR(VLOOKUP(E268,'Optional features'!B:D,1,FALSE)=E268)),NOT(ISERROR(VLOOKUP(E268,'HIDDEN calc sheet'!A:C,1,FALSE)=E268)))),MD!$A$3,MD!$A$2)))</f>
        <v>Mandatory for optional feature</v>
      </c>
      <c r="E268" t="str">
        <f>IF('HIDDEN import'!F267=0,"",'HIDDEN import'!F267)</f>
        <v>LA-0</v>
      </c>
      <c r="F268" t="str">
        <f>IF('HIDDEN import'!G267=0,"",'HIDDEN import'!G267)</f>
        <v/>
      </c>
      <c r="G268" s="19" t="str">
        <f>IFERROR(VLOOKUP($A268,'HIDDEN Testrun Results'!$A:$B,2,FALSE),"")</f>
        <v/>
      </c>
      <c r="H268" s="3" t="b">
        <f t="shared" si="4"/>
        <v>0</v>
      </c>
      <c r="I268" s="3" t="b">
        <f>IF(VLOOKUP(A268&amp;" "&amp;B268,'HIDDEN import'!A:G,5,FALSE)="M",TRUE,IFERROR(VLOOKUP(E268,'Optional features'!B:D,3,FALSE)="Yes",IFERROR(VLOOKUP(E268,'HIDDEN calc sheet'!A:B,2,FALSE),IFERROR(VLOOKUP(E268,'Additional questions'!B:D,3,FALSE)="Yes",VLOOKUP(E268,'Hardware Feature set'!B:D,3,FALSE)="No"))))</f>
        <v>0</v>
      </c>
      <c r="J268" s="3" t="b">
        <f>IF(VLOOKUP(B268,'Profile selection'!B:C,2,FALSE)="Yes",TRUE,FALSE)</f>
        <v>1</v>
      </c>
      <c r="K268"/>
      <c r="L268"/>
    </row>
    <row r="269" spans="1:12" ht="17.100000000000001" customHeight="1" x14ac:dyDescent="0.25">
      <c r="A269" t="str">
        <f>'HIDDEN import'!B268</f>
        <v>TC_C_58_CS</v>
      </c>
      <c r="B269" t="str">
        <f>'HIDDEN import'!C268</f>
        <v>Core</v>
      </c>
      <c r="C269" t="str">
        <f>'HIDDEN import'!D268</f>
        <v>Online authorization through local authorization list - LocalAuthListDisablePostAuthorize</v>
      </c>
      <c r="D269" t="str">
        <f>IF(VLOOKUP(A269&amp;" "&amp;B269,'HIDDEN import'!A:G,5,FALSE)="M",MD!$A$1,(IF(AND(VLOOKUP(A269,'HIDDEN import'!B:E,4,FALSE)="C",OR(NOT(ISERROR(VLOOKUP(E269,'Optional features'!B:D,1,FALSE)=E269)),NOT(ISERROR(VLOOKUP(E269,'HIDDEN calc sheet'!A:C,1,FALSE)=E269)))),MD!$A$3,MD!$A$2)))</f>
        <v>Mandatory for optional feature</v>
      </c>
      <c r="E269" t="str">
        <f>IF('HIDDEN import'!F268=0,"",'HIDDEN import'!F268)</f>
        <v>LA-0 and LA-3</v>
      </c>
      <c r="F269" t="str">
        <f>IF('HIDDEN import'!G268=0,"",'HIDDEN import'!G268)</f>
        <v/>
      </c>
      <c r="G269" s="19" t="str">
        <f>IFERROR(VLOOKUP($A269,'HIDDEN Testrun Results'!$A:$B,2,FALSE),"")</f>
        <v/>
      </c>
      <c r="H269" s="3" t="b">
        <f t="shared" si="4"/>
        <v>0</v>
      </c>
      <c r="I269" s="3" t="b">
        <f>IF(VLOOKUP(A269&amp;" "&amp;B269,'HIDDEN import'!A:G,5,FALSE)="M",TRUE,IFERROR(VLOOKUP(E269,'Optional features'!B:D,3,FALSE)="Yes",IFERROR(VLOOKUP(E269,'HIDDEN calc sheet'!A:B,2,FALSE),IFERROR(VLOOKUP(E269,'Additional questions'!B:D,3,FALSE)="Yes",VLOOKUP(E269,'Hardware Feature set'!B:D,3,FALSE)="No"))))</f>
        <v>0</v>
      </c>
      <c r="J269" s="3" t="b">
        <f>IF(VLOOKUP(B269,'Profile selection'!B:C,2,FALSE)="Yes",TRUE,FALSE)</f>
        <v>1</v>
      </c>
      <c r="K269"/>
      <c r="L269"/>
    </row>
    <row r="270" spans="1:12" ht="17.100000000000001" customHeight="1" x14ac:dyDescent="0.25">
      <c r="A270" t="str">
        <f>'HIDDEN import'!B269</f>
        <v>TC_C_40_CS</v>
      </c>
      <c r="B270" t="str">
        <f>'HIDDEN import'!C269</f>
        <v>Core</v>
      </c>
      <c r="C270" t="str">
        <f>'HIDDEN import'!D269</f>
        <v>Authorization by GroupId - Success with Local Authorization List</v>
      </c>
      <c r="D270" t="str">
        <f>IF(VLOOKUP(A270&amp;" "&amp;B270,'HIDDEN import'!A:G,5,FALSE)="M",MD!$A$1,(IF(AND(VLOOKUP(A270,'HIDDEN import'!B:E,4,FALSE)="C",OR(NOT(ISERROR(VLOOKUP(E270,'Optional features'!B:D,1,FALSE)=E270)),NOT(ISERROR(VLOOKUP(E270,'HIDDEN calc sheet'!A:C,1,FALSE)=E270)))),MD!$A$3,MD!$A$2)))</f>
        <v>Mandatory for optional feature</v>
      </c>
      <c r="E270" t="str">
        <f>IF('HIDDEN import'!F269=0,"",'HIDDEN import'!F269)</f>
        <v>LA-0 and ((C-30 and C-70) or (C-31 and C-71) or (C-32 and C-72))</v>
      </c>
      <c r="F270" t="str">
        <f>IF('HIDDEN import'!G269=0,"",'HIDDEN import'!G269)</f>
        <v/>
      </c>
      <c r="G270" s="19" t="str">
        <f>IFERROR(VLOOKUP($A270,'HIDDEN Testrun Results'!$A:$B,2,FALSE),"")</f>
        <v/>
      </c>
      <c r="H270" s="3" t="b">
        <f t="shared" si="4"/>
        <v>0</v>
      </c>
      <c r="I270" s="3" t="b">
        <f>IF(VLOOKUP(A270&amp;" "&amp;B270,'HIDDEN import'!A:G,5,FALSE)="M",TRUE,IFERROR(VLOOKUP(E270,'Optional features'!B:D,3,FALSE)="Yes",IFERROR(VLOOKUP(E270,'HIDDEN calc sheet'!A:B,2,FALSE),IFERROR(VLOOKUP(E270,'Additional questions'!B:D,3,FALSE)="Yes",VLOOKUP(E270,'Hardware Feature set'!B:D,3,FALSE)="No"))))</f>
        <v>0</v>
      </c>
      <c r="J270" s="3" t="b">
        <f>IF(VLOOKUP(B270,'Profile selection'!B:C,2,FALSE)="Yes",TRUE,FALSE)</f>
        <v>1</v>
      </c>
      <c r="K270"/>
      <c r="L270"/>
    </row>
    <row r="271" spans="1:12" ht="17.100000000000001" customHeight="1" x14ac:dyDescent="0.25">
      <c r="A271" t="str">
        <f>'HIDDEN import'!B270</f>
        <v>TC_C_43_CS</v>
      </c>
      <c r="B271" t="str">
        <f>'HIDDEN import'!C270</f>
        <v>Core</v>
      </c>
      <c r="C271" t="str">
        <f>'HIDDEN import'!D270</f>
        <v>Authorization by GroupId - Invalid status with Local Authorization List</v>
      </c>
      <c r="D271" t="str">
        <f>IF(VLOOKUP(A271&amp;" "&amp;B271,'HIDDEN import'!A:G,5,FALSE)="M",MD!$A$1,(IF(AND(VLOOKUP(A271,'HIDDEN import'!B:E,4,FALSE)="C",OR(NOT(ISERROR(VLOOKUP(E271,'Optional features'!B:D,1,FALSE)=E271)),NOT(ISERROR(VLOOKUP(E271,'HIDDEN calc sheet'!A:C,1,FALSE)=E271)))),MD!$A$3,MD!$A$2)))</f>
        <v>Mandatory for optional feature</v>
      </c>
      <c r="E271" t="str">
        <f>IF('HIDDEN import'!F270=0,"",'HIDDEN import'!F270)</f>
        <v>LA-0 and ((C-30 and C-70) or (C-31 and C-71) or (C-32 and C-72))</v>
      </c>
      <c r="F271" t="str">
        <f>IF('HIDDEN import'!G270=0,"",'HIDDEN import'!G270)</f>
        <v/>
      </c>
      <c r="G271" s="19" t="str">
        <f>IFERROR(VLOOKUP($A271,'HIDDEN Testrun Results'!$A:$B,2,FALSE),"")</f>
        <v/>
      </c>
      <c r="H271" s="3" t="b">
        <f t="shared" si="4"/>
        <v>0</v>
      </c>
      <c r="I271" s="3" t="b">
        <f>IF(VLOOKUP(A271&amp;" "&amp;B271,'HIDDEN import'!A:G,5,FALSE)="M",TRUE,IFERROR(VLOOKUP(E271,'Optional features'!B:D,3,FALSE)="Yes",IFERROR(VLOOKUP(E271,'HIDDEN calc sheet'!A:B,2,FALSE),IFERROR(VLOOKUP(E271,'Additional questions'!B:D,3,FALSE)="Yes",VLOOKUP(E271,'Hardware Feature set'!B:D,3,FALSE)="No"))))</f>
        <v>0</v>
      </c>
      <c r="J271" s="3" t="b">
        <f>IF(VLOOKUP(B271,'Profile selection'!B:C,2,FALSE)="Yes",TRUE,FALSE)</f>
        <v>1</v>
      </c>
      <c r="K271"/>
      <c r="L271"/>
    </row>
    <row r="272" spans="1:12" ht="17.100000000000001" customHeight="1" x14ac:dyDescent="0.25">
      <c r="A272" t="str">
        <f>'HIDDEN import'!B271</f>
        <v>TC_D_01_CS</v>
      </c>
      <c r="B272" t="str">
        <f>'HIDDEN import'!C271</f>
        <v>Core</v>
      </c>
      <c r="C272" t="str">
        <f>'HIDDEN import'!D271</f>
        <v>Send Local Authorization List - Full</v>
      </c>
      <c r="D272" t="str">
        <f>IF(VLOOKUP(A272&amp;" "&amp;B272,'HIDDEN import'!A:G,5,FALSE)="M",MD!$A$1,(IF(AND(VLOOKUP(A272,'HIDDEN import'!B:E,4,FALSE)="C",OR(NOT(ISERROR(VLOOKUP(E272,'Optional features'!B:D,1,FALSE)=E272)),NOT(ISERROR(VLOOKUP(E272,'HIDDEN calc sheet'!A:C,1,FALSE)=E272)))),MD!$A$3,MD!$A$2)))</f>
        <v>Mandatory for optional feature</v>
      </c>
      <c r="E272" t="str">
        <f>IF('HIDDEN import'!F271=0,"",'HIDDEN import'!F271)</f>
        <v>LA-0</v>
      </c>
      <c r="F272" t="str">
        <f>IF('HIDDEN import'!G271=0,"",'HIDDEN import'!G271)</f>
        <v/>
      </c>
      <c r="G272" s="19" t="str">
        <f>IFERROR(VLOOKUP($A272,'HIDDEN Testrun Results'!$A:$B,2,FALSE),"")</f>
        <v/>
      </c>
      <c r="H272" s="3" t="b">
        <f t="shared" si="4"/>
        <v>0</v>
      </c>
      <c r="I272" s="3" t="b">
        <f>IF(VLOOKUP(A272&amp;" "&amp;B272,'HIDDEN import'!A:G,5,FALSE)="M",TRUE,IFERROR(VLOOKUP(E272,'Optional features'!B:D,3,FALSE)="Yes",IFERROR(VLOOKUP(E272,'HIDDEN calc sheet'!A:B,2,FALSE),IFERROR(VLOOKUP(E272,'Additional questions'!B:D,3,FALSE)="Yes",VLOOKUP(E272,'Hardware Feature set'!B:D,3,FALSE)="No"))))</f>
        <v>0</v>
      </c>
      <c r="J272" s="3" t="b">
        <f>IF(VLOOKUP(B272,'Profile selection'!B:C,2,FALSE)="Yes",TRUE,FALSE)</f>
        <v>1</v>
      </c>
      <c r="K272"/>
      <c r="L272"/>
    </row>
    <row r="273" spans="1:12" ht="17.100000000000001" customHeight="1" x14ac:dyDescent="0.25">
      <c r="A273" t="str">
        <f>'HIDDEN import'!B272</f>
        <v>TC_D_02_CS</v>
      </c>
      <c r="B273" t="str">
        <f>'HIDDEN import'!C272</f>
        <v>Core</v>
      </c>
      <c r="C273" t="str">
        <f>'HIDDEN import'!D272</f>
        <v>Send Local Authorization List - Differential Update</v>
      </c>
      <c r="D273" t="str">
        <f>IF(VLOOKUP(A273&amp;" "&amp;B273,'HIDDEN import'!A:G,5,FALSE)="M",MD!$A$1,(IF(AND(VLOOKUP(A273,'HIDDEN import'!B:E,4,FALSE)="C",OR(NOT(ISERROR(VLOOKUP(E273,'Optional features'!B:D,1,FALSE)=E273)),NOT(ISERROR(VLOOKUP(E273,'HIDDEN calc sheet'!A:C,1,FALSE)=E273)))),MD!$A$3,MD!$A$2)))</f>
        <v>Mandatory for optional feature</v>
      </c>
      <c r="E273" t="str">
        <f>IF('HIDDEN import'!F272=0,"",'HIDDEN import'!F272)</f>
        <v>LA-0</v>
      </c>
      <c r="F273" t="str">
        <f>IF('HIDDEN import'!G272=0,"",'HIDDEN import'!G272)</f>
        <v/>
      </c>
      <c r="G273" s="19" t="str">
        <f>IFERROR(VLOOKUP($A273,'HIDDEN Testrun Results'!$A:$B,2,FALSE),"")</f>
        <v/>
      </c>
      <c r="H273" s="3" t="b">
        <f t="shared" si="4"/>
        <v>0</v>
      </c>
      <c r="I273" s="3" t="b">
        <f>IF(VLOOKUP(A273&amp;" "&amp;B273,'HIDDEN import'!A:G,5,FALSE)="M",TRUE,IFERROR(VLOOKUP(E273,'Optional features'!B:D,3,FALSE)="Yes",IFERROR(VLOOKUP(E273,'HIDDEN calc sheet'!A:B,2,FALSE),IFERROR(VLOOKUP(E273,'Additional questions'!B:D,3,FALSE)="Yes",VLOOKUP(E273,'Hardware Feature set'!B:D,3,FALSE)="No"))))</f>
        <v>0</v>
      </c>
      <c r="J273" s="3" t="b">
        <f>IF(VLOOKUP(B273,'Profile selection'!B:C,2,FALSE)="Yes",TRUE,FALSE)</f>
        <v>1</v>
      </c>
      <c r="K273"/>
      <c r="L273"/>
    </row>
    <row r="274" spans="1:12" ht="17.100000000000001" customHeight="1" x14ac:dyDescent="0.25">
      <c r="A274" t="str">
        <f>'HIDDEN import'!B273</f>
        <v>TC_D_03_CS</v>
      </c>
      <c r="B274" t="str">
        <f>'HIDDEN import'!C273</f>
        <v>Core</v>
      </c>
      <c r="C274" t="str">
        <f>'HIDDEN import'!D273</f>
        <v>Send Local Authorization List - Differential Remove</v>
      </c>
      <c r="D274" t="str">
        <f>IF(VLOOKUP(A274&amp;" "&amp;B274,'HIDDEN import'!A:G,5,FALSE)="M",MD!$A$1,(IF(AND(VLOOKUP(A274,'HIDDEN import'!B:E,4,FALSE)="C",OR(NOT(ISERROR(VLOOKUP(E274,'Optional features'!B:D,1,FALSE)=E274)),NOT(ISERROR(VLOOKUP(E274,'HIDDEN calc sheet'!A:C,1,FALSE)=E274)))),MD!$A$3,MD!$A$2)))</f>
        <v>Mandatory for optional feature</v>
      </c>
      <c r="E274" t="str">
        <f>IF('HIDDEN import'!F273=0,"",'HIDDEN import'!F273)</f>
        <v>LA-0</v>
      </c>
      <c r="F274" t="str">
        <f>IF('HIDDEN import'!G273=0,"",'HIDDEN import'!G273)</f>
        <v/>
      </c>
      <c r="G274" s="19" t="str">
        <f>IFERROR(VLOOKUP($A274,'HIDDEN Testrun Results'!$A:$B,2,FALSE),"")</f>
        <v/>
      </c>
      <c r="H274" s="3" t="b">
        <f t="shared" si="4"/>
        <v>0</v>
      </c>
      <c r="I274" s="3" t="b">
        <f>IF(VLOOKUP(A274&amp;" "&amp;B274,'HIDDEN import'!A:G,5,FALSE)="M",TRUE,IFERROR(VLOOKUP(E274,'Optional features'!B:D,3,FALSE)="Yes",IFERROR(VLOOKUP(E274,'HIDDEN calc sheet'!A:B,2,FALSE),IFERROR(VLOOKUP(E274,'Additional questions'!B:D,3,FALSE)="Yes",VLOOKUP(E274,'Hardware Feature set'!B:D,3,FALSE)="No"))))</f>
        <v>0</v>
      </c>
      <c r="J274" s="3" t="b">
        <f>IF(VLOOKUP(B274,'Profile selection'!B:C,2,FALSE)="Yes",TRUE,FALSE)</f>
        <v>1</v>
      </c>
      <c r="K274"/>
      <c r="L274"/>
    </row>
    <row r="275" spans="1:12" ht="17.100000000000001" customHeight="1" x14ac:dyDescent="0.25">
      <c r="A275" t="str">
        <f>'HIDDEN import'!B274</f>
        <v>TC_D_04_CS</v>
      </c>
      <c r="B275" t="str">
        <f>'HIDDEN import'!C274</f>
        <v>Core</v>
      </c>
      <c r="C275" t="str">
        <f>'HIDDEN import'!D274</f>
        <v>Send Local Authorization List - Full with empy list</v>
      </c>
      <c r="D275" t="str">
        <f>IF(VLOOKUP(A275&amp;" "&amp;B275,'HIDDEN import'!A:G,5,FALSE)="M",MD!$A$1,(IF(AND(VLOOKUP(A275,'HIDDEN import'!B:E,4,FALSE)="C",OR(NOT(ISERROR(VLOOKUP(E275,'Optional features'!B:D,1,FALSE)=E275)),NOT(ISERROR(VLOOKUP(E275,'HIDDEN calc sheet'!A:C,1,FALSE)=E275)))),MD!$A$3,MD!$A$2)))</f>
        <v>Mandatory for optional feature</v>
      </c>
      <c r="E275" t="str">
        <f>IF('HIDDEN import'!F274=0,"",'HIDDEN import'!F274)</f>
        <v>LA-0</v>
      </c>
      <c r="F275" t="str">
        <f>IF('HIDDEN import'!G274=0,"",'HIDDEN import'!G274)</f>
        <v/>
      </c>
      <c r="G275" s="19" t="str">
        <f>IFERROR(VLOOKUP($A275,'HIDDEN Testrun Results'!$A:$B,2,FALSE),"")</f>
        <v/>
      </c>
      <c r="H275" s="3" t="b">
        <f t="shared" si="4"/>
        <v>0</v>
      </c>
      <c r="I275" s="3" t="b">
        <f>IF(VLOOKUP(A275&amp;" "&amp;B275,'HIDDEN import'!A:G,5,FALSE)="M",TRUE,IFERROR(VLOOKUP(E275,'Optional features'!B:D,3,FALSE)="Yes",IFERROR(VLOOKUP(E275,'HIDDEN calc sheet'!A:B,2,FALSE),IFERROR(VLOOKUP(E275,'Additional questions'!B:D,3,FALSE)="Yes",VLOOKUP(E275,'Hardware Feature set'!B:D,3,FALSE)="No"))))</f>
        <v>0</v>
      </c>
      <c r="J275" s="3" t="b">
        <f>IF(VLOOKUP(B275,'Profile selection'!B:C,2,FALSE)="Yes",TRUE,FALSE)</f>
        <v>1</v>
      </c>
      <c r="K275"/>
      <c r="L275"/>
    </row>
    <row r="276" spans="1:12" ht="17.100000000000001" customHeight="1" x14ac:dyDescent="0.25">
      <c r="A276" t="str">
        <f>'HIDDEN import'!B275</f>
        <v>TC_D_05_CS</v>
      </c>
      <c r="B276" t="str">
        <f>'HIDDEN import'!C275</f>
        <v>Core</v>
      </c>
      <c r="C276" t="str">
        <f>'HIDDEN import'!D275</f>
        <v>Send Local Authorization List - Differential with empty list</v>
      </c>
      <c r="D276" t="str">
        <f>IF(VLOOKUP(A276&amp;" "&amp;B276,'HIDDEN import'!A:G,5,FALSE)="M",MD!$A$1,(IF(AND(VLOOKUP(A276,'HIDDEN import'!B:E,4,FALSE)="C",OR(NOT(ISERROR(VLOOKUP(E276,'Optional features'!B:D,1,FALSE)=E276)),NOT(ISERROR(VLOOKUP(E276,'HIDDEN calc sheet'!A:C,1,FALSE)=E276)))),MD!$A$3,MD!$A$2)))</f>
        <v>Mandatory for optional feature</v>
      </c>
      <c r="E276" t="str">
        <f>IF('HIDDEN import'!F275=0,"",'HIDDEN import'!F275)</f>
        <v>LA-0</v>
      </c>
      <c r="F276" t="str">
        <f>IF('HIDDEN import'!G275=0,"",'HIDDEN import'!G275)</f>
        <v/>
      </c>
      <c r="G276" s="19" t="str">
        <f>IFERROR(VLOOKUP($A276,'HIDDEN Testrun Results'!$A:$B,2,FALSE),"")</f>
        <v/>
      </c>
      <c r="H276" s="3" t="b">
        <f t="shared" si="4"/>
        <v>0</v>
      </c>
      <c r="I276" s="3" t="b">
        <f>IF(VLOOKUP(A276&amp;" "&amp;B276,'HIDDEN import'!A:G,5,FALSE)="M",TRUE,IFERROR(VLOOKUP(E276,'Optional features'!B:D,3,FALSE)="Yes",IFERROR(VLOOKUP(E276,'HIDDEN calc sheet'!A:B,2,FALSE),IFERROR(VLOOKUP(E276,'Additional questions'!B:D,3,FALSE)="Yes",VLOOKUP(E276,'Hardware Feature set'!B:D,3,FALSE)="No"))))</f>
        <v>0</v>
      </c>
      <c r="J276" s="3" t="b">
        <f>IF(VLOOKUP(B276,'Profile selection'!B:C,2,FALSE)="Yes",TRUE,FALSE)</f>
        <v>1</v>
      </c>
      <c r="K276"/>
      <c r="L276"/>
    </row>
    <row r="277" spans="1:12" ht="17.100000000000001" customHeight="1" x14ac:dyDescent="0.25">
      <c r="A277" t="str">
        <f>'HIDDEN import'!B276</f>
        <v>TC_D_06_CS</v>
      </c>
      <c r="B277" t="str">
        <f>'HIDDEN import'!C276</f>
        <v>Core</v>
      </c>
      <c r="C277" t="str">
        <f>'HIDDEN import'!D276</f>
        <v>Send Local Authorization List - VersionMismatch</v>
      </c>
      <c r="D277" t="str">
        <f>IF(VLOOKUP(A277&amp;" "&amp;B277,'HIDDEN import'!A:G,5,FALSE)="M",MD!$A$1,(IF(AND(VLOOKUP(A277,'HIDDEN import'!B:E,4,FALSE)="C",OR(NOT(ISERROR(VLOOKUP(E277,'Optional features'!B:D,1,FALSE)=E277)),NOT(ISERROR(VLOOKUP(E277,'HIDDEN calc sheet'!A:C,1,FALSE)=E277)))),MD!$A$3,MD!$A$2)))</f>
        <v>Mandatory for optional feature</v>
      </c>
      <c r="E277" t="str">
        <f>IF('HIDDEN import'!F276=0,"",'HIDDEN import'!F276)</f>
        <v>LA-0</v>
      </c>
      <c r="F277" t="str">
        <f>IF('HIDDEN import'!G276=0,"",'HIDDEN import'!G276)</f>
        <v/>
      </c>
      <c r="G277" s="19" t="str">
        <f>IFERROR(VLOOKUP($A277,'HIDDEN Testrun Results'!$A:$B,2,FALSE),"")</f>
        <v/>
      </c>
      <c r="H277" s="3" t="b">
        <f t="shared" si="4"/>
        <v>0</v>
      </c>
      <c r="I277" s="3" t="b">
        <f>IF(VLOOKUP(A277&amp;" "&amp;B277,'HIDDEN import'!A:G,5,FALSE)="M",TRUE,IFERROR(VLOOKUP(E277,'Optional features'!B:D,3,FALSE)="Yes",IFERROR(VLOOKUP(E277,'HIDDEN calc sheet'!A:B,2,FALSE),IFERROR(VLOOKUP(E277,'Additional questions'!B:D,3,FALSE)="Yes",VLOOKUP(E277,'Hardware Feature set'!B:D,3,FALSE)="No"))))</f>
        <v>0</v>
      </c>
      <c r="J277" s="3" t="b">
        <f>IF(VLOOKUP(B277,'Profile selection'!B:C,2,FALSE)="Yes",TRUE,FALSE)</f>
        <v>1</v>
      </c>
      <c r="K277"/>
      <c r="L277"/>
    </row>
    <row r="278" spans="1:12" ht="17.100000000000001" customHeight="1" x14ac:dyDescent="0.25">
      <c r="A278" t="str">
        <f>'HIDDEN import'!B277</f>
        <v>TC_D_07_CS</v>
      </c>
      <c r="B278" t="str">
        <f>'HIDDEN import'!C277</f>
        <v>Core</v>
      </c>
      <c r="C278" t="str">
        <f>'HIDDEN import'!D277</f>
        <v>Send Local Authorization List - Persistent over reboot</v>
      </c>
      <c r="D278" t="str">
        <f>IF(VLOOKUP(A278&amp;" "&amp;B278,'HIDDEN import'!A:G,5,FALSE)="M",MD!$A$1,(IF(AND(VLOOKUP(A278,'HIDDEN import'!B:E,4,FALSE)="C",OR(NOT(ISERROR(VLOOKUP(E278,'Optional features'!B:D,1,FALSE)=E278)),NOT(ISERROR(VLOOKUP(E278,'HIDDEN calc sheet'!A:C,1,FALSE)=E278)))),MD!$A$3,MD!$A$2)))</f>
        <v>Mandatory for optional feature</v>
      </c>
      <c r="E278" t="str">
        <f>IF('HIDDEN import'!F277=0,"",'HIDDEN import'!F277)</f>
        <v>LA-0</v>
      </c>
      <c r="F278" t="str">
        <f>IF('HIDDEN import'!G277=0,"",'HIDDEN import'!G277)</f>
        <v/>
      </c>
      <c r="G278" s="19" t="str">
        <f>IFERROR(VLOOKUP($A278,'HIDDEN Testrun Results'!$A:$B,2,FALSE),"")</f>
        <v/>
      </c>
      <c r="H278" s="3" t="b">
        <f t="shared" si="4"/>
        <v>0</v>
      </c>
      <c r="I278" s="3" t="b">
        <f>IF(VLOOKUP(A278&amp;" "&amp;B278,'HIDDEN import'!A:G,5,FALSE)="M",TRUE,IFERROR(VLOOKUP(E278,'Optional features'!B:D,3,FALSE)="Yes",IFERROR(VLOOKUP(E278,'HIDDEN calc sheet'!A:B,2,FALSE),IFERROR(VLOOKUP(E278,'Additional questions'!B:D,3,FALSE)="Yes",VLOOKUP(E278,'Hardware Feature set'!B:D,3,FALSE)="No"))))</f>
        <v>0</v>
      </c>
      <c r="J278" s="3" t="b">
        <f>IF(VLOOKUP(B278,'Profile selection'!B:C,2,FALSE)="Yes",TRUE,FALSE)</f>
        <v>1</v>
      </c>
      <c r="K278"/>
      <c r="L278"/>
    </row>
    <row r="279" spans="1:12" ht="17.100000000000001" customHeight="1" x14ac:dyDescent="0.25">
      <c r="A279" t="str">
        <f>'HIDDEN import'!B278</f>
        <v>TC_D_08_CS</v>
      </c>
      <c r="B279" t="str">
        <f>'HIDDEN import'!C278</f>
        <v>Core</v>
      </c>
      <c r="C279" t="str">
        <f>'HIDDEN import'!D278</f>
        <v>Get Local List Version - Success</v>
      </c>
      <c r="D279" t="str">
        <f>IF(VLOOKUP(A279&amp;" "&amp;B279,'HIDDEN import'!A:G,5,FALSE)="M",MD!$A$1,(IF(AND(VLOOKUP(A279,'HIDDEN import'!B:E,4,FALSE)="C",OR(NOT(ISERROR(VLOOKUP(E279,'Optional features'!B:D,1,FALSE)=E279)),NOT(ISERROR(VLOOKUP(E279,'HIDDEN calc sheet'!A:C,1,FALSE)=E279)))),MD!$A$3,MD!$A$2)))</f>
        <v>Mandatory for optional feature</v>
      </c>
      <c r="E279" t="str">
        <f>IF('HIDDEN import'!F278=0,"",'HIDDEN import'!F278)</f>
        <v>LA-0</v>
      </c>
      <c r="F279" t="str">
        <f>IF('HIDDEN import'!G278=0,"",'HIDDEN import'!G278)</f>
        <v>GetLocalListVersion</v>
      </c>
      <c r="G279" s="19" t="str">
        <f>IFERROR(VLOOKUP($A279,'HIDDEN Testrun Results'!$A:$B,2,FALSE),"")</f>
        <v/>
      </c>
      <c r="H279" s="3" t="b">
        <f t="shared" si="4"/>
        <v>0</v>
      </c>
      <c r="I279" s="3" t="b">
        <f>IF(VLOOKUP(A279&amp;" "&amp;B279,'HIDDEN import'!A:G,5,FALSE)="M",TRUE,IFERROR(VLOOKUP(E279,'Optional features'!B:D,3,FALSE)="Yes",IFERROR(VLOOKUP(E279,'HIDDEN calc sheet'!A:B,2,FALSE),IFERROR(VLOOKUP(E279,'Additional questions'!B:D,3,FALSE)="Yes",VLOOKUP(E279,'Hardware Feature set'!B:D,3,FALSE)="No"))))</f>
        <v>0</v>
      </c>
      <c r="J279" s="3" t="b">
        <f>IF(VLOOKUP(B279,'Profile selection'!B:C,2,FALSE)="Yes",TRUE,FALSE)</f>
        <v>1</v>
      </c>
      <c r="K279"/>
      <c r="L279"/>
    </row>
    <row r="280" spans="1:12" ht="17.100000000000001" customHeight="1" x14ac:dyDescent="0.25">
      <c r="A280" t="str">
        <f>'HIDDEN import'!B279</f>
        <v>TC_D_10_CS</v>
      </c>
      <c r="B280" t="str">
        <f>'HIDDEN import'!C279</f>
        <v>Core</v>
      </c>
      <c r="C280" t="str">
        <f>'HIDDEN import'!D279</f>
        <v>Get Local List Version - Function disabled</v>
      </c>
      <c r="D280" t="str">
        <f>IF(VLOOKUP(A280&amp;" "&amp;B280,'HIDDEN import'!A:G,5,FALSE)="M",MD!$A$1,(IF(AND(VLOOKUP(A280,'HIDDEN import'!B:E,4,FALSE)="C",OR(NOT(ISERROR(VLOOKUP(E280,'Optional features'!B:D,1,FALSE)=E280)),NOT(ISERROR(VLOOKUP(E280,'HIDDEN calc sheet'!A:C,1,FALSE)=E280)))),MD!$A$3,MD!$A$2)))</f>
        <v>Mandatory for optional feature</v>
      </c>
      <c r="E280" t="str">
        <f>IF('HIDDEN import'!F279=0,"",'HIDDEN import'!F279)</f>
        <v>LA-0</v>
      </c>
      <c r="F280" t="str">
        <f>IF('HIDDEN import'!G279=0,"",'HIDDEN import'!G279)</f>
        <v/>
      </c>
      <c r="G280" s="19" t="str">
        <f>IFERROR(VLOOKUP($A280,'HIDDEN Testrun Results'!$A:$B,2,FALSE),"")</f>
        <v/>
      </c>
      <c r="H280" s="3" t="b">
        <f t="shared" si="4"/>
        <v>0</v>
      </c>
      <c r="I280" s="3" t="b">
        <f>IF(VLOOKUP(A280&amp;" "&amp;B280,'HIDDEN import'!A:G,5,FALSE)="M",TRUE,IFERROR(VLOOKUP(E280,'Optional features'!B:D,3,FALSE)="Yes",IFERROR(VLOOKUP(E280,'HIDDEN calc sheet'!A:B,2,FALSE),IFERROR(VLOOKUP(E280,'Additional questions'!B:D,3,FALSE)="Yes",VLOOKUP(E280,'Hardware Feature set'!B:D,3,FALSE)="No"))))</f>
        <v>0</v>
      </c>
      <c r="J280" s="3" t="b">
        <f>IF(VLOOKUP(B280,'Profile selection'!B:C,2,FALSE)="Yes",TRUE,FALSE)</f>
        <v>1</v>
      </c>
      <c r="K280"/>
      <c r="L280"/>
    </row>
    <row r="281" spans="1:12" ht="17.100000000000001" customHeight="1" x14ac:dyDescent="0.25">
      <c r="A281" t="str">
        <f>'HIDDEN import'!B280</f>
        <v>TC_B_24_CS</v>
      </c>
      <c r="B281" t="str">
        <f>'HIDDEN import'!C280</f>
        <v>Core</v>
      </c>
      <c r="C281" t="str">
        <f>'HIDDEN import'!D280</f>
        <v>Reset Charging Station - Reserved persists reset</v>
      </c>
      <c r="D281" t="str">
        <f>IF(VLOOKUP(A281&amp;" "&amp;B281,'HIDDEN import'!A:G,5,FALSE)="M",MD!$A$1,(IF(AND(VLOOKUP(A281,'HIDDEN import'!B:E,4,FALSE)="C",OR(NOT(ISERROR(VLOOKUP(E281,'Optional features'!B:D,1,FALSE)=E281)),NOT(ISERROR(VLOOKUP(E281,'HIDDEN calc sheet'!A:C,1,FALSE)=E281)))),MD!$A$3,MD!$A$2)))</f>
        <v>Mandatory for optional feature</v>
      </c>
      <c r="E281" t="str">
        <f>IF('HIDDEN import'!F280=0,"",'HIDDEN import'!F280)</f>
        <v>R-0</v>
      </c>
      <c r="F281" t="str">
        <f>IF('HIDDEN import'!G280=0,"",'HIDDEN import'!G280)</f>
        <v/>
      </c>
      <c r="G281" s="19" t="str">
        <f>IFERROR(VLOOKUP($A281,'HIDDEN Testrun Results'!$A:$B,2,FALSE),"")</f>
        <v/>
      </c>
      <c r="H281" s="3" t="b">
        <f t="shared" si="4"/>
        <v>0</v>
      </c>
      <c r="I281" s="3" t="b">
        <f>IF(VLOOKUP(A281&amp;" "&amp;B281,'HIDDEN import'!A:G,5,FALSE)="M",TRUE,IFERROR(VLOOKUP(E281,'Optional features'!B:D,3,FALSE)="Yes",IFERROR(VLOOKUP(E281,'HIDDEN calc sheet'!A:B,2,FALSE),IFERROR(VLOOKUP(E281,'Additional questions'!B:D,3,FALSE)="Yes",VLOOKUP(E281,'Hardware Feature set'!B:D,3,FALSE)="No"))))</f>
        <v>0</v>
      </c>
      <c r="J281" s="3" t="b">
        <f>IF(VLOOKUP(B281,'Profile selection'!B:C,2,FALSE)="Yes",TRUE,FALSE)</f>
        <v>1</v>
      </c>
      <c r="K281"/>
      <c r="L281"/>
    </row>
    <row r="282" spans="1:12" ht="17.100000000000001" customHeight="1" x14ac:dyDescent="0.25">
      <c r="A282" t="str">
        <f>'HIDDEN import'!B281</f>
        <v>TC_H_01_CS</v>
      </c>
      <c r="B282" t="str">
        <f>'HIDDEN import'!C281</f>
        <v>Core</v>
      </c>
      <c r="C282" t="str">
        <f>'HIDDEN import'!D281</f>
        <v>Reserve a specific EVSE - Accepted - Valid idToken</v>
      </c>
      <c r="D282" t="str">
        <f>IF(VLOOKUP(A282&amp;" "&amp;B282,'HIDDEN import'!A:G,5,FALSE)="M",MD!$A$1,(IF(AND(VLOOKUP(A282,'HIDDEN import'!B:E,4,FALSE)="C",OR(NOT(ISERROR(VLOOKUP(E282,'Optional features'!B:D,1,FALSE)=E282)),NOT(ISERROR(VLOOKUP(E282,'HIDDEN calc sheet'!A:C,1,FALSE)=E282)))),MD!$A$3,MD!$A$2)))</f>
        <v>Mandatory for optional feature</v>
      </c>
      <c r="E282" t="str">
        <f>IF('HIDDEN import'!F281=0,"",'HIDDEN import'!F281)</f>
        <v>R-0</v>
      </c>
      <c r="F282" t="str">
        <f>IF('HIDDEN import'!G281=0,"",'HIDDEN import'!G281)</f>
        <v/>
      </c>
      <c r="G282" s="19" t="str">
        <f>IFERROR(VLOOKUP($A282,'HIDDEN Testrun Results'!$A:$B,2,FALSE),"")</f>
        <v/>
      </c>
      <c r="H282" s="3" t="b">
        <f t="shared" si="4"/>
        <v>0</v>
      </c>
      <c r="I282" s="3" t="b">
        <f>IF(VLOOKUP(A282&amp;" "&amp;B282,'HIDDEN import'!A:G,5,FALSE)="M",TRUE,IFERROR(VLOOKUP(E282,'Optional features'!B:D,3,FALSE)="Yes",IFERROR(VLOOKUP(E282,'HIDDEN calc sheet'!A:B,2,FALSE),IFERROR(VLOOKUP(E282,'Additional questions'!B:D,3,FALSE)="Yes",VLOOKUP(E282,'Hardware Feature set'!B:D,3,FALSE)="No"))))</f>
        <v>0</v>
      </c>
      <c r="J282" s="3" t="b">
        <f>IF(VLOOKUP(B282,'Profile selection'!B:C,2,FALSE)="Yes",TRUE,FALSE)</f>
        <v>1</v>
      </c>
      <c r="K282"/>
      <c r="L282"/>
    </row>
    <row r="283" spans="1:12" ht="17.100000000000001" customHeight="1" x14ac:dyDescent="0.25">
      <c r="A283" t="str">
        <f>'HIDDEN import'!B282</f>
        <v>TC_H_02_CS</v>
      </c>
      <c r="B283" t="str">
        <f>'HIDDEN import'!C282</f>
        <v>Core</v>
      </c>
      <c r="C283" t="str">
        <f>'HIDDEN import'!D282</f>
        <v>Reserve a specific EVSE - Accepted - Different idToken</v>
      </c>
      <c r="D283" t="str">
        <f>IF(VLOOKUP(A283&amp;" "&amp;B283,'HIDDEN import'!A:G,5,FALSE)="M",MD!$A$1,(IF(AND(VLOOKUP(A283,'HIDDEN import'!B:E,4,FALSE)="C",OR(NOT(ISERROR(VLOOKUP(E283,'Optional features'!B:D,1,FALSE)=E283)),NOT(ISERROR(VLOOKUP(E283,'HIDDEN calc sheet'!A:C,1,FALSE)=E283)))),MD!$A$3,MD!$A$2)))</f>
        <v>Mandatory for optional feature</v>
      </c>
      <c r="E283" t="str">
        <f>IF('HIDDEN import'!F282=0,"",'HIDDEN import'!F282)</f>
        <v>R-0</v>
      </c>
      <c r="F283" t="str">
        <f>IF('HIDDEN import'!G282=0,"",'HIDDEN import'!G282)</f>
        <v/>
      </c>
      <c r="G283" s="19" t="str">
        <f>IFERROR(VLOOKUP($A283,'HIDDEN Testrun Results'!$A:$B,2,FALSE),"")</f>
        <v/>
      </c>
      <c r="H283" s="3" t="b">
        <f t="shared" si="4"/>
        <v>0</v>
      </c>
      <c r="I283" s="3" t="b">
        <f>IF(VLOOKUP(A283&amp;" "&amp;B283,'HIDDEN import'!A:G,5,FALSE)="M",TRUE,IFERROR(VLOOKUP(E283,'Optional features'!B:D,3,FALSE)="Yes",IFERROR(VLOOKUP(E283,'HIDDEN calc sheet'!A:B,2,FALSE),IFERROR(VLOOKUP(E283,'Additional questions'!B:D,3,FALSE)="Yes",VLOOKUP(E283,'Hardware Feature set'!B:D,3,FALSE)="No"))))</f>
        <v>0</v>
      </c>
      <c r="J283" s="3" t="b">
        <f>IF(VLOOKUP(B283,'Profile selection'!B:C,2,FALSE)="Yes",TRUE,FALSE)</f>
        <v>1</v>
      </c>
      <c r="K283"/>
      <c r="L283"/>
    </row>
    <row r="284" spans="1:12" ht="17.100000000000001" customHeight="1" x14ac:dyDescent="0.25">
      <c r="A284" t="str">
        <f>'HIDDEN import'!B283</f>
        <v>TC_H_03_CS</v>
      </c>
      <c r="B284" t="str">
        <f>'HIDDEN import'!C283</f>
        <v>Core</v>
      </c>
      <c r="C284" t="str">
        <f>'HIDDEN import'!D283</f>
        <v>Reserve a specific EVSE - Occupied - EVSE Reserved</v>
      </c>
      <c r="D284" t="str">
        <f>IF(VLOOKUP(A284&amp;" "&amp;B284,'HIDDEN import'!A:G,5,FALSE)="M",MD!$A$1,(IF(AND(VLOOKUP(A284,'HIDDEN import'!B:E,4,FALSE)="C",OR(NOT(ISERROR(VLOOKUP(E284,'Optional features'!B:D,1,FALSE)=E284)),NOT(ISERROR(VLOOKUP(E284,'HIDDEN calc sheet'!A:C,1,FALSE)=E284)))),MD!$A$3,MD!$A$2)))</f>
        <v>Mandatory for optional feature</v>
      </c>
      <c r="E284" t="str">
        <f>IF('HIDDEN import'!F283=0,"",'HIDDEN import'!F283)</f>
        <v>R-0</v>
      </c>
      <c r="F284" t="str">
        <f>IF('HIDDEN import'!G283=0,"",'HIDDEN import'!G283)</f>
        <v/>
      </c>
      <c r="G284" s="19" t="str">
        <f>IFERROR(VLOOKUP($A284,'HIDDEN Testrun Results'!$A:$B,2,FALSE),"")</f>
        <v/>
      </c>
      <c r="H284" s="3" t="b">
        <f t="shared" si="4"/>
        <v>0</v>
      </c>
      <c r="I284" s="3" t="b">
        <f>IF(VLOOKUP(A284&amp;" "&amp;B284,'HIDDEN import'!A:G,5,FALSE)="M",TRUE,IFERROR(VLOOKUP(E284,'Optional features'!B:D,3,FALSE)="Yes",IFERROR(VLOOKUP(E284,'HIDDEN calc sheet'!A:B,2,FALSE),IFERROR(VLOOKUP(E284,'Additional questions'!B:D,3,FALSE)="Yes",VLOOKUP(E284,'Hardware Feature set'!B:D,3,FALSE)="No"))))</f>
        <v>0</v>
      </c>
      <c r="J284" s="3" t="b">
        <f>IF(VLOOKUP(B284,'Profile selection'!B:C,2,FALSE)="Yes",TRUE,FALSE)</f>
        <v>1</v>
      </c>
      <c r="K284"/>
      <c r="L284"/>
    </row>
    <row r="285" spans="1:12" ht="17.100000000000001" customHeight="1" x14ac:dyDescent="0.25">
      <c r="A285" t="str">
        <f>'HIDDEN import'!B284</f>
        <v>TC_H_04_CS</v>
      </c>
      <c r="B285" t="str">
        <f>'HIDDEN import'!C284</f>
        <v>Core</v>
      </c>
      <c r="C285" t="str">
        <f>'HIDDEN import'!D284</f>
        <v>Reserve a specific EVSE - Occupied - EVSE Occupied</v>
      </c>
      <c r="D285" t="str">
        <f>IF(VLOOKUP(A285&amp;" "&amp;B285,'HIDDEN import'!A:G,5,FALSE)="M",MD!$A$1,(IF(AND(VLOOKUP(A285,'HIDDEN import'!B:E,4,FALSE)="C",OR(NOT(ISERROR(VLOOKUP(E285,'Optional features'!B:D,1,FALSE)=E285)),NOT(ISERROR(VLOOKUP(E285,'HIDDEN calc sheet'!A:C,1,FALSE)=E285)))),MD!$A$3,MD!$A$2)))</f>
        <v>Mandatory for optional feature</v>
      </c>
      <c r="E285" t="str">
        <f>IF('HIDDEN import'!F284=0,"",'HIDDEN import'!F284)</f>
        <v>R-0</v>
      </c>
      <c r="F285" t="str">
        <f>IF('HIDDEN import'!G284=0,"",'HIDDEN import'!G284)</f>
        <v/>
      </c>
      <c r="G285" s="19" t="str">
        <f>IFERROR(VLOOKUP($A285,'HIDDEN Testrun Results'!$A:$B,2,FALSE),"")</f>
        <v/>
      </c>
      <c r="H285" s="3" t="b">
        <f t="shared" si="4"/>
        <v>0</v>
      </c>
      <c r="I285" s="3" t="b">
        <f>IF(VLOOKUP(A285&amp;" "&amp;B285,'HIDDEN import'!A:G,5,FALSE)="M",TRUE,IFERROR(VLOOKUP(E285,'Optional features'!B:D,3,FALSE)="Yes",IFERROR(VLOOKUP(E285,'HIDDEN calc sheet'!A:B,2,FALSE),IFERROR(VLOOKUP(E285,'Additional questions'!B:D,3,FALSE)="Yes",VLOOKUP(E285,'Hardware Feature set'!B:D,3,FALSE)="No"))))</f>
        <v>0</v>
      </c>
      <c r="J285" s="3" t="b">
        <f>IF(VLOOKUP(B285,'Profile selection'!B:C,2,FALSE)="Yes",TRUE,FALSE)</f>
        <v>1</v>
      </c>
      <c r="K285"/>
      <c r="L285"/>
    </row>
    <row r="286" spans="1:12" ht="17.100000000000001" customHeight="1" x14ac:dyDescent="0.25">
      <c r="A286" t="str">
        <f>'HIDDEN import'!B285</f>
        <v>TC_H_06_CS</v>
      </c>
      <c r="B286" t="str">
        <f>'HIDDEN import'!C285</f>
        <v>Core</v>
      </c>
      <c r="C286" t="str">
        <f>'HIDDEN import'!D285</f>
        <v>Reserve a specific EVSE - Unavailable</v>
      </c>
      <c r="D286" t="str">
        <f>IF(VLOOKUP(A286&amp;" "&amp;B286,'HIDDEN import'!A:G,5,FALSE)="M",MD!$A$1,(IF(AND(VLOOKUP(A286,'HIDDEN import'!B:E,4,FALSE)="C",OR(NOT(ISERROR(VLOOKUP(E286,'Optional features'!B:D,1,FALSE)=E286)),NOT(ISERROR(VLOOKUP(E286,'HIDDEN calc sheet'!A:C,1,FALSE)=E286)))),MD!$A$3,MD!$A$2)))</f>
        <v>Mandatory for optional feature</v>
      </c>
      <c r="E286" t="str">
        <f>IF('HIDDEN import'!F285=0,"",'HIDDEN import'!F285)</f>
        <v>R-0</v>
      </c>
      <c r="F286" t="str">
        <f>IF('HIDDEN import'!G285=0,"",'HIDDEN import'!G285)</f>
        <v/>
      </c>
      <c r="G286" s="19" t="str">
        <f>IFERROR(VLOOKUP($A286,'HIDDEN Testrun Results'!$A:$B,2,FALSE),"")</f>
        <v/>
      </c>
      <c r="H286" s="3" t="b">
        <f t="shared" si="4"/>
        <v>0</v>
      </c>
      <c r="I286" s="3" t="b">
        <f>IF(VLOOKUP(A286&amp;" "&amp;B286,'HIDDEN import'!A:G,5,FALSE)="M",TRUE,IFERROR(VLOOKUP(E286,'Optional features'!B:D,3,FALSE)="Yes",IFERROR(VLOOKUP(E286,'HIDDEN calc sheet'!A:B,2,FALSE),IFERROR(VLOOKUP(E286,'Additional questions'!B:D,3,FALSE)="Yes",VLOOKUP(E286,'Hardware Feature set'!B:D,3,FALSE)="No"))))</f>
        <v>0</v>
      </c>
      <c r="J286" s="3" t="b">
        <f>IF(VLOOKUP(B286,'Profile selection'!B:C,2,FALSE)="Yes",TRUE,FALSE)</f>
        <v>1</v>
      </c>
      <c r="K286"/>
      <c r="L286"/>
    </row>
    <row r="287" spans="1:12" ht="17.100000000000001" customHeight="1" x14ac:dyDescent="0.25">
      <c r="A287" t="str">
        <f>'HIDDEN import'!B286</f>
        <v>TC_H_07_CS</v>
      </c>
      <c r="B287" t="str">
        <f>'HIDDEN import'!C286</f>
        <v>Core</v>
      </c>
      <c r="C287" t="str">
        <f>'HIDDEN import'!D286</f>
        <v>Reserve a specific EVSE - Reservation Ended / not used</v>
      </c>
      <c r="D287" t="str">
        <f>IF(VLOOKUP(A287&amp;" "&amp;B287,'HIDDEN import'!A:G,5,FALSE)="M",MD!$A$1,(IF(AND(VLOOKUP(A287,'HIDDEN import'!B:E,4,FALSE)="C",OR(NOT(ISERROR(VLOOKUP(E287,'Optional features'!B:D,1,FALSE)=E287)),NOT(ISERROR(VLOOKUP(E287,'HIDDEN calc sheet'!A:C,1,FALSE)=E287)))),MD!$A$3,MD!$A$2)))</f>
        <v>Mandatory for optional feature</v>
      </c>
      <c r="E287" t="str">
        <f>IF('HIDDEN import'!F286=0,"",'HIDDEN import'!F286)</f>
        <v>R-0</v>
      </c>
      <c r="F287" t="str">
        <f>IF('HIDDEN import'!G286=0,"",'HIDDEN import'!G286)</f>
        <v/>
      </c>
      <c r="G287" s="19" t="str">
        <f>IFERROR(VLOOKUP($A287,'HIDDEN Testrun Results'!$A:$B,2,FALSE),"")</f>
        <v/>
      </c>
      <c r="H287" s="3" t="b">
        <f t="shared" si="4"/>
        <v>0</v>
      </c>
      <c r="I287" s="3" t="b">
        <f>IF(VLOOKUP(A287&amp;" "&amp;B287,'HIDDEN import'!A:G,5,FALSE)="M",TRUE,IFERROR(VLOOKUP(E287,'Optional features'!B:D,3,FALSE)="Yes",IFERROR(VLOOKUP(E287,'HIDDEN calc sheet'!A:B,2,FALSE),IFERROR(VLOOKUP(E287,'Additional questions'!B:D,3,FALSE)="Yes",VLOOKUP(E287,'Hardware Feature set'!B:D,3,FALSE)="No"))))</f>
        <v>0</v>
      </c>
      <c r="J287" s="3" t="b">
        <f>IF(VLOOKUP(B287,'Profile selection'!B:C,2,FALSE)="Yes",TRUE,FALSE)</f>
        <v>1</v>
      </c>
      <c r="K287"/>
      <c r="L287"/>
    </row>
    <row r="288" spans="1:12" ht="17.100000000000001" customHeight="1" x14ac:dyDescent="0.25">
      <c r="A288" t="str">
        <f>'HIDDEN import'!B287</f>
        <v>TC_H_22_CS</v>
      </c>
      <c r="B288" t="str">
        <f>'HIDDEN import'!C287</f>
        <v>Core</v>
      </c>
      <c r="C288" t="str">
        <f>'HIDDEN import'!D287</f>
        <v>Reserve a specific EVSE - Configured to Reject</v>
      </c>
      <c r="D288" t="str">
        <f>IF(VLOOKUP(A288&amp;" "&amp;B288,'HIDDEN import'!A:G,5,FALSE)="M",MD!$A$1,(IF(AND(VLOOKUP(A288,'HIDDEN import'!B:E,4,FALSE)="C",OR(NOT(ISERROR(VLOOKUP(E288,'Optional features'!B:D,1,FALSE)=E288)),NOT(ISERROR(VLOOKUP(E288,'HIDDEN calc sheet'!A:C,1,FALSE)=E288)))),MD!$A$3,MD!$A$2)))</f>
        <v>Mandatory for optional feature</v>
      </c>
      <c r="E288" t="str">
        <f>IF('HIDDEN import'!F287=0,"",'HIDDEN import'!F287)</f>
        <v>R-0 and R-3</v>
      </c>
      <c r="F288" t="str">
        <f>IF('HIDDEN import'!G287=0,"",'HIDDEN import'!G287)</f>
        <v/>
      </c>
      <c r="G288" s="19" t="str">
        <f>IFERROR(VLOOKUP($A288,'HIDDEN Testrun Results'!$A:$B,2,FALSE),"")</f>
        <v/>
      </c>
      <c r="H288" s="3" t="b">
        <f t="shared" si="4"/>
        <v>0</v>
      </c>
      <c r="I288" s="3" t="b">
        <f>IF(VLOOKUP(A288&amp;" "&amp;B288,'HIDDEN import'!A:G,5,FALSE)="M",TRUE,IFERROR(VLOOKUP(E288,'Optional features'!B:D,3,FALSE)="Yes",IFERROR(VLOOKUP(E288,'HIDDEN calc sheet'!A:B,2,FALSE),IFERROR(VLOOKUP(E288,'Additional questions'!B:D,3,FALSE)="Yes",VLOOKUP(E288,'Hardware Feature set'!B:D,3,FALSE)="No"))))</f>
        <v>0</v>
      </c>
      <c r="J288" s="3" t="b">
        <f>IF(VLOOKUP(B288,'Profile selection'!B:C,2,FALSE)="Yes",TRUE,FALSE)</f>
        <v>1</v>
      </c>
      <c r="K288"/>
      <c r="L288"/>
    </row>
    <row r="289" spans="1:12" ht="17.100000000000001" customHeight="1" x14ac:dyDescent="0.25">
      <c r="A289" t="str">
        <f>'HIDDEN import'!B288</f>
        <v>TC_H_23_CS</v>
      </c>
      <c r="B289" t="str">
        <f>'HIDDEN import'!C288</f>
        <v>Core</v>
      </c>
      <c r="C289" t="str">
        <f>'HIDDEN import'!D288</f>
        <v>Reserve a specific EVSE - Replace reservation</v>
      </c>
      <c r="D289" t="str">
        <f>IF(VLOOKUP(A289&amp;" "&amp;B289,'HIDDEN import'!A:G,5,FALSE)="M",MD!$A$1,(IF(AND(VLOOKUP(A289,'HIDDEN import'!B:E,4,FALSE)="C",OR(NOT(ISERROR(VLOOKUP(E289,'Optional features'!B:D,1,FALSE)=E289)),NOT(ISERROR(VLOOKUP(E289,'HIDDEN calc sheet'!A:C,1,FALSE)=E289)))),MD!$A$3,MD!$A$2)))</f>
        <v>Mandatory for optional feature</v>
      </c>
      <c r="E289" t="str">
        <f>IF('HIDDEN import'!F288=0,"",'HIDDEN import'!F288)</f>
        <v>R-0</v>
      </c>
      <c r="F289" t="str">
        <f>IF('HIDDEN import'!G288=0,"",'HIDDEN import'!G288)</f>
        <v/>
      </c>
      <c r="G289" s="19" t="str">
        <f>IFERROR(VLOOKUP($A289,'HIDDEN Testrun Results'!$A:$B,2,FALSE),"")</f>
        <v/>
      </c>
      <c r="H289" s="3" t="b">
        <f t="shared" si="4"/>
        <v>0</v>
      </c>
      <c r="I289" s="3" t="b">
        <f>IF(VLOOKUP(A289&amp;" "&amp;B289,'HIDDEN import'!A:G,5,FALSE)="M",TRUE,IFERROR(VLOOKUP(E289,'Optional features'!B:D,3,FALSE)="Yes",IFERROR(VLOOKUP(E289,'HIDDEN calc sheet'!A:B,2,FALSE),IFERROR(VLOOKUP(E289,'Additional questions'!B:D,3,FALSE)="Yes",VLOOKUP(E289,'Hardware Feature set'!B:D,3,FALSE)="No"))))</f>
        <v>0</v>
      </c>
      <c r="J289" s="3" t="b">
        <f>IF(VLOOKUP(B289,'Profile selection'!B:C,2,FALSE)="Yes",TRUE,FALSE)</f>
        <v>1</v>
      </c>
      <c r="K289"/>
      <c r="L289"/>
    </row>
    <row r="290" spans="1:12" ht="17.100000000000001" customHeight="1" x14ac:dyDescent="0.25">
      <c r="A290" t="str">
        <f>'HIDDEN import'!B289</f>
        <v>TC_H_19_CS</v>
      </c>
      <c r="B290" t="str">
        <f>'HIDDEN import'!C289</f>
        <v>Core</v>
      </c>
      <c r="C290" t="str">
        <f>'HIDDEN import'!D289</f>
        <v>Reserve a specific EVSE - Use a reserved EVSE with GroupId</v>
      </c>
      <c r="D290" t="str">
        <f>IF(VLOOKUP(A290&amp;" "&amp;B290,'HIDDEN import'!A:G,5,FALSE)="M",MD!$A$1,(IF(AND(VLOOKUP(A290,'HIDDEN import'!B:E,4,FALSE)="C",OR(NOT(ISERROR(VLOOKUP(E290,'Optional features'!B:D,1,FALSE)=E290)),NOT(ISERROR(VLOOKUP(E290,'HIDDEN calc sheet'!A:C,1,FALSE)=E290)))),MD!$A$3,MD!$A$2)))</f>
        <v>Mandatory for optional feature</v>
      </c>
      <c r="E290" t="str">
        <f>IF('HIDDEN import'!F289=0,"",'HIDDEN import'!F289)</f>
        <v>R-0</v>
      </c>
      <c r="F290" t="str">
        <f>IF('HIDDEN import'!G289=0,"",'HIDDEN import'!G289)</f>
        <v/>
      </c>
      <c r="G290" s="19" t="str">
        <f>IFERROR(VLOOKUP($A290,'HIDDEN Testrun Results'!$A:$B,2,FALSE),"")</f>
        <v/>
      </c>
      <c r="H290" s="3" t="b">
        <f t="shared" si="4"/>
        <v>0</v>
      </c>
      <c r="I290" s="3" t="b">
        <f>IF(VLOOKUP(A290&amp;" "&amp;B290,'HIDDEN import'!A:G,5,FALSE)="M",TRUE,IFERROR(VLOOKUP(E290,'Optional features'!B:D,3,FALSE)="Yes",IFERROR(VLOOKUP(E290,'HIDDEN calc sheet'!A:B,2,FALSE),IFERROR(VLOOKUP(E290,'Additional questions'!B:D,3,FALSE)="Yes",VLOOKUP(E290,'Hardware Feature set'!B:D,3,FALSE)="No"))))</f>
        <v>0</v>
      </c>
      <c r="J290" s="3" t="b">
        <f>IF(VLOOKUP(B290,'Profile selection'!B:C,2,FALSE)="Yes",TRUE,FALSE)</f>
        <v>1</v>
      </c>
      <c r="K290"/>
      <c r="L290"/>
    </row>
    <row r="291" spans="1:12" ht="17.100000000000001" customHeight="1" x14ac:dyDescent="0.25">
      <c r="A291" t="str">
        <f>'HIDDEN import'!B290</f>
        <v>TC_H_08_CS</v>
      </c>
      <c r="B291" t="str">
        <f>'HIDDEN import'!C290</f>
        <v>Core</v>
      </c>
      <c r="C291" t="str">
        <f>'HIDDEN import'!D290</f>
        <v>Reserve an unspecified EVSE - Accepted</v>
      </c>
      <c r="D291" t="str">
        <f>IF(VLOOKUP(A291&amp;" "&amp;B291,'HIDDEN import'!A:G,5,FALSE)="M",MD!$A$1,(IF(AND(VLOOKUP(A291,'HIDDEN import'!B:E,4,FALSE)="C",OR(NOT(ISERROR(VLOOKUP(E291,'Optional features'!B:D,1,FALSE)=E291)),NOT(ISERROR(VLOOKUP(E291,'HIDDEN calc sheet'!A:C,1,FALSE)=E291)))),MD!$A$3,MD!$A$2)))</f>
        <v>Mandatory for optional feature</v>
      </c>
      <c r="E291" t="str">
        <f>IF('HIDDEN import'!F290=0,"",'HIDDEN import'!F290)</f>
        <v>R-0 and R-2</v>
      </c>
      <c r="F291" t="str">
        <f>IF('HIDDEN import'!G290=0,"",'HIDDEN import'!G290)</f>
        <v>Support reservations of unspecified EVSE</v>
      </c>
      <c r="G291" s="19" t="str">
        <f>IFERROR(VLOOKUP($A291,'HIDDEN Testrun Results'!$A:$B,2,FALSE),"")</f>
        <v/>
      </c>
      <c r="H291" s="3" t="b">
        <f t="shared" si="4"/>
        <v>0</v>
      </c>
      <c r="I291" s="3" t="b">
        <f>IF(VLOOKUP(A291&amp;" "&amp;B291,'HIDDEN import'!A:G,5,FALSE)="M",TRUE,IFERROR(VLOOKUP(E291,'Optional features'!B:D,3,FALSE)="Yes",IFERROR(VLOOKUP(E291,'HIDDEN calc sheet'!A:B,2,FALSE),IFERROR(VLOOKUP(E291,'Additional questions'!B:D,3,FALSE)="Yes",VLOOKUP(E291,'Hardware Feature set'!B:D,3,FALSE)="No"))))</f>
        <v>0</v>
      </c>
      <c r="J291" s="3" t="b">
        <f>IF(VLOOKUP(B291,'Profile selection'!B:C,2,FALSE)="Yes",TRUE,FALSE)</f>
        <v>1</v>
      </c>
      <c r="K291"/>
      <c r="L291"/>
    </row>
    <row r="292" spans="1:12" ht="17.100000000000001" customHeight="1" x14ac:dyDescent="0.25">
      <c r="A292" t="str">
        <f>'HIDDEN import'!B291</f>
        <v>TC_H_09_CS</v>
      </c>
      <c r="B292" t="str">
        <f>'HIDDEN import'!C291</f>
        <v>Core</v>
      </c>
      <c r="C292" t="str">
        <f>'HIDDEN import'!D291</f>
        <v>Reserve an unspecified EVSE - Occupied - EVSE Reserved</v>
      </c>
      <c r="D292" t="str">
        <f>IF(VLOOKUP(A292&amp;" "&amp;B292,'HIDDEN import'!A:G,5,FALSE)="M",MD!$A$1,(IF(AND(VLOOKUP(A292,'HIDDEN import'!B:E,4,FALSE)="C",OR(NOT(ISERROR(VLOOKUP(E292,'Optional features'!B:D,1,FALSE)=E292)),NOT(ISERROR(VLOOKUP(E292,'HIDDEN calc sheet'!A:C,1,FALSE)=E292)))),MD!$A$3,MD!$A$2)))</f>
        <v>Mandatory for optional feature</v>
      </c>
      <c r="E292" t="str">
        <f>IF('HIDDEN import'!F291=0,"",'HIDDEN import'!F291)</f>
        <v>R-0 and R-2</v>
      </c>
      <c r="F292" t="str">
        <f>IF('HIDDEN import'!G291=0,"",'HIDDEN import'!G291)</f>
        <v>Support reservations of unspecified EVSE</v>
      </c>
      <c r="G292" s="19" t="str">
        <f>IFERROR(VLOOKUP($A292,'HIDDEN Testrun Results'!$A:$B,2,FALSE),"")</f>
        <v/>
      </c>
      <c r="H292" s="3" t="b">
        <f t="shared" si="4"/>
        <v>0</v>
      </c>
      <c r="I292" s="3" t="b">
        <f>IF(VLOOKUP(A292&amp;" "&amp;B292,'HIDDEN import'!A:G,5,FALSE)="M",TRUE,IFERROR(VLOOKUP(E292,'Optional features'!B:D,3,FALSE)="Yes",IFERROR(VLOOKUP(E292,'HIDDEN calc sheet'!A:B,2,FALSE),IFERROR(VLOOKUP(E292,'Additional questions'!B:D,3,FALSE)="Yes",VLOOKUP(E292,'Hardware Feature set'!B:D,3,FALSE)="No"))))</f>
        <v>0</v>
      </c>
      <c r="J292" s="3" t="b">
        <f>IF(VLOOKUP(B292,'Profile selection'!B:C,2,FALSE)="Yes",TRUE,FALSE)</f>
        <v>1</v>
      </c>
      <c r="K292"/>
      <c r="L292"/>
    </row>
    <row r="293" spans="1:12" ht="17.100000000000001" customHeight="1" x14ac:dyDescent="0.25">
      <c r="A293" t="str">
        <f>'HIDDEN import'!B292</f>
        <v>TC_H_10_CS</v>
      </c>
      <c r="B293" t="str">
        <f>'HIDDEN import'!C292</f>
        <v>Core</v>
      </c>
      <c r="C293" t="str">
        <f>'HIDDEN import'!D292</f>
        <v>Reserve an unspecified EVSE - Occupied - EVSE Occupied</v>
      </c>
      <c r="D293" t="str">
        <f>IF(VLOOKUP(A293&amp;" "&amp;B293,'HIDDEN import'!A:G,5,FALSE)="M",MD!$A$1,(IF(AND(VLOOKUP(A293,'HIDDEN import'!B:E,4,FALSE)="C",OR(NOT(ISERROR(VLOOKUP(E293,'Optional features'!B:D,1,FALSE)=E293)),NOT(ISERROR(VLOOKUP(E293,'HIDDEN calc sheet'!A:C,1,FALSE)=E293)))),MD!$A$3,MD!$A$2)))</f>
        <v>Mandatory for optional feature</v>
      </c>
      <c r="E293" t="str">
        <f>IF('HIDDEN import'!F292=0,"",'HIDDEN import'!F292)</f>
        <v>R-0 and R-2</v>
      </c>
      <c r="F293" t="str">
        <f>IF('HIDDEN import'!G292=0,"",'HIDDEN import'!G292)</f>
        <v>Support reservations of unspecified EVSE</v>
      </c>
      <c r="G293" s="19" t="str">
        <f>IFERROR(VLOOKUP($A293,'HIDDEN Testrun Results'!$A:$B,2,FALSE),"")</f>
        <v/>
      </c>
      <c r="H293" s="3" t="b">
        <f t="shared" si="4"/>
        <v>0</v>
      </c>
      <c r="I293" s="3" t="b">
        <f>IF(VLOOKUP(A293&amp;" "&amp;B293,'HIDDEN import'!A:G,5,FALSE)="M",TRUE,IFERROR(VLOOKUP(E293,'Optional features'!B:D,3,FALSE)="Yes",IFERROR(VLOOKUP(E293,'HIDDEN calc sheet'!A:B,2,FALSE),IFERROR(VLOOKUP(E293,'Additional questions'!B:D,3,FALSE)="Yes",VLOOKUP(E293,'Hardware Feature set'!B:D,3,FALSE)="No"))))</f>
        <v>0</v>
      </c>
      <c r="J293" s="3" t="b">
        <f>IF(VLOOKUP(B293,'Profile selection'!B:C,2,FALSE)="Yes",TRUE,FALSE)</f>
        <v>1</v>
      </c>
      <c r="K293"/>
      <c r="L293"/>
    </row>
    <row r="294" spans="1:12" ht="17.100000000000001" customHeight="1" x14ac:dyDescent="0.25">
      <c r="A294" t="str">
        <f>'HIDDEN import'!B293</f>
        <v>TC_H_12_CS</v>
      </c>
      <c r="B294" t="str">
        <f>'HIDDEN import'!C293</f>
        <v>Core</v>
      </c>
      <c r="C294" t="str">
        <f>'HIDDEN import'!D293</f>
        <v>Reserve an unspecified EVSE - Unavailable</v>
      </c>
      <c r="D294" t="str">
        <f>IF(VLOOKUP(A294&amp;" "&amp;B294,'HIDDEN import'!A:G,5,FALSE)="M",MD!$A$1,(IF(AND(VLOOKUP(A294,'HIDDEN import'!B:E,4,FALSE)="C",OR(NOT(ISERROR(VLOOKUP(E294,'Optional features'!B:D,1,FALSE)=E294)),NOT(ISERROR(VLOOKUP(E294,'HIDDEN calc sheet'!A:C,1,FALSE)=E294)))),MD!$A$3,MD!$A$2)))</f>
        <v>Mandatory for optional feature</v>
      </c>
      <c r="E294" t="str">
        <f>IF('HIDDEN import'!F293=0,"",'HIDDEN import'!F293)</f>
        <v>R-0 and R-2</v>
      </c>
      <c r="F294" t="str">
        <f>IF('HIDDEN import'!G293=0,"",'HIDDEN import'!G293)</f>
        <v>Support reservations of unspecified EVSE</v>
      </c>
      <c r="G294" s="19" t="str">
        <f>IFERROR(VLOOKUP($A294,'HIDDEN Testrun Results'!$A:$B,2,FALSE),"")</f>
        <v/>
      </c>
      <c r="H294" s="3" t="b">
        <f t="shared" si="4"/>
        <v>0</v>
      </c>
      <c r="I294" s="3" t="b">
        <f>IF(VLOOKUP(A294&amp;" "&amp;B294,'HIDDEN import'!A:G,5,FALSE)="M",TRUE,IFERROR(VLOOKUP(E294,'Optional features'!B:D,3,FALSE)="Yes",IFERROR(VLOOKUP(E294,'HIDDEN calc sheet'!A:B,2,FALSE),IFERROR(VLOOKUP(E294,'Additional questions'!B:D,3,FALSE)="Yes",VLOOKUP(E294,'Hardware Feature set'!B:D,3,FALSE)="No"))))</f>
        <v>0</v>
      </c>
      <c r="J294" s="3" t="b">
        <f>IF(VLOOKUP(B294,'Profile selection'!B:C,2,FALSE)="Yes",TRUE,FALSE)</f>
        <v>1</v>
      </c>
      <c r="K294"/>
      <c r="L294"/>
    </row>
    <row r="295" spans="1:12" ht="17.100000000000001" customHeight="1" x14ac:dyDescent="0.25">
      <c r="A295" t="str">
        <f>'HIDDEN import'!B294</f>
        <v>TC_H_13_CS</v>
      </c>
      <c r="B295" t="str">
        <f>'HIDDEN import'!C294</f>
        <v>Core</v>
      </c>
      <c r="C295" t="str">
        <f>'HIDDEN import'!D294</f>
        <v>Reserve an unspecified EVSE - Rejected</v>
      </c>
      <c r="D295" t="str">
        <f>IF(VLOOKUP(A295&amp;" "&amp;B295,'HIDDEN import'!A:G,5,FALSE)="M",MD!$A$1,(IF(AND(VLOOKUP(A295,'HIDDEN import'!B:E,4,FALSE)="C",OR(NOT(ISERROR(VLOOKUP(E295,'Optional features'!B:D,1,FALSE)=E295)),NOT(ISERROR(VLOOKUP(E295,'HIDDEN calc sheet'!A:C,1,FALSE)=E295)))),MD!$A$3,MD!$A$2)))</f>
        <v>Mandatory for optional feature</v>
      </c>
      <c r="E295" t="str">
        <f>IF('HIDDEN import'!F294=0,"",'HIDDEN import'!F294)</f>
        <v>R-0 and NOT R-2</v>
      </c>
      <c r="F295" t="str">
        <f>IF('HIDDEN import'!G294=0,"",'HIDDEN import'!G294)</f>
        <v>Support reservations of unspecified EVSE</v>
      </c>
      <c r="G295" s="19" t="str">
        <f>IFERROR(VLOOKUP($A295,'HIDDEN Testrun Results'!$A:$B,2,FALSE),"")</f>
        <v/>
      </c>
      <c r="H295" s="3" t="b">
        <f t="shared" si="4"/>
        <v>0</v>
      </c>
      <c r="I295" s="3" t="b">
        <f>IF(VLOOKUP(A295&amp;" "&amp;B295,'HIDDEN import'!A:G,5,FALSE)="M",TRUE,IFERROR(VLOOKUP(E295,'Optional features'!B:D,3,FALSE)="Yes",IFERROR(VLOOKUP(E295,'HIDDEN calc sheet'!A:B,2,FALSE),IFERROR(VLOOKUP(E295,'Additional questions'!B:D,3,FALSE)="Yes",VLOOKUP(E295,'Hardware Feature set'!B:D,3,FALSE)="No"))))</f>
        <v>0</v>
      </c>
      <c r="J295" s="3" t="b">
        <f>IF(VLOOKUP(B295,'Profile selection'!B:C,2,FALSE)="Yes",TRUE,FALSE)</f>
        <v>1</v>
      </c>
      <c r="K295"/>
      <c r="L295"/>
    </row>
    <row r="296" spans="1:12" ht="17.100000000000001" customHeight="1" x14ac:dyDescent="0.25">
      <c r="A296" t="str">
        <f>'HIDDEN import'!B295</f>
        <v>TC_H_14_CS</v>
      </c>
      <c r="B296" t="str">
        <f>'HIDDEN import'!C295</f>
        <v>Core</v>
      </c>
      <c r="C296" t="str">
        <f>'HIDDEN import'!D295</f>
        <v>Reserve an unspecified EVSE - Amount of EVSEs available equals the amount of reservations</v>
      </c>
      <c r="D296" t="str">
        <f>IF(VLOOKUP(A296&amp;" "&amp;B296,'HIDDEN import'!A:G,5,FALSE)="M",MD!$A$1,(IF(AND(VLOOKUP(A296,'HIDDEN import'!B:E,4,FALSE)="C",OR(NOT(ISERROR(VLOOKUP(E296,'Optional features'!B:D,1,FALSE)=E296)),NOT(ISERROR(VLOOKUP(E296,'HIDDEN calc sheet'!A:C,1,FALSE)=E296)))),MD!$A$3,MD!$A$2)))</f>
        <v>Mandatory for optional feature</v>
      </c>
      <c r="E296" t="str">
        <f>IF('HIDDEN import'!F295=0,"",'HIDDEN import'!F295)</f>
        <v>R-0 and R-2</v>
      </c>
      <c r="F296" t="str">
        <f>IF('HIDDEN import'!G295=0,"",'HIDDEN import'!G295)</f>
        <v>Support reservations of unspecified EVSE</v>
      </c>
      <c r="G296" s="19" t="str">
        <f>IFERROR(VLOOKUP($A296,'HIDDEN Testrun Results'!$A:$B,2,FALSE),"")</f>
        <v/>
      </c>
      <c r="H296" s="3" t="b">
        <f t="shared" si="4"/>
        <v>0</v>
      </c>
      <c r="I296" s="3" t="b">
        <f>IF(VLOOKUP(A296&amp;" "&amp;B296,'HIDDEN import'!A:G,5,FALSE)="M",TRUE,IFERROR(VLOOKUP(E296,'Optional features'!B:D,3,FALSE)="Yes",IFERROR(VLOOKUP(E296,'HIDDEN calc sheet'!A:B,2,FALSE),IFERROR(VLOOKUP(E296,'Additional questions'!B:D,3,FALSE)="Yes",VLOOKUP(E296,'Hardware Feature set'!B:D,3,FALSE)="No"))))</f>
        <v>0</v>
      </c>
      <c r="J296" s="3" t="b">
        <f>IF(VLOOKUP(B296,'Profile selection'!B:C,2,FALSE)="Yes",TRUE,FALSE)</f>
        <v>1</v>
      </c>
      <c r="K296"/>
      <c r="L296"/>
    </row>
    <row r="297" spans="1:12" ht="17.100000000000001" customHeight="1" x14ac:dyDescent="0.25">
      <c r="A297" t="str">
        <f>'HIDDEN import'!B296</f>
        <v>TC_H_24_CS</v>
      </c>
      <c r="B297" t="str">
        <f>'HIDDEN import'!C296</f>
        <v>Core</v>
      </c>
      <c r="C297" t="str">
        <f>'HIDDEN import'!D296</f>
        <v>Reserve an unspecified EVSE - GroupIdToken</v>
      </c>
      <c r="D297" t="str">
        <f>IF(VLOOKUP(A297&amp;" "&amp;B297,'HIDDEN import'!A:G,5,FALSE)="M",MD!$A$1,(IF(AND(VLOOKUP(A297,'HIDDEN import'!B:E,4,FALSE)="C",OR(NOT(ISERROR(VLOOKUP(E297,'Optional features'!B:D,1,FALSE)=E297)),NOT(ISERROR(VLOOKUP(E297,'HIDDEN calc sheet'!A:C,1,FALSE)=E297)))),MD!$A$3,MD!$A$2)))</f>
        <v>Mandatory for optional feature</v>
      </c>
      <c r="E297" t="str">
        <f>IF('HIDDEN import'!F296=0,"",'HIDDEN import'!F296)</f>
        <v>R-0 and R-2</v>
      </c>
      <c r="F297" t="str">
        <f>IF('HIDDEN import'!G296=0,"",'HIDDEN import'!G296)</f>
        <v>Support reservations of unspecified EVSE</v>
      </c>
      <c r="G297" s="19" t="str">
        <f>IFERROR(VLOOKUP($A297,'HIDDEN Testrun Results'!$A:$B,2,FALSE),"")</f>
        <v/>
      </c>
      <c r="H297" s="3" t="b">
        <f t="shared" si="4"/>
        <v>0</v>
      </c>
      <c r="I297" s="3" t="b">
        <f>IF(VLOOKUP(A297&amp;" "&amp;B297,'HIDDEN import'!A:G,5,FALSE)="M",TRUE,IFERROR(VLOOKUP(E297,'Optional features'!B:D,3,FALSE)="Yes",IFERROR(VLOOKUP(E297,'HIDDEN calc sheet'!A:B,2,FALSE),IFERROR(VLOOKUP(E297,'Additional questions'!B:D,3,FALSE)="Yes",VLOOKUP(E297,'Hardware Feature set'!B:D,3,FALSE)="No"))))</f>
        <v>0</v>
      </c>
      <c r="J297" s="3" t="b">
        <f>IF(VLOOKUP(B297,'Profile selection'!B:C,2,FALSE)="Yes",TRUE,FALSE)</f>
        <v>1</v>
      </c>
      <c r="K297"/>
      <c r="L297"/>
    </row>
    <row r="298" spans="1:12" ht="17.100000000000001" customHeight="1" x14ac:dyDescent="0.25">
      <c r="A298" t="str">
        <f>'HIDDEN import'!B297</f>
        <v>TC_H_15_CS</v>
      </c>
      <c r="B298" t="str">
        <f>'HIDDEN import'!C297</f>
        <v>Core</v>
      </c>
      <c r="C298" t="str">
        <f>'HIDDEN import'!D297</f>
        <v>Reserve a connector with a specific type - Success</v>
      </c>
      <c r="D298" t="str">
        <f>IF(VLOOKUP(A298&amp;" "&amp;B298,'HIDDEN import'!A:G,5,FALSE)="M",MD!$A$1,(IF(AND(VLOOKUP(A298,'HIDDEN import'!B:E,4,FALSE)="C",OR(NOT(ISERROR(VLOOKUP(E298,'Optional features'!B:D,1,FALSE)=E298)),NOT(ISERROR(VLOOKUP(E298,'HIDDEN calc sheet'!A:C,1,FALSE)=E298)))),MD!$A$3,MD!$A$2)))</f>
        <v>Mandatory for optional feature</v>
      </c>
      <c r="E298" t="str">
        <f>IF('HIDDEN import'!F297=0,"",'HIDDEN import'!F297)</f>
        <v>R-0 and R-1</v>
      </c>
      <c r="F298" t="str">
        <f>IF('HIDDEN import'!G297=0,"",'HIDDEN import'!G297)</f>
        <v>Support reservations of connectorType</v>
      </c>
      <c r="G298" s="19" t="str">
        <f>IFERROR(VLOOKUP($A298,'HIDDEN Testrun Results'!$A:$B,2,FALSE),"")</f>
        <v/>
      </c>
      <c r="H298" s="3" t="b">
        <f t="shared" si="4"/>
        <v>0</v>
      </c>
      <c r="I298" s="3" t="b">
        <f>IF(VLOOKUP(A298&amp;" "&amp;B298,'HIDDEN import'!A:G,5,FALSE)="M",TRUE,IFERROR(VLOOKUP(E298,'Optional features'!B:D,3,FALSE)="Yes",IFERROR(VLOOKUP(E298,'HIDDEN calc sheet'!A:B,2,FALSE),IFERROR(VLOOKUP(E298,'Additional questions'!B:D,3,FALSE)="Yes",VLOOKUP(E298,'Hardware Feature set'!B:D,3,FALSE)="No"))))</f>
        <v>0</v>
      </c>
      <c r="J298" s="3" t="b">
        <f>IF(VLOOKUP(B298,'Profile selection'!B:C,2,FALSE)="Yes",TRUE,FALSE)</f>
        <v>1</v>
      </c>
      <c r="K298"/>
      <c r="L298"/>
    </row>
    <row r="299" spans="1:12" ht="17.100000000000001" customHeight="1" x14ac:dyDescent="0.25">
      <c r="A299" t="str">
        <f>'HIDDEN import'!B298</f>
        <v>TC_H_16_CS</v>
      </c>
      <c r="B299" t="str">
        <f>'HIDDEN import'!C298</f>
        <v>Core</v>
      </c>
      <c r="C299" t="str">
        <f>'HIDDEN import'!D298</f>
        <v>Reserve a connector with a specific type - Amount of available connectors of a type equals the amount of reservations</v>
      </c>
      <c r="D299" t="str">
        <f>IF(VLOOKUP(A299&amp;" "&amp;B299,'HIDDEN import'!A:G,5,FALSE)="M",MD!$A$1,(IF(AND(VLOOKUP(A299,'HIDDEN import'!B:E,4,FALSE)="C",OR(NOT(ISERROR(VLOOKUP(E299,'Optional features'!B:D,1,FALSE)=E299)),NOT(ISERROR(VLOOKUP(E299,'HIDDEN calc sheet'!A:C,1,FALSE)=E299)))),MD!$A$3,MD!$A$2)))</f>
        <v>Mandatory for optional feature</v>
      </c>
      <c r="E299" t="str">
        <f>IF('HIDDEN import'!F298=0,"",'HIDDEN import'!F298)</f>
        <v>R-0 and R-1</v>
      </c>
      <c r="F299" t="str">
        <f>IF('HIDDEN import'!G298=0,"",'HIDDEN import'!G298)</f>
        <v>Support reservations of connectorType</v>
      </c>
      <c r="G299" s="19" t="str">
        <f>IFERROR(VLOOKUP($A299,'HIDDEN Testrun Results'!$A:$B,2,FALSE),"")</f>
        <v/>
      </c>
      <c r="H299" s="3" t="b">
        <f t="shared" si="4"/>
        <v>0</v>
      </c>
      <c r="I299" s="3" t="b">
        <f>IF(VLOOKUP(A299&amp;" "&amp;B299,'HIDDEN import'!A:G,5,FALSE)="M",TRUE,IFERROR(VLOOKUP(E299,'Optional features'!B:D,3,FALSE)="Yes",IFERROR(VLOOKUP(E299,'HIDDEN calc sheet'!A:B,2,FALSE),IFERROR(VLOOKUP(E299,'Additional questions'!B:D,3,FALSE)="Yes",VLOOKUP(E299,'Hardware Feature set'!B:D,3,FALSE)="No"))))</f>
        <v>0</v>
      </c>
      <c r="J299" s="3" t="b">
        <f>IF(VLOOKUP(B299,'Profile selection'!B:C,2,FALSE)="Yes",TRUE,FALSE)</f>
        <v>1</v>
      </c>
      <c r="K299"/>
      <c r="L299"/>
    </row>
    <row r="300" spans="1:12" ht="17.100000000000001" customHeight="1" x14ac:dyDescent="0.25">
      <c r="A300" t="str">
        <f>'HIDDEN import'!B299</f>
        <v>TC_H_17_CS</v>
      </c>
      <c r="B300" t="str">
        <f>'HIDDEN import'!C299</f>
        <v>Core</v>
      </c>
      <c r="C300" t="str">
        <f>'HIDDEN import'!D299</f>
        <v>Cancel reservation of an EVSE - Success</v>
      </c>
      <c r="D300" t="str">
        <f>IF(VLOOKUP(A300&amp;" "&amp;B300,'HIDDEN import'!A:G,5,FALSE)="M",MD!$A$1,(IF(AND(VLOOKUP(A300,'HIDDEN import'!B:E,4,FALSE)="C",OR(NOT(ISERROR(VLOOKUP(E300,'Optional features'!B:D,1,FALSE)=E300)),NOT(ISERROR(VLOOKUP(E300,'HIDDEN calc sheet'!A:C,1,FALSE)=E300)))),MD!$A$3,MD!$A$2)))</f>
        <v>Mandatory for optional feature</v>
      </c>
      <c r="E300" t="str">
        <f>IF('HIDDEN import'!F299=0,"",'HIDDEN import'!F299)</f>
        <v>R-0</v>
      </c>
      <c r="F300" t="str">
        <f>IF('HIDDEN import'!G299=0,"",'HIDDEN import'!G299)</f>
        <v/>
      </c>
      <c r="G300" s="19" t="str">
        <f>IFERROR(VLOOKUP($A300,'HIDDEN Testrun Results'!$A:$B,2,FALSE),"")</f>
        <v/>
      </c>
      <c r="H300" s="3" t="b">
        <f t="shared" si="4"/>
        <v>0</v>
      </c>
      <c r="I300" s="3" t="b">
        <f>IF(VLOOKUP(A300&amp;" "&amp;B300,'HIDDEN import'!A:G,5,FALSE)="M",TRUE,IFERROR(VLOOKUP(E300,'Optional features'!B:D,3,FALSE)="Yes",IFERROR(VLOOKUP(E300,'HIDDEN calc sheet'!A:B,2,FALSE),IFERROR(VLOOKUP(E300,'Additional questions'!B:D,3,FALSE)="Yes",VLOOKUP(E300,'Hardware Feature set'!B:D,3,FALSE)="No"))))</f>
        <v>0</v>
      </c>
      <c r="J300" s="3" t="b">
        <f>IF(VLOOKUP(B300,'Profile selection'!B:C,2,FALSE)="Yes",TRUE,FALSE)</f>
        <v>1</v>
      </c>
      <c r="K300"/>
      <c r="L300"/>
    </row>
    <row r="301" spans="1:12" ht="17.100000000000001" customHeight="1" x14ac:dyDescent="0.25">
      <c r="A301" t="str">
        <f>'HIDDEN import'!B300</f>
        <v>TC_H_18_CS</v>
      </c>
      <c r="B301" t="str">
        <f>'HIDDEN import'!C300</f>
        <v>Core</v>
      </c>
      <c r="C301" t="str">
        <f>'HIDDEN import'!D300</f>
        <v>Cancel reservation of an EVSE - Rejected</v>
      </c>
      <c r="D301" t="str">
        <f>IF(VLOOKUP(A301&amp;" "&amp;B301,'HIDDEN import'!A:G,5,FALSE)="M",MD!$A$1,(IF(AND(VLOOKUP(A301,'HIDDEN import'!B:E,4,FALSE)="C",OR(NOT(ISERROR(VLOOKUP(E301,'Optional features'!B:D,1,FALSE)=E301)),NOT(ISERROR(VLOOKUP(E301,'HIDDEN calc sheet'!A:C,1,FALSE)=E301)))),MD!$A$3,MD!$A$2)))</f>
        <v>Mandatory for optional feature</v>
      </c>
      <c r="E301" t="str">
        <f>IF('HIDDEN import'!F300=0,"",'HIDDEN import'!F300)</f>
        <v>R-0</v>
      </c>
      <c r="F301" t="str">
        <f>IF('HIDDEN import'!G300=0,"",'HIDDEN import'!G300)</f>
        <v/>
      </c>
      <c r="G301" s="19" t="str">
        <f>IFERROR(VLOOKUP($A301,'HIDDEN Testrun Results'!$A:$B,2,FALSE),"")</f>
        <v/>
      </c>
      <c r="H301" s="3" t="b">
        <f t="shared" si="4"/>
        <v>0</v>
      </c>
      <c r="I301" s="3" t="b">
        <f>IF(VLOOKUP(A301&amp;" "&amp;B301,'HIDDEN import'!A:G,5,FALSE)="M",TRUE,IFERROR(VLOOKUP(E301,'Optional features'!B:D,3,FALSE)="Yes",IFERROR(VLOOKUP(E301,'HIDDEN calc sheet'!A:B,2,FALSE),IFERROR(VLOOKUP(E301,'Additional questions'!B:D,3,FALSE)="Yes",VLOOKUP(E301,'Hardware Feature set'!B:D,3,FALSE)="No"))))</f>
        <v>0</v>
      </c>
      <c r="J301" s="3" t="b">
        <f>IF(VLOOKUP(B301,'Profile selection'!B:C,2,FALSE)="Yes",TRUE,FALSE)</f>
        <v>1</v>
      </c>
      <c r="K301"/>
      <c r="L301"/>
    </row>
    <row r="302" spans="1:12" ht="17.100000000000001" customHeight="1" x14ac:dyDescent="0.25">
      <c r="A302" t="str">
        <f>'HIDDEN import'!B301</f>
        <v>TC_H_21_CS</v>
      </c>
      <c r="B302" t="str">
        <f>'HIDDEN import'!C301</f>
        <v>Core</v>
      </c>
      <c r="C302" t="str">
        <f>'HIDDEN import'!D301</f>
        <v>Cancel reservation of an EVSE - Charging Station cancels reservation when Unavailable</v>
      </c>
      <c r="D302" t="str">
        <f>IF(VLOOKUP(A302&amp;" "&amp;B302,'HIDDEN import'!A:G,5,FALSE)="M",MD!$A$1,(IF(AND(VLOOKUP(A302,'HIDDEN import'!B:E,4,FALSE)="C",OR(NOT(ISERROR(VLOOKUP(E302,'Optional features'!B:D,1,FALSE)=E302)),NOT(ISERROR(VLOOKUP(E302,'HIDDEN calc sheet'!A:C,1,FALSE)=E302)))),MD!$A$3,MD!$A$2)))</f>
        <v>Mandatory for optional feature</v>
      </c>
      <c r="E302" t="str">
        <f>IF('HIDDEN import'!F301=0,"",'HIDDEN import'!F301)</f>
        <v>R-0</v>
      </c>
      <c r="F302" t="str">
        <f>IF('HIDDEN import'!G301=0,"",'HIDDEN import'!G301)</f>
        <v/>
      </c>
      <c r="G302" s="19" t="str">
        <f>IFERROR(VLOOKUP($A302,'HIDDEN Testrun Results'!$A:$B,2,FALSE),"")</f>
        <v/>
      </c>
      <c r="H302" s="3" t="b">
        <f t="shared" si="4"/>
        <v>0</v>
      </c>
      <c r="I302" s="3" t="b">
        <f>IF(VLOOKUP(A302&amp;" "&amp;B302,'HIDDEN import'!A:G,5,FALSE)="M",TRUE,IFERROR(VLOOKUP(E302,'Optional features'!B:D,3,FALSE)="Yes",IFERROR(VLOOKUP(E302,'HIDDEN calc sheet'!A:B,2,FALSE),IFERROR(VLOOKUP(E302,'Additional questions'!B:D,3,FALSE)="Yes",VLOOKUP(E302,'Hardware Feature set'!B:D,3,FALSE)="No"))))</f>
        <v>0</v>
      </c>
      <c r="J302" s="3" t="b">
        <f>IF(VLOOKUP(B302,'Profile selection'!B:C,2,FALSE)="Yes",TRUE,FALSE)</f>
        <v>1</v>
      </c>
      <c r="K302"/>
      <c r="L302"/>
    </row>
    <row r="303" spans="1:12" ht="17.100000000000001" customHeight="1" x14ac:dyDescent="0.25">
      <c r="A303" t="str">
        <f>'HIDDEN import'!B302</f>
        <v>TC_I_100_CS</v>
      </c>
      <c r="B303" t="str">
        <f>'HIDDEN import'!C302</f>
        <v>Core</v>
      </c>
      <c r="C303" t="str">
        <f>'HIDDEN import'!D302</f>
        <v>Set Default Tariff - validFrom</v>
      </c>
      <c r="D303" t="str">
        <f>IF(VLOOKUP(A303&amp;" "&amp;B303,'HIDDEN import'!A:G,5,FALSE)="M",MD!$A$1,(IF(AND(VLOOKUP(A303,'HIDDEN import'!B:E,4,FALSE)="C",OR(NOT(ISERROR(VLOOKUP(E303,'Optional features'!B:D,1,FALSE)=E303)),NOT(ISERROR(VLOOKUP(E303,'HIDDEN calc sheet'!A:C,1,FALSE)=E303)))),MD!$A$3,MD!$A$2)))</f>
        <v>Mandatory for optional feature</v>
      </c>
      <c r="E303" t="str">
        <f>IF('HIDDEN import'!F302=0,"",'HIDDEN import'!F302)</f>
        <v>P-0</v>
      </c>
      <c r="F303" t="str">
        <f>IF('HIDDEN import'!G302=0,"",'HIDDEN import'!G302)</f>
        <v/>
      </c>
      <c r="G303" s="19" t="str">
        <f>IFERROR(VLOOKUP($A303,'HIDDEN Testrun Results'!$A:$B,2,FALSE),"")</f>
        <v/>
      </c>
      <c r="H303" s="3" t="b">
        <f t="shared" si="4"/>
        <v>0</v>
      </c>
      <c r="I303" s="3" t="b">
        <f>IF(VLOOKUP(A303&amp;" "&amp;B303,'HIDDEN import'!A:G,5,FALSE)="M",TRUE,IFERROR(VLOOKUP(E303,'Optional features'!B:D,3,FALSE)="Yes",IFERROR(VLOOKUP(E303,'HIDDEN calc sheet'!A:B,2,FALSE),IFERROR(VLOOKUP(E303,'Additional questions'!B:D,3,FALSE)="Yes",VLOOKUP(E303,'Hardware Feature set'!B:D,3,FALSE)="No"))))</f>
        <v>0</v>
      </c>
      <c r="J303" s="3" t="b">
        <f>IF(VLOOKUP(B303,'Profile selection'!B:C,2,FALSE)="Yes",TRUE,FALSE)</f>
        <v>1</v>
      </c>
      <c r="K303"/>
      <c r="L303"/>
    </row>
    <row r="304" spans="1:12" ht="17.100000000000001" customHeight="1" x14ac:dyDescent="0.25">
      <c r="A304" t="str">
        <f>'HIDDEN import'!B303</f>
        <v>TC_I_101_CS</v>
      </c>
      <c r="B304" t="str">
        <f>'HIDDEN import'!C303</f>
        <v>Core</v>
      </c>
      <c r="C304" t="str">
        <f>'HIDDEN import'!D303</f>
        <v>Set Default Tariff - startTimeOfDay, endTimeOfDay</v>
      </c>
      <c r="D304" t="str">
        <f>IF(VLOOKUP(A304&amp;" "&amp;B304,'HIDDEN import'!A:G,5,FALSE)="M",MD!$A$1,(IF(AND(VLOOKUP(A304,'HIDDEN import'!B:E,4,FALSE)="C",OR(NOT(ISERROR(VLOOKUP(E304,'Optional features'!B:D,1,FALSE)=E304)),NOT(ISERROR(VLOOKUP(E304,'HIDDEN calc sheet'!A:C,1,FALSE)=E304)))),MD!$A$3,MD!$A$2)))</f>
        <v>Mandatory for optional feature</v>
      </c>
      <c r="E304" t="str">
        <f>IF('HIDDEN import'!F303=0,"",'HIDDEN import'!F303)</f>
        <v>P-0</v>
      </c>
      <c r="F304" t="str">
        <f>IF('HIDDEN import'!G303=0,"",'HIDDEN import'!G303)</f>
        <v/>
      </c>
      <c r="G304" s="19" t="str">
        <f>IFERROR(VLOOKUP($A304,'HIDDEN Testrun Results'!$A:$B,2,FALSE),"")</f>
        <v/>
      </c>
      <c r="H304" s="3" t="b">
        <f t="shared" si="4"/>
        <v>0</v>
      </c>
      <c r="I304" s="3" t="b">
        <f>IF(VLOOKUP(A304&amp;" "&amp;B304,'HIDDEN import'!A:G,5,FALSE)="M",TRUE,IFERROR(VLOOKUP(E304,'Optional features'!B:D,3,FALSE)="Yes",IFERROR(VLOOKUP(E304,'HIDDEN calc sheet'!A:B,2,FALSE),IFERROR(VLOOKUP(E304,'Additional questions'!B:D,3,FALSE)="Yes",VLOOKUP(E304,'Hardware Feature set'!B:D,3,FALSE)="No"))))</f>
        <v>0</v>
      </c>
      <c r="J304" s="3" t="b">
        <f>IF(VLOOKUP(B304,'Profile selection'!B:C,2,FALSE)="Yes",TRUE,FALSE)</f>
        <v>1</v>
      </c>
      <c r="K304"/>
      <c r="L304"/>
    </row>
    <row r="305" spans="1:12" ht="17.100000000000001" customHeight="1" x14ac:dyDescent="0.25">
      <c r="A305" t="str">
        <f>'HIDDEN import'!B304</f>
        <v>TC_I_102_CS</v>
      </c>
      <c r="B305" t="str">
        <f>'HIDDEN import'!C304</f>
        <v>Core</v>
      </c>
      <c r="C305" t="str">
        <f>'HIDDEN import'!D304</f>
        <v>Set Default Tariff - TariffMaxElements</v>
      </c>
      <c r="D305" t="str">
        <f>IF(VLOOKUP(A305&amp;" "&amp;B305,'HIDDEN import'!A:G,5,FALSE)="M",MD!$A$1,(IF(AND(VLOOKUP(A305,'HIDDEN import'!B:E,4,FALSE)="C",OR(NOT(ISERROR(VLOOKUP(E305,'Optional features'!B:D,1,FALSE)=E305)),NOT(ISERROR(VLOOKUP(E305,'HIDDEN calc sheet'!A:C,1,FALSE)=E305)))),MD!$A$3,MD!$A$2)))</f>
        <v>Mandatory for optional feature</v>
      </c>
      <c r="E305" t="str">
        <f>IF('HIDDEN import'!F304=0,"",'HIDDEN import'!F304)</f>
        <v>P-0</v>
      </c>
      <c r="F305" t="str">
        <f>IF('HIDDEN import'!G304=0,"",'HIDDEN import'!G304)</f>
        <v/>
      </c>
      <c r="G305" s="19" t="str">
        <f>IFERROR(VLOOKUP($A305,'HIDDEN Testrun Results'!$A:$B,2,FALSE),"")</f>
        <v/>
      </c>
      <c r="H305" s="3" t="b">
        <f t="shared" si="4"/>
        <v>0</v>
      </c>
      <c r="I305" s="3" t="b">
        <f>IF(VLOOKUP(A305&amp;" "&amp;B305,'HIDDEN import'!A:G,5,FALSE)="M",TRUE,IFERROR(VLOOKUP(E305,'Optional features'!B:D,3,FALSE)="Yes",IFERROR(VLOOKUP(E305,'HIDDEN calc sheet'!A:B,2,FALSE),IFERROR(VLOOKUP(E305,'Additional questions'!B:D,3,FALSE)="Yes",VLOOKUP(E305,'Hardware Feature set'!B:D,3,FALSE)="No"))))</f>
        <v>0</v>
      </c>
      <c r="J305" s="3" t="b">
        <f>IF(VLOOKUP(B305,'Profile selection'!B:C,2,FALSE)="Yes",TRUE,FALSE)</f>
        <v>1</v>
      </c>
      <c r="K305"/>
      <c r="L305"/>
    </row>
    <row r="306" spans="1:12" ht="17.100000000000001" customHeight="1" x14ac:dyDescent="0.25">
      <c r="A306" t="str">
        <f>'HIDDEN import'!B305</f>
        <v>TC_I_104_CS</v>
      </c>
      <c r="B306" t="str">
        <f>'HIDDEN import'!C305</f>
        <v>Core</v>
      </c>
      <c r="C306" t="str">
        <f>'HIDDEN import'!D305</f>
        <v>Set Default Tariff - transaction with default tariff</v>
      </c>
      <c r="D306" t="str">
        <f>IF(VLOOKUP(A306&amp;" "&amp;B306,'HIDDEN import'!A:G,5,FALSE)="M",MD!$A$1,(IF(AND(VLOOKUP(A306,'HIDDEN import'!B:E,4,FALSE)="C",OR(NOT(ISERROR(VLOOKUP(E306,'Optional features'!B:D,1,FALSE)=E306)),NOT(ISERROR(VLOOKUP(E306,'HIDDEN calc sheet'!A:C,1,FALSE)=E306)))),MD!$A$3,MD!$A$2)))</f>
        <v>Mandatory for optional feature</v>
      </c>
      <c r="E306" t="str">
        <f>IF('HIDDEN import'!F305=0,"",'HIDDEN import'!F305)</f>
        <v>P-0</v>
      </c>
      <c r="F306" t="str">
        <f>IF('HIDDEN import'!G305=0,"",'HIDDEN import'!G305)</f>
        <v/>
      </c>
      <c r="G306" s="19" t="str">
        <f>IFERROR(VLOOKUP($A306,'HIDDEN Testrun Results'!$A:$B,2,FALSE),"")</f>
        <v/>
      </c>
      <c r="H306" s="3" t="b">
        <f t="shared" si="4"/>
        <v>0</v>
      </c>
      <c r="I306" s="3" t="b">
        <f>IF(VLOOKUP(A306&amp;" "&amp;B306,'HIDDEN import'!A:G,5,FALSE)="M",TRUE,IFERROR(VLOOKUP(E306,'Optional features'!B:D,3,FALSE)="Yes",IFERROR(VLOOKUP(E306,'HIDDEN calc sheet'!A:B,2,FALSE),IFERROR(VLOOKUP(E306,'Additional questions'!B:D,3,FALSE)="Yes",VLOOKUP(E306,'Hardware Feature set'!B:D,3,FALSE)="No"))))</f>
        <v>0</v>
      </c>
      <c r="J306" s="3" t="b">
        <f>IF(VLOOKUP(B306,'Profile selection'!B:C,2,FALSE)="Yes",TRUE,FALSE)</f>
        <v>1</v>
      </c>
      <c r="K306"/>
      <c r="L306"/>
    </row>
    <row r="307" spans="1:12" ht="17.100000000000001" customHeight="1" x14ac:dyDescent="0.25">
      <c r="A307" t="str">
        <f>'HIDDEN import'!B306</f>
        <v>TC_I_105_CS</v>
      </c>
      <c r="B307" t="str">
        <f>'HIDDEN import'!C306</f>
        <v>Core</v>
      </c>
      <c r="C307" t="str">
        <f>'HIDDEN import'!D306</f>
        <v>Set Default Tariff - TariffConditionsSupported is false</v>
      </c>
      <c r="D307" t="str">
        <f>IF(VLOOKUP(A307&amp;" "&amp;B307,'HIDDEN import'!A:G,5,FALSE)="M",MD!$A$1,(IF(AND(VLOOKUP(A307,'HIDDEN import'!B:E,4,FALSE)="C",OR(NOT(ISERROR(VLOOKUP(E307,'Optional features'!B:D,1,FALSE)=E307)),NOT(ISERROR(VLOOKUP(E307,'HIDDEN calc sheet'!A:C,1,FALSE)=E307)))),MD!$A$3,MD!$A$2)))</f>
        <v>Mandatory for optional feature</v>
      </c>
      <c r="E307" t="str">
        <f>IF('HIDDEN import'!F306=0,"",'HIDDEN import'!F306)</f>
        <v>P-0 and NOT P-1</v>
      </c>
      <c r="F307" t="str">
        <f>IF('HIDDEN import'!G306=0,"",'HIDDEN import'!G306)</f>
        <v>No Support for Tariff conditions</v>
      </c>
      <c r="G307" s="19" t="str">
        <f>IFERROR(VLOOKUP($A307,'HIDDEN Testrun Results'!$A:$B,2,FALSE),"")</f>
        <v/>
      </c>
      <c r="H307" s="3" t="b">
        <f>IF(NOT(J307),FALSE,IF(NOT(ISLOGICAL(I307)),I307,AND(I307,J307)))</f>
        <v>0</v>
      </c>
      <c r="I307" s="3" t="b">
        <f>IF(VLOOKUP(A307&amp;" "&amp;B307,'HIDDEN import'!A:G,5,FALSE)="M",TRUE,IFERROR(VLOOKUP(E307,'Optional features'!B:D,3,FALSE)="Yes",IFERROR(VLOOKUP(E307,'HIDDEN calc sheet'!A:B,2,FALSE),IFERROR(VLOOKUP(E307,'Additional questions'!B:D,3,FALSE)="Yes",VLOOKUP(E307,'Hardware Feature set'!B:D,3,FALSE)="No"))))</f>
        <v>0</v>
      </c>
      <c r="J307" s="3" t="b">
        <f>IF(VLOOKUP(B307,'Profile selection'!B:C,2,FALSE)="Yes",TRUE,FALSE)</f>
        <v>1</v>
      </c>
      <c r="K307"/>
      <c r="L307"/>
    </row>
    <row r="308" spans="1:12" ht="17.100000000000001" customHeight="1" x14ac:dyDescent="0.25">
      <c r="A308" t="str">
        <f>'HIDDEN import'!B307</f>
        <v>TC_I_106_CS</v>
      </c>
      <c r="B308" t="str">
        <f>'HIDDEN import'!C307</f>
        <v>Core</v>
      </c>
      <c r="C308" t="str">
        <f>'HIDDEN import'!D307</f>
        <v>Set Default Tariff - validations</v>
      </c>
      <c r="D308" t="str">
        <f>IF(VLOOKUP(A308&amp;" "&amp;B308,'HIDDEN import'!A:G,5,FALSE)="M",MD!$A$1,(IF(AND(VLOOKUP(A308,'HIDDEN import'!B:E,4,FALSE)="C",OR(NOT(ISERROR(VLOOKUP(E308,'Optional features'!B:D,1,FALSE)=E308)),NOT(ISERROR(VLOOKUP(E308,'HIDDEN calc sheet'!A:C,1,FALSE)=E308)))),MD!$A$3,MD!$A$2)))</f>
        <v>Mandatory for optional feature</v>
      </c>
      <c r="E308" t="str">
        <f>IF('HIDDEN import'!F307=0,"",'HIDDEN import'!F307)</f>
        <v>P-0</v>
      </c>
      <c r="F308" t="str">
        <f>IF('HIDDEN import'!G307=0,"",'HIDDEN import'!G307)</f>
        <v/>
      </c>
      <c r="G308" s="19" t="str">
        <f>IFERROR(VLOOKUP($A308,'HIDDEN Testrun Results'!$A:$B,2,FALSE),"")</f>
        <v/>
      </c>
      <c r="H308" s="3" t="b">
        <f t="shared" si="4"/>
        <v>0</v>
      </c>
      <c r="I308" s="3" t="b">
        <f>IF(VLOOKUP(A308&amp;" "&amp;B308,'HIDDEN import'!A:G,5,FALSE)="M",TRUE,IFERROR(VLOOKUP(E308,'Optional features'!B:D,3,FALSE)="Yes",IFERROR(VLOOKUP(E308,'HIDDEN calc sheet'!A:B,2,FALSE),IFERROR(VLOOKUP(E308,'Additional questions'!B:D,3,FALSE)="Yes",VLOOKUP(E308,'Hardware Feature set'!B:D,3,FALSE)="No"))))</f>
        <v>0</v>
      </c>
      <c r="J308" s="3" t="b">
        <f>IF(VLOOKUP(B308,'Profile selection'!B:C,2,FALSE)="Yes",TRUE,FALSE)</f>
        <v>1</v>
      </c>
      <c r="K308"/>
      <c r="L308"/>
    </row>
    <row r="309" spans="1:12" ht="17.100000000000001" customHeight="1" x14ac:dyDescent="0.25">
      <c r="A309" t="str">
        <f>'HIDDEN import'!B308</f>
        <v>TC_I_107_CS</v>
      </c>
      <c r="B309" t="str">
        <f>'HIDDEN import'!C308</f>
        <v>Core</v>
      </c>
      <c r="C309" t="str">
        <f>'HIDDEN import'!D308</f>
        <v>Receive Driver Tariff - CS cannot process tariff - UseDefault/CentralCost</v>
      </c>
      <c r="D309" t="str">
        <f>IF(VLOOKUP(A309&amp;" "&amp;B309,'HIDDEN import'!A:G,5,FALSE)="M",MD!$A$1,(IF(AND(VLOOKUP(A309,'HIDDEN import'!B:E,4,FALSE)="C",OR(NOT(ISERROR(VLOOKUP(E309,'Optional features'!B:D,1,FALSE)=E309)),NOT(ISERROR(VLOOKUP(E309,'HIDDEN calc sheet'!A:C,1,FALSE)=E309)))),MD!$A$3,MD!$A$2)))</f>
        <v>Mandatory for optional feature</v>
      </c>
      <c r="E309" t="str">
        <f>IF('HIDDEN import'!F308=0,"",'HIDDEN import'!F308)</f>
        <v>P-0</v>
      </c>
      <c r="F309" t="str">
        <f>IF('HIDDEN import'!G308=0,"",'HIDDEN import'!G308)</f>
        <v/>
      </c>
      <c r="G309" s="19" t="str">
        <f>IFERROR(VLOOKUP($A309,'HIDDEN Testrun Results'!$A:$B,2,FALSE),"")</f>
        <v/>
      </c>
      <c r="H309" s="3" t="b">
        <f t="shared" si="4"/>
        <v>0</v>
      </c>
      <c r="I309" s="3" t="b">
        <f>IF(VLOOKUP(A309&amp;" "&amp;B309,'HIDDEN import'!A:G,5,FALSE)="M",TRUE,IFERROR(VLOOKUP(E309,'Optional features'!B:D,3,FALSE)="Yes",IFERROR(VLOOKUP(E309,'HIDDEN calc sheet'!A:B,2,FALSE),IFERROR(VLOOKUP(E309,'Additional questions'!B:D,3,FALSE)="Yes",VLOOKUP(E309,'Hardware Feature set'!B:D,3,FALSE)="No"))))</f>
        <v>0</v>
      </c>
      <c r="J309" s="3" t="b">
        <f>IF(VLOOKUP(B309,'Profile selection'!B:C,2,FALSE)="Yes",TRUE,FALSE)</f>
        <v>1</v>
      </c>
      <c r="K309"/>
      <c r="L309"/>
    </row>
    <row r="310" spans="1:12" ht="17.100000000000001" customHeight="1" x14ac:dyDescent="0.25">
      <c r="A310" t="str">
        <f>'HIDDEN import'!B309</f>
        <v>TC_I_108_CS</v>
      </c>
      <c r="B310" t="str">
        <f>'HIDDEN import'!C309</f>
        <v>Core</v>
      </c>
      <c r="C310" t="str">
        <f>'HIDDEN import'!D309</f>
        <v>Receive Driver Tariff - CS cannot process tariff - Deauthorize</v>
      </c>
      <c r="D310" t="str">
        <f>IF(VLOOKUP(A310&amp;" "&amp;B310,'HIDDEN import'!A:G,5,FALSE)="M",MD!$A$1,(IF(AND(VLOOKUP(A310,'HIDDEN import'!B:E,4,FALSE)="C",OR(NOT(ISERROR(VLOOKUP(E310,'Optional features'!B:D,1,FALSE)=E310)),NOT(ISERROR(VLOOKUP(E310,'HIDDEN calc sheet'!A:C,1,FALSE)=E310)))),MD!$A$3,MD!$A$2)))</f>
        <v>Mandatory for optional feature</v>
      </c>
      <c r="E310" t="str">
        <f>IF('HIDDEN import'!F309=0,"",'HIDDEN import'!F309)</f>
        <v>P-0</v>
      </c>
      <c r="F310" t="str">
        <f>IF('HIDDEN import'!G309=0,"",'HIDDEN import'!G309)</f>
        <v/>
      </c>
      <c r="G310" s="19" t="str">
        <f>IFERROR(VLOOKUP($A310,'HIDDEN Testrun Results'!$A:$B,2,FALSE),"")</f>
        <v/>
      </c>
      <c r="H310" s="3" t="b">
        <f t="shared" si="4"/>
        <v>0</v>
      </c>
      <c r="I310" s="3" t="b">
        <f>IF(VLOOKUP(A310&amp;" "&amp;B310,'HIDDEN import'!A:G,5,FALSE)="M",TRUE,IFERROR(VLOOKUP(E310,'Optional features'!B:D,3,FALSE)="Yes",IFERROR(VLOOKUP(E310,'HIDDEN calc sheet'!A:B,2,FALSE),IFERROR(VLOOKUP(E310,'Additional questions'!B:D,3,FALSE)="Yes",VLOOKUP(E310,'Hardware Feature set'!B:D,3,FALSE)="No"))))</f>
        <v>0</v>
      </c>
      <c r="J310" s="3" t="b">
        <f>IF(VLOOKUP(B310,'Profile selection'!B:C,2,FALSE)="Yes",TRUE,FALSE)</f>
        <v>1</v>
      </c>
      <c r="K310"/>
      <c r="L310"/>
    </row>
    <row r="311" spans="1:12" ht="17.100000000000001" customHeight="1" x14ac:dyDescent="0.25">
      <c r="A311" t="str">
        <f>'HIDDEN import'!B310</f>
        <v>TC_I_109_CS</v>
      </c>
      <c r="B311" t="str">
        <f>'HIDDEN import'!C310</f>
        <v>Core</v>
      </c>
      <c r="C311" t="str">
        <f>'HIDDEN import'!D310</f>
        <v>Receive Driver Tariff - Goodflow</v>
      </c>
      <c r="D311" t="str">
        <f>IF(VLOOKUP(A311&amp;" "&amp;B311,'HIDDEN import'!A:G,5,FALSE)="M",MD!$A$1,(IF(AND(VLOOKUP(A311,'HIDDEN import'!B:E,4,FALSE)="C",OR(NOT(ISERROR(VLOOKUP(E311,'Optional features'!B:D,1,FALSE)=E311)),NOT(ISERROR(VLOOKUP(E311,'HIDDEN calc sheet'!A:C,1,FALSE)=E311)))),MD!$A$3,MD!$A$2)))</f>
        <v>Mandatory for optional feature</v>
      </c>
      <c r="E311" t="str">
        <f>IF('HIDDEN import'!F310=0,"",'HIDDEN import'!F310)</f>
        <v>P-0</v>
      </c>
      <c r="F311" t="str">
        <f>IF('HIDDEN import'!G310=0,"",'HIDDEN import'!G310)</f>
        <v/>
      </c>
      <c r="G311" s="19" t="str">
        <f>IFERROR(VLOOKUP($A311,'HIDDEN Testrun Results'!$A:$B,2,FALSE),"")</f>
        <v/>
      </c>
      <c r="H311" s="3" t="b">
        <f t="shared" si="4"/>
        <v>0</v>
      </c>
      <c r="I311" s="3" t="b">
        <f>IF(VLOOKUP(A311&amp;" "&amp;B311,'HIDDEN import'!A:G,5,FALSE)="M",TRUE,IFERROR(VLOOKUP(E311,'Optional features'!B:D,3,FALSE)="Yes",IFERROR(VLOOKUP(E311,'HIDDEN calc sheet'!A:B,2,FALSE),IFERROR(VLOOKUP(E311,'Additional questions'!B:D,3,FALSE)="Yes",VLOOKUP(E311,'Hardware Feature set'!B:D,3,FALSE)="No"))))</f>
        <v>0</v>
      </c>
      <c r="J311" s="3" t="b">
        <f>IF(VLOOKUP(B311,'Profile selection'!B:C,2,FALSE)="Yes",TRUE,FALSE)</f>
        <v>1</v>
      </c>
      <c r="K311"/>
      <c r="L311"/>
    </row>
    <row r="312" spans="1:12" ht="17.100000000000001" customHeight="1" x14ac:dyDescent="0.25">
      <c r="A312" t="str">
        <f>'HIDDEN import'!B311</f>
        <v>TC_I_110_CS</v>
      </c>
      <c r="B312" t="str">
        <f>'HIDDEN import'!C311</f>
        <v>Core</v>
      </c>
      <c r="C312" t="str">
        <f>'HIDDEN import'!D311</f>
        <v>Clear Tariffs - DefaultTariff</v>
      </c>
      <c r="D312" t="str">
        <f>IF(VLOOKUP(A312&amp;" "&amp;B312,'HIDDEN import'!A:G,5,FALSE)="M",MD!$A$1,(IF(AND(VLOOKUP(A312,'HIDDEN import'!B:E,4,FALSE)="C",OR(NOT(ISERROR(VLOOKUP(E312,'Optional features'!B:D,1,FALSE)=E312)),NOT(ISERROR(VLOOKUP(E312,'HIDDEN calc sheet'!A:C,1,FALSE)=E312)))),MD!$A$3,MD!$A$2)))</f>
        <v>Mandatory for optional feature</v>
      </c>
      <c r="E312" t="str">
        <f>IF('HIDDEN import'!F311=0,"",'HIDDEN import'!F311)</f>
        <v>P-0</v>
      </c>
      <c r="F312" t="str">
        <f>IF('HIDDEN import'!G311=0,"",'HIDDEN import'!G311)</f>
        <v/>
      </c>
      <c r="G312" s="19" t="str">
        <f>IFERROR(VLOOKUP($A312,'HIDDEN Testrun Results'!$A:$B,2,FALSE),"")</f>
        <v/>
      </c>
      <c r="H312" s="3" t="b">
        <f t="shared" si="4"/>
        <v>0</v>
      </c>
      <c r="I312" s="3" t="b">
        <f>IF(VLOOKUP(A312&amp;" "&amp;B312,'HIDDEN import'!A:G,5,FALSE)="M",TRUE,IFERROR(VLOOKUP(E312,'Optional features'!B:D,3,FALSE)="Yes",IFERROR(VLOOKUP(E312,'HIDDEN calc sheet'!A:B,2,FALSE),IFERROR(VLOOKUP(E312,'Additional questions'!B:D,3,FALSE)="Yes",VLOOKUP(E312,'Hardware Feature set'!B:D,3,FALSE)="No"))))</f>
        <v>0</v>
      </c>
      <c r="J312" s="3" t="b">
        <f>IF(VLOOKUP(B312,'Profile selection'!B:C,2,FALSE)="Yes",TRUE,FALSE)</f>
        <v>1</v>
      </c>
      <c r="K312"/>
      <c r="L312"/>
    </row>
    <row r="313" spans="1:12" ht="17.100000000000001" customHeight="1" x14ac:dyDescent="0.25">
      <c r="A313" t="str">
        <f>'HIDDEN import'!B312</f>
        <v>TC_I_111_CS</v>
      </c>
      <c r="B313" t="str">
        <f>'HIDDEN import'!C312</f>
        <v>Core</v>
      </c>
      <c r="C313" t="str">
        <f>'HIDDEN import'!D312</f>
        <v>Clear Tariffs - Tariff in use</v>
      </c>
      <c r="D313" t="str">
        <f>IF(VLOOKUP(A313&amp;" "&amp;B313,'HIDDEN import'!A:G,5,FALSE)="M",MD!$A$1,(IF(AND(VLOOKUP(A313,'HIDDEN import'!B:E,4,FALSE)="C",OR(NOT(ISERROR(VLOOKUP(E313,'Optional features'!B:D,1,FALSE)=E313)),NOT(ISERROR(VLOOKUP(E313,'HIDDEN calc sheet'!A:C,1,FALSE)=E313)))),MD!$A$3,MD!$A$2)))</f>
        <v>Mandatory for optional feature</v>
      </c>
      <c r="E313" t="str">
        <f>IF('HIDDEN import'!F312=0,"",'HIDDEN import'!F312)</f>
        <v>P-0</v>
      </c>
      <c r="F313" t="str">
        <f>IF('HIDDEN import'!G312=0,"",'HIDDEN import'!G312)</f>
        <v/>
      </c>
      <c r="G313" s="19" t="str">
        <f>IFERROR(VLOOKUP($A313,'HIDDEN Testrun Results'!$A:$B,2,FALSE),"")</f>
        <v/>
      </c>
      <c r="H313" s="3" t="b">
        <f t="shared" si="4"/>
        <v>0</v>
      </c>
      <c r="I313" s="3" t="b">
        <f>IF(VLOOKUP(A313&amp;" "&amp;B313,'HIDDEN import'!A:G,5,FALSE)="M",TRUE,IFERROR(VLOOKUP(E313,'Optional features'!B:D,3,FALSE)="Yes",IFERROR(VLOOKUP(E313,'HIDDEN calc sheet'!A:B,2,FALSE),IFERROR(VLOOKUP(E313,'Additional questions'!B:D,3,FALSE)="Yes",VLOOKUP(E313,'Hardware Feature set'!B:D,3,FALSE)="No"))))</f>
        <v>0</v>
      </c>
      <c r="J313" s="3" t="b">
        <f>IF(VLOOKUP(B313,'Profile selection'!B:C,2,FALSE)="Yes",TRUE,FALSE)</f>
        <v>1</v>
      </c>
      <c r="K313"/>
      <c r="L313"/>
    </row>
    <row r="314" spans="1:12" ht="17.100000000000001" customHeight="1" x14ac:dyDescent="0.25">
      <c r="A314" t="str">
        <f>'HIDDEN import'!B313</f>
        <v>TC_I_113_CS</v>
      </c>
      <c r="B314" t="str">
        <f>'HIDDEN import'!C313</f>
        <v>Core</v>
      </c>
      <c r="C314" t="str">
        <f>'HIDDEN import'!D313</f>
        <v>Local Cost Calculation - Change transaction tariff - TariffMaxElements</v>
      </c>
      <c r="D314" t="str">
        <f>IF(VLOOKUP(A314&amp;" "&amp;B314,'HIDDEN import'!A:G,5,FALSE)="M",MD!$A$1,(IF(AND(VLOOKUP(A314,'HIDDEN import'!B:E,4,FALSE)="C",OR(NOT(ISERROR(VLOOKUP(E314,'Optional features'!B:D,1,FALSE)=E314)),NOT(ISERROR(VLOOKUP(E314,'HIDDEN calc sheet'!A:C,1,FALSE)=E314)))),MD!$A$3,MD!$A$2)))</f>
        <v>Mandatory for optional feature</v>
      </c>
      <c r="E314" t="str">
        <f>IF('HIDDEN import'!F313=0,"",'HIDDEN import'!F313)</f>
        <v>P-0</v>
      </c>
      <c r="F314" t="str">
        <f>IF('HIDDEN import'!G313=0,"",'HIDDEN import'!G313)</f>
        <v/>
      </c>
      <c r="G314" s="19" t="str">
        <f>IFERROR(VLOOKUP($A314,'HIDDEN Testrun Results'!$A:$B,2,FALSE),"")</f>
        <v/>
      </c>
      <c r="H314" s="3" t="b">
        <f t="shared" si="4"/>
        <v>0</v>
      </c>
      <c r="I314" s="3" t="b">
        <f>IF(VLOOKUP(A314&amp;" "&amp;B314,'HIDDEN import'!A:G,5,FALSE)="M",TRUE,IFERROR(VLOOKUP(E314,'Optional features'!B:D,3,FALSE)="Yes",IFERROR(VLOOKUP(E314,'HIDDEN calc sheet'!A:B,2,FALSE),IFERROR(VLOOKUP(E314,'Additional questions'!B:D,3,FALSE)="Yes",VLOOKUP(E314,'Hardware Feature set'!B:D,3,FALSE)="No"))))</f>
        <v>0</v>
      </c>
      <c r="J314" s="3" t="b">
        <f>IF(VLOOKUP(B314,'Profile selection'!B:C,2,FALSE)="Yes",TRUE,FALSE)</f>
        <v>1</v>
      </c>
      <c r="K314"/>
      <c r="L314"/>
    </row>
    <row r="315" spans="1:12" ht="17.100000000000001" customHeight="1" x14ac:dyDescent="0.25">
      <c r="A315" t="str">
        <f>'HIDDEN import'!B314</f>
        <v>TC_I_114_CS</v>
      </c>
      <c r="B315" t="str">
        <f>'HIDDEN import'!C314</f>
        <v>Core</v>
      </c>
      <c r="C315" t="str">
        <f>'HIDDEN import'!D314</f>
        <v>Local Cost Calculation - Change transaction tariff - TariffConditionsSupported is false</v>
      </c>
      <c r="D315" t="str">
        <f>IF(VLOOKUP(A315&amp;" "&amp;B315,'HIDDEN import'!A:G,5,FALSE)="M",MD!$A$1,(IF(AND(VLOOKUP(A315,'HIDDEN import'!B:E,4,FALSE)="C",OR(NOT(ISERROR(VLOOKUP(E315,'Optional features'!B:D,1,FALSE)=E315)),NOT(ISERROR(VLOOKUP(E315,'HIDDEN calc sheet'!A:C,1,FALSE)=E315)))),MD!$A$3,MD!$A$2)))</f>
        <v>Mandatory for optional feature</v>
      </c>
      <c r="E315" t="str">
        <f>IF('HIDDEN import'!F314=0,"",'HIDDEN import'!F314)</f>
        <v>P-0</v>
      </c>
      <c r="F315" t="str">
        <f>IF('HIDDEN import'!G314=0,"",'HIDDEN import'!G314)</f>
        <v/>
      </c>
      <c r="G315" s="19" t="str">
        <f>IFERROR(VLOOKUP($A315,'HIDDEN Testrun Results'!$A:$B,2,FALSE),"")</f>
        <v/>
      </c>
      <c r="H315" s="3" t="b">
        <f t="shared" si="4"/>
        <v>0</v>
      </c>
      <c r="I315" s="3" t="b">
        <f>IF(VLOOKUP(A315&amp;" "&amp;B315,'HIDDEN import'!A:G,5,FALSE)="M",TRUE,IFERROR(VLOOKUP(E315,'Optional features'!B:D,3,FALSE)="Yes",IFERROR(VLOOKUP(E315,'HIDDEN calc sheet'!A:B,2,FALSE),IFERROR(VLOOKUP(E315,'Additional questions'!B:D,3,FALSE)="Yes",VLOOKUP(E315,'Hardware Feature set'!B:D,3,FALSE)="No"))))</f>
        <v>0</v>
      </c>
      <c r="J315" s="3" t="b">
        <f>IF(VLOOKUP(B315,'Profile selection'!B:C,2,FALSE)="Yes",TRUE,FALSE)</f>
        <v>1</v>
      </c>
      <c r="K315"/>
      <c r="L315"/>
    </row>
    <row r="316" spans="1:12" ht="17.100000000000001" customHeight="1" x14ac:dyDescent="0.25">
      <c r="A316" t="str">
        <f>'HIDDEN import'!B315</f>
        <v>TC_I_115_CS</v>
      </c>
      <c r="B316" t="str">
        <f>'HIDDEN import'!C315</f>
        <v>Core</v>
      </c>
      <c r="C316" t="str">
        <f>'HIDDEN import'!D315</f>
        <v>Local Cost Calculation - Change transaction tariff - TariffConditionsSupported is true</v>
      </c>
      <c r="D316" t="str">
        <f>IF(VLOOKUP(A316&amp;" "&amp;B316,'HIDDEN import'!A:G,5,FALSE)="M",MD!$A$1,(IF(AND(VLOOKUP(A316,'HIDDEN import'!B:E,4,FALSE)="C",OR(NOT(ISERROR(VLOOKUP(E316,'Optional features'!B:D,1,FALSE)=E316)),NOT(ISERROR(VLOOKUP(E316,'HIDDEN calc sheet'!A:C,1,FALSE)=E316)))),MD!$A$3,MD!$A$2)))</f>
        <v>Mandatory for optional feature</v>
      </c>
      <c r="E316" t="str">
        <f>IF('HIDDEN import'!F315=0,"",'HIDDEN import'!F315)</f>
        <v>P-0 and P-1</v>
      </c>
      <c r="F316" t="str">
        <f>IF('HIDDEN import'!G315=0,"",'HIDDEN import'!G315)</f>
        <v>Support for Tariff conditions</v>
      </c>
      <c r="G316" s="19" t="str">
        <f>IFERROR(VLOOKUP($A316,'HIDDEN Testrun Results'!$A:$B,2,FALSE),"")</f>
        <v/>
      </c>
      <c r="H316" s="3" t="b">
        <f t="shared" si="4"/>
        <v>0</v>
      </c>
      <c r="I316" s="3" t="b">
        <f>IF(VLOOKUP(A316&amp;" "&amp;B316,'HIDDEN import'!A:G,5,FALSE)="M",TRUE,IFERROR(VLOOKUP(E316,'Optional features'!B:D,3,FALSE)="Yes",IFERROR(VLOOKUP(E316,'HIDDEN calc sheet'!A:B,2,FALSE),IFERROR(VLOOKUP(E316,'Additional questions'!B:D,3,FALSE)="Yes",VLOOKUP(E316,'Hardware Feature set'!B:D,3,FALSE)="No"))))</f>
        <v>0</v>
      </c>
      <c r="J316" s="3" t="b">
        <f>IF(VLOOKUP(B316,'Profile selection'!B:C,2,FALSE)="Yes",TRUE,FALSE)</f>
        <v>1</v>
      </c>
      <c r="K316"/>
      <c r="L316"/>
    </row>
    <row r="317" spans="1:12" ht="17.100000000000001" customHeight="1" x14ac:dyDescent="0.25">
      <c r="A317" t="str">
        <f>'HIDDEN import'!B316</f>
        <v>TC_I_116_CS</v>
      </c>
      <c r="B317" t="str">
        <f>'HIDDEN import'!C316</f>
        <v>Core</v>
      </c>
      <c r="C317" t="str">
        <f>'HIDDEN import'!D316</f>
        <v>Local Cost Calculation - Change transaction tariff - goodflow</v>
      </c>
      <c r="D317" t="str">
        <f>IF(VLOOKUP(A317&amp;" "&amp;B317,'HIDDEN import'!A:G,5,FALSE)="M",MD!$A$1,(IF(AND(VLOOKUP(A317,'HIDDEN import'!B:E,4,FALSE)="C",OR(NOT(ISERROR(VLOOKUP(E317,'Optional features'!B:D,1,FALSE)=E317)),NOT(ISERROR(VLOOKUP(E317,'HIDDEN calc sheet'!A:C,1,FALSE)=E317)))),MD!$A$3,MD!$A$2)))</f>
        <v>Mandatory for optional feature</v>
      </c>
      <c r="E317" t="str">
        <f>IF('HIDDEN import'!F316=0,"",'HIDDEN import'!F316)</f>
        <v>P-0</v>
      </c>
      <c r="F317" t="str">
        <f>IF('HIDDEN import'!G316=0,"",'HIDDEN import'!G316)</f>
        <v/>
      </c>
      <c r="G317" s="19" t="str">
        <f>IFERROR(VLOOKUP($A317,'HIDDEN Testrun Results'!$A:$B,2,FALSE),"")</f>
        <v/>
      </c>
      <c r="H317" s="3" t="b">
        <f t="shared" si="4"/>
        <v>0</v>
      </c>
      <c r="I317" s="3" t="b">
        <f>IF(VLOOKUP(A317&amp;" "&amp;B317,'HIDDEN import'!A:G,5,FALSE)="M",TRUE,IFERROR(VLOOKUP(E317,'Optional features'!B:D,3,FALSE)="Yes",IFERROR(VLOOKUP(E317,'HIDDEN calc sheet'!A:B,2,FALSE),IFERROR(VLOOKUP(E317,'Additional questions'!B:D,3,FALSE)="Yes",VLOOKUP(E317,'Hardware Feature set'!B:D,3,FALSE)="No"))))</f>
        <v>0</v>
      </c>
      <c r="J317" s="3" t="b">
        <f>IF(VLOOKUP(B317,'Profile selection'!B:C,2,FALSE)="Yes",TRUE,FALSE)</f>
        <v>1</v>
      </c>
      <c r="K317"/>
      <c r="L317"/>
    </row>
    <row r="318" spans="1:12" ht="17.100000000000001" customHeight="1" x14ac:dyDescent="0.25">
      <c r="A318" t="str">
        <f>'HIDDEN import'!B317</f>
        <v>TC_I_117_CS</v>
      </c>
      <c r="B318" t="str">
        <f>'HIDDEN import'!C317</f>
        <v>Core</v>
      </c>
      <c r="C318" t="str">
        <f>'HIDDEN import'!D317</f>
        <v>Local Cost Calculation - Change transaction tariff - validations</v>
      </c>
      <c r="D318" t="str">
        <f>IF(VLOOKUP(A318&amp;" "&amp;B318,'HIDDEN import'!A:G,5,FALSE)="M",MD!$A$1,(IF(AND(VLOOKUP(A318,'HIDDEN import'!B:E,4,FALSE)="C",OR(NOT(ISERROR(VLOOKUP(E318,'Optional features'!B:D,1,FALSE)=E318)),NOT(ISERROR(VLOOKUP(E318,'HIDDEN calc sheet'!A:C,1,FALSE)=E318)))),MD!$A$3,MD!$A$2)))</f>
        <v>Mandatory for optional feature</v>
      </c>
      <c r="E318" t="str">
        <f>IF('HIDDEN import'!F317=0,"",'HIDDEN import'!F317)</f>
        <v>P-0</v>
      </c>
      <c r="F318" t="str">
        <f>IF('HIDDEN import'!G317=0,"",'HIDDEN import'!G317)</f>
        <v/>
      </c>
      <c r="G318" s="19" t="str">
        <f>IFERROR(VLOOKUP($A318,'HIDDEN Testrun Results'!$A:$B,2,FALSE),"")</f>
        <v/>
      </c>
      <c r="H318" s="3" t="b">
        <f t="shared" si="4"/>
        <v>0</v>
      </c>
      <c r="I318" s="3" t="b">
        <f>IF(VLOOKUP(A318&amp;" "&amp;B318,'HIDDEN import'!A:G,5,FALSE)="M",TRUE,IFERROR(VLOOKUP(E318,'Optional features'!B:D,3,FALSE)="Yes",IFERROR(VLOOKUP(E318,'HIDDEN calc sheet'!A:B,2,FALSE),IFERROR(VLOOKUP(E318,'Additional questions'!B:D,3,FALSE)="Yes",VLOOKUP(E318,'Hardware Feature set'!B:D,3,FALSE)="No"))))</f>
        <v>0</v>
      </c>
      <c r="J318" s="3" t="b">
        <f>IF(VLOOKUP(B318,'Profile selection'!B:C,2,FALSE)="Yes",TRUE,FALSE)</f>
        <v>1</v>
      </c>
      <c r="K318"/>
      <c r="L318"/>
    </row>
    <row r="319" spans="1:12" ht="17.100000000000001" customHeight="1" x14ac:dyDescent="0.25">
      <c r="A319" t="str">
        <f>'HIDDEN import'!B318</f>
        <v>TC_I_118_CS</v>
      </c>
      <c r="B319" t="str">
        <f>'HIDDEN import'!C318</f>
        <v>Core</v>
      </c>
      <c r="C319" t="str">
        <f>'HIDDEN import'!D318</f>
        <v>Local Cost Calculation - Cost Details of Transaction - no tariff conditions</v>
      </c>
      <c r="D319" t="str">
        <f>IF(VLOOKUP(A319&amp;" "&amp;B319,'HIDDEN import'!A:G,5,FALSE)="M",MD!$A$1,(IF(AND(VLOOKUP(A319,'HIDDEN import'!B:E,4,FALSE)="C",OR(NOT(ISERROR(VLOOKUP(E319,'Optional features'!B:D,1,FALSE)=E319)),NOT(ISERROR(VLOOKUP(E319,'HIDDEN calc sheet'!A:C,1,FALSE)=E319)))),MD!$A$3,MD!$A$2)))</f>
        <v>Mandatory for optional feature</v>
      </c>
      <c r="E319" t="str">
        <f>IF('HIDDEN import'!F318=0,"",'HIDDEN import'!F318)</f>
        <v>P-0</v>
      </c>
      <c r="F319" t="str">
        <f>IF('HIDDEN import'!G318=0,"",'HIDDEN import'!G318)</f>
        <v/>
      </c>
      <c r="G319" s="19" t="str">
        <f>IFERROR(VLOOKUP($A319,'HIDDEN Testrun Results'!$A:$B,2,FALSE),"")</f>
        <v/>
      </c>
      <c r="H319" s="3" t="b">
        <f t="shared" si="4"/>
        <v>0</v>
      </c>
      <c r="I319" s="3" t="b">
        <f>IF(VLOOKUP(A319&amp;" "&amp;B319,'HIDDEN import'!A:G,5,FALSE)="M",TRUE,IFERROR(VLOOKUP(E319,'Optional features'!B:D,3,FALSE)="Yes",IFERROR(VLOOKUP(E319,'HIDDEN calc sheet'!A:B,2,FALSE),IFERROR(VLOOKUP(E319,'Additional questions'!B:D,3,FALSE)="Yes",VLOOKUP(E319,'Hardware Feature set'!B:D,3,FALSE)="No"))))</f>
        <v>0</v>
      </c>
      <c r="J319" s="3" t="b">
        <f>IF(VLOOKUP(B319,'Profile selection'!B:C,2,FALSE)="Yes",TRUE,FALSE)</f>
        <v>1</v>
      </c>
      <c r="K319"/>
      <c r="L319"/>
    </row>
    <row r="320" spans="1:12" ht="17.100000000000001" customHeight="1" x14ac:dyDescent="0.25">
      <c r="A320" t="str">
        <f>'HIDDEN import'!B319</f>
        <v>TC_I_119_CS</v>
      </c>
      <c r="B320" t="str">
        <f>'HIDDEN import'!C319</f>
        <v>Core</v>
      </c>
      <c r="C320" t="str">
        <f>'HIDDEN import'!D319</f>
        <v>Local Cost Calculation - Cost Details of Transaction - with tariff conditions</v>
      </c>
      <c r="D320" t="str">
        <f>IF(VLOOKUP(A320&amp;" "&amp;B320,'HIDDEN import'!A:G,5,FALSE)="M",MD!$A$1,(IF(AND(VLOOKUP(A320,'HIDDEN import'!B:E,4,FALSE)="C",OR(NOT(ISERROR(VLOOKUP(E320,'Optional features'!B:D,1,FALSE)=E320)),NOT(ISERROR(VLOOKUP(E320,'HIDDEN calc sheet'!A:C,1,FALSE)=E320)))),MD!$A$3,MD!$A$2)))</f>
        <v>Mandatory for optional feature</v>
      </c>
      <c r="E320" t="str">
        <f>IF('HIDDEN import'!F319=0,"",'HIDDEN import'!F319)</f>
        <v>P-0 and P-1</v>
      </c>
      <c r="F320" t="str">
        <f>IF('HIDDEN import'!G319=0,"",'HIDDEN import'!G319)</f>
        <v>Support for Tariff conditions</v>
      </c>
      <c r="G320" s="19" t="str">
        <f>IFERROR(VLOOKUP($A320,'HIDDEN Testrun Results'!$A:$B,2,FALSE),"")</f>
        <v/>
      </c>
      <c r="H320" s="3" t="b">
        <f t="shared" si="4"/>
        <v>0</v>
      </c>
      <c r="I320" s="3" t="b">
        <f>IF(VLOOKUP(A320&amp;" "&amp;B320,'HIDDEN import'!A:G,5,FALSE)="M",TRUE,IFERROR(VLOOKUP(E320,'Optional features'!B:D,3,FALSE)="Yes",IFERROR(VLOOKUP(E320,'HIDDEN calc sheet'!A:B,2,FALSE),IFERROR(VLOOKUP(E320,'Additional questions'!B:D,3,FALSE)="Yes",VLOOKUP(E320,'Hardware Feature set'!B:D,3,FALSE)="No"))))</f>
        <v>0</v>
      </c>
      <c r="J320" s="3" t="b">
        <f>IF(VLOOKUP(B320,'Profile selection'!B:C,2,FALSE)="Yes",TRUE,FALSE)</f>
        <v>1</v>
      </c>
      <c r="K320"/>
      <c r="L320"/>
    </row>
    <row r="321" spans="1:12" ht="17.100000000000001" customHeight="1" x14ac:dyDescent="0.25">
      <c r="A321" t="str">
        <f>'HIDDEN import'!B320</f>
        <v>TC_I_120_CS</v>
      </c>
      <c r="B321" t="str">
        <f>'HIDDEN import'!C320</f>
        <v>Core</v>
      </c>
      <c r="C321" t="str">
        <f>'HIDDEN import'!D320</f>
        <v>Local Cost Calculation - Cost Details of Transaction - reservation</v>
      </c>
      <c r="D321" t="str">
        <f>IF(VLOOKUP(A321&amp;" "&amp;B321,'HIDDEN import'!A:G,5,FALSE)="M",MD!$A$1,(IF(AND(VLOOKUP(A321,'HIDDEN import'!B:E,4,FALSE)="C",OR(NOT(ISERROR(VLOOKUP(E321,'Optional features'!B:D,1,FALSE)=E321)),NOT(ISERROR(VLOOKUP(E321,'HIDDEN calc sheet'!A:C,1,FALSE)=E321)))),MD!$A$3,MD!$A$2)))</f>
        <v>Mandatory for optional feature</v>
      </c>
      <c r="E321" t="str">
        <f>IF('HIDDEN import'!F320=0,"",'HIDDEN import'!F320)</f>
        <v>P-0</v>
      </c>
      <c r="F321" t="str">
        <f>IF('HIDDEN import'!G320=0,"",'HIDDEN import'!G320)</f>
        <v/>
      </c>
      <c r="G321" s="19" t="str">
        <f>IFERROR(VLOOKUP($A321,'HIDDEN Testrun Results'!$A:$B,2,FALSE),"")</f>
        <v/>
      </c>
      <c r="H321" s="3" t="b">
        <f t="shared" si="4"/>
        <v>0</v>
      </c>
      <c r="I321" s="3" t="b">
        <f>IF(VLOOKUP(A321&amp;" "&amp;B321,'HIDDEN import'!A:G,5,FALSE)="M",TRUE,IFERROR(VLOOKUP(E321,'Optional features'!B:D,3,FALSE)="Yes",IFERROR(VLOOKUP(E321,'HIDDEN calc sheet'!A:B,2,FALSE),IFERROR(VLOOKUP(E321,'Additional questions'!B:D,3,FALSE)="Yes",VLOOKUP(E321,'Hardware Feature set'!B:D,3,FALSE)="No"))))</f>
        <v>0</v>
      </c>
      <c r="J321" s="3" t="b">
        <f>IF(VLOOKUP(B321,'Profile selection'!B:C,2,FALSE)="Yes",TRUE,FALSE)</f>
        <v>1</v>
      </c>
      <c r="K321"/>
      <c r="L321"/>
    </row>
    <row r="322" spans="1:12" ht="17.100000000000001" customHeight="1" x14ac:dyDescent="0.25">
      <c r="A322" t="str">
        <f>'HIDDEN import'!B321</f>
        <v>TC_I_121_CS</v>
      </c>
      <c r="B322" t="str">
        <f>'HIDDEN import'!C321</f>
        <v>Core</v>
      </c>
      <c r="C322" t="str">
        <f>'HIDDEN import'!D321</f>
        <v>Local Cost Calculation - Cost Details of Transaction - minCost/maxCost</v>
      </c>
      <c r="D322" t="str">
        <f>IF(VLOOKUP(A322&amp;" "&amp;B322,'HIDDEN import'!A:G,5,FALSE)="M",MD!$A$1,(IF(AND(VLOOKUP(A322,'HIDDEN import'!B:E,4,FALSE)="C",OR(NOT(ISERROR(VLOOKUP(E322,'Optional features'!B:D,1,FALSE)=E322)),NOT(ISERROR(VLOOKUP(E322,'HIDDEN calc sheet'!A:C,1,FALSE)=E322)))),MD!$A$3,MD!$A$2)))</f>
        <v>Mandatory for optional feature</v>
      </c>
      <c r="E322" t="str">
        <f>IF('HIDDEN import'!F321=0,"",'HIDDEN import'!F321)</f>
        <v>P-0</v>
      </c>
      <c r="F322" t="str">
        <f>IF('HIDDEN import'!G321=0,"",'HIDDEN import'!G321)</f>
        <v/>
      </c>
      <c r="G322" s="19" t="str">
        <f>IFERROR(VLOOKUP($A322,'HIDDEN Testrun Results'!$A:$B,2,FALSE),"")</f>
        <v/>
      </c>
      <c r="H322" s="3" t="b">
        <f t="shared" si="4"/>
        <v>0</v>
      </c>
      <c r="I322" s="3" t="b">
        <f>IF(VLOOKUP(A322&amp;" "&amp;B322,'HIDDEN import'!A:G,5,FALSE)="M",TRUE,IFERROR(VLOOKUP(E322,'Optional features'!B:D,3,FALSE)="Yes",IFERROR(VLOOKUP(E322,'HIDDEN calc sheet'!A:B,2,FALSE),IFERROR(VLOOKUP(E322,'Additional questions'!B:D,3,FALSE)="Yes",VLOOKUP(E322,'Hardware Feature set'!B:D,3,FALSE)="No"))))</f>
        <v>0</v>
      </c>
      <c r="J322" s="3" t="b">
        <f>IF(VLOOKUP(B322,'Profile selection'!B:C,2,FALSE)="Yes",TRUE,FALSE)</f>
        <v>1</v>
      </c>
      <c r="K322"/>
      <c r="L322"/>
    </row>
    <row r="323" spans="1:12" ht="17.100000000000001" customHeight="1" x14ac:dyDescent="0.25">
      <c r="A323" t="str">
        <f>'HIDDEN import'!B322</f>
        <v>TC_C_103_CS</v>
      </c>
      <c r="B323" t="str">
        <f>'HIDDEN import'!C322</f>
        <v>Core</v>
      </c>
      <c r="C323" t="str">
        <f>'HIDDEN import'!D322</f>
        <v>Authorization with Prepaid card - Success</v>
      </c>
      <c r="D323" t="str">
        <f>IF(VLOOKUP(A323&amp;" "&amp;B323,'HIDDEN import'!A:G,5,FALSE)="M",MD!$A$1,(IF(AND(VLOOKUP(A323,'HIDDEN import'!B:E,4,FALSE)="C",OR(NOT(ISERROR(VLOOKUP(E323,'Optional features'!B:D,1,FALSE)=E323)),NOT(ISERROR(VLOOKUP(E323,'HIDDEN calc sheet'!A:C,1,FALSE)=E323)))),MD!$A$3,MD!$A$2)))</f>
        <v>Mandatory for optional feature</v>
      </c>
      <c r="E323" t="str">
        <f>IF('HIDDEN import'!F322=0,"",'HIDDEN import'!F322)</f>
        <v>P-0 and P-2.1</v>
      </c>
      <c r="F323" t="str">
        <f>IF('HIDDEN import'!G322=0,"",'HIDDEN import'!G322)</f>
        <v>Payment by prepaid card</v>
      </c>
      <c r="G323" s="19" t="str">
        <f>IFERROR(VLOOKUP($A323,'HIDDEN Testrun Results'!$A:$B,2,FALSE),"")</f>
        <v/>
      </c>
      <c r="H323" s="3" t="b">
        <f t="shared" ref="H323:H386" si="5">IF(NOT(J323),FALSE,IF(NOT(ISLOGICAL(I323)),I323,AND(I323,J323)))</f>
        <v>0</v>
      </c>
      <c r="I323" s="3" t="b">
        <f>IF(VLOOKUP(A323&amp;" "&amp;B323,'HIDDEN import'!A:G,5,FALSE)="M",TRUE,IFERROR(VLOOKUP(E323,'Optional features'!B:D,3,FALSE)="Yes",IFERROR(VLOOKUP(E323,'HIDDEN calc sheet'!A:B,2,FALSE),IFERROR(VLOOKUP(E323,'Additional questions'!B:D,3,FALSE)="Yes",VLOOKUP(E323,'Hardware Feature set'!B:D,3,FALSE)="No"))))</f>
        <v>0</v>
      </c>
      <c r="J323" s="3" t="b">
        <f>IF(VLOOKUP(B323,'Profile selection'!B:C,2,FALSE)="Yes",TRUE,FALSE)</f>
        <v>1</v>
      </c>
      <c r="K323"/>
      <c r="L323"/>
    </row>
    <row r="324" spans="1:12" ht="17.100000000000001" customHeight="1" x14ac:dyDescent="0.25">
      <c r="A324" t="str">
        <f>'HIDDEN import'!B323</f>
        <v>TC_C_104_CS</v>
      </c>
      <c r="B324" t="str">
        <f>'HIDDEN import'!C323</f>
        <v>Core</v>
      </c>
      <c r="C324" t="str">
        <f>'HIDDEN import'!D323</f>
        <v>Authorization with Prepaid card - No credit</v>
      </c>
      <c r="D324" t="str">
        <f>IF(VLOOKUP(A324&amp;" "&amp;B324,'HIDDEN import'!A:G,5,FALSE)="M",MD!$A$1,(IF(AND(VLOOKUP(A324,'HIDDEN import'!B:E,4,FALSE)="C",OR(NOT(ISERROR(VLOOKUP(E324,'Optional features'!B:D,1,FALSE)=E324)),NOT(ISERROR(VLOOKUP(E324,'HIDDEN calc sheet'!A:C,1,FALSE)=E324)))),MD!$A$3,MD!$A$2)))</f>
        <v>Mandatory for optional feature</v>
      </c>
      <c r="E324" t="str">
        <f>IF('HIDDEN import'!F323=0,"",'HIDDEN import'!F323)</f>
        <v>P-0 and P-2.1</v>
      </c>
      <c r="F324" t="str">
        <f>IF('HIDDEN import'!G323=0,"",'HIDDEN import'!G323)</f>
        <v>Payment by prepaid card</v>
      </c>
      <c r="G324" s="19" t="str">
        <f>IFERROR(VLOOKUP($A324,'HIDDEN Testrun Results'!$A:$B,2,FALSE),"")</f>
        <v/>
      </c>
      <c r="H324" s="3" t="b">
        <f t="shared" si="5"/>
        <v>0</v>
      </c>
      <c r="I324" s="3" t="b">
        <f>IF(VLOOKUP(A324&amp;" "&amp;B324,'HIDDEN import'!A:G,5,FALSE)="M",TRUE,IFERROR(VLOOKUP(E324,'Optional features'!B:D,3,FALSE)="Yes",IFERROR(VLOOKUP(E324,'HIDDEN calc sheet'!A:B,2,FALSE),IFERROR(VLOOKUP(E324,'Additional questions'!B:D,3,FALSE)="Yes",VLOOKUP(E324,'Hardware Feature set'!B:D,3,FALSE)="No"))))</f>
        <v>0</v>
      </c>
      <c r="J324" s="3" t="b">
        <f>IF(VLOOKUP(B324,'Profile selection'!B:C,2,FALSE)="Yes",TRUE,FALSE)</f>
        <v>1</v>
      </c>
      <c r="K324"/>
      <c r="L324"/>
    </row>
    <row r="325" spans="1:12" ht="17.100000000000001" customHeight="1" x14ac:dyDescent="0.25">
      <c r="A325" t="str">
        <f>'HIDDEN import'!B324</f>
        <v>TC_C_105_CS</v>
      </c>
      <c r="B325" t="str">
        <f>'HIDDEN import'!C324</f>
        <v>Core</v>
      </c>
      <c r="C325" t="str">
        <f>'HIDDEN import'!D324</f>
        <v>Integrated Payment Terminal - CSMS rejects authorization</v>
      </c>
      <c r="D325" t="str">
        <f>IF(VLOOKUP(A325&amp;" "&amp;B325,'HIDDEN import'!A:G,5,FALSE)="M",MD!$A$1,(IF(AND(VLOOKUP(A325,'HIDDEN import'!B:E,4,FALSE)="C",OR(NOT(ISERROR(VLOOKUP(E325,'Optional features'!B:D,1,FALSE)=E325)),NOT(ISERROR(VLOOKUP(E325,'HIDDEN calc sheet'!A:C,1,FALSE)=E325)))),MD!$A$3,MD!$A$2)))</f>
        <v>Mandatory for optional feature</v>
      </c>
      <c r="E325" t="str">
        <f>IF('HIDDEN import'!F324=0,"",'HIDDEN import'!F324)</f>
        <v>P-0 and P-2.2</v>
      </c>
      <c r="F325" t="str">
        <f>IF('HIDDEN import'!G324=0,"",'HIDDEN import'!G324)</f>
        <v>Integrated payment terminal</v>
      </c>
      <c r="G325" s="19" t="str">
        <f>IFERROR(VLOOKUP($A325,'HIDDEN Testrun Results'!$A:$B,2,FALSE),"")</f>
        <v/>
      </c>
      <c r="H325" s="3" t="b">
        <f t="shared" si="5"/>
        <v>0</v>
      </c>
      <c r="I325" s="3" t="b">
        <f>IF(VLOOKUP(A325&amp;" "&amp;B325,'HIDDEN import'!A:G,5,FALSE)="M",TRUE,IFERROR(VLOOKUP(E325,'Optional features'!B:D,3,FALSE)="Yes",IFERROR(VLOOKUP(E325,'HIDDEN calc sheet'!A:B,2,FALSE),IFERROR(VLOOKUP(E325,'Additional questions'!B:D,3,FALSE)="Yes",VLOOKUP(E325,'Hardware Feature set'!B:D,3,FALSE)="No"))))</f>
        <v>0</v>
      </c>
      <c r="J325" s="3" t="b">
        <f>IF(VLOOKUP(B325,'Profile selection'!B:C,2,FALSE)="Yes",TRUE,FALSE)</f>
        <v>1</v>
      </c>
      <c r="K325"/>
      <c r="L325"/>
    </row>
    <row r="326" spans="1:12" ht="17.100000000000001" customHeight="1" x14ac:dyDescent="0.25">
      <c r="A326" t="str">
        <f>'HIDDEN import'!B325</f>
        <v>TC_C_106_CS</v>
      </c>
      <c r="B326" t="str">
        <f>'HIDDEN import'!C325</f>
        <v>Core</v>
      </c>
      <c r="C326" t="str">
        <f>'HIDDEN import'!D325</f>
        <v>Integrated Payment Terminal - Only Payment Terminal authorises</v>
      </c>
      <c r="D326" t="str">
        <f>IF(VLOOKUP(A326&amp;" "&amp;B326,'HIDDEN import'!A:G,5,FALSE)="M",MD!$A$1,(IF(AND(VLOOKUP(A326,'HIDDEN import'!B:E,4,FALSE)="C",OR(NOT(ISERROR(VLOOKUP(E326,'Optional features'!B:D,1,FALSE)=E326)),NOT(ISERROR(VLOOKUP(E326,'HIDDEN calc sheet'!A:C,1,FALSE)=E326)))),MD!$A$3,MD!$A$2)))</f>
        <v>Mandatory for optional feature</v>
      </c>
      <c r="E326" t="str">
        <f>IF('HIDDEN import'!F325=0,"",'HIDDEN import'!F325)</f>
        <v>P-0 and P-2.2</v>
      </c>
      <c r="F326" t="str">
        <f>IF('HIDDEN import'!G325=0,"",'HIDDEN import'!G325)</f>
        <v>Integrated payment terminal</v>
      </c>
      <c r="G326" s="19" t="str">
        <f>IFERROR(VLOOKUP($A326,'HIDDEN Testrun Results'!$A:$B,2,FALSE),"")</f>
        <v/>
      </c>
      <c r="H326" s="3" t="b">
        <f t="shared" si="5"/>
        <v>0</v>
      </c>
      <c r="I326" s="3" t="b">
        <f>IF(VLOOKUP(A326&amp;" "&amp;B326,'HIDDEN import'!A:G,5,FALSE)="M",TRUE,IFERROR(VLOOKUP(E326,'Optional features'!B:D,3,FALSE)="Yes",IFERROR(VLOOKUP(E326,'HIDDEN calc sheet'!A:B,2,FALSE),IFERROR(VLOOKUP(E326,'Additional questions'!B:D,3,FALSE)="Yes",VLOOKUP(E326,'Hardware Feature set'!B:D,3,FALSE)="No"))))</f>
        <v>0</v>
      </c>
      <c r="J326" s="3" t="b">
        <f>IF(VLOOKUP(B326,'Profile selection'!B:C,2,FALSE)="Yes",TRUE,FALSE)</f>
        <v>1</v>
      </c>
      <c r="K326"/>
      <c r="L326"/>
    </row>
    <row r="327" spans="1:12" ht="17.100000000000001" customHeight="1" x14ac:dyDescent="0.25">
      <c r="A327" t="str">
        <f>'HIDDEN import'!B326</f>
        <v>TC_C_107_CS</v>
      </c>
      <c r="B327" t="str">
        <f>'HIDDEN import'!C326</f>
        <v>Core</v>
      </c>
      <c r="C327" t="str">
        <f>'HIDDEN import'!D326</f>
        <v>Integrated Payment Terminal - Payment Terminal and CSMS authorises</v>
      </c>
      <c r="D327" t="str">
        <f>IF(VLOOKUP(A327&amp;" "&amp;B327,'HIDDEN import'!A:G,5,FALSE)="M",MD!$A$1,(IF(AND(VLOOKUP(A327,'HIDDEN import'!B:E,4,FALSE)="C",OR(NOT(ISERROR(VLOOKUP(E327,'Optional features'!B:D,1,FALSE)=E327)),NOT(ISERROR(VLOOKUP(E327,'HIDDEN calc sheet'!A:C,1,FALSE)=E327)))),MD!$A$3,MD!$A$2)))</f>
        <v>Mandatory for optional feature</v>
      </c>
      <c r="E327" t="str">
        <f>IF('HIDDEN import'!F326=0,"",'HIDDEN import'!F326)</f>
        <v>P-0 and P-2.2</v>
      </c>
      <c r="F327" t="str">
        <f>IF('HIDDEN import'!G326=0,"",'HIDDEN import'!G326)</f>
        <v>Integrated payment terminal</v>
      </c>
      <c r="G327" s="19" t="str">
        <f>IFERROR(VLOOKUP($A327,'HIDDEN Testrun Results'!$A:$B,2,FALSE),"")</f>
        <v/>
      </c>
      <c r="H327" s="3" t="b">
        <f t="shared" si="5"/>
        <v>0</v>
      </c>
      <c r="I327" s="3" t="b">
        <f>IF(VLOOKUP(A327&amp;" "&amp;B327,'HIDDEN import'!A:G,5,FALSE)="M",TRUE,IFERROR(VLOOKUP(E327,'Optional features'!B:D,3,FALSE)="Yes",IFERROR(VLOOKUP(E327,'HIDDEN calc sheet'!A:B,2,FALSE),IFERROR(VLOOKUP(E327,'Additional questions'!B:D,3,FALSE)="Yes",VLOOKUP(E327,'Hardware Feature set'!B:D,3,FALSE)="No"))))</f>
        <v>0</v>
      </c>
      <c r="J327" s="3" t="b">
        <f>IF(VLOOKUP(B327,'Profile selection'!B:C,2,FALSE)="Yes",TRUE,FALSE)</f>
        <v>1</v>
      </c>
      <c r="K327"/>
      <c r="L327"/>
    </row>
    <row r="328" spans="1:12" ht="17.100000000000001" customHeight="1" x14ac:dyDescent="0.25">
      <c r="A328" t="str">
        <f>'HIDDEN import'!B327</f>
        <v>TC_C_108_CS</v>
      </c>
      <c r="B328" t="str">
        <f>'HIDDEN import'!C327</f>
        <v>Core</v>
      </c>
      <c r="C328" t="str">
        <f>'HIDDEN import'!D327</f>
        <v>Integrated Payment Terminal - VAT number validation</v>
      </c>
      <c r="D328" t="str">
        <f>IF(VLOOKUP(A328&amp;" "&amp;B328,'HIDDEN import'!A:G,5,FALSE)="M",MD!$A$1,(IF(AND(VLOOKUP(A328,'HIDDEN import'!B:E,4,FALSE)="C",OR(NOT(ISERROR(VLOOKUP(E328,'Optional features'!B:D,1,FALSE)=E328)),NOT(ISERROR(VLOOKUP(E328,'HIDDEN calc sheet'!A:C,1,FALSE)=E328)))),MD!$A$3,MD!$A$2)))</f>
        <v>Mandatory for optional feature</v>
      </c>
      <c r="E328" t="str">
        <f>IF('HIDDEN import'!F327=0,"",'HIDDEN import'!F327)</f>
        <v>P-0 and P-2.2</v>
      </c>
      <c r="F328" t="str">
        <f>IF('HIDDEN import'!G327=0,"",'HIDDEN import'!G327)</f>
        <v>Integrated payment terminal</v>
      </c>
      <c r="G328" s="19" t="str">
        <f>IFERROR(VLOOKUP($A328,'HIDDEN Testrun Results'!$A:$B,2,FALSE),"")</f>
        <v/>
      </c>
      <c r="H328" s="3" t="b">
        <f t="shared" si="5"/>
        <v>0</v>
      </c>
      <c r="I328" s="3" t="b">
        <f>IF(VLOOKUP(A328&amp;" "&amp;B328,'HIDDEN import'!A:G,5,FALSE)="M",TRUE,IFERROR(VLOOKUP(E328,'Optional features'!B:D,3,FALSE)="Yes",IFERROR(VLOOKUP(E328,'HIDDEN calc sheet'!A:B,2,FALSE),IFERROR(VLOOKUP(E328,'Additional questions'!B:D,3,FALSE)="Yes",VLOOKUP(E328,'Hardware Feature set'!B:D,3,FALSE)="No"))))</f>
        <v>0</v>
      </c>
      <c r="J328" s="3" t="b">
        <f>IF(VLOOKUP(B328,'Profile selection'!B:C,2,FALSE)="Yes",TRUE,FALSE)</f>
        <v>1</v>
      </c>
      <c r="K328"/>
      <c r="L328"/>
    </row>
    <row r="329" spans="1:12" ht="17.100000000000001" customHeight="1" x14ac:dyDescent="0.25">
      <c r="A329" t="str">
        <f>'HIDDEN import'!B328</f>
        <v>TC_C_109_CS</v>
      </c>
      <c r="B329" t="str">
        <f>'HIDDEN import'!C328</f>
        <v>Core</v>
      </c>
      <c r="C329" t="str">
        <f>'HIDDEN import'!D328</f>
        <v>Integrated Payment Terminal - Cancelation prior to transaction - Only Payment Terminal authorised - EVConnectionTimeout</v>
      </c>
      <c r="D329" t="str">
        <f>IF(VLOOKUP(A329&amp;" "&amp;B329,'HIDDEN import'!A:G,5,FALSE)="M",MD!$A$1,(IF(AND(VLOOKUP(A329,'HIDDEN import'!B:E,4,FALSE)="C",OR(NOT(ISERROR(VLOOKUP(E329,'Optional features'!B:D,1,FALSE)=E329)),NOT(ISERROR(VLOOKUP(E329,'HIDDEN calc sheet'!A:C,1,FALSE)=E329)))),MD!$A$3,MD!$A$2)))</f>
        <v>Mandatory for optional feature</v>
      </c>
      <c r="E329" t="str">
        <f>IF('HIDDEN import'!F328=0,"",'HIDDEN import'!F328)</f>
        <v>P-0 and P-2.2</v>
      </c>
      <c r="F329" t="str">
        <f>IF('HIDDEN import'!G328=0,"",'HIDDEN import'!G328)</f>
        <v>Integrated payment terminal</v>
      </c>
      <c r="G329" s="19" t="str">
        <f>IFERROR(VLOOKUP($A329,'HIDDEN Testrun Results'!$A:$B,2,FALSE),"")</f>
        <v/>
      </c>
      <c r="H329" s="3" t="b">
        <f t="shared" si="5"/>
        <v>0</v>
      </c>
      <c r="I329" s="3" t="b">
        <f>IF(VLOOKUP(A329&amp;" "&amp;B329,'HIDDEN import'!A:G,5,FALSE)="M",TRUE,IFERROR(VLOOKUP(E329,'Optional features'!B:D,3,FALSE)="Yes",IFERROR(VLOOKUP(E329,'HIDDEN calc sheet'!A:B,2,FALSE),IFERROR(VLOOKUP(E329,'Additional questions'!B:D,3,FALSE)="Yes",VLOOKUP(E329,'Hardware Feature set'!B:D,3,FALSE)="No"))))</f>
        <v>0</v>
      </c>
      <c r="J329" s="3" t="b">
        <f>IF(VLOOKUP(B329,'Profile selection'!B:C,2,FALSE)="Yes",TRUE,FALSE)</f>
        <v>1</v>
      </c>
      <c r="K329"/>
      <c r="L329"/>
    </row>
    <row r="330" spans="1:12" ht="17.100000000000001" customHeight="1" x14ac:dyDescent="0.25">
      <c r="A330" t="str">
        <f>'HIDDEN import'!B329</f>
        <v>TC_C_110_CS</v>
      </c>
      <c r="B330" t="str">
        <f>'HIDDEN import'!C329</f>
        <v>Core</v>
      </c>
      <c r="C330" t="str">
        <f>'HIDDEN import'!D329</f>
        <v>Integrated Payment Terminal - Cancelation prior to transaction - Payment Terminal and CSMS authorised - stopped by EV driver</v>
      </c>
      <c r="D330" t="str">
        <f>IF(VLOOKUP(A330&amp;" "&amp;B330,'HIDDEN import'!A:G,5,FALSE)="M",MD!$A$1,(IF(AND(VLOOKUP(A330,'HIDDEN import'!B:E,4,FALSE)="C",OR(NOT(ISERROR(VLOOKUP(E330,'Optional features'!B:D,1,FALSE)=E330)),NOT(ISERROR(VLOOKUP(E330,'HIDDEN calc sheet'!A:C,1,FALSE)=E330)))),MD!$A$3,MD!$A$2)))</f>
        <v>Mandatory for optional feature</v>
      </c>
      <c r="E330" t="str">
        <f>IF('HIDDEN import'!F329=0,"",'HIDDEN import'!F329)</f>
        <v>P-0 and P-2.2</v>
      </c>
      <c r="F330" t="str">
        <f>IF('HIDDEN import'!G329=0,"",'HIDDEN import'!G329)</f>
        <v>Integrated payment terminal</v>
      </c>
      <c r="G330" s="19" t="str">
        <f>IFERROR(VLOOKUP($A330,'HIDDEN Testrun Results'!$A:$B,2,FALSE),"")</f>
        <v/>
      </c>
      <c r="H330" s="3" t="b">
        <f t="shared" si="5"/>
        <v>0</v>
      </c>
      <c r="I330" s="3" t="b">
        <f>IF(VLOOKUP(A330&amp;" "&amp;B330,'HIDDEN import'!A:G,5,FALSE)="M",TRUE,IFERROR(VLOOKUP(E330,'Optional features'!B:D,3,FALSE)="Yes",IFERROR(VLOOKUP(E330,'HIDDEN calc sheet'!A:B,2,FALSE),IFERROR(VLOOKUP(E330,'Additional questions'!B:D,3,FALSE)="Yes",VLOOKUP(E330,'Hardware Feature set'!B:D,3,FALSE)="No"))))</f>
        <v>0</v>
      </c>
      <c r="J330" s="3" t="b">
        <f>IF(VLOOKUP(B330,'Profile selection'!B:C,2,FALSE)="Yes",TRUE,FALSE)</f>
        <v>1</v>
      </c>
      <c r="K330"/>
      <c r="L330"/>
    </row>
    <row r="331" spans="1:12" ht="17.100000000000001" customHeight="1" x14ac:dyDescent="0.25">
      <c r="A331" t="str">
        <f>'HIDDEN import'!B330</f>
        <v>TC_C_111_CS</v>
      </c>
      <c r="B331" t="str">
        <f>'HIDDEN import'!C330</f>
        <v>Core</v>
      </c>
      <c r="C331" t="str">
        <f>'HIDDEN import'!D330</f>
        <v>Integrated Payment Terminal - Cancelation prior to transaction - Only Payment Terminal authorised - stopped by EV driver</v>
      </c>
      <c r="D331" t="str">
        <f>IF(VLOOKUP(A331&amp;" "&amp;B331,'HIDDEN import'!A:G,5,FALSE)="M",MD!$A$1,(IF(AND(VLOOKUP(A331,'HIDDEN import'!B:E,4,FALSE)="C",OR(NOT(ISERROR(VLOOKUP(E331,'Optional features'!B:D,1,FALSE)=E331)),NOT(ISERROR(VLOOKUP(E331,'HIDDEN calc sheet'!A:C,1,FALSE)=E331)))),MD!$A$3,MD!$A$2)))</f>
        <v>Mandatory for optional feature</v>
      </c>
      <c r="E331" t="str">
        <f>IF('HIDDEN import'!F330=0,"",'HIDDEN import'!F330)</f>
        <v>P-0 and P-2.2</v>
      </c>
      <c r="F331" t="str">
        <f>IF('HIDDEN import'!G330=0,"",'HIDDEN import'!G330)</f>
        <v>Integrated payment terminal</v>
      </c>
      <c r="G331" s="19" t="str">
        <f>IFERROR(VLOOKUP($A331,'HIDDEN Testrun Results'!$A:$B,2,FALSE),"")</f>
        <v/>
      </c>
      <c r="H331" s="3" t="b">
        <f t="shared" si="5"/>
        <v>0</v>
      </c>
      <c r="I331" s="3" t="b">
        <f>IF(VLOOKUP(A331&amp;" "&amp;B331,'HIDDEN import'!A:G,5,FALSE)="M",TRUE,IFERROR(VLOOKUP(E331,'Optional features'!B:D,3,FALSE)="Yes",IFERROR(VLOOKUP(E331,'HIDDEN calc sheet'!A:B,2,FALSE),IFERROR(VLOOKUP(E331,'Additional questions'!B:D,3,FALSE)="Yes",VLOOKUP(E331,'Hardware Feature set'!B:D,3,FALSE)="No"))))</f>
        <v>0</v>
      </c>
      <c r="J331" s="3" t="b">
        <f>IF(VLOOKUP(B331,'Profile selection'!B:C,2,FALSE)="Yes",TRUE,FALSE)</f>
        <v>1</v>
      </c>
      <c r="K331"/>
      <c r="L331"/>
    </row>
    <row r="332" spans="1:12" ht="17.100000000000001" customHeight="1" x14ac:dyDescent="0.25">
      <c r="A332" t="str">
        <f>'HIDDEN import'!B331</f>
        <v>TC_C_112_CS</v>
      </c>
      <c r="B332" t="str">
        <f>'HIDDEN import'!C331</f>
        <v>Core</v>
      </c>
      <c r="C332" t="str">
        <f>'HIDDEN import'!D331</f>
        <v>Integrated Payment Terminal - Cancelation prior to transaction - Payment Terminal and CSMS authorised - EVConnectionTimeout</v>
      </c>
      <c r="D332" t="str">
        <f>IF(VLOOKUP(A332&amp;" "&amp;B332,'HIDDEN import'!A:G,5,FALSE)="M",MD!$A$1,(IF(AND(VLOOKUP(A332,'HIDDEN import'!B:E,4,FALSE)="C",OR(NOT(ISERROR(VLOOKUP(E332,'Optional features'!B:D,1,FALSE)=E332)),NOT(ISERROR(VLOOKUP(E332,'HIDDEN calc sheet'!A:C,1,FALSE)=E332)))),MD!$A$3,MD!$A$2)))</f>
        <v>Mandatory for optional feature</v>
      </c>
      <c r="E332" t="str">
        <f>IF('HIDDEN import'!F331=0,"",'HIDDEN import'!F331)</f>
        <v>P-0 and P-2.2</v>
      </c>
      <c r="F332" t="str">
        <f>IF('HIDDEN import'!G331=0,"",'HIDDEN import'!G331)</f>
        <v>Integrated payment terminal</v>
      </c>
      <c r="G332" s="19" t="str">
        <f>IFERROR(VLOOKUP($A332,'HIDDEN Testrun Results'!$A:$B,2,FALSE),"")</f>
        <v/>
      </c>
      <c r="H332" s="3" t="b">
        <f t="shared" si="5"/>
        <v>0</v>
      </c>
      <c r="I332" s="3" t="b">
        <f>IF(VLOOKUP(A332&amp;" "&amp;B332,'HIDDEN import'!A:G,5,FALSE)="M",TRUE,IFERROR(VLOOKUP(E332,'Optional features'!B:D,3,FALSE)="Yes",IFERROR(VLOOKUP(E332,'HIDDEN calc sheet'!A:B,2,FALSE),IFERROR(VLOOKUP(E332,'Additional questions'!B:D,3,FALSE)="Yes",VLOOKUP(E332,'Hardware Feature set'!B:D,3,FALSE)="No"))))</f>
        <v>0</v>
      </c>
      <c r="J332" s="3" t="b">
        <f>IF(VLOOKUP(B332,'Profile selection'!B:C,2,FALSE)="Yes",TRUE,FALSE)</f>
        <v>1</v>
      </c>
      <c r="K332"/>
      <c r="L332"/>
    </row>
    <row r="333" spans="1:12" ht="17.100000000000001" customHeight="1" x14ac:dyDescent="0.25">
      <c r="A333" t="str">
        <f>'HIDDEN import'!B332</f>
        <v>TC_C_113_CS</v>
      </c>
      <c r="B333" t="str">
        <f>'HIDDEN import'!C332</f>
        <v>Core</v>
      </c>
      <c r="C333" t="str">
        <f>'HIDDEN import'!D332</f>
        <v>Integrated Payment Terminal - Cancelation after start of transaction - stopped by EV driver</v>
      </c>
      <c r="D333" t="str">
        <f>IF(VLOOKUP(A333&amp;" "&amp;B333,'HIDDEN import'!A:G,5,FALSE)="M",MD!$A$1,(IF(AND(VLOOKUP(A333,'HIDDEN import'!B:E,4,FALSE)="C",OR(NOT(ISERROR(VLOOKUP(E333,'Optional features'!B:D,1,FALSE)=E333)),NOT(ISERROR(VLOOKUP(E333,'HIDDEN calc sheet'!A:C,1,FALSE)=E333)))),MD!$A$3,MD!$A$2)))</f>
        <v>Mandatory for optional feature</v>
      </c>
      <c r="E333" t="str">
        <f>IF('HIDDEN import'!F332=0,"",'HIDDEN import'!F332)</f>
        <v>P-0 and P-2.2</v>
      </c>
      <c r="F333" t="str">
        <f>IF('HIDDEN import'!G332=0,"",'HIDDEN import'!G332)</f>
        <v>Integrated payment terminal</v>
      </c>
      <c r="G333" s="19" t="str">
        <f>IFERROR(VLOOKUP($A333,'HIDDEN Testrun Results'!$A:$B,2,FALSE),"")</f>
        <v/>
      </c>
      <c r="H333" s="3" t="b">
        <f t="shared" si="5"/>
        <v>0</v>
      </c>
      <c r="I333" s="3" t="b">
        <f>IF(VLOOKUP(A333&amp;" "&amp;B333,'HIDDEN import'!A:G,5,FALSE)="M",TRUE,IFERROR(VLOOKUP(E333,'Optional features'!B:D,3,FALSE)="Yes",IFERROR(VLOOKUP(E333,'HIDDEN calc sheet'!A:B,2,FALSE),IFERROR(VLOOKUP(E333,'Additional questions'!B:D,3,FALSE)="Yes",VLOOKUP(E333,'Hardware Feature set'!B:D,3,FALSE)="No"))))</f>
        <v>0</v>
      </c>
      <c r="J333" s="3" t="b">
        <f>IF(VLOOKUP(B333,'Profile selection'!B:C,2,FALSE)="Yes",TRUE,FALSE)</f>
        <v>1</v>
      </c>
      <c r="K333"/>
      <c r="L333"/>
    </row>
    <row r="334" spans="1:12" ht="17.100000000000001" customHeight="1" x14ac:dyDescent="0.25">
      <c r="A334" t="str">
        <f>'HIDDEN import'!B333</f>
        <v>TC_C_114_CS</v>
      </c>
      <c r="B334" t="str">
        <f>'HIDDEN import'!C333</f>
        <v>Core</v>
      </c>
      <c r="C334" t="str">
        <f>'HIDDEN import'!D333</f>
        <v>Settlement at end of transaction - Settled by CS, receipt by CS</v>
      </c>
      <c r="D334" t="str">
        <f>IF(VLOOKUP(A334&amp;" "&amp;B334,'HIDDEN import'!A:G,5,FALSE)="M",MD!$A$1,(IF(AND(VLOOKUP(A334,'HIDDEN import'!B:E,4,FALSE)="C",OR(NOT(ISERROR(VLOOKUP(E334,'Optional features'!B:D,1,FALSE)=E334)),NOT(ISERROR(VLOOKUP(E334,'HIDDEN calc sheet'!A:C,1,FALSE)=E334)))),MD!$A$3,MD!$A$2)))</f>
        <v>Mandatory for optional feature</v>
      </c>
      <c r="E334" t="str">
        <f>IF('HIDDEN import'!F333=0,"",'HIDDEN import'!F333)</f>
        <v>P-0 and P-2.2</v>
      </c>
      <c r="F334" t="str">
        <f>IF('HIDDEN import'!G333=0,"",'HIDDEN import'!G333)</f>
        <v>Integrated payment terminal</v>
      </c>
      <c r="G334" s="19" t="str">
        <f>IFERROR(VLOOKUP($A334,'HIDDEN Testrun Results'!$A:$B,2,FALSE),"")</f>
        <v/>
      </c>
      <c r="H334" s="3" t="b">
        <f t="shared" si="5"/>
        <v>0</v>
      </c>
      <c r="I334" s="3" t="b">
        <f>IF(VLOOKUP(A334&amp;" "&amp;B334,'HIDDEN import'!A:G,5,FALSE)="M",TRUE,IFERROR(VLOOKUP(E334,'Optional features'!B:D,3,FALSE)="Yes",IFERROR(VLOOKUP(E334,'HIDDEN calc sheet'!A:B,2,FALSE),IFERROR(VLOOKUP(E334,'Additional questions'!B:D,3,FALSE)="Yes",VLOOKUP(E334,'Hardware Feature set'!B:D,3,FALSE)="No"))))</f>
        <v>0</v>
      </c>
      <c r="J334" s="3" t="b">
        <f>IF(VLOOKUP(B334,'Profile selection'!B:C,2,FALSE)="Yes",TRUE,FALSE)</f>
        <v>1</v>
      </c>
      <c r="K334"/>
      <c r="L334"/>
    </row>
    <row r="335" spans="1:12" ht="17.100000000000001" customHeight="1" x14ac:dyDescent="0.25">
      <c r="A335" t="str">
        <f>'HIDDEN import'!B334</f>
        <v>TC_C_115_CS</v>
      </c>
      <c r="B335" t="str">
        <f>'HIDDEN import'!C334</f>
        <v>Core</v>
      </c>
      <c r="C335" t="str">
        <f>'HIDDEN import'!D334</f>
        <v>Settlement at end of transaction - Settled by CSMS</v>
      </c>
      <c r="D335" t="str">
        <f>IF(VLOOKUP(A335&amp;" "&amp;B335,'HIDDEN import'!A:G,5,FALSE)="M",MD!$A$1,(IF(AND(VLOOKUP(A335,'HIDDEN import'!B:E,4,FALSE)="C",OR(NOT(ISERROR(VLOOKUP(E335,'Optional features'!B:D,1,FALSE)=E335)),NOT(ISERROR(VLOOKUP(E335,'HIDDEN calc sheet'!A:C,1,FALSE)=E335)))),MD!$A$3,MD!$A$2)))</f>
        <v>Mandatory for optional feature</v>
      </c>
      <c r="E335" t="str">
        <f>IF('HIDDEN import'!F334=0,"",'HIDDEN import'!F334)</f>
        <v>P-0 and P-2.2</v>
      </c>
      <c r="F335" t="str">
        <f>IF('HIDDEN import'!G334=0,"",'HIDDEN import'!G334)</f>
        <v>Integrated payment terminal</v>
      </c>
      <c r="G335" s="19" t="str">
        <f>IFERROR(VLOOKUP($A335,'HIDDEN Testrun Results'!$A:$B,2,FALSE),"")</f>
        <v/>
      </c>
      <c r="H335" s="3" t="b">
        <f t="shared" si="5"/>
        <v>0</v>
      </c>
      <c r="I335" s="3" t="b">
        <f>IF(VLOOKUP(A335&amp;" "&amp;B335,'HIDDEN import'!A:G,5,FALSE)="M",TRUE,IFERROR(VLOOKUP(E335,'Optional features'!B:D,3,FALSE)="Yes",IFERROR(VLOOKUP(E335,'HIDDEN calc sheet'!A:B,2,FALSE),IFERROR(VLOOKUP(E335,'Additional questions'!B:D,3,FALSE)="Yes",VLOOKUP(E335,'Hardware Feature set'!B:D,3,FALSE)="No"))))</f>
        <v>0</v>
      </c>
      <c r="J335" s="3" t="b">
        <f>IF(VLOOKUP(B335,'Profile selection'!B:C,2,FALSE)="Yes",TRUE,FALSE)</f>
        <v>1</v>
      </c>
      <c r="K335"/>
      <c r="L335"/>
    </row>
    <row r="336" spans="1:12" ht="17.100000000000001" customHeight="1" x14ac:dyDescent="0.25">
      <c r="A336" t="str">
        <f>'HIDDEN import'!B335</f>
        <v>TC_C_116_CS</v>
      </c>
      <c r="B336" t="str">
        <f>'HIDDEN import'!C335</f>
        <v>Core</v>
      </c>
      <c r="C336" t="str">
        <f>'HIDDEN import'!D335</f>
        <v>Settlement at end of transaction - Settled by CS, receipt by CSMS</v>
      </c>
      <c r="D336" t="str">
        <f>IF(VLOOKUP(A336&amp;" "&amp;B336,'HIDDEN import'!A:G,5,FALSE)="M",MD!$A$1,(IF(AND(VLOOKUP(A336,'HIDDEN import'!B:E,4,FALSE)="C",OR(NOT(ISERROR(VLOOKUP(E336,'Optional features'!B:D,1,FALSE)=E336)),NOT(ISERROR(VLOOKUP(E336,'HIDDEN calc sheet'!A:C,1,FALSE)=E336)))),MD!$A$3,MD!$A$2)))</f>
        <v>Mandatory for optional feature</v>
      </c>
      <c r="E336" t="str">
        <f>IF('HIDDEN import'!F335=0,"",'HIDDEN import'!F335)</f>
        <v>P-0 and P-2.2</v>
      </c>
      <c r="F336" t="str">
        <f>IF('HIDDEN import'!G335=0,"",'HIDDEN import'!G335)</f>
        <v>Integrated payment terminal</v>
      </c>
      <c r="G336" s="19" t="str">
        <f>IFERROR(VLOOKUP($A336,'HIDDEN Testrun Results'!$A:$B,2,FALSE),"")</f>
        <v/>
      </c>
      <c r="H336" s="3" t="b">
        <f t="shared" si="5"/>
        <v>0</v>
      </c>
      <c r="I336" s="3" t="b">
        <f>IF(VLOOKUP(A336&amp;" "&amp;B336,'HIDDEN import'!A:G,5,FALSE)="M",TRUE,IFERROR(VLOOKUP(E336,'Optional features'!B:D,3,FALSE)="Yes",IFERROR(VLOOKUP(E336,'HIDDEN calc sheet'!A:B,2,FALSE),IFERROR(VLOOKUP(E336,'Additional questions'!B:D,3,FALSE)="Yes",VLOOKUP(E336,'Hardware Feature set'!B:D,3,FALSE)="No"))))</f>
        <v>0</v>
      </c>
      <c r="J336" s="3" t="b">
        <f>IF(VLOOKUP(B336,'Profile selection'!B:C,2,FALSE)="Yes",TRUE,FALSE)</f>
        <v>1</v>
      </c>
      <c r="K336"/>
      <c r="L336"/>
    </row>
    <row r="337" spans="1:12" ht="17.100000000000001" customHeight="1" x14ac:dyDescent="0.25">
      <c r="A337" t="str">
        <f>'HIDDEN import'!B336</f>
        <v>TC_C_119_CS</v>
      </c>
      <c r="B337" t="str">
        <f>'HIDDEN import'!C336</f>
        <v>Core</v>
      </c>
      <c r="C337" t="str">
        <f>'HIDDEN import'!D336</f>
        <v>Settlement - Is rejected or fails - Failed</v>
      </c>
      <c r="D337" t="str">
        <f>IF(VLOOKUP(A337&amp;" "&amp;B337,'HIDDEN import'!A:G,5,FALSE)="M",MD!$A$1,(IF(AND(VLOOKUP(A337,'HIDDEN import'!B:E,4,FALSE)="C",OR(NOT(ISERROR(VLOOKUP(E337,'Optional features'!B:D,1,FALSE)=E337)),NOT(ISERROR(VLOOKUP(E337,'HIDDEN calc sheet'!A:C,1,FALSE)=E337)))),MD!$A$3,MD!$A$2)))</f>
        <v>Mandatory for optional feature</v>
      </c>
      <c r="E337" t="str">
        <f>IF('HIDDEN import'!F336=0,"",'HIDDEN import'!F336)</f>
        <v>P-0 and P-2.2</v>
      </c>
      <c r="F337" t="str">
        <f>IF('HIDDEN import'!G336=0,"",'HIDDEN import'!G336)</f>
        <v>Integrated payment terminal</v>
      </c>
      <c r="G337" s="19" t="str">
        <f>IFERROR(VLOOKUP($A337,'HIDDEN Testrun Results'!$A:$B,2,FALSE),"")</f>
        <v/>
      </c>
      <c r="H337" s="3" t="b">
        <f t="shared" si="5"/>
        <v>0</v>
      </c>
      <c r="I337" s="3" t="b">
        <f>IF(VLOOKUP(A337&amp;" "&amp;B337,'HIDDEN import'!A:G,5,FALSE)="M",TRUE,IFERROR(VLOOKUP(E337,'Optional features'!B:D,3,FALSE)="Yes",IFERROR(VLOOKUP(E337,'HIDDEN calc sheet'!A:B,2,FALSE),IFERROR(VLOOKUP(E337,'Additional questions'!B:D,3,FALSE)="Yes",VLOOKUP(E337,'Hardware Feature set'!B:D,3,FALSE)="No"))))</f>
        <v>0</v>
      </c>
      <c r="J337" s="3" t="b">
        <f>IF(VLOOKUP(B337,'Profile selection'!B:C,2,FALSE)="Yes",TRUE,FALSE)</f>
        <v>1</v>
      </c>
      <c r="K337"/>
      <c r="L337"/>
    </row>
    <row r="338" spans="1:12" ht="17.100000000000001" customHeight="1" x14ac:dyDescent="0.25">
      <c r="A338" t="str">
        <f>'HIDDEN import'!B337</f>
        <v>TC_C_120_CS</v>
      </c>
      <c r="B338" t="str">
        <f>'HIDDEN import'!C337</f>
        <v>Core</v>
      </c>
      <c r="C338" t="str">
        <f>'HIDDEN import'!D337</f>
        <v>Settlement - Is rejected or fails - Rejected</v>
      </c>
      <c r="D338" t="str">
        <f>IF(VLOOKUP(A338&amp;" "&amp;B338,'HIDDEN import'!A:G,5,FALSE)="M",MD!$A$1,(IF(AND(VLOOKUP(A338,'HIDDEN import'!B:E,4,FALSE)="C",OR(NOT(ISERROR(VLOOKUP(E338,'Optional features'!B:D,1,FALSE)=E338)),NOT(ISERROR(VLOOKUP(E338,'HIDDEN calc sheet'!A:C,1,FALSE)=E338)))),MD!$A$3,MD!$A$2)))</f>
        <v>Mandatory for optional feature</v>
      </c>
      <c r="E338" t="str">
        <f>IF('HIDDEN import'!F337=0,"",'HIDDEN import'!F337)</f>
        <v>P-0 and P-2.2</v>
      </c>
      <c r="F338" t="str">
        <f>IF('HIDDEN import'!G337=0,"",'HIDDEN import'!G337)</f>
        <v>Integrated payment terminal</v>
      </c>
      <c r="G338" s="19" t="str">
        <f>IFERROR(VLOOKUP($A338,'HIDDEN Testrun Results'!$A:$B,2,FALSE),"")</f>
        <v/>
      </c>
      <c r="H338" s="3" t="b">
        <f t="shared" si="5"/>
        <v>0</v>
      </c>
      <c r="I338" s="3" t="b">
        <f>IF(VLOOKUP(A338&amp;" "&amp;B338,'HIDDEN import'!A:G,5,FALSE)="M",TRUE,IFERROR(VLOOKUP(E338,'Optional features'!B:D,3,FALSE)="Yes",IFERROR(VLOOKUP(E338,'HIDDEN calc sheet'!A:B,2,FALSE),IFERROR(VLOOKUP(E338,'Additional questions'!B:D,3,FALSE)="Yes",VLOOKUP(E338,'Hardware Feature set'!B:D,3,FALSE)="No"))))</f>
        <v>0</v>
      </c>
      <c r="J338" s="3" t="b">
        <f>IF(VLOOKUP(B338,'Profile selection'!B:C,2,FALSE)="Yes",TRUE,FALSE)</f>
        <v>1</v>
      </c>
      <c r="K338"/>
      <c r="L338"/>
    </row>
    <row r="339" spans="1:12" ht="17.100000000000001" customHeight="1" x14ac:dyDescent="0.25">
      <c r="A339" t="str">
        <f>'HIDDEN import'!B338</f>
        <v>TC_C_121_CS</v>
      </c>
      <c r="B339" t="str">
        <f>'HIDDEN import'!C338</f>
        <v>Core</v>
      </c>
      <c r="C339" t="str">
        <f>'HIDDEN import'!D338</f>
        <v>Incremental authorization - increasing enabled</v>
      </c>
      <c r="D339" t="str">
        <f>IF(VLOOKUP(A339&amp;" "&amp;B339,'HIDDEN import'!A:G,5,FALSE)="M",MD!$A$1,(IF(AND(VLOOKUP(A339,'HIDDEN import'!B:E,4,FALSE)="C",OR(NOT(ISERROR(VLOOKUP(E339,'Optional features'!B:D,1,FALSE)=E339)),NOT(ISERROR(VLOOKUP(E339,'HIDDEN calc sheet'!A:C,1,FALSE)=E339)))),MD!$A$3,MD!$A$2)))</f>
        <v>Mandatory for optional feature</v>
      </c>
      <c r="E339" t="str">
        <f>IF('HIDDEN import'!F338=0,"",'HIDDEN import'!F338)</f>
        <v>P-0 and P-2.2</v>
      </c>
      <c r="F339" t="str">
        <f>IF('HIDDEN import'!G338=0,"",'HIDDEN import'!G338)</f>
        <v>Integrated payment terminal</v>
      </c>
      <c r="G339" s="19" t="str">
        <f>IFERROR(VLOOKUP($A339,'HIDDEN Testrun Results'!$A:$B,2,FALSE),"")</f>
        <v/>
      </c>
      <c r="H339" s="3" t="b">
        <f t="shared" si="5"/>
        <v>0</v>
      </c>
      <c r="I339" s="3" t="b">
        <f>IF(VLOOKUP(A339&amp;" "&amp;B339,'HIDDEN import'!A:G,5,FALSE)="M",TRUE,IFERROR(VLOOKUP(E339,'Optional features'!B:D,3,FALSE)="Yes",IFERROR(VLOOKUP(E339,'HIDDEN calc sheet'!A:B,2,FALSE),IFERROR(VLOOKUP(E339,'Additional questions'!B:D,3,FALSE)="Yes",VLOOKUP(E339,'Hardware Feature set'!B:D,3,FALSE)="No"))))</f>
        <v>0</v>
      </c>
      <c r="J339" s="3" t="b">
        <f>IF(VLOOKUP(B339,'Profile selection'!B:C,2,FALSE)="Yes",TRUE,FALSE)</f>
        <v>1</v>
      </c>
      <c r="K339"/>
      <c r="L339"/>
    </row>
    <row r="340" spans="1:12" ht="17.100000000000001" customHeight="1" x14ac:dyDescent="0.25">
      <c r="A340" t="str">
        <f>'HIDDEN import'!B339</f>
        <v>TC_C_122_CS</v>
      </c>
      <c r="B340" t="str">
        <f>'HIDDEN import'!C339</f>
        <v>Core</v>
      </c>
      <c r="C340" t="str">
        <f>'HIDDEN import'!D339</f>
        <v>Incremental authorization - increasing disabled</v>
      </c>
      <c r="D340" t="str">
        <f>IF(VLOOKUP(A340&amp;" "&amp;B340,'HIDDEN import'!A:G,5,FALSE)="M",MD!$A$1,(IF(AND(VLOOKUP(A340,'HIDDEN import'!B:E,4,FALSE)="C",OR(NOT(ISERROR(VLOOKUP(E340,'Optional features'!B:D,1,FALSE)=E340)),NOT(ISERROR(VLOOKUP(E340,'HIDDEN calc sheet'!A:C,1,FALSE)=E340)))),MD!$A$3,MD!$A$2)))</f>
        <v>Mandatory for optional feature</v>
      </c>
      <c r="E340" t="str">
        <f>IF('HIDDEN import'!F339=0,"",'HIDDEN import'!F339)</f>
        <v>P-0 and P-2.2</v>
      </c>
      <c r="F340" t="str">
        <f>IF('HIDDEN import'!G339=0,"",'HIDDEN import'!G339)</f>
        <v>Integrated payment terminal</v>
      </c>
      <c r="G340" s="19" t="str">
        <f>IFERROR(VLOOKUP($A340,'HIDDEN Testrun Results'!$A:$B,2,FALSE),"")</f>
        <v/>
      </c>
      <c r="H340" s="3" t="b">
        <f t="shared" si="5"/>
        <v>0</v>
      </c>
      <c r="I340" s="3" t="b">
        <f>IF(VLOOKUP(A340&amp;" "&amp;B340,'HIDDEN import'!A:G,5,FALSE)="M",TRUE,IFERROR(VLOOKUP(E340,'Optional features'!B:D,3,FALSE)="Yes",IFERROR(VLOOKUP(E340,'HIDDEN calc sheet'!A:B,2,FALSE),IFERROR(VLOOKUP(E340,'Additional questions'!B:D,3,FALSE)="Yes",VLOOKUP(E340,'Hardware Feature set'!B:D,3,FALSE)="No"))))</f>
        <v>0</v>
      </c>
      <c r="J340" s="3" t="b">
        <f>IF(VLOOKUP(B340,'Profile selection'!B:C,2,FALSE)="Yes",TRUE,FALSE)</f>
        <v>1</v>
      </c>
      <c r="K340"/>
      <c r="L340"/>
    </row>
    <row r="341" spans="1:12" ht="17.100000000000001" customHeight="1" x14ac:dyDescent="0.25">
      <c r="A341" t="str">
        <f>'HIDDEN import'!B340</f>
        <v>TC_C_123_CS</v>
      </c>
      <c r="B341" t="str">
        <f>'HIDDEN import'!C340</f>
        <v>Core</v>
      </c>
      <c r="C341" t="str">
        <f>'HIDDEN import'!D340</f>
        <v>Ad hoc payment via stand-alone payment terminal - Local cost calculation</v>
      </c>
      <c r="D341" t="str">
        <f>IF(VLOOKUP(A341&amp;" "&amp;B341,'HIDDEN import'!A:G,5,FALSE)="M",MD!$A$1,(IF(AND(VLOOKUP(A341,'HIDDEN import'!B:E,4,FALSE)="C",OR(NOT(ISERROR(VLOOKUP(E341,'Optional features'!B:D,1,FALSE)=E341)),NOT(ISERROR(VLOOKUP(E341,'HIDDEN calc sheet'!A:C,1,FALSE)=E341)))),MD!$A$3,MD!$A$2)))</f>
        <v>Mandatory for optional feature</v>
      </c>
      <c r="E341" t="str">
        <f>IF('HIDDEN import'!F340=0,"",'HIDDEN import'!F340)</f>
        <v>P-0 and P-2.3</v>
      </c>
      <c r="F341" t="str">
        <f>IF('HIDDEN import'!G340=0,"",'HIDDEN import'!G340)</f>
        <v>Stand alone payment terminal</v>
      </c>
      <c r="G341" s="19" t="str">
        <f>IFERROR(VLOOKUP($A341,'HIDDEN Testrun Results'!$A:$B,2,FALSE),"")</f>
        <v/>
      </c>
      <c r="H341" s="3" t="b">
        <f t="shared" si="5"/>
        <v>0</v>
      </c>
      <c r="I341" s="3" t="b">
        <f>IF(VLOOKUP(A341&amp;" "&amp;B341,'HIDDEN import'!A:G,5,FALSE)="M",TRUE,IFERROR(VLOOKUP(E341,'Optional features'!B:D,3,FALSE)="Yes",IFERROR(VLOOKUP(E341,'HIDDEN calc sheet'!A:B,2,FALSE),IFERROR(VLOOKUP(E341,'Additional questions'!B:D,3,FALSE)="Yes",VLOOKUP(E341,'Hardware Feature set'!B:D,3,FALSE)="No"))))</f>
        <v>0</v>
      </c>
      <c r="J341" s="3" t="b">
        <f>IF(VLOOKUP(B341,'Profile selection'!B:C,2,FALSE)="Yes",TRUE,FALSE)</f>
        <v>1</v>
      </c>
      <c r="K341"/>
      <c r="L341"/>
    </row>
    <row r="342" spans="1:12" ht="17.100000000000001" customHeight="1" x14ac:dyDescent="0.25">
      <c r="A342" t="str">
        <f>'HIDDEN import'!B341</f>
        <v>TC_C_124_CS</v>
      </c>
      <c r="B342" t="str">
        <f>'HIDDEN import'!C341</f>
        <v>Core</v>
      </c>
      <c r="C342" t="str">
        <f>'HIDDEN import'!D341</f>
        <v>Ad hoc payment via stand-alone payment terminal - Central cost calculation</v>
      </c>
      <c r="D342" t="str">
        <f>IF(VLOOKUP(A342&amp;" "&amp;B342,'HIDDEN import'!A:G,5,FALSE)="M",MD!$A$1,(IF(AND(VLOOKUP(A342,'HIDDEN import'!B:E,4,FALSE)="C",OR(NOT(ISERROR(VLOOKUP(E342,'Optional features'!B:D,1,FALSE)=E342)),NOT(ISERROR(VLOOKUP(E342,'HIDDEN calc sheet'!A:C,1,FALSE)=E342)))),MD!$A$3,MD!$A$2)))</f>
        <v>Mandatory for optional feature</v>
      </c>
      <c r="E342" t="str">
        <f>IF('HIDDEN import'!F341=0,"",'HIDDEN import'!F341)</f>
        <v>P-0 and P-2.3</v>
      </c>
      <c r="F342" t="str">
        <f>IF('HIDDEN import'!G341=0,"",'HIDDEN import'!G341)</f>
        <v>Stand alone payment terminal</v>
      </c>
      <c r="G342" s="19" t="str">
        <f>IFERROR(VLOOKUP($A342,'HIDDEN Testrun Results'!$A:$B,2,FALSE),"")</f>
        <v/>
      </c>
      <c r="H342" s="3" t="b">
        <f t="shared" si="5"/>
        <v>0</v>
      </c>
      <c r="I342" s="3" t="b">
        <f>IF(VLOOKUP(A342&amp;" "&amp;B342,'HIDDEN import'!A:G,5,FALSE)="M",TRUE,IFERROR(VLOOKUP(E342,'Optional features'!B:D,3,FALSE)="Yes",IFERROR(VLOOKUP(E342,'HIDDEN calc sheet'!A:B,2,FALSE),IFERROR(VLOOKUP(E342,'Additional questions'!B:D,3,FALSE)="Yes",VLOOKUP(E342,'Hardware Feature set'!B:D,3,FALSE)="No"))))</f>
        <v>0</v>
      </c>
      <c r="J342" s="3" t="b">
        <f>IF(VLOOKUP(B342,'Profile selection'!B:C,2,FALSE)="Yes",TRUE,FALSE)</f>
        <v>1</v>
      </c>
      <c r="K342"/>
      <c r="L342"/>
    </row>
    <row r="343" spans="1:12" ht="17.100000000000001" customHeight="1" x14ac:dyDescent="0.25">
      <c r="A343" t="str">
        <f>'HIDDEN import'!B342</f>
        <v>TC_C_127_CS</v>
      </c>
      <c r="B343" t="str">
        <f>'HIDDEN import'!C342</f>
        <v>Core</v>
      </c>
      <c r="C343" t="str">
        <f>'HIDDEN import'!D342</f>
        <v>Ad hoc payment via static or dynamic QR code - No URL parameters</v>
      </c>
      <c r="D343" t="str">
        <f>IF(VLOOKUP(A343&amp;" "&amp;B343,'HIDDEN import'!A:G,5,FALSE)="M",MD!$A$1,(IF(AND(VLOOKUP(A343,'HIDDEN import'!B:E,4,FALSE)="C",OR(NOT(ISERROR(VLOOKUP(E343,'Optional features'!B:D,1,FALSE)=E343)),NOT(ISERROR(VLOOKUP(E343,'HIDDEN calc sheet'!A:C,1,FALSE)=E343)))),MD!$A$3,MD!$A$2)))</f>
        <v>Mandatory for optional feature</v>
      </c>
      <c r="E343" t="str">
        <f>IF('HIDDEN import'!F342=0,"",'HIDDEN import'!F342)</f>
        <v>P-0 and P-2.4</v>
      </c>
      <c r="F343" t="str">
        <f>IF('HIDDEN import'!G342=0,"",'HIDDEN import'!G342)</f>
        <v>QR code payment</v>
      </c>
      <c r="G343" s="19" t="str">
        <f>IFERROR(VLOOKUP($A343,'HIDDEN Testrun Results'!$A:$B,2,FALSE),"")</f>
        <v/>
      </c>
      <c r="H343" s="3" t="b">
        <f t="shared" si="5"/>
        <v>0</v>
      </c>
      <c r="I343" s="3" t="b">
        <f>IF(VLOOKUP(A343&amp;" "&amp;B343,'HIDDEN import'!A:G,5,FALSE)="M",TRUE,IFERROR(VLOOKUP(E343,'Optional features'!B:D,3,FALSE)="Yes",IFERROR(VLOOKUP(E343,'HIDDEN calc sheet'!A:B,2,FALSE),IFERROR(VLOOKUP(E343,'Additional questions'!B:D,3,FALSE)="Yes",VLOOKUP(E343,'Hardware Feature set'!B:D,3,FALSE)="No"))))</f>
        <v>0</v>
      </c>
      <c r="J343" s="3" t="b">
        <f>IF(VLOOKUP(B343,'Profile selection'!B:C,2,FALSE)="Yes",TRUE,FALSE)</f>
        <v>1</v>
      </c>
      <c r="K343"/>
      <c r="L343"/>
    </row>
    <row r="344" spans="1:12" ht="17.100000000000001" customHeight="1" x14ac:dyDescent="0.25">
      <c r="A344" t="str">
        <f>'HIDDEN import'!B343</f>
        <v>TC_C_128_CS</v>
      </c>
      <c r="B344" t="str">
        <f>'HIDDEN import'!C343</f>
        <v>Core</v>
      </c>
      <c r="C344" t="str">
        <f>'HIDDEN import'!D343</f>
        <v>Ad hoc payment via static or dynamic QR code - URL parameter maxTime</v>
      </c>
      <c r="D344" t="str">
        <f>IF(VLOOKUP(A344&amp;" "&amp;B344,'HIDDEN import'!A:G,5,FALSE)="M",MD!$A$1,(IF(AND(VLOOKUP(A344,'HIDDEN import'!B:E,4,FALSE)="C",OR(NOT(ISERROR(VLOOKUP(E344,'Optional features'!B:D,1,FALSE)=E344)),NOT(ISERROR(VLOOKUP(E344,'HIDDEN calc sheet'!A:C,1,FALSE)=E344)))),MD!$A$3,MD!$A$2)))</f>
        <v>Mandatory for optional feature</v>
      </c>
      <c r="E344" t="str">
        <f>IF('HIDDEN import'!F343=0,"",'HIDDEN import'!F343)</f>
        <v>P-0 and P-2.4</v>
      </c>
      <c r="F344" t="str">
        <f>IF('HIDDEN import'!G343=0,"",'HIDDEN import'!G343)</f>
        <v>QR code payment</v>
      </c>
      <c r="G344" s="19" t="str">
        <f>IFERROR(VLOOKUP($A344,'HIDDEN Testrun Results'!$A:$B,2,FALSE),"")</f>
        <v/>
      </c>
      <c r="H344" s="3" t="b">
        <f t="shared" si="5"/>
        <v>0</v>
      </c>
      <c r="I344" s="3" t="b">
        <f>IF(VLOOKUP(A344&amp;" "&amp;B344,'HIDDEN import'!A:G,5,FALSE)="M",TRUE,IFERROR(VLOOKUP(E344,'Optional features'!B:D,3,FALSE)="Yes",IFERROR(VLOOKUP(E344,'HIDDEN calc sheet'!A:B,2,FALSE),IFERROR(VLOOKUP(E344,'Additional questions'!B:D,3,FALSE)="Yes",VLOOKUP(E344,'Hardware Feature set'!B:D,3,FALSE)="No"))))</f>
        <v>0</v>
      </c>
      <c r="J344" s="3" t="b">
        <f>IF(VLOOKUP(B344,'Profile selection'!B:C,2,FALSE)="Yes",TRUE,FALSE)</f>
        <v>1</v>
      </c>
      <c r="K344"/>
      <c r="L344"/>
    </row>
    <row r="345" spans="1:12" ht="17.100000000000001" customHeight="1" x14ac:dyDescent="0.25">
      <c r="A345" t="str">
        <f>'HIDDEN import'!B344</f>
        <v>TC_C_129_CS</v>
      </c>
      <c r="B345" t="str">
        <f>'HIDDEN import'!C344</f>
        <v>Core</v>
      </c>
      <c r="C345" t="str">
        <f>'HIDDEN import'!D344</f>
        <v>Ad hoc payment via static or dynamic QR code - URL parameter maxCost</v>
      </c>
      <c r="D345" t="str">
        <f>IF(VLOOKUP(A345&amp;" "&amp;B345,'HIDDEN import'!A:G,5,FALSE)="M",MD!$A$1,(IF(AND(VLOOKUP(A345,'HIDDEN import'!B:E,4,FALSE)="C",OR(NOT(ISERROR(VLOOKUP(E345,'Optional features'!B:D,1,FALSE)=E345)),NOT(ISERROR(VLOOKUP(E345,'HIDDEN calc sheet'!A:C,1,FALSE)=E345)))),MD!$A$3,MD!$A$2)))</f>
        <v>Mandatory for optional feature</v>
      </c>
      <c r="E345" t="str">
        <f>IF('HIDDEN import'!F344=0,"",'HIDDEN import'!F344)</f>
        <v>P-0 and P-2.4</v>
      </c>
      <c r="F345" t="str">
        <f>IF('HIDDEN import'!G344=0,"",'HIDDEN import'!G344)</f>
        <v>QR code payment</v>
      </c>
      <c r="G345" s="19" t="str">
        <f>IFERROR(VLOOKUP($A345,'HIDDEN Testrun Results'!$A:$B,2,FALSE),"")</f>
        <v/>
      </c>
      <c r="H345" s="3" t="b">
        <f t="shared" si="5"/>
        <v>0</v>
      </c>
      <c r="I345" s="3" t="b">
        <f>IF(VLOOKUP(A345&amp;" "&amp;B345,'HIDDEN import'!A:G,5,FALSE)="M",TRUE,IFERROR(VLOOKUP(E345,'Optional features'!B:D,3,FALSE)="Yes",IFERROR(VLOOKUP(E345,'HIDDEN calc sheet'!A:B,2,FALSE),IFERROR(VLOOKUP(E345,'Additional questions'!B:D,3,FALSE)="Yes",VLOOKUP(E345,'Hardware Feature set'!B:D,3,FALSE)="No"))))</f>
        <v>0</v>
      </c>
      <c r="J345" s="3" t="b">
        <f>IF(VLOOKUP(B345,'Profile selection'!B:C,2,FALSE)="Yes",TRUE,FALSE)</f>
        <v>1</v>
      </c>
      <c r="K345"/>
      <c r="L345"/>
    </row>
    <row r="346" spans="1:12" ht="17.100000000000001" customHeight="1" x14ac:dyDescent="0.25">
      <c r="A346" t="str">
        <f>'HIDDEN import'!B345</f>
        <v>TC_C_130_CS</v>
      </c>
      <c r="B346" t="str">
        <f>'HIDDEN import'!C345</f>
        <v>Core</v>
      </c>
      <c r="C346" t="str">
        <f>'HIDDEN import'!D345</f>
        <v>Ad hoc payment via static or dynamic QR code - URL parameter maxEnergy</v>
      </c>
      <c r="D346" t="str">
        <f>IF(VLOOKUP(A346&amp;" "&amp;B346,'HIDDEN import'!A:G,5,FALSE)="M",MD!$A$1,(IF(AND(VLOOKUP(A346,'HIDDEN import'!B:E,4,FALSE)="C",OR(NOT(ISERROR(VLOOKUP(E346,'Optional features'!B:D,1,FALSE)=E346)),NOT(ISERROR(VLOOKUP(E346,'HIDDEN calc sheet'!A:C,1,FALSE)=E346)))),MD!$A$3,MD!$A$2)))</f>
        <v>Mandatory for optional feature</v>
      </c>
      <c r="E346" t="str">
        <f>IF('HIDDEN import'!F345=0,"",'HIDDEN import'!F345)</f>
        <v>P-0 and P-2.4</v>
      </c>
      <c r="F346" t="str">
        <f>IF('HIDDEN import'!G345=0,"",'HIDDEN import'!G345)</f>
        <v>QR code payment</v>
      </c>
      <c r="G346" s="19" t="str">
        <f>IFERROR(VLOOKUP($A346,'HIDDEN Testrun Results'!$A:$B,2,FALSE),"")</f>
        <v/>
      </c>
      <c r="H346" s="3" t="b">
        <f t="shared" si="5"/>
        <v>0</v>
      </c>
      <c r="I346" s="3" t="b">
        <f>IF(VLOOKUP(A346&amp;" "&amp;B346,'HIDDEN import'!A:G,5,FALSE)="M",TRUE,IFERROR(VLOOKUP(E346,'Optional features'!B:D,3,FALSE)="Yes",IFERROR(VLOOKUP(E346,'HIDDEN calc sheet'!A:B,2,FALSE),IFERROR(VLOOKUP(E346,'Additional questions'!B:D,3,FALSE)="Yes",VLOOKUP(E346,'Hardware Feature set'!B:D,3,FALSE)="No"))))</f>
        <v>0</v>
      </c>
      <c r="J346" s="3" t="b">
        <f>IF(VLOOKUP(B346,'Profile selection'!B:C,2,FALSE)="Yes",TRUE,FALSE)</f>
        <v>1</v>
      </c>
      <c r="K346"/>
      <c r="L346"/>
    </row>
    <row r="347" spans="1:12" ht="17.100000000000001" customHeight="1" x14ac:dyDescent="0.25">
      <c r="A347" t="str">
        <f>'HIDDEN import'!B346</f>
        <v>TC_B_16_CS</v>
      </c>
      <c r="B347" t="str">
        <f>'HIDDEN import'!C346</f>
        <v>Core</v>
      </c>
      <c r="C347" t="str">
        <f>'HIDDEN import'!D346</f>
        <v>Get Custom Report - with component criteria</v>
      </c>
      <c r="D347" t="str">
        <f>IF(VLOOKUP(A347&amp;" "&amp;B347,'HIDDEN import'!A:G,5,FALSE)="M",MD!$A$1,(IF(AND(VLOOKUP(A347,'HIDDEN import'!B:E,4,FALSE)="C",OR(NOT(ISERROR(VLOOKUP(E347,'Optional features'!B:D,1,FALSE)=E347)),NOT(ISERROR(VLOOKUP(E347,'HIDDEN calc sheet'!A:C,1,FALSE)=E347)))),MD!$A$3,MD!$A$2)))</f>
        <v>Mandatory for optional feature</v>
      </c>
      <c r="E347" t="str">
        <f>IF('HIDDEN import'!F346=0,"",'HIDDEN import'!F346)</f>
        <v>DM-0</v>
      </c>
      <c r="F347" t="str">
        <f>IF('HIDDEN import'!G346=0,"",'HIDDEN import'!G346)</f>
        <v/>
      </c>
      <c r="G347" s="19" t="str">
        <f>IFERROR(VLOOKUP($A347,'HIDDEN Testrun Results'!$A:$B,2,FALSE),"")</f>
        <v/>
      </c>
      <c r="H347" s="3" t="b">
        <f t="shared" si="5"/>
        <v>0</v>
      </c>
      <c r="I347" s="3" t="b">
        <f>IF(VLOOKUP(A347&amp;" "&amp;B347,'HIDDEN import'!A:G,5,FALSE)="M",TRUE,IFERROR(VLOOKUP(E347,'Optional features'!B:D,3,FALSE)="Yes",IFERROR(VLOOKUP(E347,'HIDDEN calc sheet'!A:B,2,FALSE),IFERROR(VLOOKUP(E347,'Additional questions'!B:D,3,FALSE)="Yes",VLOOKUP(E347,'Hardware Feature set'!B:D,3,FALSE)="No"))))</f>
        <v>0</v>
      </c>
      <c r="J347" s="3" t="b">
        <f>IF(VLOOKUP(B347,'Profile selection'!B:C,2,FALSE)="Yes",TRUE,FALSE)</f>
        <v>1</v>
      </c>
      <c r="K347"/>
      <c r="L347"/>
    </row>
    <row r="348" spans="1:12" ht="17.100000000000001" customHeight="1" x14ac:dyDescent="0.25">
      <c r="A348" t="str">
        <f>'HIDDEN import'!B347</f>
        <v>TC_B_17_CS</v>
      </c>
      <c r="B348" t="str">
        <f>'HIDDEN import'!C347</f>
        <v>Core</v>
      </c>
      <c r="C348" t="str">
        <f>'HIDDEN import'!D347</f>
        <v>Get Custom Report - with component/variable</v>
      </c>
      <c r="D348" t="str">
        <f>IF(VLOOKUP(A348&amp;" "&amp;B348,'HIDDEN import'!A:G,5,FALSE)="M",MD!$A$1,(IF(AND(VLOOKUP(A348,'HIDDEN import'!B:E,4,FALSE)="C",OR(NOT(ISERROR(VLOOKUP(E348,'Optional features'!B:D,1,FALSE)=E348)),NOT(ISERROR(VLOOKUP(E348,'HIDDEN calc sheet'!A:C,1,FALSE)=E348)))),MD!$A$3,MD!$A$2)))</f>
        <v>Mandatory for optional feature</v>
      </c>
      <c r="E348" t="str">
        <f>IF('HIDDEN import'!F347=0,"",'HIDDEN import'!F347)</f>
        <v>DM-0</v>
      </c>
      <c r="F348" t="str">
        <f>IF('HIDDEN import'!G347=0,"",'HIDDEN import'!G347)</f>
        <v/>
      </c>
      <c r="G348" s="19" t="str">
        <f>IFERROR(VLOOKUP($A348,'HIDDEN Testrun Results'!$A:$B,2,FALSE),"")</f>
        <v/>
      </c>
      <c r="H348" s="3" t="b">
        <f t="shared" si="5"/>
        <v>0</v>
      </c>
      <c r="I348" s="3" t="b">
        <f>IF(VLOOKUP(A348&amp;" "&amp;B348,'HIDDEN import'!A:G,5,FALSE)="M",TRUE,IFERROR(VLOOKUP(E348,'Optional features'!B:D,3,FALSE)="Yes",IFERROR(VLOOKUP(E348,'HIDDEN calc sheet'!A:B,2,FALSE),IFERROR(VLOOKUP(E348,'Additional questions'!B:D,3,FALSE)="Yes",VLOOKUP(E348,'Hardware Feature set'!B:D,3,FALSE)="No"))))</f>
        <v>0</v>
      </c>
      <c r="J348" s="3" t="b">
        <f>IF(VLOOKUP(B348,'Profile selection'!B:C,2,FALSE)="Yes",TRUE,FALSE)</f>
        <v>1</v>
      </c>
      <c r="K348"/>
      <c r="L348"/>
    </row>
    <row r="349" spans="1:12" ht="17.100000000000001" customHeight="1" x14ac:dyDescent="0.25">
      <c r="A349" t="str">
        <f>'HIDDEN import'!B348</f>
        <v>TC_B_18_CS</v>
      </c>
      <c r="B349" t="str">
        <f>'HIDDEN import'!C348</f>
        <v>Core</v>
      </c>
      <c r="C349" t="str">
        <f>'HIDDEN import'!D348</f>
        <v>Get Custom Report - with componentCriteria and component/variables</v>
      </c>
      <c r="D349" t="str">
        <f>IF(VLOOKUP(A349&amp;" "&amp;B349,'HIDDEN import'!A:G,5,FALSE)="M",MD!$A$1,(IF(AND(VLOOKUP(A349,'HIDDEN import'!B:E,4,FALSE)="C",OR(NOT(ISERROR(VLOOKUP(E349,'Optional features'!B:D,1,FALSE)=E349)),NOT(ISERROR(VLOOKUP(E349,'HIDDEN calc sheet'!A:C,1,FALSE)=E349)))),MD!$A$3,MD!$A$2)))</f>
        <v>Mandatory for optional feature</v>
      </c>
      <c r="E349" t="str">
        <f>IF('HIDDEN import'!F348=0,"",'HIDDEN import'!F348)</f>
        <v>DM-0</v>
      </c>
      <c r="F349" t="str">
        <f>IF('HIDDEN import'!G348=0,"",'HIDDEN import'!G348)</f>
        <v/>
      </c>
      <c r="G349" s="19" t="str">
        <f>IFERROR(VLOOKUP($A349,'HIDDEN Testrun Results'!$A:$B,2,FALSE),"")</f>
        <v/>
      </c>
      <c r="H349" s="3" t="b">
        <f t="shared" si="5"/>
        <v>0</v>
      </c>
      <c r="I349" s="3" t="b">
        <f>IF(VLOOKUP(A349&amp;" "&amp;B349,'HIDDEN import'!A:G,5,FALSE)="M",TRUE,IFERROR(VLOOKUP(E349,'Optional features'!B:D,3,FALSE)="Yes",IFERROR(VLOOKUP(E349,'HIDDEN calc sheet'!A:B,2,FALSE),IFERROR(VLOOKUP(E349,'Additional questions'!B:D,3,FALSE)="Yes",VLOOKUP(E349,'Hardware Feature set'!B:D,3,FALSE)="No"))))</f>
        <v>0</v>
      </c>
      <c r="J349" s="3" t="b">
        <f>IF(VLOOKUP(B349,'Profile selection'!B:C,2,FALSE)="Yes",TRUE,FALSE)</f>
        <v>1</v>
      </c>
      <c r="K349"/>
      <c r="L349"/>
    </row>
    <row r="350" spans="1:12" ht="17.100000000000001" customHeight="1" x14ac:dyDescent="0.25">
      <c r="A350" t="str">
        <f>'HIDDEN import'!B349</f>
        <v>TC_B_54_CS</v>
      </c>
      <c r="B350" t="str">
        <f>'HIDDEN import'!C349</f>
        <v>Core</v>
      </c>
      <c r="C350" t="str">
        <f>'HIDDEN import'!D349</f>
        <v>Get Custom Report - with component/variable, but no instance</v>
      </c>
      <c r="D350" t="str">
        <f>IF(VLOOKUP(A350&amp;" "&amp;B350,'HIDDEN import'!A:G,5,FALSE)="M",MD!$A$1,(IF(AND(VLOOKUP(A350,'HIDDEN import'!B:E,4,FALSE)="C",OR(NOT(ISERROR(VLOOKUP(E350,'Optional features'!B:D,1,FALSE)=E350)),NOT(ISERROR(VLOOKUP(E350,'HIDDEN calc sheet'!A:C,1,FALSE)=E350)))),MD!$A$3,MD!$A$2)))</f>
        <v>Mandatory for optional feature</v>
      </c>
      <c r="E350" t="str">
        <f>IF('HIDDEN import'!F349=0,"",'HIDDEN import'!F349)</f>
        <v>DM-0</v>
      </c>
      <c r="F350" t="str">
        <f>IF('HIDDEN import'!G349=0,"",'HIDDEN import'!G349)</f>
        <v/>
      </c>
      <c r="G350" s="19" t="str">
        <f>IFERROR(VLOOKUP($A350,'HIDDEN Testrun Results'!$A:$B,2,FALSE),"")</f>
        <v/>
      </c>
      <c r="H350" s="3" t="b">
        <f t="shared" si="5"/>
        <v>0</v>
      </c>
      <c r="I350" s="3" t="b">
        <f>IF(VLOOKUP(A350&amp;" "&amp;B350,'HIDDEN import'!A:G,5,FALSE)="M",TRUE,IFERROR(VLOOKUP(E350,'Optional features'!B:D,3,FALSE)="Yes",IFERROR(VLOOKUP(E350,'HIDDEN calc sheet'!A:B,2,FALSE),IFERROR(VLOOKUP(E350,'Additional questions'!B:D,3,FALSE)="Yes",VLOOKUP(E350,'Hardware Feature set'!B:D,3,FALSE)="No"))))</f>
        <v>0</v>
      </c>
      <c r="J350" s="3" t="b">
        <f>IF(VLOOKUP(B350,'Profile selection'!B:C,2,FALSE)="Yes",TRUE,FALSE)</f>
        <v>1</v>
      </c>
      <c r="K350"/>
      <c r="L350"/>
    </row>
    <row r="351" spans="1:12" ht="17.100000000000001" customHeight="1" x14ac:dyDescent="0.25">
      <c r="A351" t="str">
        <f>'HIDDEN import'!B350</f>
        <v>TC_B_55_CS</v>
      </c>
      <c r="B351" t="str">
        <f>'HIDDEN import'!C350</f>
        <v>Core</v>
      </c>
      <c r="C351" t="str">
        <f>'HIDDEN import'!D350</f>
        <v>Get Custom Report - with component/variable/instance</v>
      </c>
      <c r="D351" t="str">
        <f>IF(VLOOKUP(A351&amp;" "&amp;B351,'HIDDEN import'!A:G,5,FALSE)="M",MD!$A$1,(IF(AND(VLOOKUP(A351,'HIDDEN import'!B:E,4,FALSE)="C",OR(NOT(ISERROR(VLOOKUP(E351,'Optional features'!B:D,1,FALSE)=E351)),NOT(ISERROR(VLOOKUP(E351,'HIDDEN calc sheet'!A:C,1,FALSE)=E351)))),MD!$A$3,MD!$A$2)))</f>
        <v>Mandatory for optional feature</v>
      </c>
      <c r="E351" t="str">
        <f>IF('HIDDEN import'!F350=0,"",'HIDDEN import'!F350)</f>
        <v>DM-0</v>
      </c>
      <c r="F351" t="str">
        <f>IF('HIDDEN import'!G350=0,"",'HIDDEN import'!G350)</f>
        <v/>
      </c>
      <c r="G351" s="19" t="str">
        <f>IFERROR(VLOOKUP($A351,'HIDDEN Testrun Results'!$A:$B,2,FALSE),"")</f>
        <v/>
      </c>
      <c r="H351" s="3" t="b">
        <f t="shared" si="5"/>
        <v>0</v>
      </c>
      <c r="I351" s="3" t="b">
        <f>IF(VLOOKUP(A351&amp;" "&amp;B351,'HIDDEN import'!A:G,5,FALSE)="M",TRUE,IFERROR(VLOOKUP(E351,'Optional features'!B:D,3,FALSE)="Yes",IFERROR(VLOOKUP(E351,'HIDDEN calc sheet'!A:B,2,FALSE),IFERROR(VLOOKUP(E351,'Additional questions'!B:D,3,FALSE)="Yes",VLOOKUP(E351,'Hardware Feature set'!B:D,3,FALSE)="No"))))</f>
        <v>0</v>
      </c>
      <c r="J351" s="3" t="b">
        <f>IF(VLOOKUP(B351,'Profile selection'!B:C,2,FALSE)="Yes",TRUE,FALSE)</f>
        <v>1</v>
      </c>
      <c r="K351"/>
      <c r="L351"/>
    </row>
    <row r="352" spans="1:12" ht="17.100000000000001" customHeight="1" x14ac:dyDescent="0.25">
      <c r="A352" t="str">
        <f>'HIDDEN import'!B351</f>
        <v>TC_B_56_CS</v>
      </c>
      <c r="B352" t="str">
        <f>'HIDDEN import'!C351</f>
        <v>Core</v>
      </c>
      <c r="C352" t="str">
        <f>'HIDDEN import'!D351</f>
        <v>Get Custom Report - with component/variable, but no evseId</v>
      </c>
      <c r="D352" t="str">
        <f>IF(VLOOKUP(A352&amp;" "&amp;B352,'HIDDEN import'!A:G,5,FALSE)="M",MD!$A$1,(IF(AND(VLOOKUP(A352,'HIDDEN import'!B:E,4,FALSE)="C",OR(NOT(ISERROR(VLOOKUP(E352,'Optional features'!B:D,1,FALSE)=E352)),NOT(ISERROR(VLOOKUP(E352,'HIDDEN calc sheet'!A:C,1,FALSE)=E352)))),MD!$A$3,MD!$A$2)))</f>
        <v>Mandatory for optional feature</v>
      </c>
      <c r="E352" t="str">
        <f>IF('HIDDEN import'!F351=0,"",'HIDDEN import'!F351)</f>
        <v>DM-0</v>
      </c>
      <c r="F352" t="str">
        <f>IF('HIDDEN import'!G351=0,"",'HIDDEN import'!G351)</f>
        <v/>
      </c>
      <c r="G352" s="19" t="str">
        <f>IFERROR(VLOOKUP($A352,'HIDDEN Testrun Results'!$A:$B,2,FALSE),"")</f>
        <v/>
      </c>
      <c r="H352" s="3" t="b">
        <f t="shared" si="5"/>
        <v>0</v>
      </c>
      <c r="I352" s="3" t="b">
        <f>IF(VLOOKUP(A352&amp;" "&amp;B352,'HIDDEN import'!A:G,5,FALSE)="M",TRUE,IFERROR(VLOOKUP(E352,'Optional features'!B:D,3,FALSE)="Yes",IFERROR(VLOOKUP(E352,'HIDDEN calc sheet'!A:B,2,FALSE),IFERROR(VLOOKUP(E352,'Additional questions'!B:D,3,FALSE)="Yes",VLOOKUP(E352,'Hardware Feature set'!B:D,3,FALSE)="No"))))</f>
        <v>0</v>
      </c>
      <c r="J352" s="3" t="b">
        <f>IF(VLOOKUP(B352,'Profile selection'!B:C,2,FALSE)="Yes",TRUE,FALSE)</f>
        <v>1</v>
      </c>
      <c r="K352"/>
      <c r="L352"/>
    </row>
    <row r="353" spans="1:12" ht="17.100000000000001" customHeight="1" x14ac:dyDescent="0.25">
      <c r="A353" t="str">
        <f>'HIDDEN import'!B352</f>
        <v>TC_N_01_CS</v>
      </c>
      <c r="B353" t="str">
        <f>'HIDDEN import'!C352</f>
        <v>Core</v>
      </c>
      <c r="C353" t="str">
        <f>'HIDDEN import'!D352</f>
        <v>Get Monitoring Report - with monitoringCriteria</v>
      </c>
      <c r="D353" t="str">
        <f>IF(VLOOKUP(A353&amp;" "&amp;B353,'HIDDEN import'!A:G,5,FALSE)="M",MD!$A$1,(IF(AND(VLOOKUP(A353,'HIDDEN import'!B:E,4,FALSE)="C",OR(NOT(ISERROR(VLOOKUP(E353,'Optional features'!B:D,1,FALSE)=E353)),NOT(ISERROR(VLOOKUP(E353,'HIDDEN calc sheet'!A:C,1,FALSE)=E353)))),MD!$A$3,MD!$A$2)))</f>
        <v>Mandatory for optional feature</v>
      </c>
      <c r="E353" t="str">
        <f>IF('HIDDEN import'!F352=0,"",'HIDDEN import'!F352)</f>
        <v>DM-0</v>
      </c>
      <c r="F353" t="str">
        <f>IF('HIDDEN import'!G352=0,"",'HIDDEN import'!G352)</f>
        <v/>
      </c>
      <c r="G353" s="19" t="str">
        <f>IFERROR(VLOOKUP($A353,'HIDDEN Testrun Results'!$A:$B,2,FALSE),"")</f>
        <v/>
      </c>
      <c r="H353" s="3" t="b">
        <f t="shared" si="5"/>
        <v>0</v>
      </c>
      <c r="I353" s="3" t="b">
        <f>IF(VLOOKUP(A353&amp;" "&amp;B353,'HIDDEN import'!A:G,5,FALSE)="M",TRUE,IFERROR(VLOOKUP(E353,'Optional features'!B:D,3,FALSE)="Yes",IFERROR(VLOOKUP(E353,'HIDDEN calc sheet'!A:B,2,FALSE),IFERROR(VLOOKUP(E353,'Additional questions'!B:D,3,FALSE)="Yes",VLOOKUP(E353,'Hardware Feature set'!B:D,3,FALSE)="No"))))</f>
        <v>0</v>
      </c>
      <c r="J353" s="3" t="b">
        <f>IF(VLOOKUP(B353,'Profile selection'!B:C,2,FALSE)="Yes",TRUE,FALSE)</f>
        <v>1</v>
      </c>
      <c r="K353"/>
      <c r="L353"/>
    </row>
    <row r="354" spans="1:12" ht="17.100000000000001" customHeight="1" x14ac:dyDescent="0.25">
      <c r="A354" t="str">
        <f>'HIDDEN import'!B353</f>
        <v>TC_N_02_CS</v>
      </c>
      <c r="B354" t="str">
        <f>'HIDDEN import'!C353</f>
        <v>Core</v>
      </c>
      <c r="C354" t="str">
        <f>'HIDDEN import'!D353</f>
        <v>Get Monitoring Report - with component/variable</v>
      </c>
      <c r="D354" t="str">
        <f>IF(VLOOKUP(A354&amp;" "&amp;B354,'HIDDEN import'!A:G,5,FALSE)="M",MD!$A$1,(IF(AND(VLOOKUP(A354,'HIDDEN import'!B:E,4,FALSE)="C",OR(NOT(ISERROR(VLOOKUP(E354,'Optional features'!B:D,1,FALSE)=E354)),NOT(ISERROR(VLOOKUP(E354,'HIDDEN calc sheet'!A:C,1,FALSE)=E354)))),MD!$A$3,MD!$A$2)))</f>
        <v>Mandatory for optional feature</v>
      </c>
      <c r="E354" t="str">
        <f>IF('HIDDEN import'!F353=0,"",'HIDDEN import'!F353)</f>
        <v>DM-0</v>
      </c>
      <c r="F354" t="str">
        <f>IF('HIDDEN import'!G353=0,"",'HIDDEN import'!G353)</f>
        <v/>
      </c>
      <c r="G354" s="19" t="str">
        <f>IFERROR(VLOOKUP($A354,'HIDDEN Testrun Results'!$A:$B,2,FALSE),"")</f>
        <v/>
      </c>
      <c r="H354" s="3" t="b">
        <f t="shared" si="5"/>
        <v>0</v>
      </c>
      <c r="I354" s="3" t="b">
        <f>IF(VLOOKUP(A354&amp;" "&amp;B354,'HIDDEN import'!A:G,5,FALSE)="M",TRUE,IFERROR(VLOOKUP(E354,'Optional features'!B:D,3,FALSE)="Yes",IFERROR(VLOOKUP(E354,'HIDDEN calc sheet'!A:B,2,FALSE),IFERROR(VLOOKUP(E354,'Additional questions'!B:D,3,FALSE)="Yes",VLOOKUP(E354,'Hardware Feature set'!B:D,3,FALSE)="No"))))</f>
        <v>0</v>
      </c>
      <c r="J354" s="3" t="b">
        <f>IF(VLOOKUP(B354,'Profile selection'!B:C,2,FALSE)="Yes",TRUE,FALSE)</f>
        <v>1</v>
      </c>
      <c r="K354"/>
      <c r="L354"/>
    </row>
    <row r="355" spans="1:12" ht="17.100000000000001" customHeight="1" x14ac:dyDescent="0.25">
      <c r="A355" t="str">
        <f>'HIDDEN import'!B354</f>
        <v>TC_N_03_CS</v>
      </c>
      <c r="B355" t="str">
        <f>'HIDDEN import'!C354</f>
        <v>Core</v>
      </c>
      <c r="C355" t="str">
        <f>'HIDDEN import'!D354</f>
        <v>Get Monitoring Report - with component criteria and component/variable</v>
      </c>
      <c r="D355" t="str">
        <f>IF(VLOOKUP(A355&amp;" "&amp;B355,'HIDDEN import'!A:G,5,FALSE)="M",MD!$A$1,(IF(AND(VLOOKUP(A355,'HIDDEN import'!B:E,4,FALSE)="C",OR(NOT(ISERROR(VLOOKUP(E355,'Optional features'!B:D,1,FALSE)=E355)),NOT(ISERROR(VLOOKUP(E355,'HIDDEN calc sheet'!A:C,1,FALSE)=E355)))),MD!$A$3,MD!$A$2)))</f>
        <v>Mandatory for optional feature</v>
      </c>
      <c r="E355" t="str">
        <f>IF('HIDDEN import'!F354=0,"",'HIDDEN import'!F354)</f>
        <v>DM-0</v>
      </c>
      <c r="F355" t="str">
        <f>IF('HIDDEN import'!G354=0,"",'HIDDEN import'!G354)</f>
        <v/>
      </c>
      <c r="G355" s="19" t="str">
        <f>IFERROR(VLOOKUP($A355,'HIDDEN Testrun Results'!$A:$B,2,FALSE),"")</f>
        <v/>
      </c>
      <c r="H355" s="3" t="b">
        <f t="shared" si="5"/>
        <v>0</v>
      </c>
      <c r="I355" s="3" t="b">
        <f>IF(VLOOKUP(A355&amp;" "&amp;B355,'HIDDEN import'!A:G,5,FALSE)="M",TRUE,IFERROR(VLOOKUP(E355,'Optional features'!B:D,3,FALSE)="Yes",IFERROR(VLOOKUP(E355,'HIDDEN calc sheet'!A:B,2,FALSE),IFERROR(VLOOKUP(E355,'Additional questions'!B:D,3,FALSE)="Yes",VLOOKUP(E355,'Hardware Feature set'!B:D,3,FALSE)="No"))))</f>
        <v>0</v>
      </c>
      <c r="J355" s="3" t="b">
        <f>IF(VLOOKUP(B355,'Profile selection'!B:C,2,FALSE)="Yes",TRUE,FALSE)</f>
        <v>1</v>
      </c>
      <c r="K355"/>
      <c r="L355"/>
    </row>
    <row r="356" spans="1:12" ht="17.100000000000001" customHeight="1" x14ac:dyDescent="0.25">
      <c r="A356" t="str">
        <f>'HIDDEN import'!B355</f>
        <v>TC_N_47_CS</v>
      </c>
      <c r="B356" t="str">
        <f>'HIDDEN import'!C355</f>
        <v>Core</v>
      </c>
      <c r="C356" t="str">
        <f>'HIDDEN import'!D355</f>
        <v>Get Monitoring Report - Report all</v>
      </c>
      <c r="D356" t="str">
        <f>IF(VLOOKUP(A356&amp;" "&amp;B356,'HIDDEN import'!A:G,5,FALSE)="M",MD!$A$1,(IF(AND(VLOOKUP(A356,'HIDDEN import'!B:E,4,FALSE)="C",OR(NOT(ISERROR(VLOOKUP(E356,'Optional features'!B:D,1,FALSE)=E356)),NOT(ISERROR(VLOOKUP(E356,'HIDDEN calc sheet'!A:C,1,FALSE)=E356)))),MD!$A$3,MD!$A$2)))</f>
        <v>Mandatory for optional feature</v>
      </c>
      <c r="E356" t="str">
        <f>IF('HIDDEN import'!F355=0,"",'HIDDEN import'!F355)</f>
        <v>DM-0</v>
      </c>
      <c r="F356" t="str">
        <f>IF('HIDDEN import'!G355=0,"",'HIDDEN import'!G355)</f>
        <v/>
      </c>
      <c r="G356" s="19" t="str">
        <f>IFERROR(VLOOKUP($A356,'HIDDEN Testrun Results'!$A:$B,2,FALSE),"")</f>
        <v/>
      </c>
      <c r="H356" s="3" t="b">
        <f t="shared" si="5"/>
        <v>0</v>
      </c>
      <c r="I356" s="3" t="b">
        <f>IF(VLOOKUP(A356&amp;" "&amp;B356,'HIDDEN import'!A:G,5,FALSE)="M",TRUE,IFERROR(VLOOKUP(E356,'Optional features'!B:D,3,FALSE)="Yes",IFERROR(VLOOKUP(E356,'HIDDEN calc sheet'!A:B,2,FALSE),IFERROR(VLOOKUP(E356,'Additional questions'!B:D,3,FALSE)="Yes",VLOOKUP(E356,'Hardware Feature set'!B:D,3,FALSE)="No"))))</f>
        <v>0</v>
      </c>
      <c r="J356" s="3" t="b">
        <f>IF(VLOOKUP(B356,'Profile selection'!B:C,2,FALSE)="Yes",TRUE,FALSE)</f>
        <v>1</v>
      </c>
      <c r="K356"/>
      <c r="L356"/>
    </row>
    <row r="357" spans="1:12" ht="17.100000000000001" customHeight="1" x14ac:dyDescent="0.25">
      <c r="A357" t="str">
        <f>'HIDDEN import'!B356</f>
        <v>TC_N_104_CS</v>
      </c>
      <c r="B357" t="str">
        <f>'HIDDEN import'!C356</f>
        <v>Core</v>
      </c>
      <c r="C357" t="str">
        <f>'HIDDEN import'!D356</f>
        <v>Get Monitoring Report - TargetDeltaMonitoring</v>
      </c>
      <c r="D357" t="str">
        <f>IF(VLOOKUP(A357&amp;" "&amp;B357,'HIDDEN import'!A:G,5,FALSE)="M",MD!$A$1,(IF(AND(VLOOKUP(A357,'HIDDEN import'!B:E,4,FALSE)="C",OR(NOT(ISERROR(VLOOKUP(E357,'Optional features'!B:D,1,FALSE)=E357)),NOT(ISERROR(VLOOKUP(E357,'HIDDEN calc sheet'!A:C,1,FALSE)=E357)))),MD!$A$3,MD!$A$2)))</f>
        <v>Mandatory for optional feature</v>
      </c>
      <c r="E357" t="str">
        <f>IF('HIDDEN import'!F356=0,"",'HIDDEN import'!F356)</f>
        <v>DM-0</v>
      </c>
      <c r="F357" t="str">
        <f>IF('HIDDEN import'!G356=0,"",'HIDDEN import'!G356)</f>
        <v/>
      </c>
      <c r="G357" s="19" t="str">
        <f>IFERROR(VLOOKUP($A357,'HIDDEN Testrun Results'!$A:$B,2,FALSE),"")</f>
        <v/>
      </c>
      <c r="H357" s="3" t="b">
        <f t="shared" si="5"/>
        <v>0</v>
      </c>
      <c r="I357" s="3" t="b">
        <f>IF(VLOOKUP(A357&amp;" "&amp;B357,'HIDDEN import'!A:G,5,FALSE)="M",TRUE,IFERROR(VLOOKUP(E357,'Optional features'!B:D,3,FALSE)="Yes",IFERROR(VLOOKUP(E357,'HIDDEN calc sheet'!A:B,2,FALSE),IFERROR(VLOOKUP(E357,'Additional questions'!B:D,3,FALSE)="Yes",VLOOKUP(E357,'Hardware Feature set'!B:D,3,FALSE)="No"))))</f>
        <v>0</v>
      </c>
      <c r="J357" s="3" t="b">
        <f>IF(VLOOKUP(B357,'Profile selection'!B:C,2,FALSE)="Yes",TRUE,FALSE)</f>
        <v>1</v>
      </c>
      <c r="K357"/>
      <c r="L357"/>
    </row>
    <row r="358" spans="1:12" ht="17.100000000000001" customHeight="1" x14ac:dyDescent="0.25">
      <c r="A358" t="str">
        <f>'HIDDEN import'!B357</f>
        <v>TC_N_05_CS</v>
      </c>
      <c r="B358" t="str">
        <f>'HIDDEN import'!C357</f>
        <v>Core</v>
      </c>
      <c r="C358" t="str">
        <f>'HIDDEN import'!D357</f>
        <v>Set Monitoring Base - success</v>
      </c>
      <c r="D358" t="str">
        <f>IF(VLOOKUP(A358&amp;" "&amp;B358,'HIDDEN import'!A:G,5,FALSE)="M",MD!$A$1,(IF(AND(VLOOKUP(A358,'HIDDEN import'!B:E,4,FALSE)="C",OR(NOT(ISERROR(VLOOKUP(E358,'Optional features'!B:D,1,FALSE)=E358)),NOT(ISERROR(VLOOKUP(E358,'HIDDEN calc sheet'!A:C,1,FALSE)=E358)))),MD!$A$3,MD!$A$2)))</f>
        <v>Mandatory for optional feature</v>
      </c>
      <c r="E358" t="str">
        <f>IF('HIDDEN import'!F357=0,"",'HIDDEN import'!F357)</f>
        <v>DM-0</v>
      </c>
      <c r="F358" t="str">
        <f>IF('HIDDEN import'!G357=0,"",'HIDDEN import'!G357)</f>
        <v/>
      </c>
      <c r="G358" s="19" t="str">
        <f>IFERROR(VLOOKUP($A358,'HIDDEN Testrun Results'!$A:$B,2,FALSE),"")</f>
        <v/>
      </c>
      <c r="H358" s="3" t="b">
        <f t="shared" si="5"/>
        <v>0</v>
      </c>
      <c r="I358" s="3" t="b">
        <f>IF(VLOOKUP(A358&amp;" "&amp;B358,'HIDDEN import'!A:G,5,FALSE)="M",TRUE,IFERROR(VLOOKUP(E358,'Optional features'!B:D,3,FALSE)="Yes",IFERROR(VLOOKUP(E358,'HIDDEN calc sheet'!A:B,2,FALSE),IFERROR(VLOOKUP(E358,'Additional questions'!B:D,3,FALSE)="Yes",VLOOKUP(E358,'Hardware Feature set'!B:D,3,FALSE)="No"))))</f>
        <v>0</v>
      </c>
      <c r="J358" s="3" t="b">
        <f>IF(VLOOKUP(B358,'Profile selection'!B:C,2,FALSE)="Yes",TRUE,FALSE)</f>
        <v>1</v>
      </c>
      <c r="K358"/>
      <c r="L358"/>
    </row>
    <row r="359" spans="1:12" ht="17.100000000000001" customHeight="1" x14ac:dyDescent="0.25">
      <c r="A359" t="str">
        <f>'HIDDEN import'!B358</f>
        <v>TC_N_06_CS</v>
      </c>
      <c r="B359" t="str">
        <f>'HIDDEN import'!C358</f>
        <v>Core</v>
      </c>
      <c r="C359" t="str">
        <f>'HIDDEN import'!D358</f>
        <v>Set Monitoring Base - test removal custom monitors</v>
      </c>
      <c r="D359" t="str">
        <f>IF(VLOOKUP(A359&amp;" "&amp;B359,'HIDDEN import'!A:G,5,FALSE)="M",MD!$A$1,(IF(AND(VLOOKUP(A359,'HIDDEN import'!B:E,4,FALSE)="C",OR(NOT(ISERROR(VLOOKUP(E359,'Optional features'!B:D,1,FALSE)=E359)),NOT(ISERROR(VLOOKUP(E359,'HIDDEN calc sheet'!A:C,1,FALSE)=E359)))),MD!$A$3,MD!$A$2)))</f>
        <v>Mandatory for optional feature</v>
      </c>
      <c r="E359" t="str">
        <f>IF('HIDDEN import'!F358=0,"",'HIDDEN import'!F358)</f>
        <v>DM-0</v>
      </c>
      <c r="F359" t="str">
        <f>IF('HIDDEN import'!G358=0,"",'HIDDEN import'!G358)</f>
        <v/>
      </c>
      <c r="G359" s="19" t="str">
        <f>IFERROR(VLOOKUP($A359,'HIDDEN Testrun Results'!$A:$B,2,FALSE),"")</f>
        <v/>
      </c>
      <c r="H359" s="3" t="b">
        <f t="shared" si="5"/>
        <v>0</v>
      </c>
      <c r="I359" s="3" t="b">
        <f>IF(VLOOKUP(A359&amp;" "&amp;B359,'HIDDEN import'!A:G,5,FALSE)="M",TRUE,IFERROR(VLOOKUP(E359,'Optional features'!B:D,3,FALSE)="Yes",IFERROR(VLOOKUP(E359,'HIDDEN calc sheet'!A:B,2,FALSE),IFERROR(VLOOKUP(E359,'Additional questions'!B:D,3,FALSE)="Yes",VLOOKUP(E359,'Hardware Feature set'!B:D,3,FALSE)="No"))))</f>
        <v>0</v>
      </c>
      <c r="J359" s="3" t="b">
        <f>IF(VLOOKUP(B359,'Profile selection'!B:C,2,FALSE)="Yes",TRUE,FALSE)</f>
        <v>1</v>
      </c>
      <c r="K359"/>
      <c r="L359"/>
    </row>
    <row r="360" spans="1:12" ht="17.100000000000001" customHeight="1" x14ac:dyDescent="0.25">
      <c r="A360" t="str">
        <f>'HIDDEN import'!B359</f>
        <v>TC_N_08_CS</v>
      </c>
      <c r="B360" t="str">
        <f>'HIDDEN import'!C359</f>
        <v>Core</v>
      </c>
      <c r="C360" t="str">
        <f>'HIDDEN import'!D359</f>
        <v>Set Variable Monitoring - One SetMonitoringData element</v>
      </c>
      <c r="D360" t="str">
        <f>IF(VLOOKUP(A360&amp;" "&amp;B360,'HIDDEN import'!A:G,5,FALSE)="M",MD!$A$1,(IF(AND(VLOOKUP(A360,'HIDDEN import'!B:E,4,FALSE)="C",OR(NOT(ISERROR(VLOOKUP(E360,'Optional features'!B:D,1,FALSE)=E360)),NOT(ISERROR(VLOOKUP(E360,'HIDDEN calc sheet'!A:C,1,FALSE)=E360)))),MD!$A$3,MD!$A$2)))</f>
        <v>Mandatory for optional feature</v>
      </c>
      <c r="E360" t="str">
        <f>IF('HIDDEN import'!F359=0,"",'HIDDEN import'!F359)</f>
        <v>DM-0</v>
      </c>
      <c r="F360" t="str">
        <f>IF('HIDDEN import'!G359=0,"",'HIDDEN import'!G359)</f>
        <v/>
      </c>
      <c r="G360" s="19" t="str">
        <f>IFERROR(VLOOKUP($A360,'HIDDEN Testrun Results'!$A:$B,2,FALSE),"")</f>
        <v/>
      </c>
      <c r="H360" s="3" t="b">
        <f t="shared" si="5"/>
        <v>0</v>
      </c>
      <c r="I360" s="3" t="b">
        <f>IF(VLOOKUP(A360&amp;" "&amp;B360,'HIDDEN import'!A:G,5,FALSE)="M",TRUE,IFERROR(VLOOKUP(E360,'Optional features'!B:D,3,FALSE)="Yes",IFERROR(VLOOKUP(E360,'HIDDEN calc sheet'!A:B,2,FALSE),IFERROR(VLOOKUP(E360,'Additional questions'!B:D,3,FALSE)="Yes",VLOOKUP(E360,'Hardware Feature set'!B:D,3,FALSE)="No"))))</f>
        <v>0</v>
      </c>
      <c r="J360" s="3" t="b">
        <f>IF(VLOOKUP(B360,'Profile selection'!B:C,2,FALSE)="Yes",TRUE,FALSE)</f>
        <v>1</v>
      </c>
      <c r="K360"/>
      <c r="L360"/>
    </row>
    <row r="361" spans="1:12" ht="17.100000000000001" customHeight="1" x14ac:dyDescent="0.25">
      <c r="A361" t="str">
        <f>'HIDDEN import'!B360</f>
        <v>TC_N_09_CS</v>
      </c>
      <c r="B361" t="str">
        <f>'HIDDEN import'!C360</f>
        <v>Core</v>
      </c>
      <c r="C361" t="str">
        <f>'HIDDEN import'!D360</f>
        <v>Set Variable Monitoring - Multiple elements on different component and variable</v>
      </c>
      <c r="D361" t="str">
        <f>IF(VLOOKUP(A361&amp;" "&amp;B361,'HIDDEN import'!A:G,5,FALSE)="M",MD!$A$1,(IF(AND(VLOOKUP(A361,'HIDDEN import'!B:E,4,FALSE)="C",OR(NOT(ISERROR(VLOOKUP(E361,'Optional features'!B:D,1,FALSE)=E361)),NOT(ISERROR(VLOOKUP(E361,'HIDDEN calc sheet'!A:C,1,FALSE)=E361)))),MD!$A$3,MD!$A$2)))</f>
        <v>Mandatory for optional feature</v>
      </c>
      <c r="E361" t="str">
        <f>IF('HIDDEN import'!F360=0,"",'HIDDEN import'!F360)</f>
        <v>DM-0</v>
      </c>
      <c r="F361" t="str">
        <f>IF('HIDDEN import'!G360=0,"",'HIDDEN import'!G360)</f>
        <v/>
      </c>
      <c r="G361" s="19" t="str">
        <f>IFERROR(VLOOKUP($A361,'HIDDEN Testrun Results'!$A:$B,2,FALSE),"")</f>
        <v/>
      </c>
      <c r="H361" s="3" t="b">
        <f t="shared" si="5"/>
        <v>0</v>
      </c>
      <c r="I361" s="3" t="b">
        <f>IF(VLOOKUP(A361&amp;" "&amp;B361,'HIDDEN import'!A:G,5,FALSE)="M",TRUE,IFERROR(VLOOKUP(E361,'Optional features'!B:D,3,FALSE)="Yes",IFERROR(VLOOKUP(E361,'HIDDEN calc sheet'!A:B,2,FALSE),IFERROR(VLOOKUP(E361,'Additional questions'!B:D,3,FALSE)="Yes",VLOOKUP(E361,'Hardware Feature set'!B:D,3,FALSE)="No"))))</f>
        <v>0</v>
      </c>
      <c r="J361" s="3" t="b">
        <f>IF(VLOOKUP(B361,'Profile selection'!B:C,2,FALSE)="Yes",TRUE,FALSE)</f>
        <v>1</v>
      </c>
      <c r="K361"/>
      <c r="L361"/>
    </row>
    <row r="362" spans="1:12" ht="17.100000000000001" customHeight="1" x14ac:dyDescent="0.25">
      <c r="A362" t="str">
        <f>'HIDDEN import'!B361</f>
        <v>TC_N_10_CS</v>
      </c>
      <c r="B362" t="str">
        <f>'HIDDEN import'!C361</f>
        <v>Core</v>
      </c>
      <c r="C362" t="str">
        <f>'HIDDEN import'!D361</f>
        <v>Set Variable Monitoring - Multiple monitors on the same component and variable</v>
      </c>
      <c r="D362" t="str">
        <f>IF(VLOOKUP(A362&amp;" "&amp;B362,'HIDDEN import'!A:G,5,FALSE)="M",MD!$A$1,(IF(AND(VLOOKUP(A362,'HIDDEN import'!B:E,4,FALSE)="C",OR(NOT(ISERROR(VLOOKUP(E362,'Optional features'!B:D,1,FALSE)=E362)),NOT(ISERROR(VLOOKUP(E362,'HIDDEN calc sheet'!A:C,1,FALSE)=E362)))),MD!$A$3,MD!$A$2)))</f>
        <v>Mandatory for optional feature</v>
      </c>
      <c r="E362" t="str">
        <f>IF('HIDDEN import'!F361=0,"",'HIDDEN import'!F361)</f>
        <v>DM-0</v>
      </c>
      <c r="F362" t="str">
        <f>IF('HIDDEN import'!G361=0,"",'HIDDEN import'!G361)</f>
        <v/>
      </c>
      <c r="G362" s="19" t="str">
        <f>IFERROR(VLOOKUP($A362,'HIDDEN Testrun Results'!$A:$B,2,FALSE),"")</f>
        <v/>
      </c>
      <c r="H362" s="3" t="b">
        <f t="shared" si="5"/>
        <v>0</v>
      </c>
      <c r="I362" s="3" t="b">
        <f>IF(VLOOKUP(A362&amp;" "&amp;B362,'HIDDEN import'!A:G,5,FALSE)="M",TRUE,IFERROR(VLOOKUP(E362,'Optional features'!B:D,3,FALSE)="Yes",IFERROR(VLOOKUP(E362,'HIDDEN calc sheet'!A:B,2,FALSE),IFERROR(VLOOKUP(E362,'Additional questions'!B:D,3,FALSE)="Yes",VLOOKUP(E362,'Hardware Feature set'!B:D,3,FALSE)="No"))))</f>
        <v>0</v>
      </c>
      <c r="J362" s="3" t="b">
        <f>IF(VLOOKUP(B362,'Profile selection'!B:C,2,FALSE)="Yes",TRUE,FALSE)</f>
        <v>1</v>
      </c>
      <c r="K362"/>
      <c r="L362"/>
    </row>
    <row r="363" spans="1:12" ht="17.100000000000001" customHeight="1" x14ac:dyDescent="0.25">
      <c r="A363" t="str">
        <f>'HIDDEN import'!B362</f>
        <v>TC_N_11_CS</v>
      </c>
      <c r="B363" t="str">
        <f>'HIDDEN import'!C362</f>
        <v>Core</v>
      </c>
      <c r="C363" t="str">
        <f>'HIDDEN import'!D362</f>
        <v>Set Variable Monitoring - Unknown component</v>
      </c>
      <c r="D363" t="str">
        <f>IF(VLOOKUP(A363&amp;" "&amp;B363,'HIDDEN import'!A:G,5,FALSE)="M",MD!$A$1,(IF(AND(VLOOKUP(A363,'HIDDEN import'!B:E,4,FALSE)="C",OR(NOT(ISERROR(VLOOKUP(E363,'Optional features'!B:D,1,FALSE)=E363)),NOT(ISERROR(VLOOKUP(E363,'HIDDEN calc sheet'!A:C,1,FALSE)=E363)))),MD!$A$3,MD!$A$2)))</f>
        <v>Mandatory for optional feature</v>
      </c>
      <c r="E363" t="str">
        <f>IF('HIDDEN import'!F362=0,"",'HIDDEN import'!F362)</f>
        <v>DM-0</v>
      </c>
      <c r="F363" t="str">
        <f>IF('HIDDEN import'!G362=0,"",'HIDDEN import'!G362)</f>
        <v/>
      </c>
      <c r="G363" s="19" t="str">
        <f>IFERROR(VLOOKUP($A363,'HIDDEN Testrun Results'!$A:$B,2,FALSE),"")</f>
        <v/>
      </c>
      <c r="H363" s="3" t="b">
        <f t="shared" si="5"/>
        <v>0</v>
      </c>
      <c r="I363" s="3" t="b">
        <f>IF(VLOOKUP(A363&amp;" "&amp;B363,'HIDDEN import'!A:G,5,FALSE)="M",TRUE,IFERROR(VLOOKUP(E363,'Optional features'!B:D,3,FALSE)="Yes",IFERROR(VLOOKUP(E363,'HIDDEN calc sheet'!A:B,2,FALSE),IFERROR(VLOOKUP(E363,'Additional questions'!B:D,3,FALSE)="Yes",VLOOKUP(E363,'Hardware Feature set'!B:D,3,FALSE)="No"))))</f>
        <v>0</v>
      </c>
      <c r="J363" s="3" t="b">
        <f>IF(VLOOKUP(B363,'Profile selection'!B:C,2,FALSE)="Yes",TRUE,FALSE)</f>
        <v>1</v>
      </c>
      <c r="K363"/>
      <c r="L363"/>
    </row>
    <row r="364" spans="1:12" ht="17.100000000000001" customHeight="1" x14ac:dyDescent="0.25">
      <c r="A364" t="str">
        <f>'HIDDEN import'!B363</f>
        <v>TC_N_12_CS</v>
      </c>
      <c r="B364" t="str">
        <f>'HIDDEN import'!C363</f>
        <v>Core</v>
      </c>
      <c r="C364" t="str">
        <f>'HIDDEN import'!D363</f>
        <v>Set Variable Monitoring - Value out of range - Delta monitor</v>
      </c>
      <c r="D364" t="str">
        <f>IF(VLOOKUP(A364&amp;" "&amp;B364,'HIDDEN import'!A:G,5,FALSE)="M",MD!$A$1,(IF(AND(VLOOKUP(A364,'HIDDEN import'!B:E,4,FALSE)="C",OR(NOT(ISERROR(VLOOKUP(E364,'Optional features'!B:D,1,FALSE)=E364)),NOT(ISERROR(VLOOKUP(E364,'HIDDEN calc sheet'!A:C,1,FALSE)=E364)))),MD!$A$3,MD!$A$2)))</f>
        <v>Mandatory for optional feature</v>
      </c>
      <c r="E364" t="str">
        <f>IF('HIDDEN import'!F363=0,"",'HIDDEN import'!F363)</f>
        <v>DM-0</v>
      </c>
      <c r="F364" t="str">
        <f>IF('HIDDEN import'!G363=0,"",'HIDDEN import'!G363)</f>
        <v/>
      </c>
      <c r="G364" s="19" t="str">
        <f>IFERROR(VLOOKUP($A364,'HIDDEN Testrun Results'!$A:$B,2,FALSE),"")</f>
        <v/>
      </c>
      <c r="H364" s="3" t="b">
        <f t="shared" si="5"/>
        <v>0</v>
      </c>
      <c r="I364" s="3" t="b">
        <f>IF(VLOOKUP(A364&amp;" "&amp;B364,'HIDDEN import'!A:G,5,FALSE)="M",TRUE,IFERROR(VLOOKUP(E364,'Optional features'!B:D,3,FALSE)="Yes",IFERROR(VLOOKUP(E364,'HIDDEN calc sheet'!A:B,2,FALSE),IFERROR(VLOOKUP(E364,'Additional questions'!B:D,3,FALSE)="Yes",VLOOKUP(E364,'Hardware Feature set'!B:D,3,FALSE)="No"))))</f>
        <v>0</v>
      </c>
      <c r="J364" s="3" t="b">
        <f>IF(VLOOKUP(B364,'Profile selection'!B:C,2,FALSE)="Yes",TRUE,FALSE)</f>
        <v>1</v>
      </c>
      <c r="K364"/>
      <c r="L364"/>
    </row>
    <row r="365" spans="1:12" ht="17.100000000000001" customHeight="1" x14ac:dyDescent="0.25">
      <c r="A365" t="str">
        <f>'HIDDEN import'!B364</f>
        <v>TC_N_13_CS</v>
      </c>
      <c r="B365" t="str">
        <f>'HIDDEN import'!C364</f>
        <v>Core</v>
      </c>
      <c r="C365" t="str">
        <f>'HIDDEN import'!D364</f>
        <v>Set Variable Monitoring - Value out of range - Threshold monitor</v>
      </c>
      <c r="D365" t="str">
        <f>IF(VLOOKUP(A365&amp;" "&amp;B365,'HIDDEN import'!A:G,5,FALSE)="M",MD!$A$1,(IF(AND(VLOOKUP(A365,'HIDDEN import'!B:E,4,FALSE)="C",OR(NOT(ISERROR(VLOOKUP(E365,'Optional features'!B:D,1,FALSE)=E365)),NOT(ISERROR(VLOOKUP(E365,'HIDDEN calc sheet'!A:C,1,FALSE)=E365)))),MD!$A$3,MD!$A$2)))</f>
        <v>Mandatory for optional feature</v>
      </c>
      <c r="E365" t="str">
        <f>IF('HIDDEN import'!F364=0,"",'HIDDEN import'!F364)</f>
        <v>DM-0</v>
      </c>
      <c r="F365" t="str">
        <f>IF('HIDDEN import'!G364=0,"",'HIDDEN import'!G364)</f>
        <v/>
      </c>
      <c r="G365" s="19" t="str">
        <f>IFERROR(VLOOKUP($A365,'HIDDEN Testrun Results'!$A:$B,2,FALSE),"")</f>
        <v/>
      </c>
      <c r="H365" s="3" t="b">
        <f t="shared" si="5"/>
        <v>0</v>
      </c>
      <c r="I365" s="3" t="b">
        <f>IF(VLOOKUP(A365&amp;" "&amp;B365,'HIDDEN import'!A:G,5,FALSE)="M",TRUE,IFERROR(VLOOKUP(E365,'Optional features'!B:D,3,FALSE)="Yes",IFERROR(VLOOKUP(E365,'HIDDEN calc sheet'!A:B,2,FALSE),IFERROR(VLOOKUP(E365,'Additional questions'!B:D,3,FALSE)="Yes",VLOOKUP(E365,'Hardware Feature set'!B:D,3,FALSE)="No"))))</f>
        <v>0</v>
      </c>
      <c r="J365" s="3" t="b">
        <f>IF(VLOOKUP(B365,'Profile selection'!B:C,2,FALSE)="Yes",TRUE,FALSE)</f>
        <v>1</v>
      </c>
      <c r="K365"/>
      <c r="L365"/>
    </row>
    <row r="366" spans="1:12" ht="17.100000000000001" customHeight="1" x14ac:dyDescent="0.25">
      <c r="A366" t="str">
        <f>'HIDDEN import'!B365</f>
        <v>TC_N_15_CS</v>
      </c>
      <c r="B366" t="str">
        <f>'HIDDEN import'!C365</f>
        <v>Core</v>
      </c>
      <c r="C366" t="str">
        <f>'HIDDEN import'!D365</f>
        <v>Set Variable Monitoring - Duplicate Variable type/severity combination</v>
      </c>
      <c r="D366" t="str">
        <f>IF(VLOOKUP(A366&amp;" "&amp;B366,'HIDDEN import'!A:G,5,FALSE)="M",MD!$A$1,(IF(AND(VLOOKUP(A366,'HIDDEN import'!B:E,4,FALSE)="C",OR(NOT(ISERROR(VLOOKUP(E366,'Optional features'!B:D,1,FALSE)=E366)),NOT(ISERROR(VLOOKUP(E366,'HIDDEN calc sheet'!A:C,1,FALSE)=E366)))),MD!$A$3,MD!$A$2)))</f>
        <v>Mandatory for optional feature</v>
      </c>
      <c r="E366" t="str">
        <f>IF('HIDDEN import'!F365=0,"",'HIDDEN import'!F365)</f>
        <v>DM-0</v>
      </c>
      <c r="F366" t="str">
        <f>IF('HIDDEN import'!G365=0,"",'HIDDEN import'!G365)</f>
        <v/>
      </c>
      <c r="G366" s="19" t="str">
        <f>IFERROR(VLOOKUP($A366,'HIDDEN Testrun Results'!$A:$B,2,FALSE),"")</f>
        <v/>
      </c>
      <c r="H366" s="3" t="b">
        <f t="shared" si="5"/>
        <v>0</v>
      </c>
      <c r="I366" s="3" t="b">
        <f>IF(VLOOKUP(A366&amp;" "&amp;B366,'HIDDEN import'!A:G,5,FALSE)="M",TRUE,IFERROR(VLOOKUP(E366,'Optional features'!B:D,3,FALSE)="Yes",IFERROR(VLOOKUP(E366,'HIDDEN calc sheet'!A:B,2,FALSE),IFERROR(VLOOKUP(E366,'Additional questions'!B:D,3,FALSE)="Yes",VLOOKUP(E366,'Hardware Feature set'!B:D,3,FALSE)="No"))))</f>
        <v>0</v>
      </c>
      <c r="J366" s="3" t="b">
        <f>IF(VLOOKUP(B366,'Profile selection'!B:C,2,FALSE)="Yes",TRUE,FALSE)</f>
        <v>1</v>
      </c>
      <c r="K366"/>
      <c r="L366"/>
    </row>
    <row r="367" spans="1:12" ht="17.100000000000001" customHeight="1" x14ac:dyDescent="0.25">
      <c r="A367" t="str">
        <f>'HIDDEN import'!B366</f>
        <v>TC_N_24_CS</v>
      </c>
      <c r="B367" t="str">
        <f>'HIDDEN import'!C366</f>
        <v>Core</v>
      </c>
      <c r="C367" t="str">
        <f>'HIDDEN import'!D366</f>
        <v>Set Variable Monitoring - Periodic event</v>
      </c>
      <c r="D367" t="str">
        <f>IF(VLOOKUP(A367&amp;" "&amp;B367,'HIDDEN import'!A:G,5,FALSE)="M",MD!$A$1,(IF(AND(VLOOKUP(A367,'HIDDEN import'!B:E,4,FALSE)="C",OR(NOT(ISERROR(VLOOKUP(E367,'Optional features'!B:D,1,FALSE)=E367)),NOT(ISERROR(VLOOKUP(E367,'HIDDEN calc sheet'!A:C,1,FALSE)=E367)))),MD!$A$3,MD!$A$2)))</f>
        <v>Mandatory for optional feature</v>
      </c>
      <c r="E367" t="str">
        <f>IF('HIDDEN import'!F366=0,"",'HIDDEN import'!F366)</f>
        <v>DM-0</v>
      </c>
      <c r="F367" t="str">
        <f>IF('HIDDEN import'!G366=0,"",'HIDDEN import'!G366)</f>
        <v/>
      </c>
      <c r="G367" s="19" t="str">
        <f>IFERROR(VLOOKUP($A367,'HIDDEN Testrun Results'!$A:$B,2,FALSE),"")</f>
        <v/>
      </c>
      <c r="H367" s="3" t="b">
        <f t="shared" si="5"/>
        <v>0</v>
      </c>
      <c r="I367" s="3" t="b">
        <f>IF(VLOOKUP(A367&amp;" "&amp;B367,'HIDDEN import'!A:G,5,FALSE)="M",TRUE,IFERROR(VLOOKUP(E367,'Optional features'!B:D,3,FALSE)="Yes",IFERROR(VLOOKUP(E367,'HIDDEN calc sheet'!A:B,2,FALSE),IFERROR(VLOOKUP(E367,'Additional questions'!B:D,3,FALSE)="Yes",VLOOKUP(E367,'Hardware Feature set'!B:D,3,FALSE)="No"))))</f>
        <v>0</v>
      </c>
      <c r="J367" s="3" t="b">
        <f>IF(VLOOKUP(B367,'Profile selection'!B:C,2,FALSE)="Yes",TRUE,FALSE)</f>
        <v>1</v>
      </c>
      <c r="K367"/>
      <c r="L367"/>
    </row>
    <row r="368" spans="1:12" ht="17.100000000000001" customHeight="1" x14ac:dyDescent="0.25">
      <c r="A368" t="str">
        <f>'HIDDEN import'!B367</f>
        <v>TC_N_37_CS</v>
      </c>
      <c r="B368" t="str">
        <f>'HIDDEN import'!C367</f>
        <v>Core</v>
      </c>
      <c r="C368" t="str">
        <f>'HIDDEN import'!D367</f>
        <v>Set Variable Monitoring - Unknown Variable</v>
      </c>
      <c r="D368" t="str">
        <f>IF(VLOOKUP(A368&amp;" "&amp;B368,'HIDDEN import'!A:G,5,FALSE)="M",MD!$A$1,(IF(AND(VLOOKUP(A368,'HIDDEN import'!B:E,4,FALSE)="C",OR(NOT(ISERROR(VLOOKUP(E368,'Optional features'!B:D,1,FALSE)=E368)),NOT(ISERROR(VLOOKUP(E368,'HIDDEN calc sheet'!A:C,1,FALSE)=E368)))),MD!$A$3,MD!$A$2)))</f>
        <v>Mandatory for optional feature</v>
      </c>
      <c r="E368" t="str">
        <f>IF('HIDDEN import'!F367=0,"",'HIDDEN import'!F367)</f>
        <v>DM-0</v>
      </c>
      <c r="F368" t="str">
        <f>IF('HIDDEN import'!G367=0,"",'HIDDEN import'!G367)</f>
        <v/>
      </c>
      <c r="G368" s="19" t="str">
        <f>IFERROR(VLOOKUP($A368,'HIDDEN Testrun Results'!$A:$B,2,FALSE),"")</f>
        <v/>
      </c>
      <c r="H368" s="3" t="b">
        <f t="shared" si="5"/>
        <v>0</v>
      </c>
      <c r="I368" s="3" t="b">
        <f>IF(VLOOKUP(A368&amp;" "&amp;B368,'HIDDEN import'!A:G,5,FALSE)="M",TRUE,IFERROR(VLOOKUP(E368,'Optional features'!B:D,3,FALSE)="Yes",IFERROR(VLOOKUP(E368,'HIDDEN calc sheet'!A:B,2,FALSE),IFERROR(VLOOKUP(E368,'Additional questions'!B:D,3,FALSE)="Yes",VLOOKUP(E368,'Hardware Feature set'!B:D,3,FALSE)="No"))))</f>
        <v>0</v>
      </c>
      <c r="J368" s="3" t="b">
        <f>IF(VLOOKUP(B368,'Profile selection'!B:C,2,FALSE)="Yes",TRUE,FALSE)</f>
        <v>1</v>
      </c>
      <c r="K368"/>
      <c r="L368"/>
    </row>
    <row r="369" spans="1:12" ht="17.100000000000001" customHeight="1" x14ac:dyDescent="0.25">
      <c r="A369" t="str">
        <f>'HIDDEN import'!B368</f>
        <v>TC_N_39_CS</v>
      </c>
      <c r="B369" t="str">
        <f>'HIDDEN import'!C368</f>
        <v>Core</v>
      </c>
      <c r="C369" t="str">
        <f>'HIDDEN import'!D368</f>
        <v>Set Variable Monitoring - Component/Variable combination does NOT correspond</v>
      </c>
      <c r="D369" t="str">
        <f>IF(VLOOKUP(A369&amp;" "&amp;B369,'HIDDEN import'!A:G,5,FALSE)="M",MD!$A$1,(IF(AND(VLOOKUP(A369,'HIDDEN import'!B:E,4,FALSE)="C",OR(NOT(ISERROR(VLOOKUP(E369,'Optional features'!B:D,1,FALSE)=E369)),NOT(ISERROR(VLOOKUP(E369,'HIDDEN calc sheet'!A:C,1,FALSE)=E369)))),MD!$A$3,MD!$A$2)))</f>
        <v>Mandatory for optional feature</v>
      </c>
      <c r="E369" t="str">
        <f>IF('HIDDEN import'!F368=0,"",'HIDDEN import'!F368)</f>
        <v>DM-0</v>
      </c>
      <c r="F369" t="str">
        <f>IF('HIDDEN import'!G368=0,"",'HIDDEN import'!G368)</f>
        <v/>
      </c>
      <c r="G369" s="19" t="str">
        <f>IFERROR(VLOOKUP($A369,'HIDDEN Testrun Results'!$A:$B,2,FALSE),"")</f>
        <v/>
      </c>
      <c r="H369" s="3" t="b">
        <f t="shared" si="5"/>
        <v>0</v>
      </c>
      <c r="I369" s="3" t="b">
        <f>IF(VLOOKUP(A369&amp;" "&amp;B369,'HIDDEN import'!A:G,5,FALSE)="M",TRUE,IFERROR(VLOOKUP(E369,'Optional features'!B:D,3,FALSE)="Yes",IFERROR(VLOOKUP(E369,'HIDDEN calc sheet'!A:B,2,FALSE),IFERROR(VLOOKUP(E369,'Additional questions'!B:D,3,FALSE)="Yes",VLOOKUP(E369,'Hardware Feature set'!B:D,3,FALSE)="No"))))</f>
        <v>0</v>
      </c>
      <c r="J369" s="3" t="b">
        <f>IF(VLOOKUP(B369,'Profile selection'!B:C,2,FALSE)="Yes",TRUE,FALSE)</f>
        <v>1</v>
      </c>
      <c r="K369"/>
      <c r="L369"/>
    </row>
    <row r="370" spans="1:12" ht="17.100000000000001" customHeight="1" x14ac:dyDescent="0.25">
      <c r="A370" t="str">
        <f>'HIDDEN import'!B369</f>
        <v>TC_N_40_CS</v>
      </c>
      <c r="B370" t="str">
        <f>'HIDDEN import'!C369</f>
        <v>Core</v>
      </c>
      <c r="C370" t="str">
        <f>'HIDDEN import'!D369</f>
        <v>Set Variable Monitoring - Replace Variable Monitor</v>
      </c>
      <c r="D370" t="str">
        <f>IF(VLOOKUP(A370&amp;" "&amp;B370,'HIDDEN import'!A:G,5,FALSE)="M",MD!$A$1,(IF(AND(VLOOKUP(A370,'HIDDEN import'!B:E,4,FALSE)="C",OR(NOT(ISERROR(VLOOKUP(E370,'Optional features'!B:D,1,FALSE)=E370)),NOT(ISERROR(VLOOKUP(E370,'HIDDEN calc sheet'!A:C,1,FALSE)=E370)))),MD!$A$3,MD!$A$2)))</f>
        <v>Mandatory for optional feature</v>
      </c>
      <c r="E370" t="str">
        <f>IF('HIDDEN import'!F369=0,"",'HIDDEN import'!F369)</f>
        <v>DM-0</v>
      </c>
      <c r="F370" t="str">
        <f>IF('HIDDEN import'!G369=0,"",'HIDDEN import'!G369)</f>
        <v/>
      </c>
      <c r="G370" s="19" t="str">
        <f>IFERROR(VLOOKUP($A370,'HIDDEN Testrun Results'!$A:$B,2,FALSE),"")</f>
        <v/>
      </c>
      <c r="H370" s="3" t="b">
        <f t="shared" si="5"/>
        <v>0</v>
      </c>
      <c r="I370" s="3" t="b">
        <f>IF(VLOOKUP(A370&amp;" "&amp;B370,'HIDDEN import'!A:G,5,FALSE)="M",TRUE,IFERROR(VLOOKUP(E370,'Optional features'!B:D,3,FALSE)="Yes",IFERROR(VLOOKUP(E370,'HIDDEN calc sheet'!A:B,2,FALSE),IFERROR(VLOOKUP(E370,'Additional questions'!B:D,3,FALSE)="Yes",VLOOKUP(E370,'Hardware Feature set'!B:D,3,FALSE)="No"))))</f>
        <v>0</v>
      </c>
      <c r="J370" s="3" t="b">
        <f>IF(VLOOKUP(B370,'Profile selection'!B:C,2,FALSE)="Yes",TRUE,FALSE)</f>
        <v>1</v>
      </c>
      <c r="K370"/>
      <c r="L370"/>
    </row>
    <row r="371" spans="1:12" ht="17.100000000000001" customHeight="1" x14ac:dyDescent="0.25">
      <c r="A371" t="str">
        <f>'HIDDEN import'!B370</f>
        <v>TC_N_41_CS</v>
      </c>
      <c r="B371" t="str">
        <f>'HIDDEN import'!C370</f>
        <v>Core</v>
      </c>
      <c r="C371" t="str">
        <f>'HIDDEN import'!D370</f>
        <v>Set Variable Monitoring - Return to FactoryDefault</v>
      </c>
      <c r="D371" t="str">
        <f>IF(VLOOKUP(A371&amp;" "&amp;B371,'HIDDEN import'!A:G,5,FALSE)="M",MD!$A$1,(IF(AND(VLOOKUP(A371,'HIDDEN import'!B:E,4,FALSE)="C",OR(NOT(ISERROR(VLOOKUP(E371,'Optional features'!B:D,1,FALSE)=E371)),NOT(ISERROR(VLOOKUP(E371,'HIDDEN calc sheet'!A:C,1,FALSE)=E371)))),MD!$A$3,MD!$A$2)))</f>
        <v>Mandatory for optional feature</v>
      </c>
      <c r="E371" t="str">
        <f>IF('HIDDEN import'!F370=0,"",'HIDDEN import'!F370)</f>
        <v>DM-0</v>
      </c>
      <c r="F371" t="str">
        <f>IF('HIDDEN import'!G370=0,"",'HIDDEN import'!G370)</f>
        <v/>
      </c>
      <c r="G371" s="19" t="str">
        <f>IFERROR(VLOOKUP($A371,'HIDDEN Testrun Results'!$A:$B,2,FALSE),"")</f>
        <v/>
      </c>
      <c r="H371" s="3" t="b">
        <f t="shared" si="5"/>
        <v>0</v>
      </c>
      <c r="I371" s="3" t="b">
        <f>IF(VLOOKUP(A371&amp;" "&amp;B371,'HIDDEN import'!A:G,5,FALSE)="M",TRUE,IFERROR(VLOOKUP(E371,'Optional features'!B:D,3,FALSE)="Yes",IFERROR(VLOOKUP(E371,'HIDDEN calc sheet'!A:B,2,FALSE),IFERROR(VLOOKUP(E371,'Additional questions'!B:D,3,FALSE)="Yes",VLOOKUP(E371,'Hardware Feature set'!B:D,3,FALSE)="No"))))</f>
        <v>0</v>
      </c>
      <c r="J371" s="3" t="b">
        <f>IF(VLOOKUP(B371,'Profile selection'!B:C,2,FALSE)="Yes",TRUE,FALSE)</f>
        <v>1</v>
      </c>
      <c r="K371"/>
      <c r="L371"/>
    </row>
    <row r="372" spans="1:12" ht="17.100000000000001" customHeight="1" x14ac:dyDescent="0.25">
      <c r="A372" t="str">
        <f>'HIDDEN import'!B371</f>
        <v>TC_N_43_CS</v>
      </c>
      <c r="B372" t="str">
        <f>'HIDDEN import'!C371</f>
        <v>Core</v>
      </c>
      <c r="C372" t="str">
        <f>'HIDDEN import'!D371</f>
        <v>Set Variable Monitoring - First SetMonitoringData and third SetMonitoringData are valid, but the second contains an out of range value</v>
      </c>
      <c r="D372" t="str">
        <f>IF(VLOOKUP(A372&amp;" "&amp;B372,'HIDDEN import'!A:G,5,FALSE)="M",MD!$A$1,(IF(AND(VLOOKUP(A372,'HIDDEN import'!B:E,4,FALSE)="C",OR(NOT(ISERROR(VLOOKUP(E372,'Optional features'!B:D,1,FALSE)=E372)),NOT(ISERROR(VLOOKUP(E372,'HIDDEN calc sheet'!A:C,1,FALSE)=E372)))),MD!$A$3,MD!$A$2)))</f>
        <v>Mandatory for optional feature</v>
      </c>
      <c r="E372" t="str">
        <f>IF('HIDDEN import'!F371=0,"",'HIDDEN import'!F371)</f>
        <v>DM-0</v>
      </c>
      <c r="F372" t="str">
        <f>IF('HIDDEN import'!G371=0,"",'HIDDEN import'!G371)</f>
        <v/>
      </c>
      <c r="G372" s="19" t="str">
        <f>IFERROR(VLOOKUP($A372,'HIDDEN Testrun Results'!$A:$B,2,FALSE),"")</f>
        <v/>
      </c>
      <c r="H372" s="3" t="b">
        <f t="shared" si="5"/>
        <v>0</v>
      </c>
      <c r="I372" s="3" t="b">
        <f>IF(VLOOKUP(A372&amp;" "&amp;B372,'HIDDEN import'!A:G,5,FALSE)="M",TRUE,IFERROR(VLOOKUP(E372,'Optional features'!B:D,3,FALSE)="Yes",IFERROR(VLOOKUP(E372,'HIDDEN calc sheet'!A:B,2,FALSE),IFERROR(VLOOKUP(E372,'Additional questions'!B:D,3,FALSE)="Yes",VLOOKUP(E372,'Hardware Feature set'!B:D,3,FALSE)="No"))))</f>
        <v>0</v>
      </c>
      <c r="J372" s="3" t="b">
        <f>IF(VLOOKUP(B372,'Profile selection'!B:C,2,FALSE)="Yes",TRUE,FALSE)</f>
        <v>1</v>
      </c>
      <c r="K372"/>
      <c r="L372"/>
    </row>
    <row r="373" spans="1:12" ht="17.100000000000001" customHeight="1" x14ac:dyDescent="0.25">
      <c r="A373" t="str">
        <f>'HIDDEN import'!B372</f>
        <v>TC_N_51_CS</v>
      </c>
      <c r="B373" t="str">
        <f>'HIDDEN import'!C372</f>
        <v>Core</v>
      </c>
      <c r="C373" t="str">
        <f>'HIDDEN import'!D372</f>
        <v>Set Variable Monitoring - Modifying a VariableMonitor and trigger</v>
      </c>
      <c r="D373" t="str">
        <f>IF(VLOOKUP(A373&amp;" "&amp;B373,'HIDDEN import'!A:G,5,FALSE)="M",MD!$A$1,(IF(AND(VLOOKUP(A373,'HIDDEN import'!B:E,4,FALSE)="C",OR(NOT(ISERROR(VLOOKUP(E373,'Optional features'!B:D,1,FALSE)=E373)),NOT(ISERROR(VLOOKUP(E373,'HIDDEN calc sheet'!A:C,1,FALSE)=E373)))),MD!$A$3,MD!$A$2)))</f>
        <v>Mandatory for optional feature</v>
      </c>
      <c r="E373" t="str">
        <f>IF('HIDDEN import'!F372=0,"",'HIDDEN import'!F372)</f>
        <v>DM-0</v>
      </c>
      <c r="F373" t="str">
        <f>IF('HIDDEN import'!G372=0,"",'HIDDEN import'!G372)</f>
        <v/>
      </c>
      <c r="G373" s="19" t="str">
        <f>IFERROR(VLOOKUP($A373,'HIDDEN Testrun Results'!$A:$B,2,FALSE),"")</f>
        <v/>
      </c>
      <c r="H373" s="3" t="b">
        <f t="shared" si="5"/>
        <v>0</v>
      </c>
      <c r="I373" s="3" t="b">
        <f>IF(VLOOKUP(A373&amp;" "&amp;B373,'HIDDEN import'!A:G,5,FALSE)="M",TRUE,IFERROR(VLOOKUP(E373,'Optional features'!B:D,3,FALSE)="Yes",IFERROR(VLOOKUP(E373,'HIDDEN calc sheet'!A:B,2,FALSE),IFERROR(VLOOKUP(E373,'Additional questions'!B:D,3,FALSE)="Yes",VLOOKUP(E373,'Hardware Feature set'!B:D,3,FALSE)="No"))))</f>
        <v>0</v>
      </c>
      <c r="J373" s="3" t="b">
        <f>IF(VLOOKUP(B373,'Profile selection'!B:C,2,FALSE)="Yes",TRUE,FALSE)</f>
        <v>1</v>
      </c>
      <c r="K373"/>
      <c r="L373"/>
    </row>
    <row r="374" spans="1:12" ht="17.100000000000001" customHeight="1" x14ac:dyDescent="0.25">
      <c r="A374" t="str">
        <f>'HIDDEN import'!B373</f>
        <v>TC_N_52_CS</v>
      </c>
      <c r="B374" t="str">
        <f>'HIDDEN import'!C373</f>
        <v>Core</v>
      </c>
      <c r="C374" t="str">
        <f>'HIDDEN import'!D373</f>
        <v>Set Variable Monitoring - Removing a VariableMonitor</v>
      </c>
      <c r="D374" t="str">
        <f>IF(VLOOKUP(A374&amp;" "&amp;B374,'HIDDEN import'!A:G,5,FALSE)="M",MD!$A$1,(IF(AND(VLOOKUP(A374,'HIDDEN import'!B:E,4,FALSE)="C",OR(NOT(ISERROR(VLOOKUP(E374,'Optional features'!B:D,1,FALSE)=E374)),NOT(ISERROR(VLOOKUP(E374,'HIDDEN calc sheet'!A:C,1,FALSE)=E374)))),MD!$A$3,MD!$A$2)))</f>
        <v>Mandatory for optional feature</v>
      </c>
      <c r="E374" t="str">
        <f>IF('HIDDEN import'!F373=0,"",'HIDDEN import'!F373)</f>
        <v>DM-0</v>
      </c>
      <c r="F374" t="str">
        <f>IF('HIDDEN import'!G373=0,"",'HIDDEN import'!G373)</f>
        <v/>
      </c>
      <c r="G374" s="19" t="str">
        <f>IFERROR(VLOOKUP($A374,'HIDDEN Testrun Results'!$A:$B,2,FALSE),"")</f>
        <v/>
      </c>
      <c r="H374" s="3" t="b">
        <f t="shared" si="5"/>
        <v>0</v>
      </c>
      <c r="I374" s="3" t="b">
        <f>IF(VLOOKUP(A374&amp;" "&amp;B374,'HIDDEN import'!A:G,5,FALSE)="M",TRUE,IFERROR(VLOOKUP(E374,'Optional features'!B:D,3,FALSE)="Yes",IFERROR(VLOOKUP(E374,'HIDDEN calc sheet'!A:B,2,FALSE),IFERROR(VLOOKUP(E374,'Additional questions'!B:D,3,FALSE)="Yes",VLOOKUP(E374,'Hardware Feature set'!B:D,3,FALSE)="No"))))</f>
        <v>0</v>
      </c>
      <c r="J374" s="3" t="b">
        <f>IF(VLOOKUP(B374,'Profile selection'!B:C,2,FALSE)="Yes",TRUE,FALSE)</f>
        <v>1</v>
      </c>
      <c r="K374"/>
      <c r="L374"/>
    </row>
    <row r="375" spans="1:12" ht="17.100000000000001" customHeight="1" x14ac:dyDescent="0.25">
      <c r="A375" t="str">
        <f>'HIDDEN import'!B374</f>
        <v>TC_N_105_CS</v>
      </c>
      <c r="B375" t="str">
        <f>'HIDDEN import'!C374</f>
        <v>Core</v>
      </c>
      <c r="C375" t="str">
        <f>'HIDDEN import'!D374</f>
        <v>Set Variable Monitoring - Set Frequent Periodic Variable Monitoring - Periodic</v>
      </c>
      <c r="D375" t="str">
        <f>IF(VLOOKUP(A375&amp;" "&amp;B375,'HIDDEN import'!A:G,5,FALSE)="M",MD!$A$1,(IF(AND(VLOOKUP(A375,'HIDDEN import'!B:E,4,FALSE)="C",OR(NOT(ISERROR(VLOOKUP(E375,'Optional features'!B:D,1,FALSE)=E375)),NOT(ISERROR(VLOOKUP(E375,'HIDDEN calc sheet'!A:C,1,FALSE)=E375)))),MD!$A$3,MD!$A$2)))</f>
        <v>Mandatory for optional feature</v>
      </c>
      <c r="E375" t="str">
        <f>IF('HIDDEN import'!F374=0,"",'HIDDEN import'!F374)</f>
        <v>DM-0</v>
      </c>
      <c r="F375" t="str">
        <f>IF('HIDDEN import'!G374=0,"",'HIDDEN import'!G374)</f>
        <v/>
      </c>
      <c r="G375" s="19" t="str">
        <f>IFERROR(VLOOKUP($A375,'HIDDEN Testrun Results'!$A:$B,2,FALSE),"")</f>
        <v/>
      </c>
      <c r="H375" s="3" t="b">
        <f t="shared" si="5"/>
        <v>0</v>
      </c>
      <c r="I375" s="3" t="b">
        <f>IF(VLOOKUP(A375&amp;" "&amp;B375,'HIDDEN import'!A:G,5,FALSE)="M",TRUE,IFERROR(VLOOKUP(E375,'Optional features'!B:D,3,FALSE)="Yes",IFERROR(VLOOKUP(E375,'HIDDEN calc sheet'!A:B,2,FALSE),IFERROR(VLOOKUP(E375,'Additional questions'!B:D,3,FALSE)="Yes",VLOOKUP(E375,'Hardware Feature set'!B:D,3,FALSE)="No"))))</f>
        <v>0</v>
      </c>
      <c r="J375" s="3" t="b">
        <f>IF(VLOOKUP(B375,'Profile selection'!B:C,2,FALSE)="Yes",TRUE,FALSE)</f>
        <v>1</v>
      </c>
      <c r="K375"/>
      <c r="L375"/>
    </row>
    <row r="376" spans="1:12" ht="17.100000000000001" customHeight="1" x14ac:dyDescent="0.25">
      <c r="A376" t="str">
        <f>'HIDDEN import'!B375</f>
        <v>TC_N_106_CS</v>
      </c>
      <c r="B376" t="str">
        <f>'HIDDEN import'!C375</f>
        <v>Core</v>
      </c>
      <c r="C376" t="str">
        <f>'HIDDEN import'!D375</f>
        <v>Set Variable Monitoring - Set Frequent Periodic Variable Monitoring - CSMS rejects stream</v>
      </c>
      <c r="D376" t="str">
        <f>IF(VLOOKUP(A376&amp;" "&amp;B376,'HIDDEN import'!A:G,5,FALSE)="M",MD!$A$1,(IF(AND(VLOOKUP(A376,'HIDDEN import'!B:E,4,FALSE)="C",OR(NOT(ISERROR(VLOOKUP(E376,'Optional features'!B:D,1,FALSE)=E376)),NOT(ISERROR(VLOOKUP(E376,'HIDDEN calc sheet'!A:C,1,FALSE)=E376)))),MD!$A$3,MD!$A$2)))</f>
        <v>Mandatory for optional feature</v>
      </c>
      <c r="E376" t="str">
        <f>IF('HIDDEN import'!F375=0,"",'HIDDEN import'!F375)</f>
        <v>DM-0</v>
      </c>
      <c r="F376" t="str">
        <f>IF('HIDDEN import'!G375=0,"",'HIDDEN import'!G375)</f>
        <v/>
      </c>
      <c r="G376" s="19" t="str">
        <f>IFERROR(VLOOKUP($A376,'HIDDEN Testrun Results'!$A:$B,2,FALSE),"")</f>
        <v/>
      </c>
      <c r="H376" s="3" t="b">
        <f t="shared" si="5"/>
        <v>0</v>
      </c>
      <c r="I376" s="3" t="b">
        <f>IF(VLOOKUP(A376&amp;" "&amp;B376,'HIDDEN import'!A:G,5,FALSE)="M",TRUE,IFERROR(VLOOKUP(E376,'Optional features'!B:D,3,FALSE)="Yes",IFERROR(VLOOKUP(E376,'HIDDEN calc sheet'!A:B,2,FALSE),IFERROR(VLOOKUP(E376,'Additional questions'!B:D,3,FALSE)="Yes",VLOOKUP(E376,'Hardware Feature set'!B:D,3,FALSE)="No"))))</f>
        <v>0</v>
      </c>
      <c r="J376" s="3" t="b">
        <f>IF(VLOOKUP(B376,'Profile selection'!B:C,2,FALSE)="Yes",TRUE,FALSE)</f>
        <v>1</v>
      </c>
      <c r="K376"/>
      <c r="L376"/>
    </row>
    <row r="377" spans="1:12" ht="17.100000000000001" customHeight="1" x14ac:dyDescent="0.25">
      <c r="A377" t="str">
        <f>'HIDDEN import'!B376</f>
        <v>TC_N_108_CS</v>
      </c>
      <c r="B377" t="str">
        <f>'HIDDEN import'!C376</f>
        <v>Core</v>
      </c>
      <c r="C377" t="str">
        <f>'HIDDEN import'!D376</f>
        <v>Set Variable Monitoring - Close Periodic Event Streams</v>
      </c>
      <c r="D377" t="str">
        <f>IF(VLOOKUP(A377&amp;" "&amp;B377,'HIDDEN import'!A:G,5,FALSE)="M",MD!$A$1,(IF(AND(VLOOKUP(A377,'HIDDEN import'!B:E,4,FALSE)="C",OR(NOT(ISERROR(VLOOKUP(E377,'Optional features'!B:D,1,FALSE)=E377)),NOT(ISERROR(VLOOKUP(E377,'HIDDEN calc sheet'!A:C,1,FALSE)=E377)))),MD!$A$3,MD!$A$2)))</f>
        <v>Mandatory for optional feature</v>
      </c>
      <c r="E377" t="str">
        <f>IF('HIDDEN import'!F376=0,"",'HIDDEN import'!F376)</f>
        <v>DM-0</v>
      </c>
      <c r="F377" t="str">
        <f>IF('HIDDEN import'!G376=0,"",'HIDDEN import'!G376)</f>
        <v/>
      </c>
      <c r="G377" s="19" t="str">
        <f>IFERROR(VLOOKUP($A377,'HIDDEN Testrun Results'!$A:$B,2,FALSE),"")</f>
        <v/>
      </c>
      <c r="H377" s="3" t="b">
        <f t="shared" si="5"/>
        <v>0</v>
      </c>
      <c r="I377" s="3" t="b">
        <f>IF(VLOOKUP(A377&amp;" "&amp;B377,'HIDDEN import'!A:G,5,FALSE)="M",TRUE,IFERROR(VLOOKUP(E377,'Optional features'!B:D,3,FALSE)="Yes",IFERROR(VLOOKUP(E377,'HIDDEN calc sheet'!A:B,2,FALSE),IFERROR(VLOOKUP(E377,'Additional questions'!B:D,3,FALSE)="Yes",VLOOKUP(E377,'Hardware Feature set'!B:D,3,FALSE)="No"))))</f>
        <v>0</v>
      </c>
      <c r="J377" s="3" t="b">
        <f>IF(VLOOKUP(B377,'Profile selection'!B:C,2,FALSE)="Yes",TRUE,FALSE)</f>
        <v>1</v>
      </c>
      <c r="K377"/>
      <c r="L377"/>
    </row>
    <row r="378" spans="1:12" ht="17.100000000000001" customHeight="1" x14ac:dyDescent="0.25">
      <c r="A378" t="str">
        <f>'HIDDEN import'!B377</f>
        <v>TC_N_109_CS</v>
      </c>
      <c r="B378" t="str">
        <f>'HIDDEN import'!C377</f>
        <v>Core</v>
      </c>
      <c r="C378" t="str">
        <f>'HIDDEN import'!D377</f>
        <v>Set Variable Monitoring - Adjust Periodic Event Streams</v>
      </c>
      <c r="D378" t="str">
        <f>IF(VLOOKUP(A378&amp;" "&amp;B378,'HIDDEN import'!A:G,5,FALSE)="M",MD!$A$1,(IF(AND(VLOOKUP(A378,'HIDDEN import'!B:E,4,FALSE)="C",OR(NOT(ISERROR(VLOOKUP(E378,'Optional features'!B:D,1,FALSE)=E378)),NOT(ISERROR(VLOOKUP(E378,'HIDDEN calc sheet'!A:C,1,FALSE)=E378)))),MD!$A$3,MD!$A$2)))</f>
        <v>Mandatory for optional feature</v>
      </c>
      <c r="E378" t="str">
        <f>IF('HIDDEN import'!F377=0,"",'HIDDEN import'!F377)</f>
        <v>DM-0</v>
      </c>
      <c r="F378" t="str">
        <f>IF('HIDDEN import'!G377=0,"",'HIDDEN import'!G377)</f>
        <v/>
      </c>
      <c r="G378" s="19" t="str">
        <f>IFERROR(VLOOKUP($A378,'HIDDEN Testrun Results'!$A:$B,2,FALSE),"")</f>
        <v/>
      </c>
      <c r="H378" s="3" t="b">
        <f t="shared" si="5"/>
        <v>0</v>
      </c>
      <c r="I378" s="3" t="b">
        <f>IF(VLOOKUP(A378&amp;" "&amp;B378,'HIDDEN import'!A:G,5,FALSE)="M",TRUE,IFERROR(VLOOKUP(E378,'Optional features'!B:D,3,FALSE)="Yes",IFERROR(VLOOKUP(E378,'HIDDEN calc sheet'!A:B,2,FALSE),IFERROR(VLOOKUP(E378,'Additional questions'!B:D,3,FALSE)="Yes",VLOOKUP(E378,'Hardware Feature set'!B:D,3,FALSE)="No"))))</f>
        <v>0</v>
      </c>
      <c r="J378" s="3" t="b">
        <f>IF(VLOOKUP(B378,'Profile selection'!B:C,2,FALSE)="Yes",TRUE,FALSE)</f>
        <v>1</v>
      </c>
      <c r="K378"/>
      <c r="L378"/>
    </row>
    <row r="379" spans="1:12" ht="17.100000000000001" customHeight="1" x14ac:dyDescent="0.25">
      <c r="A379" t="str">
        <f>'HIDDEN import'!B378</f>
        <v>TC_N_16_CS</v>
      </c>
      <c r="B379" t="str">
        <f>'HIDDEN import'!C378</f>
        <v>Core</v>
      </c>
      <c r="C379" t="str">
        <f>'HIDDEN import'!D378</f>
        <v>Set Monitoring Level - Success</v>
      </c>
      <c r="D379" t="str">
        <f>IF(VLOOKUP(A379&amp;" "&amp;B379,'HIDDEN import'!A:G,5,FALSE)="M",MD!$A$1,(IF(AND(VLOOKUP(A379,'HIDDEN import'!B:E,4,FALSE)="C",OR(NOT(ISERROR(VLOOKUP(E379,'Optional features'!B:D,1,FALSE)=E379)),NOT(ISERROR(VLOOKUP(E379,'HIDDEN calc sheet'!A:C,1,FALSE)=E379)))),MD!$A$3,MD!$A$2)))</f>
        <v>Mandatory for optional feature</v>
      </c>
      <c r="E379" t="str">
        <f>IF('HIDDEN import'!F378=0,"",'HIDDEN import'!F378)</f>
        <v>DM-0</v>
      </c>
      <c r="F379" t="str">
        <f>IF('HIDDEN import'!G378=0,"",'HIDDEN import'!G378)</f>
        <v/>
      </c>
      <c r="G379" s="19" t="str">
        <f>IFERROR(VLOOKUP($A379,'HIDDEN Testrun Results'!$A:$B,2,FALSE),"")</f>
        <v/>
      </c>
      <c r="H379" s="3" t="b">
        <f t="shared" si="5"/>
        <v>0</v>
      </c>
      <c r="I379" s="3" t="b">
        <f>IF(VLOOKUP(A379&amp;" "&amp;B379,'HIDDEN import'!A:G,5,FALSE)="M",TRUE,IFERROR(VLOOKUP(E379,'Optional features'!B:D,3,FALSE)="Yes",IFERROR(VLOOKUP(E379,'HIDDEN calc sheet'!A:B,2,FALSE),IFERROR(VLOOKUP(E379,'Additional questions'!B:D,3,FALSE)="Yes",VLOOKUP(E379,'Hardware Feature set'!B:D,3,FALSE)="No"))))</f>
        <v>0</v>
      </c>
      <c r="J379" s="3" t="b">
        <f>IF(VLOOKUP(B379,'Profile selection'!B:C,2,FALSE)="Yes",TRUE,FALSE)</f>
        <v>1</v>
      </c>
      <c r="K379"/>
      <c r="L379"/>
    </row>
    <row r="380" spans="1:12" ht="17.100000000000001" customHeight="1" x14ac:dyDescent="0.25">
      <c r="A380" t="str">
        <f>'HIDDEN import'!B379</f>
        <v>TC_N_17_CS</v>
      </c>
      <c r="B380" t="str">
        <f>'HIDDEN import'!C379</f>
        <v>Core</v>
      </c>
      <c r="C380" t="str">
        <f>'HIDDEN import'!D379</f>
        <v>Set Monitoring Level - Out of range</v>
      </c>
      <c r="D380" t="str">
        <f>IF(VLOOKUP(A380&amp;" "&amp;B380,'HIDDEN import'!A:G,5,FALSE)="M",MD!$A$1,(IF(AND(VLOOKUP(A380,'HIDDEN import'!B:E,4,FALSE)="C",OR(NOT(ISERROR(VLOOKUP(E380,'Optional features'!B:D,1,FALSE)=E380)),NOT(ISERROR(VLOOKUP(E380,'HIDDEN calc sheet'!A:C,1,FALSE)=E380)))),MD!$A$3,MD!$A$2)))</f>
        <v>Mandatory for optional feature</v>
      </c>
      <c r="E380" t="str">
        <f>IF('HIDDEN import'!F379=0,"",'HIDDEN import'!F379)</f>
        <v>DM-0</v>
      </c>
      <c r="F380" t="str">
        <f>IF('HIDDEN import'!G379=0,"",'HIDDEN import'!G379)</f>
        <v/>
      </c>
      <c r="G380" s="19" t="str">
        <f>IFERROR(VLOOKUP($A380,'HIDDEN Testrun Results'!$A:$B,2,FALSE),"")</f>
        <v/>
      </c>
      <c r="H380" s="3" t="b">
        <f t="shared" si="5"/>
        <v>0</v>
      </c>
      <c r="I380" s="3" t="b">
        <f>IF(VLOOKUP(A380&amp;" "&amp;B380,'HIDDEN import'!A:G,5,FALSE)="M",TRUE,IFERROR(VLOOKUP(E380,'Optional features'!B:D,3,FALSE)="Yes",IFERROR(VLOOKUP(E380,'HIDDEN calc sheet'!A:B,2,FALSE),IFERROR(VLOOKUP(E380,'Additional questions'!B:D,3,FALSE)="Yes",VLOOKUP(E380,'Hardware Feature set'!B:D,3,FALSE)="No"))))</f>
        <v>0</v>
      </c>
      <c r="J380" s="3" t="b">
        <f>IF(VLOOKUP(B380,'Profile selection'!B:C,2,FALSE)="Yes",TRUE,FALSE)</f>
        <v>1</v>
      </c>
      <c r="K380"/>
      <c r="L380"/>
    </row>
    <row r="381" spans="1:12" ht="17.100000000000001" customHeight="1" x14ac:dyDescent="0.25">
      <c r="A381" t="str">
        <f>'HIDDEN import'!B380</f>
        <v>TC_N_18_CS</v>
      </c>
      <c r="B381" t="str">
        <f>'HIDDEN import'!C380</f>
        <v>Core</v>
      </c>
      <c r="C381" t="str">
        <f>'HIDDEN import'!D380</f>
        <v>Clear Monitoring - Success</v>
      </c>
      <c r="D381" t="str">
        <f>IF(VLOOKUP(A381&amp;" "&amp;B381,'HIDDEN import'!A:G,5,FALSE)="M",MD!$A$1,(IF(AND(VLOOKUP(A381,'HIDDEN import'!B:E,4,FALSE)="C",OR(NOT(ISERROR(VLOOKUP(E381,'Optional features'!B:D,1,FALSE)=E381)),NOT(ISERROR(VLOOKUP(E381,'HIDDEN calc sheet'!A:C,1,FALSE)=E381)))),MD!$A$3,MD!$A$2)))</f>
        <v>Mandatory for optional feature</v>
      </c>
      <c r="E381" t="str">
        <f>IF('HIDDEN import'!F380=0,"",'HIDDEN import'!F380)</f>
        <v>DM-0</v>
      </c>
      <c r="F381" t="str">
        <f>IF('HIDDEN import'!G380=0,"",'HIDDEN import'!G380)</f>
        <v/>
      </c>
      <c r="G381" s="19" t="str">
        <f>IFERROR(VLOOKUP($A381,'HIDDEN Testrun Results'!$A:$B,2,FALSE),"")</f>
        <v/>
      </c>
      <c r="H381" s="3" t="b">
        <f t="shared" si="5"/>
        <v>0</v>
      </c>
      <c r="I381" s="3" t="b">
        <f>IF(VLOOKUP(A381&amp;" "&amp;B381,'HIDDEN import'!A:G,5,FALSE)="M",TRUE,IFERROR(VLOOKUP(E381,'Optional features'!B:D,3,FALSE)="Yes",IFERROR(VLOOKUP(E381,'HIDDEN calc sheet'!A:B,2,FALSE),IFERROR(VLOOKUP(E381,'Additional questions'!B:D,3,FALSE)="Yes",VLOOKUP(E381,'Hardware Feature set'!B:D,3,FALSE)="No"))))</f>
        <v>0</v>
      </c>
      <c r="J381" s="3" t="b">
        <f>IF(VLOOKUP(B381,'Profile selection'!B:C,2,FALSE)="Yes",TRUE,FALSE)</f>
        <v>1</v>
      </c>
      <c r="K381"/>
      <c r="L381"/>
    </row>
    <row r="382" spans="1:12" ht="17.100000000000001" customHeight="1" x14ac:dyDescent="0.25">
      <c r="A382" t="str">
        <f>'HIDDEN import'!B381</f>
        <v>TC_N_19_CS</v>
      </c>
      <c r="B382" t="str">
        <f>'HIDDEN import'!C381</f>
        <v>Core</v>
      </c>
      <c r="C382" t="str">
        <f>'HIDDEN import'!D381</f>
        <v>Clear Monitoring - Not found</v>
      </c>
      <c r="D382" t="str">
        <f>IF(VLOOKUP(A382&amp;" "&amp;B382,'HIDDEN import'!A:G,5,FALSE)="M",MD!$A$1,(IF(AND(VLOOKUP(A382,'HIDDEN import'!B:E,4,FALSE)="C",OR(NOT(ISERROR(VLOOKUP(E382,'Optional features'!B:D,1,FALSE)=E382)),NOT(ISERROR(VLOOKUP(E382,'HIDDEN calc sheet'!A:C,1,FALSE)=E382)))),MD!$A$3,MD!$A$2)))</f>
        <v>Mandatory for optional feature</v>
      </c>
      <c r="E382" t="str">
        <f>IF('HIDDEN import'!F381=0,"",'HIDDEN import'!F381)</f>
        <v>DM-0</v>
      </c>
      <c r="F382" t="str">
        <f>IF('HIDDEN import'!G381=0,"",'HIDDEN import'!G381)</f>
        <v/>
      </c>
      <c r="G382" s="19" t="str">
        <f>IFERROR(VLOOKUP($A382,'HIDDEN Testrun Results'!$A:$B,2,FALSE),"")</f>
        <v/>
      </c>
      <c r="H382" s="3" t="b">
        <f t="shared" si="5"/>
        <v>0</v>
      </c>
      <c r="I382" s="3" t="b">
        <f>IF(VLOOKUP(A382&amp;" "&amp;B382,'HIDDEN import'!A:G,5,FALSE)="M",TRUE,IFERROR(VLOOKUP(E382,'Optional features'!B:D,3,FALSE)="Yes",IFERROR(VLOOKUP(E382,'HIDDEN calc sheet'!A:B,2,FALSE),IFERROR(VLOOKUP(E382,'Additional questions'!B:D,3,FALSE)="Yes",VLOOKUP(E382,'Hardware Feature set'!B:D,3,FALSE)="No"))))</f>
        <v>0</v>
      </c>
      <c r="J382" s="3" t="b">
        <f>IF(VLOOKUP(B382,'Profile selection'!B:C,2,FALSE)="Yes",TRUE,FALSE)</f>
        <v>1</v>
      </c>
      <c r="K382"/>
      <c r="L382"/>
    </row>
    <row r="383" spans="1:12" ht="17.100000000000001" customHeight="1" x14ac:dyDescent="0.25">
      <c r="A383" t="str">
        <f>'HIDDEN import'!B382</f>
        <v>TC_N_44_CS</v>
      </c>
      <c r="B383" t="str">
        <f>'HIDDEN import'!C382</f>
        <v>Core</v>
      </c>
      <c r="C383" t="str">
        <f>'HIDDEN import'!D382</f>
        <v>Clear Monitoring - Rejected</v>
      </c>
      <c r="D383" t="str">
        <f>IF(VLOOKUP(A383&amp;" "&amp;B383,'HIDDEN import'!A:G,5,FALSE)="M",MD!$A$1,(IF(AND(VLOOKUP(A383,'HIDDEN import'!B:E,4,FALSE)="C",OR(NOT(ISERROR(VLOOKUP(E383,'Optional features'!B:D,1,FALSE)=E383)),NOT(ISERROR(VLOOKUP(E383,'HIDDEN calc sheet'!A:C,1,FALSE)=E383)))),MD!$A$3,MD!$A$2)))</f>
        <v>Mandatory for optional feature</v>
      </c>
      <c r="E383" t="str">
        <f>IF('HIDDEN import'!F382=0,"",'HIDDEN import'!F382)</f>
        <v>DM-0 and AQ-5</v>
      </c>
      <c r="F383" t="str">
        <f>IF('HIDDEN import'!G382=0,"",'HIDDEN import'!G382)</f>
        <v/>
      </c>
      <c r="G383" s="19" t="str">
        <f>IFERROR(VLOOKUP($A383,'HIDDEN Testrun Results'!$A:$B,2,FALSE),"")</f>
        <v/>
      </c>
      <c r="H383" s="3" t="b">
        <f t="shared" si="5"/>
        <v>0</v>
      </c>
      <c r="I383" s="3" t="b">
        <f>IF(VLOOKUP(A383&amp;" "&amp;B383,'HIDDEN import'!A:G,5,FALSE)="M",TRUE,IFERROR(VLOOKUP(E383,'Optional features'!B:D,3,FALSE)="Yes",IFERROR(VLOOKUP(E383,'HIDDEN calc sheet'!A:B,2,FALSE),IFERROR(VLOOKUP(E383,'Additional questions'!B:D,3,FALSE)="Yes",VLOOKUP(E383,'Hardware Feature set'!B:D,3,FALSE)="No"))))</f>
        <v>0</v>
      </c>
      <c r="J383" s="3" t="b">
        <f>IF(VLOOKUP(B383,'Profile selection'!B:C,2,FALSE)="Yes",TRUE,FALSE)</f>
        <v>1</v>
      </c>
      <c r="K383"/>
      <c r="L383"/>
    </row>
    <row r="384" spans="1:12" ht="17.100000000000001" customHeight="1" x14ac:dyDescent="0.25">
      <c r="A384" t="str">
        <f>'HIDDEN import'!B383</f>
        <v>TC_N_20_CS</v>
      </c>
      <c r="B384" t="str">
        <f>'HIDDEN import'!C383</f>
        <v>Core</v>
      </c>
      <c r="C384" t="str">
        <f>'HIDDEN import'!D383</f>
        <v>Alert Event - Threshold value exceeded</v>
      </c>
      <c r="D384" t="str">
        <f>IF(VLOOKUP(A384&amp;" "&amp;B384,'HIDDEN import'!A:G,5,FALSE)="M",MD!$A$1,(IF(AND(VLOOKUP(A384,'HIDDEN import'!B:E,4,FALSE)="C",OR(NOT(ISERROR(VLOOKUP(E384,'Optional features'!B:D,1,FALSE)=E384)),NOT(ISERROR(VLOOKUP(E384,'HIDDEN calc sheet'!A:C,1,FALSE)=E384)))),MD!$A$3,MD!$A$2)))</f>
        <v>Mandatory for optional feature</v>
      </c>
      <c r="E384" t="str">
        <f>IF('HIDDEN import'!F383=0,"",'HIDDEN import'!F383)</f>
        <v>DM-0</v>
      </c>
      <c r="F384" t="str">
        <f>IF('HIDDEN import'!G383=0,"",'HIDDEN import'!G383)</f>
        <v/>
      </c>
      <c r="G384" s="19" t="str">
        <f>IFERROR(VLOOKUP($A384,'HIDDEN Testrun Results'!$A:$B,2,FALSE),"")</f>
        <v/>
      </c>
      <c r="H384" s="3" t="b">
        <f t="shared" si="5"/>
        <v>0</v>
      </c>
      <c r="I384" s="3" t="b">
        <f>IF(VLOOKUP(A384&amp;" "&amp;B384,'HIDDEN import'!A:G,5,FALSE)="M",TRUE,IFERROR(VLOOKUP(E384,'Optional features'!B:D,3,FALSE)="Yes",IFERROR(VLOOKUP(E384,'HIDDEN calc sheet'!A:B,2,FALSE),IFERROR(VLOOKUP(E384,'Additional questions'!B:D,3,FALSE)="Yes",VLOOKUP(E384,'Hardware Feature set'!B:D,3,FALSE)="No"))))</f>
        <v>0</v>
      </c>
      <c r="J384" s="3" t="b">
        <f>IF(VLOOKUP(B384,'Profile selection'!B:C,2,FALSE)="Yes",TRUE,FALSE)</f>
        <v>1</v>
      </c>
      <c r="K384"/>
      <c r="L384"/>
    </row>
    <row r="385" spans="1:12" ht="17.100000000000001" customHeight="1" x14ac:dyDescent="0.25">
      <c r="A385" t="str">
        <f>'HIDDEN import'!B384</f>
        <v>TC_N_21_CS</v>
      </c>
      <c r="B385" t="str">
        <f>'HIDDEN import'!C384</f>
        <v>Core</v>
      </c>
      <c r="C385" t="str">
        <f>'HIDDEN import'!D384</f>
        <v>Alert Event - HardWiredMonitor</v>
      </c>
      <c r="D385" t="str">
        <f>IF(VLOOKUP(A385&amp;" "&amp;B385,'HIDDEN import'!A:G,5,FALSE)="M",MD!$A$1,(IF(AND(VLOOKUP(A385,'HIDDEN import'!B:E,4,FALSE)="C",OR(NOT(ISERROR(VLOOKUP(E385,'Optional features'!B:D,1,FALSE)=E385)),NOT(ISERROR(VLOOKUP(E385,'HIDDEN calc sheet'!A:C,1,FALSE)=E385)))),MD!$A$3,MD!$A$2)))</f>
        <v>Mandatory for optional feature</v>
      </c>
      <c r="E385" t="str">
        <f>IF('HIDDEN import'!F384=0,"",'HIDDEN import'!F384)</f>
        <v>DM-0 and AQ-5</v>
      </c>
      <c r="F385" t="str">
        <f>IF('HIDDEN import'!G384=0,"",'HIDDEN import'!G384)</f>
        <v/>
      </c>
      <c r="G385" s="19" t="str">
        <f>IFERROR(VLOOKUP($A385,'HIDDEN Testrun Results'!$A:$B,2,FALSE),"")</f>
        <v/>
      </c>
      <c r="H385" s="3" t="b">
        <f t="shared" si="5"/>
        <v>0</v>
      </c>
      <c r="I385" s="3" t="b">
        <f>IF(VLOOKUP(A385&amp;" "&amp;B385,'HIDDEN import'!A:G,5,FALSE)="M",TRUE,IFERROR(VLOOKUP(E385,'Optional features'!B:D,3,FALSE)="Yes",IFERROR(VLOOKUP(E385,'HIDDEN calc sheet'!A:B,2,FALSE),IFERROR(VLOOKUP(E385,'Additional questions'!B:D,3,FALSE)="Yes",VLOOKUP(E385,'Hardware Feature set'!B:D,3,FALSE)="No"))))</f>
        <v>0</v>
      </c>
      <c r="J385" s="3" t="b">
        <f>IF(VLOOKUP(B385,'Profile selection'!B:C,2,FALSE)="Yes",TRUE,FALSE)</f>
        <v>1</v>
      </c>
      <c r="K385"/>
      <c r="L385"/>
    </row>
    <row r="386" spans="1:12" ht="17.100000000000001" customHeight="1" x14ac:dyDescent="0.25">
      <c r="A386" t="str">
        <f>'HIDDEN import'!B385</f>
        <v>TC_N_45_CS</v>
      </c>
      <c r="B386" t="str">
        <f>'HIDDEN import'!C385</f>
        <v>Core</v>
      </c>
      <c r="C386" t="str">
        <f>'HIDDEN import'!D385</f>
        <v>Alert Event - Delta value exceeded</v>
      </c>
      <c r="D386" t="str">
        <f>IF(VLOOKUP(A386&amp;" "&amp;B386,'HIDDEN import'!A:G,5,FALSE)="M",MD!$A$1,(IF(AND(VLOOKUP(A386,'HIDDEN import'!B:E,4,FALSE)="C",OR(NOT(ISERROR(VLOOKUP(E386,'Optional features'!B:D,1,FALSE)=E386)),NOT(ISERROR(VLOOKUP(E386,'HIDDEN calc sheet'!A:C,1,FALSE)=E386)))),MD!$A$3,MD!$A$2)))</f>
        <v>Mandatory for optional feature</v>
      </c>
      <c r="E386" t="str">
        <f>IF('HIDDEN import'!F385=0,"",'HIDDEN import'!F385)</f>
        <v>DM-0</v>
      </c>
      <c r="F386" t="str">
        <f>IF('HIDDEN import'!G385=0,"",'HIDDEN import'!G385)</f>
        <v/>
      </c>
      <c r="G386" s="19" t="str">
        <f>IFERROR(VLOOKUP($A386,'HIDDEN Testrun Results'!$A:$B,2,FALSE),"")</f>
        <v/>
      </c>
      <c r="H386" s="3" t="b">
        <f t="shared" si="5"/>
        <v>0</v>
      </c>
      <c r="I386" s="3" t="b">
        <f>IF(VLOOKUP(A386&amp;" "&amp;B386,'HIDDEN import'!A:G,5,FALSE)="M",TRUE,IFERROR(VLOOKUP(E386,'Optional features'!B:D,3,FALSE)="Yes",IFERROR(VLOOKUP(E386,'HIDDEN calc sheet'!A:B,2,FALSE),IFERROR(VLOOKUP(E386,'Additional questions'!B:D,3,FALSE)="Yes",VLOOKUP(E386,'Hardware Feature set'!B:D,3,FALSE)="No"))))</f>
        <v>0</v>
      </c>
      <c r="J386" s="3" t="b">
        <f>IF(VLOOKUP(B386,'Profile selection'!B:C,2,FALSE)="Yes",TRUE,FALSE)</f>
        <v>1</v>
      </c>
      <c r="K386"/>
      <c r="L386"/>
    </row>
    <row r="387" spans="1:12" ht="17.100000000000001" customHeight="1" x14ac:dyDescent="0.25">
      <c r="A387" t="str">
        <f>'HIDDEN import'!B386</f>
        <v>TC_N_48_CS</v>
      </c>
      <c r="B387" t="str">
        <f>'HIDDEN import'!C386</f>
        <v>Core</v>
      </c>
      <c r="C387" t="str">
        <f>'HIDDEN import'!D386</f>
        <v>Alert Event - Variable monitoring on write only</v>
      </c>
      <c r="D387" t="str">
        <f>IF(VLOOKUP(A387&amp;" "&amp;B387,'HIDDEN import'!A:G,5,FALSE)="M",MD!$A$1,(IF(AND(VLOOKUP(A387,'HIDDEN import'!B:E,4,FALSE)="C",OR(NOT(ISERROR(VLOOKUP(E387,'Optional features'!B:D,1,FALSE)=E387)),NOT(ISERROR(VLOOKUP(E387,'HIDDEN calc sheet'!A:C,1,FALSE)=E387)))),MD!$A$3,MD!$A$2)))</f>
        <v>Mandatory for optional feature</v>
      </c>
      <c r="E387" t="str">
        <f>IF('HIDDEN import'!F386=0,"",'HIDDEN import'!F386)</f>
        <v>DM-0 and AQ-10</v>
      </c>
      <c r="F387" t="str">
        <f>IF('HIDDEN import'!G386=0,"",'HIDDEN import'!G386)</f>
        <v/>
      </c>
      <c r="G387" s="19" t="str">
        <f>IFERROR(VLOOKUP($A387,'HIDDEN Testrun Results'!$A:$B,2,FALSE),"")</f>
        <v/>
      </c>
      <c r="H387" s="3" t="b">
        <f t="shared" ref="H387:H450" si="6">IF(NOT(J387),FALSE,IF(NOT(ISLOGICAL(I387)),I387,AND(I387,J387)))</f>
        <v>0</v>
      </c>
      <c r="I387" s="3" t="b">
        <f>IF(VLOOKUP(A387&amp;" "&amp;B387,'HIDDEN import'!A:G,5,FALSE)="M",TRUE,IFERROR(VLOOKUP(E387,'Optional features'!B:D,3,FALSE)="Yes",IFERROR(VLOOKUP(E387,'HIDDEN calc sheet'!A:B,2,FALSE),IFERROR(VLOOKUP(E387,'Additional questions'!B:D,3,FALSE)="Yes",VLOOKUP(E387,'Hardware Feature set'!B:D,3,FALSE)="No"))))</f>
        <v>0</v>
      </c>
      <c r="J387" s="3" t="b">
        <f>IF(VLOOKUP(B387,'Profile selection'!B:C,2,FALSE)="Yes",TRUE,FALSE)</f>
        <v>1</v>
      </c>
      <c r="K387"/>
      <c r="L387"/>
    </row>
    <row r="388" spans="1:12" ht="17.100000000000001" customHeight="1" x14ac:dyDescent="0.25">
      <c r="A388" t="str">
        <f>'HIDDEN import'!B387</f>
        <v>TC_N_53_CS</v>
      </c>
      <c r="B388" t="str">
        <f>'HIDDEN import'!C387</f>
        <v>Core</v>
      </c>
      <c r="C388" t="str">
        <f>'HIDDEN import'!D387</f>
        <v>Alert Event - Persistant over reboot</v>
      </c>
      <c r="D388" t="str">
        <f>IF(VLOOKUP(A388&amp;" "&amp;B388,'HIDDEN import'!A:G,5,FALSE)="M",MD!$A$1,(IF(AND(VLOOKUP(A388,'HIDDEN import'!B:E,4,FALSE)="C",OR(NOT(ISERROR(VLOOKUP(E388,'Optional features'!B:D,1,FALSE)=E388)),NOT(ISERROR(VLOOKUP(E388,'HIDDEN calc sheet'!A:C,1,FALSE)=E388)))),MD!$A$3,MD!$A$2)))</f>
        <v>Mandatory for optional feature</v>
      </c>
      <c r="E388" t="str">
        <f>IF('HIDDEN import'!F387=0,"",'HIDDEN import'!F387)</f>
        <v>DM-0</v>
      </c>
      <c r="F388" t="str">
        <f>IF('HIDDEN import'!G387=0,"",'HIDDEN import'!G387)</f>
        <v/>
      </c>
      <c r="G388" s="19" t="str">
        <f>IFERROR(VLOOKUP($A388,'HIDDEN Testrun Results'!$A:$B,2,FALSE),"")</f>
        <v/>
      </c>
      <c r="H388" s="3" t="b">
        <f t="shared" si="6"/>
        <v>0</v>
      </c>
      <c r="I388" s="3" t="b">
        <f>IF(VLOOKUP(A388&amp;" "&amp;B388,'HIDDEN import'!A:G,5,FALSE)="M",TRUE,IFERROR(VLOOKUP(E388,'Optional features'!B:D,3,FALSE)="Yes",IFERROR(VLOOKUP(E388,'HIDDEN calc sheet'!A:B,2,FALSE),IFERROR(VLOOKUP(E388,'Additional questions'!B:D,3,FALSE)="Yes",VLOOKUP(E388,'Hardware Feature set'!B:D,3,FALSE)="No"))))</f>
        <v>0</v>
      </c>
      <c r="J388" s="3" t="b">
        <f>IF(VLOOKUP(B388,'Profile selection'!B:C,2,FALSE)="Yes",TRUE,FALSE)</f>
        <v>1</v>
      </c>
      <c r="K388"/>
      <c r="L388"/>
    </row>
    <row r="389" spans="1:12" ht="17.100000000000001" customHeight="1" x14ac:dyDescent="0.25">
      <c r="A389" t="str">
        <f>'HIDDEN import'!B388</f>
        <v>TC_N_56_CS</v>
      </c>
      <c r="B389" t="str">
        <f>'HIDDEN import'!C388</f>
        <v>Core</v>
      </c>
      <c r="C389" t="str">
        <f>'HIDDEN import'!D388</f>
        <v>Alert Event - Delta value NOT numeric exceeded</v>
      </c>
      <c r="D389" t="str">
        <f>IF(VLOOKUP(A389&amp;" "&amp;B389,'HIDDEN import'!A:G,5,FALSE)="M",MD!$A$1,(IF(AND(VLOOKUP(A389,'HIDDEN import'!B:E,4,FALSE)="C",OR(NOT(ISERROR(VLOOKUP(E389,'Optional features'!B:D,1,FALSE)=E389)),NOT(ISERROR(VLOOKUP(E389,'HIDDEN calc sheet'!A:C,1,FALSE)=E389)))),MD!$A$3,MD!$A$2)))</f>
        <v>Mandatory for optional feature</v>
      </c>
      <c r="E389" t="str">
        <f>IF('HIDDEN import'!F388=0,"",'HIDDEN import'!F388)</f>
        <v>DM-0</v>
      </c>
      <c r="F389" t="str">
        <f>IF('HIDDEN import'!G388=0,"",'HIDDEN import'!G388)</f>
        <v/>
      </c>
      <c r="G389" s="19" t="str">
        <f>IFERROR(VLOOKUP($A389,'HIDDEN Testrun Results'!$A:$B,2,FALSE),"")</f>
        <v/>
      </c>
      <c r="H389" s="3" t="b">
        <f t="shared" si="6"/>
        <v>0</v>
      </c>
      <c r="I389" s="3" t="b">
        <f>IF(VLOOKUP(A389&amp;" "&amp;B389,'HIDDEN import'!A:G,5,FALSE)="M",TRUE,IFERROR(VLOOKUP(E389,'Optional features'!B:D,3,FALSE)="Yes",IFERROR(VLOOKUP(E389,'HIDDEN calc sheet'!A:B,2,FALSE),IFERROR(VLOOKUP(E389,'Additional questions'!B:D,3,FALSE)="Yes",VLOOKUP(E389,'Hardware Feature set'!B:D,3,FALSE)="No"))))</f>
        <v>0</v>
      </c>
      <c r="J389" s="3" t="b">
        <f>IF(VLOOKUP(B389,'Profile selection'!B:C,2,FALSE)="Yes",TRUE,FALSE)</f>
        <v>1</v>
      </c>
      <c r="K389"/>
      <c r="L389"/>
    </row>
    <row r="390" spans="1:12" ht="17.100000000000001" customHeight="1" x14ac:dyDescent="0.25">
      <c r="A390" t="str">
        <f>'HIDDEN import'!B389</f>
        <v>TC_N_22_CS</v>
      </c>
      <c r="B390" t="str">
        <f>'HIDDEN import'!C389</f>
        <v>Core</v>
      </c>
      <c r="C390" t="str">
        <f>'HIDDEN import'!D389</f>
        <v>Offline Notification - OfflineMonitoringEventQueuingSeverity set equal or lower</v>
      </c>
      <c r="D390" t="str">
        <f>IF(VLOOKUP(A390&amp;" "&amp;B390,'HIDDEN import'!A:G,5,FALSE)="M",MD!$A$1,(IF(AND(VLOOKUP(A390,'HIDDEN import'!B:E,4,FALSE)="C",OR(NOT(ISERROR(VLOOKUP(E390,'Optional features'!B:D,1,FALSE)=E390)),NOT(ISERROR(VLOOKUP(E390,'HIDDEN calc sheet'!A:C,1,FALSE)=E390)))),MD!$A$3,MD!$A$2)))</f>
        <v>Mandatory for optional feature</v>
      </c>
      <c r="E390" t="str">
        <f>IF('HIDDEN import'!F389=0,"",'HIDDEN import'!F389)</f>
        <v>DM-0 and DM-3</v>
      </c>
      <c r="F390" t="str">
        <f>IF('HIDDEN import'!G389=0,"",'HIDDEN import'!G389)</f>
        <v>OfflineMonitoringEventQueuingSeverity</v>
      </c>
      <c r="G390" s="19" t="str">
        <f>IFERROR(VLOOKUP($A390,'HIDDEN Testrun Results'!$A:$B,2,FALSE),"")</f>
        <v/>
      </c>
      <c r="H390" s="3" t="b">
        <f t="shared" si="6"/>
        <v>0</v>
      </c>
      <c r="I390" s="3" t="b">
        <f>IF(VLOOKUP(A390&amp;" "&amp;B390,'HIDDEN import'!A:G,5,FALSE)="M",TRUE,IFERROR(VLOOKUP(E390,'Optional features'!B:D,3,FALSE)="Yes",IFERROR(VLOOKUP(E390,'HIDDEN calc sheet'!A:B,2,FALSE),IFERROR(VLOOKUP(E390,'Additional questions'!B:D,3,FALSE)="Yes",VLOOKUP(E390,'Hardware Feature set'!B:D,3,FALSE)="No"))))</f>
        <v>0</v>
      </c>
      <c r="J390" s="3" t="b">
        <f>IF(VLOOKUP(B390,'Profile selection'!B:C,2,FALSE)="Yes",TRUE,FALSE)</f>
        <v>1</v>
      </c>
      <c r="K390"/>
      <c r="L390"/>
    </row>
    <row r="391" spans="1:12" ht="17.100000000000001" customHeight="1" x14ac:dyDescent="0.25">
      <c r="A391" t="str">
        <f>'HIDDEN import'!B390</f>
        <v>TC_N_23_CS</v>
      </c>
      <c r="B391" t="str">
        <f>'HIDDEN import'!C390</f>
        <v>Core</v>
      </c>
      <c r="C391" t="str">
        <f>'HIDDEN import'!D390</f>
        <v>Offline Notification - OfflineMonitoringEventQueuingSeverity set higher</v>
      </c>
      <c r="D391" t="str">
        <f>IF(VLOOKUP(A391&amp;" "&amp;B391,'HIDDEN import'!A:G,5,FALSE)="M",MD!$A$1,(IF(AND(VLOOKUP(A391,'HIDDEN import'!B:E,4,FALSE)="C",OR(NOT(ISERROR(VLOOKUP(E391,'Optional features'!B:D,1,FALSE)=E391)),NOT(ISERROR(VLOOKUP(E391,'HIDDEN calc sheet'!A:C,1,FALSE)=E391)))),MD!$A$3,MD!$A$2)))</f>
        <v>Mandatory for optional feature</v>
      </c>
      <c r="E391" t="str">
        <f>IF('HIDDEN import'!F390=0,"",'HIDDEN import'!F390)</f>
        <v>DM-0 and DM-3</v>
      </c>
      <c r="F391" t="str">
        <f>IF('HIDDEN import'!G390=0,"",'HIDDEN import'!G390)</f>
        <v>OfflineMonitoringEventQueuingSeverity</v>
      </c>
      <c r="G391" s="19" t="str">
        <f>IFERROR(VLOOKUP($A391,'HIDDEN Testrun Results'!$A:$B,2,FALSE),"")</f>
        <v/>
      </c>
      <c r="H391" s="3" t="b">
        <f t="shared" si="6"/>
        <v>0</v>
      </c>
      <c r="I391" s="3" t="b">
        <f>IF(VLOOKUP(A391&amp;" "&amp;B391,'HIDDEN import'!A:G,5,FALSE)="M",TRUE,IFERROR(VLOOKUP(E391,'Optional features'!B:D,3,FALSE)="Yes",IFERROR(VLOOKUP(E391,'HIDDEN calc sheet'!A:B,2,FALSE),IFERROR(VLOOKUP(E391,'Additional questions'!B:D,3,FALSE)="Yes",VLOOKUP(E391,'Hardware Feature set'!B:D,3,FALSE)="No"))))</f>
        <v>0</v>
      </c>
      <c r="J391" s="3" t="b">
        <f>IF(VLOOKUP(B391,'Profile selection'!B:C,2,FALSE)="Yes",TRUE,FALSE)</f>
        <v>1</v>
      </c>
      <c r="K391"/>
      <c r="L391"/>
    </row>
    <row r="392" spans="1:12" ht="17.100000000000001" customHeight="1" x14ac:dyDescent="0.25">
      <c r="A392" t="str">
        <f>'HIDDEN import'!B391</f>
        <v>TC_I_01_CS</v>
      </c>
      <c r="B392" t="str">
        <f>'HIDDEN import'!C391</f>
        <v>Core</v>
      </c>
      <c r="C392" t="str">
        <f>'HIDDEN import'!D391</f>
        <v>Show costs to EV Driver - Show EV Driver running total cost during charging</v>
      </c>
      <c r="D392" t="str">
        <f>IF(VLOOKUP(A392&amp;" "&amp;B392,'HIDDEN import'!A:G,5,FALSE)="M",MD!$A$1,(IF(AND(VLOOKUP(A392,'HIDDEN import'!B:E,4,FALSE)="C",OR(NOT(ISERROR(VLOOKUP(E392,'Optional features'!B:D,1,FALSE)=E392)),NOT(ISERROR(VLOOKUP(E392,'HIDDEN calc sheet'!A:C,1,FALSE)=E392)))),MD!$A$3,MD!$A$2)))</f>
        <v>Mandatory for optional feature</v>
      </c>
      <c r="E392" t="str">
        <f>IF('HIDDEN import'!F391=0,"",'HIDDEN import'!F391)</f>
        <v>UI-0</v>
      </c>
      <c r="F392" t="str">
        <f>IF('HIDDEN import'!G391=0,"",'HIDDEN import'!G391)</f>
        <v/>
      </c>
      <c r="G392" s="19" t="str">
        <f>IFERROR(VLOOKUP($A392,'HIDDEN Testrun Results'!$A:$B,2,FALSE),"")</f>
        <v/>
      </c>
      <c r="H392" s="3" t="b">
        <f t="shared" si="6"/>
        <v>0</v>
      </c>
      <c r="I392" s="3" t="b">
        <f>IF(VLOOKUP(A392&amp;" "&amp;B392,'HIDDEN import'!A:G,5,FALSE)="M",TRUE,IFERROR(VLOOKUP(E392,'Optional features'!B:D,3,FALSE)="Yes",IFERROR(VLOOKUP(E392,'HIDDEN calc sheet'!A:B,2,FALSE),IFERROR(VLOOKUP(E392,'Additional questions'!B:D,3,FALSE)="Yes",VLOOKUP(E392,'Hardware Feature set'!B:D,3,FALSE)="No"))))</f>
        <v>0</v>
      </c>
      <c r="J392" s="3" t="b">
        <f>IF(VLOOKUP(B392,'Profile selection'!B:C,2,FALSE)="Yes",TRUE,FALSE)</f>
        <v>1</v>
      </c>
      <c r="K392"/>
      <c r="L392"/>
    </row>
    <row r="393" spans="1:12" ht="17.100000000000001" customHeight="1" x14ac:dyDescent="0.25">
      <c r="A393" t="str">
        <f>'HIDDEN import'!B392</f>
        <v>TC_I_02_CS</v>
      </c>
      <c r="B393" t="str">
        <f>'HIDDEN import'!C392</f>
        <v>Core</v>
      </c>
      <c r="C393" t="str">
        <f>'HIDDEN import'!D392</f>
        <v>Show costs to EV Driver - Show EV Driver Final Total Cost After Charging</v>
      </c>
      <c r="D393" t="str">
        <f>IF(VLOOKUP(A393&amp;" "&amp;B393,'HIDDEN import'!A:G,5,FALSE)="M",MD!$A$1,(IF(AND(VLOOKUP(A393,'HIDDEN import'!B:E,4,FALSE)="C",OR(NOT(ISERROR(VLOOKUP(E393,'Optional features'!B:D,1,FALSE)=E393)),NOT(ISERROR(VLOOKUP(E393,'HIDDEN calc sheet'!A:C,1,FALSE)=E393)))),MD!$A$3,MD!$A$2)))</f>
        <v>Mandatory for optional feature</v>
      </c>
      <c r="E393" t="str">
        <f>IF('HIDDEN import'!F392=0,"",'HIDDEN import'!F392)</f>
        <v>UI-0</v>
      </c>
      <c r="F393" t="str">
        <f>IF('HIDDEN import'!G392=0,"",'HIDDEN import'!G392)</f>
        <v/>
      </c>
      <c r="G393" s="19" t="str">
        <f>IFERROR(VLOOKUP($A393,'HIDDEN Testrun Results'!$A:$B,2,FALSE),"")</f>
        <v/>
      </c>
      <c r="H393" s="3" t="b">
        <f t="shared" si="6"/>
        <v>0</v>
      </c>
      <c r="I393" s="3" t="b">
        <f>IF(VLOOKUP(A393&amp;" "&amp;B393,'HIDDEN import'!A:G,5,FALSE)="M",TRUE,IFERROR(VLOOKUP(E393,'Optional features'!B:D,3,FALSE)="Yes",IFERROR(VLOOKUP(E393,'HIDDEN calc sheet'!A:B,2,FALSE),IFERROR(VLOOKUP(E393,'Additional questions'!B:D,3,FALSE)="Yes",VLOOKUP(E393,'Hardware Feature set'!B:D,3,FALSE)="No"))))</f>
        <v>0</v>
      </c>
      <c r="J393" s="3" t="b">
        <f>IF(VLOOKUP(B393,'Profile selection'!B:C,2,FALSE)="Yes",TRUE,FALSE)</f>
        <v>1</v>
      </c>
      <c r="K393"/>
      <c r="L393"/>
    </row>
    <row r="394" spans="1:12" ht="17.100000000000001" customHeight="1" x14ac:dyDescent="0.25">
      <c r="A394" t="str">
        <f>'HIDDEN import'!B393</f>
        <v>TC_I_07_CS</v>
      </c>
      <c r="B394" t="str">
        <f>'HIDDEN import'!C393</f>
        <v>Core</v>
      </c>
      <c r="C394" t="str">
        <f>'HIDDEN import'!D393</f>
        <v>Show costs to EV Driver - Show EV Driver running total cost during charging - transactionEventResponse</v>
      </c>
      <c r="D394" t="str">
        <f>IF(VLOOKUP(A394&amp;" "&amp;B394,'HIDDEN import'!A:G,5,FALSE)="M",MD!$A$1,(IF(AND(VLOOKUP(A394,'HIDDEN import'!B:E,4,FALSE)="C",OR(NOT(ISERROR(VLOOKUP(E394,'Optional features'!B:D,1,FALSE)=E394)),NOT(ISERROR(VLOOKUP(E394,'HIDDEN calc sheet'!A:C,1,FALSE)=E394)))),MD!$A$3,MD!$A$2)))</f>
        <v>Mandatory for optional feature</v>
      </c>
      <c r="E394" t="str">
        <f>IF('HIDDEN import'!F393=0,"",'HIDDEN import'!F393)</f>
        <v>UI-0</v>
      </c>
      <c r="F394" t="str">
        <f>IF('HIDDEN import'!G393=0,"",'HIDDEN import'!G393)</f>
        <v/>
      </c>
      <c r="G394" s="19" t="str">
        <f>IFERROR(VLOOKUP($A394,'HIDDEN Testrun Results'!$A:$B,2,FALSE),"")</f>
        <v/>
      </c>
      <c r="H394" s="3" t="b">
        <f t="shared" si="6"/>
        <v>0</v>
      </c>
      <c r="I394" s="3" t="b">
        <f>IF(VLOOKUP(A394&amp;" "&amp;B394,'HIDDEN import'!A:G,5,FALSE)="M",TRUE,IFERROR(VLOOKUP(E394,'Optional features'!B:D,3,FALSE)="Yes",IFERROR(VLOOKUP(E394,'HIDDEN calc sheet'!A:B,2,FALSE),IFERROR(VLOOKUP(E394,'Additional questions'!B:D,3,FALSE)="Yes",VLOOKUP(E394,'Hardware Feature set'!B:D,3,FALSE)="No"))))</f>
        <v>0</v>
      </c>
      <c r="J394" s="3" t="b">
        <f>IF(VLOOKUP(B394,'Profile selection'!B:C,2,FALSE)="Yes",TRUE,FALSE)</f>
        <v>1</v>
      </c>
      <c r="K394"/>
      <c r="L394"/>
    </row>
    <row r="395" spans="1:12" ht="17.100000000000001" customHeight="1" x14ac:dyDescent="0.25">
      <c r="A395" t="str">
        <f>'HIDDEN import'!B394</f>
        <v>TC_O_01_CS</v>
      </c>
      <c r="B395" t="str">
        <f>'HIDDEN import'!C394</f>
        <v>Core</v>
      </c>
      <c r="C395" t="str">
        <f>'HIDDEN import'!D394</f>
        <v>Set Display Message - Success</v>
      </c>
      <c r="D395" t="str">
        <f>IF(VLOOKUP(A395&amp;" "&amp;B395,'HIDDEN import'!A:G,5,FALSE)="M",MD!$A$1,(IF(AND(VLOOKUP(A395,'HIDDEN import'!B:E,4,FALSE)="C",OR(NOT(ISERROR(VLOOKUP(E395,'Optional features'!B:D,1,FALSE)=E395)),NOT(ISERROR(VLOOKUP(E395,'HIDDEN calc sheet'!A:C,1,FALSE)=E395)))),MD!$A$3,MD!$A$2)))</f>
        <v>Mandatory for optional feature</v>
      </c>
      <c r="E395" t="str">
        <f>IF('HIDDEN import'!F394=0,"",'HIDDEN import'!F394)</f>
        <v>UI-0</v>
      </c>
      <c r="F395" t="str">
        <f>IF('HIDDEN import'!G394=0,"",'HIDDEN import'!G394)</f>
        <v>UI-1 and UI-2: Supported MessagePriorities &amp; Supported MessageFormats</v>
      </c>
      <c r="G395" s="19" t="str">
        <f>IFERROR(VLOOKUP($A395,'HIDDEN Testrun Results'!$A:$B,2,FALSE),"")</f>
        <v/>
      </c>
      <c r="H395" s="3" t="b">
        <f t="shared" si="6"/>
        <v>0</v>
      </c>
      <c r="I395" s="3" t="b">
        <f>IF(VLOOKUP(A395&amp;" "&amp;B395,'HIDDEN import'!A:G,5,FALSE)="M",TRUE,IFERROR(VLOOKUP(E395,'Optional features'!B:D,3,FALSE)="Yes",IFERROR(VLOOKUP(E395,'HIDDEN calc sheet'!A:B,2,FALSE),IFERROR(VLOOKUP(E395,'Additional questions'!B:D,3,FALSE)="Yes",VLOOKUP(E395,'Hardware Feature set'!B:D,3,FALSE)="No"))))</f>
        <v>0</v>
      </c>
      <c r="J395" s="3" t="b">
        <f>IF(VLOOKUP(B395,'Profile selection'!B:C,2,FALSE)="Yes",TRUE,FALSE)</f>
        <v>1</v>
      </c>
      <c r="K395"/>
      <c r="L395"/>
    </row>
    <row r="396" spans="1:12" ht="17.100000000000001" customHeight="1" x14ac:dyDescent="0.25">
      <c r="A396" t="str">
        <f>'HIDDEN import'!B395</f>
        <v>TC_O_13_CS</v>
      </c>
      <c r="B396" t="str">
        <f>'HIDDEN import'!C395</f>
        <v>Core</v>
      </c>
      <c r="C396" t="str">
        <f>'HIDDEN import'!D395</f>
        <v>Set Display Message - Display message at StartTime</v>
      </c>
      <c r="D396" t="str">
        <f>IF(VLOOKUP(A396&amp;" "&amp;B396,'HIDDEN import'!A:G,5,FALSE)="M",MD!$A$1,(IF(AND(VLOOKUP(A396,'HIDDEN import'!B:E,4,FALSE)="C",OR(NOT(ISERROR(VLOOKUP(E396,'Optional features'!B:D,1,FALSE)=E396)),NOT(ISERROR(VLOOKUP(E396,'HIDDEN calc sheet'!A:C,1,FALSE)=E396)))),MD!$A$3,MD!$A$2)))</f>
        <v>Mandatory for optional feature</v>
      </c>
      <c r="E396" t="str">
        <f>IF('HIDDEN import'!F395=0,"",'HIDDEN import'!F395)</f>
        <v>UI-0</v>
      </c>
      <c r="F396" t="str">
        <f>IF('HIDDEN import'!G395=0,"",'HIDDEN import'!G395)</f>
        <v/>
      </c>
      <c r="G396" s="19" t="str">
        <f>IFERROR(VLOOKUP($A396,'HIDDEN Testrun Results'!$A:$B,2,FALSE),"")</f>
        <v/>
      </c>
      <c r="H396" s="3" t="b">
        <f t="shared" si="6"/>
        <v>0</v>
      </c>
      <c r="I396" s="3" t="b">
        <f>IF(VLOOKUP(A396&amp;" "&amp;B396,'HIDDEN import'!A:G,5,FALSE)="M",TRUE,IFERROR(VLOOKUP(E396,'Optional features'!B:D,3,FALSE)="Yes",IFERROR(VLOOKUP(E396,'HIDDEN calc sheet'!A:B,2,FALSE),IFERROR(VLOOKUP(E396,'Additional questions'!B:D,3,FALSE)="Yes",VLOOKUP(E396,'Hardware Feature set'!B:D,3,FALSE)="No"))))</f>
        <v>0</v>
      </c>
      <c r="J396" s="3" t="b">
        <f>IF(VLOOKUP(B396,'Profile selection'!B:C,2,FALSE)="Yes",TRUE,FALSE)</f>
        <v>1</v>
      </c>
      <c r="K396"/>
      <c r="L396"/>
    </row>
    <row r="397" spans="1:12" ht="17.100000000000001" customHeight="1" x14ac:dyDescent="0.25">
      <c r="A397" t="str">
        <f>'HIDDEN import'!B396</f>
        <v>TC_O_14_CS</v>
      </c>
      <c r="B397" t="str">
        <f>'HIDDEN import'!C396</f>
        <v>Core</v>
      </c>
      <c r="C397" t="str">
        <f>'HIDDEN import'!D396</f>
        <v>Set Display Message - Remove message after EndTime</v>
      </c>
      <c r="D397" t="str">
        <f>IF(VLOOKUP(A397&amp;" "&amp;B397,'HIDDEN import'!A:G,5,FALSE)="M",MD!$A$1,(IF(AND(VLOOKUP(A397,'HIDDEN import'!B:E,4,FALSE)="C",OR(NOT(ISERROR(VLOOKUP(E397,'Optional features'!B:D,1,FALSE)=E397)),NOT(ISERROR(VLOOKUP(E397,'HIDDEN calc sheet'!A:C,1,FALSE)=E397)))),MD!$A$3,MD!$A$2)))</f>
        <v>Mandatory for optional feature</v>
      </c>
      <c r="E397" t="str">
        <f>IF('HIDDEN import'!F396=0,"",'HIDDEN import'!F396)</f>
        <v>UI-0</v>
      </c>
      <c r="F397" t="str">
        <f>IF('HIDDEN import'!G396=0,"",'HIDDEN import'!G396)</f>
        <v/>
      </c>
      <c r="G397" s="19" t="str">
        <f>IFERROR(VLOOKUP($A397,'HIDDEN Testrun Results'!$A:$B,2,FALSE),"")</f>
        <v/>
      </c>
      <c r="H397" s="3" t="b">
        <f t="shared" si="6"/>
        <v>0</v>
      </c>
      <c r="I397" s="3" t="b">
        <f>IF(VLOOKUP(A397&amp;" "&amp;B397,'HIDDEN import'!A:G,5,FALSE)="M",TRUE,IFERROR(VLOOKUP(E397,'Optional features'!B:D,3,FALSE)="Yes",IFERROR(VLOOKUP(E397,'HIDDEN calc sheet'!A:B,2,FALSE),IFERROR(VLOOKUP(E397,'Additional questions'!B:D,3,FALSE)="Yes",VLOOKUP(E397,'Hardware Feature set'!B:D,3,FALSE)="No"))))</f>
        <v>0</v>
      </c>
      <c r="J397" s="3" t="b">
        <f>IF(VLOOKUP(B397,'Profile selection'!B:C,2,FALSE)="Yes",TRUE,FALSE)</f>
        <v>1</v>
      </c>
      <c r="K397"/>
      <c r="L397"/>
    </row>
    <row r="398" spans="1:12" ht="17.100000000000001" customHeight="1" x14ac:dyDescent="0.25">
      <c r="A398" t="str">
        <f>'HIDDEN import'!B397</f>
        <v>TC_O_17_CS</v>
      </c>
      <c r="B398" t="str">
        <f>'HIDDEN import'!C397</f>
        <v>Core</v>
      </c>
      <c r="C398" t="str">
        <f>'HIDDEN import'!D397</f>
        <v>Set Display Message - NotSupportedPriority</v>
      </c>
      <c r="D398" t="str">
        <f>IF(VLOOKUP(A398&amp;" "&amp;B398,'HIDDEN import'!A:G,5,FALSE)="M",MD!$A$1,(IF(AND(VLOOKUP(A398,'HIDDEN import'!B:E,4,FALSE)="C",OR(NOT(ISERROR(VLOOKUP(E398,'Optional features'!B:D,1,FALSE)=E398)),NOT(ISERROR(VLOOKUP(E398,'HIDDEN calc sheet'!A:C,1,FALSE)=E398)))),MD!$A$3,MD!$A$2)))</f>
        <v>Mandatory for optional feature</v>
      </c>
      <c r="E398" t="str">
        <f>IF('HIDDEN import'!F397=0,"",'HIDDEN import'!F397)</f>
        <v>UI-0 and NOT (UI-1.1 and UI-1.2 and UI-1.3)</v>
      </c>
      <c r="F398" t="str">
        <f>IF('HIDDEN import'!G397=0,"",'HIDDEN import'!G397)</f>
        <v/>
      </c>
      <c r="G398" s="19" t="str">
        <f>IFERROR(VLOOKUP($A398,'HIDDEN Testrun Results'!$A:$B,2,FALSE),"")</f>
        <v/>
      </c>
      <c r="H398" s="3" t="b">
        <f t="shared" si="6"/>
        <v>0</v>
      </c>
      <c r="I398" s="3" t="b">
        <f>IF(VLOOKUP(A398&amp;" "&amp;B398,'HIDDEN import'!A:G,5,FALSE)="M",TRUE,IFERROR(VLOOKUP(E398,'Optional features'!B:D,3,FALSE)="Yes",IFERROR(VLOOKUP(E398,'HIDDEN calc sheet'!A:B,2,FALSE),IFERROR(VLOOKUP(E398,'Additional questions'!B:D,3,FALSE)="Yes",VLOOKUP(E398,'Hardware Feature set'!B:D,3,FALSE)="No"))))</f>
        <v>0</v>
      </c>
      <c r="J398" s="3" t="b">
        <f>IF(VLOOKUP(B398,'Profile selection'!B:C,2,FALSE)="Yes",TRUE,FALSE)</f>
        <v>1</v>
      </c>
      <c r="K398"/>
      <c r="L398"/>
    </row>
    <row r="399" spans="1:12" ht="17.100000000000001" customHeight="1" x14ac:dyDescent="0.25">
      <c r="A399" t="str">
        <f>'HIDDEN import'!B398</f>
        <v>TC_O_19_CS</v>
      </c>
      <c r="B399" t="str">
        <f>'HIDDEN import'!C398</f>
        <v>Core</v>
      </c>
      <c r="C399" t="str">
        <f>'HIDDEN import'!D398</f>
        <v>Set Display Message - NotSupportedMessageFormat</v>
      </c>
      <c r="D399" t="str">
        <f>IF(VLOOKUP(A399&amp;" "&amp;B399,'HIDDEN import'!A:G,5,FALSE)="M",MD!$A$1,(IF(AND(VLOOKUP(A399,'HIDDEN import'!B:E,4,FALSE)="C",OR(NOT(ISERROR(VLOOKUP(E399,'Optional features'!B:D,1,FALSE)=E399)),NOT(ISERROR(VLOOKUP(E399,'HIDDEN calc sheet'!A:C,1,FALSE)=E399)))),MD!$A$3,MD!$A$2)))</f>
        <v>Mandatory for optional feature</v>
      </c>
      <c r="E399" t="str">
        <f>IF('HIDDEN import'!F398=0,"",'HIDDEN import'!F398)</f>
        <v>UI-0 and NOT (UI-2.1 and UI-2.2 and UI-2.3 and UI-2.4)</v>
      </c>
      <c r="F399" t="str">
        <f>IF('HIDDEN import'!G398=0,"",'HIDDEN import'!G398)</f>
        <v/>
      </c>
      <c r="G399" s="19" t="str">
        <f>IFERROR(VLOOKUP($A399,'HIDDEN Testrun Results'!$A:$B,2,FALSE),"")</f>
        <v/>
      </c>
      <c r="H399" s="3" t="b">
        <f t="shared" si="6"/>
        <v>0</v>
      </c>
      <c r="I399" s="3" t="b">
        <f>IF(VLOOKUP(A399&amp;" "&amp;B399,'HIDDEN import'!A:G,5,FALSE)="M",TRUE,IFERROR(VLOOKUP(E399,'Optional features'!B:D,3,FALSE)="Yes",IFERROR(VLOOKUP(E399,'HIDDEN calc sheet'!A:B,2,FALSE),IFERROR(VLOOKUP(E399,'Additional questions'!B:D,3,FALSE)="Yes",VLOOKUP(E399,'Hardware Feature set'!B:D,3,FALSE)="No"))))</f>
        <v>0</v>
      </c>
      <c r="J399" s="3" t="b">
        <f>IF(VLOOKUP(B399,'Profile selection'!B:C,2,FALSE)="Yes",TRUE,FALSE)</f>
        <v>1</v>
      </c>
      <c r="K399"/>
      <c r="L399"/>
    </row>
    <row r="400" spans="1:12" ht="17.100000000000001" customHeight="1" x14ac:dyDescent="0.25">
      <c r="A400" t="str">
        <f>'HIDDEN import'!B399</f>
        <v>TC_O_20_CS</v>
      </c>
      <c r="B400" t="str">
        <f>'HIDDEN import'!C399</f>
        <v>Core</v>
      </c>
      <c r="C400" t="str">
        <f>'HIDDEN import'!D399</f>
        <v>Set Display Message - Persistent over reboot</v>
      </c>
      <c r="D400" t="str">
        <f>IF(VLOOKUP(A400&amp;" "&amp;B400,'HIDDEN import'!A:G,5,FALSE)="M",MD!$A$1,(IF(AND(VLOOKUP(A400,'HIDDEN import'!B:E,4,FALSE)="C",OR(NOT(ISERROR(VLOOKUP(E400,'Optional features'!B:D,1,FALSE)=E400)),NOT(ISERROR(VLOOKUP(E400,'HIDDEN calc sheet'!A:C,1,FALSE)=E400)))),MD!$A$3,MD!$A$2)))</f>
        <v>Mandatory for optional feature</v>
      </c>
      <c r="E400" t="str">
        <f>IF('HIDDEN import'!F399=0,"",'HIDDEN import'!F399)</f>
        <v>UI-0</v>
      </c>
      <c r="F400" t="str">
        <f>IF('HIDDEN import'!G399=0,"",'HIDDEN import'!G399)</f>
        <v/>
      </c>
      <c r="G400" s="19" t="str">
        <f>IFERROR(VLOOKUP($A400,'HIDDEN Testrun Results'!$A:$B,2,FALSE),"")</f>
        <v/>
      </c>
      <c r="H400" s="3" t="b">
        <f t="shared" si="6"/>
        <v>0</v>
      </c>
      <c r="I400" s="3" t="b">
        <f>IF(VLOOKUP(A400&amp;" "&amp;B400,'HIDDEN import'!A:G,5,FALSE)="M",TRUE,IFERROR(VLOOKUP(E400,'Optional features'!B:D,3,FALSE)="Yes",IFERROR(VLOOKUP(E400,'HIDDEN calc sheet'!A:B,2,FALSE),IFERROR(VLOOKUP(E400,'Additional questions'!B:D,3,FALSE)="Yes",VLOOKUP(E400,'Hardware Feature set'!B:D,3,FALSE)="No"))))</f>
        <v>0</v>
      </c>
      <c r="J400" s="3" t="b">
        <f>IF(VLOOKUP(B400,'Profile selection'!B:C,2,FALSE)="Yes",TRUE,FALSE)</f>
        <v>1</v>
      </c>
      <c r="K400"/>
      <c r="L400"/>
    </row>
    <row r="401" spans="1:12" ht="17.100000000000001" customHeight="1" x14ac:dyDescent="0.25">
      <c r="A401" t="str">
        <f>'HIDDEN import'!B400</f>
        <v>TC_O_22_CS</v>
      </c>
      <c r="B401" t="str">
        <f>'HIDDEN import'!C400</f>
        <v>Core</v>
      </c>
      <c r="C401" t="str">
        <f>'HIDDEN import'!D400</f>
        <v>Set Display Message - Multiple In front priority</v>
      </c>
      <c r="D401" t="str">
        <f>IF(VLOOKUP(A401&amp;" "&amp;B401,'HIDDEN import'!A:G,5,FALSE)="M",MD!$A$1,(IF(AND(VLOOKUP(A401,'HIDDEN import'!B:E,4,FALSE)="C",OR(NOT(ISERROR(VLOOKUP(E401,'Optional features'!B:D,1,FALSE)=E401)),NOT(ISERROR(VLOOKUP(E401,'HIDDEN calc sheet'!A:C,1,FALSE)=E401)))),MD!$A$3,MD!$A$2)))</f>
        <v>Mandatory for optional feature</v>
      </c>
      <c r="E401" t="str">
        <f>IF('HIDDEN import'!F400=0,"",'HIDDEN import'!F400)</f>
        <v>UI-0 and UI-1.2</v>
      </c>
      <c r="F401" t="str">
        <f>IF('HIDDEN import'!G400=0,"",'HIDDEN import'!G400)</f>
        <v>Supported MessagePriorities InFront</v>
      </c>
      <c r="G401" s="19" t="str">
        <f>IFERROR(VLOOKUP($A401,'HIDDEN Testrun Results'!$A:$B,2,FALSE),"")</f>
        <v/>
      </c>
      <c r="H401" s="3" t="b">
        <f t="shared" si="6"/>
        <v>0</v>
      </c>
      <c r="I401" s="3" t="b">
        <f>IF(VLOOKUP(A401&amp;" "&amp;B401,'HIDDEN import'!A:G,5,FALSE)="M",TRUE,IFERROR(VLOOKUP(E401,'Optional features'!B:D,3,FALSE)="Yes",IFERROR(VLOOKUP(E401,'HIDDEN calc sheet'!A:B,2,FALSE),IFERROR(VLOOKUP(E401,'Additional questions'!B:D,3,FALSE)="Yes",VLOOKUP(E401,'Hardware Feature set'!B:D,3,FALSE)="No"))))</f>
        <v>0</v>
      </c>
      <c r="J401" s="3" t="b">
        <f>IF(VLOOKUP(B401,'Profile selection'!B:C,2,FALSE)="Yes",TRUE,FALSE)</f>
        <v>1</v>
      </c>
      <c r="K401"/>
      <c r="L401"/>
    </row>
    <row r="402" spans="1:12" ht="17.100000000000001" customHeight="1" x14ac:dyDescent="0.25">
      <c r="A402" t="str">
        <f>'HIDDEN import'!B401</f>
        <v>TC_O_24_CS</v>
      </c>
      <c r="B402" t="str">
        <f>'HIDDEN import'!C401</f>
        <v>Core</v>
      </c>
      <c r="C402" t="str">
        <f>'HIDDEN import'!D401</f>
        <v>Set Display Message - Second Alwaysfront priority</v>
      </c>
      <c r="D402" t="str">
        <f>IF(VLOOKUP(A402&amp;" "&amp;B402,'HIDDEN import'!A:G,5,FALSE)="M",MD!$A$1,(IF(AND(VLOOKUP(A402,'HIDDEN import'!B:E,4,FALSE)="C",OR(NOT(ISERROR(VLOOKUP(E402,'Optional features'!B:D,1,FALSE)=E402)),NOT(ISERROR(VLOOKUP(E402,'HIDDEN calc sheet'!A:C,1,FALSE)=E402)))),MD!$A$3,MD!$A$2)))</f>
        <v>Mandatory for optional feature</v>
      </c>
      <c r="E402" t="str">
        <f>IF('HIDDEN import'!F401=0,"",'HIDDEN import'!F401)</f>
        <v>UI-0 and UI-1.1</v>
      </c>
      <c r="F402" t="str">
        <f>IF('HIDDEN import'!G401=0,"",'HIDDEN import'!G401)</f>
        <v>Supported MessagePriorities AlwaysFront</v>
      </c>
      <c r="G402" s="19" t="str">
        <f>IFERROR(VLOOKUP($A402,'HIDDEN Testrun Results'!$A:$B,2,FALSE),"")</f>
        <v/>
      </c>
      <c r="H402" s="3" t="b">
        <f t="shared" si="6"/>
        <v>0</v>
      </c>
      <c r="I402" s="3" t="b">
        <f>IF(VLOOKUP(A402&amp;" "&amp;B402,'HIDDEN import'!A:G,5,FALSE)="M",TRUE,IFERROR(VLOOKUP(E402,'Optional features'!B:D,3,FALSE)="Yes",IFERROR(VLOOKUP(E402,'HIDDEN calc sheet'!A:B,2,FALSE),IFERROR(VLOOKUP(E402,'Additional questions'!B:D,3,FALSE)="Yes",VLOOKUP(E402,'Hardware Feature set'!B:D,3,FALSE)="No"))))</f>
        <v>0</v>
      </c>
      <c r="J402" s="3" t="b">
        <f>IF(VLOOKUP(B402,'Profile selection'!B:C,2,FALSE)="Yes",TRUE,FALSE)</f>
        <v>1</v>
      </c>
      <c r="K402"/>
      <c r="L402"/>
    </row>
    <row r="403" spans="1:12" ht="17.100000000000001" customHeight="1" x14ac:dyDescent="0.25">
      <c r="A403" t="str">
        <f>'HIDDEN import'!B402</f>
        <v>TC_O_36_CS</v>
      </c>
      <c r="B403" t="str">
        <f>'HIDDEN import'!C402</f>
        <v>Core</v>
      </c>
      <c r="C403" t="str">
        <f>'HIDDEN import'!D402</f>
        <v>Set Display Message - State Charging</v>
      </c>
      <c r="D403" t="str">
        <f>IF(VLOOKUP(A403&amp;" "&amp;B403,'HIDDEN import'!A:G,5,FALSE)="M",MD!$A$1,(IF(AND(VLOOKUP(A403,'HIDDEN import'!B:E,4,FALSE)="C",OR(NOT(ISERROR(VLOOKUP(E403,'Optional features'!B:D,1,FALSE)=E403)),NOT(ISERROR(VLOOKUP(E403,'HIDDEN calc sheet'!A:C,1,FALSE)=E403)))),MD!$A$3,MD!$A$2)))</f>
        <v>Mandatory for optional feature</v>
      </c>
      <c r="E403" t="str">
        <f>IF('HIDDEN import'!F402=0,"",'HIDDEN import'!F402)</f>
        <v>UI-0</v>
      </c>
      <c r="F403" t="str">
        <f>IF('HIDDEN import'!G402=0,"",'HIDDEN import'!G402)</f>
        <v/>
      </c>
      <c r="G403" s="19" t="str">
        <f>IFERROR(VLOOKUP($A403,'HIDDEN Testrun Results'!$A:$B,2,FALSE),"")</f>
        <v/>
      </c>
      <c r="H403" s="3" t="b">
        <f t="shared" si="6"/>
        <v>0</v>
      </c>
      <c r="I403" s="3" t="b">
        <f>IF(VLOOKUP(A403&amp;" "&amp;B403,'HIDDEN import'!A:G,5,FALSE)="M",TRUE,IFERROR(VLOOKUP(E403,'Optional features'!B:D,3,FALSE)="Yes",IFERROR(VLOOKUP(E403,'HIDDEN calc sheet'!A:B,2,FALSE),IFERROR(VLOOKUP(E403,'Additional questions'!B:D,3,FALSE)="Yes",VLOOKUP(E403,'Hardware Feature set'!B:D,3,FALSE)="No"))))</f>
        <v>0</v>
      </c>
      <c r="J403" s="3" t="b">
        <f>IF(VLOOKUP(B403,'Profile selection'!B:C,2,FALSE)="Yes",TRUE,FALSE)</f>
        <v>1</v>
      </c>
      <c r="K403"/>
      <c r="L403"/>
    </row>
    <row r="404" spans="1:12" ht="17.100000000000001" customHeight="1" x14ac:dyDescent="0.25">
      <c r="A404" t="str">
        <f>'HIDDEN import'!B403</f>
        <v>TC_O_37_CS</v>
      </c>
      <c r="B404" t="str">
        <f>'HIDDEN import'!C403</f>
        <v>Core</v>
      </c>
      <c r="C404" t="str">
        <f>'HIDDEN import'!D403</f>
        <v>Set Display Message - State Idle</v>
      </c>
      <c r="D404" t="str">
        <f>IF(VLOOKUP(A404&amp;" "&amp;B404,'HIDDEN import'!A:G,5,FALSE)="M",MD!$A$1,(IF(AND(VLOOKUP(A404,'HIDDEN import'!B:E,4,FALSE)="C",OR(NOT(ISERROR(VLOOKUP(E404,'Optional features'!B:D,1,FALSE)=E404)),NOT(ISERROR(VLOOKUP(E404,'HIDDEN calc sheet'!A:C,1,FALSE)=E404)))),MD!$A$3,MD!$A$2)))</f>
        <v>Mandatory for optional feature</v>
      </c>
      <c r="E404" t="str">
        <f>IF('HIDDEN import'!F403=0,"",'HIDDEN import'!F403)</f>
        <v>UI-0 AND NOT HFS-13</v>
      </c>
      <c r="F404" t="str">
        <f>IF('HIDDEN import'!G403=0,"",'HIDDEN import'!G403)</f>
        <v/>
      </c>
      <c r="G404" s="19" t="str">
        <f>IFERROR(VLOOKUP($A404,'HIDDEN Testrun Results'!$A:$B,2,FALSE),"")</f>
        <v/>
      </c>
      <c r="H404" s="3" t="b">
        <f t="shared" si="6"/>
        <v>0</v>
      </c>
      <c r="I404" s="3" t="b">
        <f>IF(VLOOKUP(A404&amp;" "&amp;B404,'HIDDEN import'!A:G,5,FALSE)="M",TRUE,IFERROR(VLOOKUP(E404,'Optional features'!B:D,3,FALSE)="Yes",IFERROR(VLOOKUP(E404,'HIDDEN calc sheet'!A:B,2,FALSE),IFERROR(VLOOKUP(E404,'Additional questions'!B:D,3,FALSE)="Yes",VLOOKUP(E404,'Hardware Feature set'!B:D,3,FALSE)="No"))))</f>
        <v>0</v>
      </c>
      <c r="J404" s="3" t="b">
        <f>IF(VLOOKUP(B404,'Profile selection'!B:C,2,FALSE)="Yes",TRUE,FALSE)</f>
        <v>1</v>
      </c>
      <c r="K404"/>
      <c r="L404"/>
    </row>
    <row r="405" spans="1:12" ht="17.100000000000001" customHeight="1" x14ac:dyDescent="0.25">
      <c r="A405" t="str">
        <f>'HIDDEN import'!B404</f>
        <v>TC_O_38_CS</v>
      </c>
      <c r="B405" t="str">
        <f>'HIDDEN import'!C404</f>
        <v>Core</v>
      </c>
      <c r="C405" t="str">
        <f>'HIDDEN import'!D404</f>
        <v>Set Display Message - State Unavailable</v>
      </c>
      <c r="D405" t="str">
        <f>IF(VLOOKUP(A405&amp;" "&amp;B405,'HIDDEN import'!A:G,5,FALSE)="M",MD!$A$1,(IF(AND(VLOOKUP(A405,'HIDDEN import'!B:E,4,FALSE)="C",OR(NOT(ISERROR(VLOOKUP(E405,'Optional features'!B:D,1,FALSE)=E405)),NOT(ISERROR(VLOOKUP(E405,'HIDDEN calc sheet'!A:C,1,FALSE)=E405)))),MD!$A$3,MD!$A$2)))</f>
        <v>Mandatory for optional feature</v>
      </c>
      <c r="E405" t="str">
        <f>IF('HIDDEN import'!F404=0,"",'HIDDEN import'!F404)</f>
        <v>UI-0</v>
      </c>
      <c r="F405" t="str">
        <f>IF('HIDDEN import'!G404=0,"",'HIDDEN import'!G404)</f>
        <v/>
      </c>
      <c r="G405" s="19" t="str">
        <f>IFERROR(VLOOKUP($A405,'HIDDEN Testrun Results'!$A:$B,2,FALSE),"")</f>
        <v/>
      </c>
      <c r="H405" s="3" t="b">
        <f t="shared" si="6"/>
        <v>0</v>
      </c>
      <c r="I405" s="3" t="b">
        <f>IF(VLOOKUP(A405&amp;" "&amp;B405,'HIDDEN import'!A:G,5,FALSE)="M",TRUE,IFERROR(VLOOKUP(E405,'Optional features'!B:D,3,FALSE)="Yes",IFERROR(VLOOKUP(E405,'HIDDEN calc sheet'!A:B,2,FALSE),IFERROR(VLOOKUP(E405,'Additional questions'!B:D,3,FALSE)="Yes",VLOOKUP(E405,'Hardware Feature set'!B:D,3,FALSE)="No"))))</f>
        <v>0</v>
      </c>
      <c r="J405" s="3" t="b">
        <f>IF(VLOOKUP(B405,'Profile selection'!B:C,2,FALSE)="Yes",TRUE,FALSE)</f>
        <v>1</v>
      </c>
      <c r="K405"/>
      <c r="L405"/>
    </row>
    <row r="406" spans="1:12" ht="17.100000000000001" customHeight="1" x14ac:dyDescent="0.25">
      <c r="A406" t="str">
        <f>'HIDDEN import'!B405</f>
        <v>TC_O_12_CS</v>
      </c>
      <c r="B406" t="str">
        <f>'HIDDEN import'!C405</f>
        <v>Core</v>
      </c>
      <c r="C406" t="str">
        <f>'HIDDEN import'!D405</f>
        <v>Set Display Message - Replace DisplayMessage</v>
      </c>
      <c r="D406" t="str">
        <f>IF(VLOOKUP(A406&amp;" "&amp;B406,'HIDDEN import'!A:G,5,FALSE)="M",MD!$A$1,(IF(AND(VLOOKUP(A406,'HIDDEN import'!B:E,4,FALSE)="C",OR(NOT(ISERROR(VLOOKUP(E406,'Optional features'!B:D,1,FALSE)=E406)),NOT(ISERROR(VLOOKUP(E406,'HIDDEN calc sheet'!A:C,1,FALSE)=E406)))),MD!$A$3,MD!$A$2)))</f>
        <v>Mandatory for optional feature</v>
      </c>
      <c r="E406" t="str">
        <f>IF('HIDDEN import'!F405=0,"",'HIDDEN import'!F405)</f>
        <v>UI-0</v>
      </c>
      <c r="F406" t="str">
        <f>IF('HIDDEN import'!G405=0,"",'HIDDEN import'!G405)</f>
        <v/>
      </c>
      <c r="G406" s="19" t="str">
        <f>IFERROR(VLOOKUP($A406,'HIDDEN Testrun Results'!$A:$B,2,FALSE),"")</f>
        <v/>
      </c>
      <c r="H406" s="3" t="b">
        <f t="shared" si="6"/>
        <v>0</v>
      </c>
      <c r="I406" s="3" t="b">
        <f>IF(VLOOKUP(A406&amp;" "&amp;B406,'HIDDEN import'!A:G,5,FALSE)="M",TRUE,IFERROR(VLOOKUP(E406,'Optional features'!B:D,3,FALSE)="Yes",IFERROR(VLOOKUP(E406,'HIDDEN calc sheet'!A:B,2,FALSE),IFERROR(VLOOKUP(E406,'Additional questions'!B:D,3,FALSE)="Yes",VLOOKUP(E406,'Hardware Feature set'!B:D,3,FALSE)="No"))))</f>
        <v>0</v>
      </c>
      <c r="J406" s="3" t="b">
        <f>IF(VLOOKUP(B406,'Profile selection'!B:C,2,FALSE)="Yes",TRUE,FALSE)</f>
        <v>1</v>
      </c>
      <c r="K406"/>
      <c r="L406"/>
    </row>
    <row r="407" spans="1:12" ht="17.100000000000001" customHeight="1" x14ac:dyDescent="0.25">
      <c r="A407" t="str">
        <f>'HIDDEN import'!B406</f>
        <v>TC_O_100_CS</v>
      </c>
      <c r="B407" t="str">
        <f>'HIDDEN import'!C406</f>
        <v>Core</v>
      </c>
      <c r="C407" t="str">
        <f>'HIDDEN import'!D406</f>
        <v>Set Display Message - unsupported language</v>
      </c>
      <c r="D407" t="str">
        <f>IF(VLOOKUP(A407&amp;" "&amp;B407,'HIDDEN import'!A:G,5,FALSE)="M",MD!$A$1,(IF(AND(VLOOKUP(A407,'HIDDEN import'!B:E,4,FALSE)="C",OR(NOT(ISERROR(VLOOKUP(E407,'Optional features'!B:D,1,FALSE)=E407)),NOT(ISERROR(VLOOKUP(E407,'HIDDEN calc sheet'!A:C,1,FALSE)=E407)))),MD!$A$3,MD!$A$2)))</f>
        <v>Mandatory for optional feature</v>
      </c>
      <c r="E407" t="str">
        <f>IF('HIDDEN import'!F406=0,"",'HIDDEN import'!F406)</f>
        <v>UI-0 and AQ-19</v>
      </c>
      <c r="F407" t="str">
        <f>IF('HIDDEN import'!G406=0,"",'HIDDEN import'!G406)</f>
        <v/>
      </c>
      <c r="G407" s="19" t="str">
        <f>IFERROR(VLOOKUP($A407,'HIDDEN Testrun Results'!$A:$B,2,FALSE),"")</f>
        <v/>
      </c>
      <c r="H407" s="3" t="b">
        <f t="shared" si="6"/>
        <v>0</v>
      </c>
      <c r="I407" s="3" t="b">
        <f>IF(VLOOKUP(A407&amp;" "&amp;B407,'HIDDEN import'!A:G,5,FALSE)="M",TRUE,IFERROR(VLOOKUP(E407,'Optional features'!B:D,3,FALSE)="Yes",IFERROR(VLOOKUP(E407,'HIDDEN calc sheet'!A:B,2,FALSE),IFERROR(VLOOKUP(E407,'Additional questions'!B:D,3,FALSE)="Yes",VLOOKUP(E407,'Hardware Feature set'!B:D,3,FALSE)="No"))))</f>
        <v>0</v>
      </c>
      <c r="J407" s="3" t="b">
        <f>IF(VLOOKUP(B407,'Profile selection'!B:C,2,FALSE)="Yes",TRUE,FALSE)</f>
        <v>1</v>
      </c>
      <c r="K407"/>
      <c r="L407"/>
    </row>
    <row r="408" spans="1:12" ht="17.100000000000001" customHeight="1" x14ac:dyDescent="0.25">
      <c r="A408" t="str">
        <f>'HIDDEN import'!B407</f>
        <v>TC_O_101_CS</v>
      </c>
      <c r="B408" t="str">
        <f>'HIDDEN import'!C407</f>
        <v>Core</v>
      </c>
      <c r="C408" t="str">
        <f>'HIDDEN import'!D407</f>
        <v>Set Display Message - Language preference of the EV Driver</v>
      </c>
      <c r="D408" t="str">
        <f>IF(VLOOKUP(A408&amp;" "&amp;B408,'HIDDEN import'!A:G,5,FALSE)="M",MD!$A$1,(IF(AND(VLOOKUP(A408,'HIDDEN import'!B:E,4,FALSE)="C",OR(NOT(ISERROR(VLOOKUP(E408,'Optional features'!B:D,1,FALSE)=E408)),NOT(ISERROR(VLOOKUP(E408,'HIDDEN calc sheet'!A:C,1,FALSE)=E408)))),MD!$A$3,MD!$A$2)))</f>
        <v>Mandatory for optional feature</v>
      </c>
      <c r="E408" t="str">
        <f>IF('HIDDEN import'!F407=0,"",'HIDDEN import'!F407)</f>
        <v>UI-0 and UI-3</v>
      </c>
      <c r="F408" t="str">
        <f>IF('HIDDEN import'!G407=0,"",'HIDDEN import'!G407)</f>
        <v/>
      </c>
      <c r="G408" s="19" t="str">
        <f>IFERROR(VLOOKUP($A408,'HIDDEN Testrun Results'!$A:$B,2,FALSE),"")</f>
        <v/>
      </c>
      <c r="H408" s="3" t="b">
        <f t="shared" si="6"/>
        <v>0</v>
      </c>
      <c r="I408" s="3" t="b">
        <f>IF(VLOOKUP(A408&amp;" "&amp;B408,'HIDDEN import'!A:G,5,FALSE)="M",TRUE,IFERROR(VLOOKUP(E408,'Optional features'!B:D,3,FALSE)="Yes",IFERROR(VLOOKUP(E408,'HIDDEN calc sheet'!A:B,2,FALSE),IFERROR(VLOOKUP(E408,'Additional questions'!B:D,3,FALSE)="Yes",VLOOKUP(E408,'Hardware Feature set'!B:D,3,FALSE)="No"))))</f>
        <v>0</v>
      </c>
      <c r="J408" s="3" t="b">
        <f>IF(VLOOKUP(B408,'Profile selection'!B:C,2,FALSE)="Yes",TRUE,FALSE)</f>
        <v>1</v>
      </c>
      <c r="K408"/>
      <c r="L408"/>
    </row>
    <row r="409" spans="1:12" ht="17.100000000000001" customHeight="1" x14ac:dyDescent="0.25">
      <c r="A409" t="str">
        <f>'HIDDEN import'!B408</f>
        <v>TC_O_06_CS</v>
      </c>
      <c r="B409" t="str">
        <f>'HIDDEN import'!C408</f>
        <v>Core</v>
      </c>
      <c r="C409" t="str">
        <f>'HIDDEN import'!D408</f>
        <v>Set Display Message - Specific transaction - Success</v>
      </c>
      <c r="D409" t="str">
        <f>IF(VLOOKUP(A409&amp;" "&amp;B409,'HIDDEN import'!A:G,5,FALSE)="M",MD!$A$1,(IF(AND(VLOOKUP(A409,'HIDDEN import'!B:E,4,FALSE)="C",OR(NOT(ISERROR(VLOOKUP(E409,'Optional features'!B:D,1,FALSE)=E409)),NOT(ISERROR(VLOOKUP(E409,'HIDDEN calc sheet'!A:C,1,FALSE)=E409)))),MD!$A$3,MD!$A$2)))</f>
        <v>Mandatory for optional feature</v>
      </c>
      <c r="E409" t="str">
        <f>IF('HIDDEN import'!F408=0,"",'HIDDEN import'!F408)</f>
        <v>UI-0</v>
      </c>
      <c r="F409" t="str">
        <f>IF('HIDDEN import'!G408=0,"",'HIDDEN import'!G408)</f>
        <v/>
      </c>
      <c r="G409" s="19" t="str">
        <f>IFERROR(VLOOKUP($A409,'HIDDEN Testrun Results'!$A:$B,2,FALSE),"")</f>
        <v/>
      </c>
      <c r="H409" s="3" t="b">
        <f t="shared" si="6"/>
        <v>0</v>
      </c>
      <c r="I409" s="3" t="b">
        <f>IF(VLOOKUP(A409&amp;" "&amp;B409,'HIDDEN import'!A:G,5,FALSE)="M",TRUE,IFERROR(VLOOKUP(E409,'Optional features'!B:D,3,FALSE)="Yes",IFERROR(VLOOKUP(E409,'HIDDEN calc sheet'!A:B,2,FALSE),IFERROR(VLOOKUP(E409,'Additional questions'!B:D,3,FALSE)="Yes",VLOOKUP(E409,'Hardware Feature set'!B:D,3,FALSE)="No"))))</f>
        <v>0</v>
      </c>
      <c r="J409" s="3" t="b">
        <f>IF(VLOOKUP(B409,'Profile selection'!B:C,2,FALSE)="Yes",TRUE,FALSE)</f>
        <v>1</v>
      </c>
      <c r="K409"/>
      <c r="L409"/>
    </row>
    <row r="410" spans="1:12" ht="17.100000000000001" customHeight="1" x14ac:dyDescent="0.25">
      <c r="A410" t="str">
        <f>'HIDDEN import'!B409</f>
        <v>TC_O_10_CS</v>
      </c>
      <c r="B410" t="str">
        <f>'HIDDEN import'!C409</f>
        <v>Core</v>
      </c>
      <c r="C410" t="str">
        <f>'HIDDEN import'!D409</f>
        <v>Set Display Message - Specific transaction - UnknownTransaction</v>
      </c>
      <c r="D410" t="str">
        <f>IF(VLOOKUP(A410&amp;" "&amp;B410,'HIDDEN import'!A:G,5,FALSE)="M",MD!$A$1,(IF(AND(VLOOKUP(A410,'HIDDEN import'!B:E,4,FALSE)="C",OR(NOT(ISERROR(VLOOKUP(E410,'Optional features'!B:D,1,FALSE)=E410)),NOT(ISERROR(VLOOKUP(E410,'HIDDEN calc sheet'!A:C,1,FALSE)=E410)))),MD!$A$3,MD!$A$2)))</f>
        <v>Mandatory for optional feature</v>
      </c>
      <c r="E410" t="str">
        <f>IF('HIDDEN import'!F409=0,"",'HIDDEN import'!F409)</f>
        <v>UI-0</v>
      </c>
      <c r="F410" t="str">
        <f>IF('HIDDEN import'!G409=0,"",'HIDDEN import'!G409)</f>
        <v/>
      </c>
      <c r="G410" s="19" t="str">
        <f>IFERROR(VLOOKUP($A410,'HIDDEN Testrun Results'!$A:$B,2,FALSE),"")</f>
        <v/>
      </c>
      <c r="H410" s="3" t="b">
        <f t="shared" si="6"/>
        <v>0</v>
      </c>
      <c r="I410" s="3" t="b">
        <f>IF(VLOOKUP(A410&amp;" "&amp;B410,'HIDDEN import'!A:G,5,FALSE)="M",TRUE,IFERROR(VLOOKUP(E410,'Optional features'!B:D,3,FALSE)="Yes",IFERROR(VLOOKUP(E410,'HIDDEN calc sheet'!A:B,2,FALSE),IFERROR(VLOOKUP(E410,'Additional questions'!B:D,3,FALSE)="Yes",VLOOKUP(E410,'Hardware Feature set'!B:D,3,FALSE)="No"))))</f>
        <v>0</v>
      </c>
      <c r="J410" s="3" t="b">
        <f>IF(VLOOKUP(B410,'Profile selection'!B:C,2,FALSE)="Yes",TRUE,FALSE)</f>
        <v>1</v>
      </c>
      <c r="K410"/>
      <c r="L410"/>
    </row>
    <row r="411" spans="1:12" ht="17.100000000000001" customHeight="1" x14ac:dyDescent="0.25">
      <c r="A411" t="str">
        <f>'HIDDEN import'!B410</f>
        <v>TC_O_27_CS</v>
      </c>
      <c r="B411" t="str">
        <f>'HIDDEN import'!C410</f>
        <v>Core</v>
      </c>
      <c r="C411" t="str">
        <f>'HIDDEN import'!D410</f>
        <v>Set Display Message - Specific transaction - Display message at StartTime</v>
      </c>
      <c r="D411" t="str">
        <f>IF(VLOOKUP(A411&amp;" "&amp;B411,'HIDDEN import'!A:G,5,FALSE)="M",MD!$A$1,(IF(AND(VLOOKUP(A411,'HIDDEN import'!B:E,4,FALSE)="C",OR(NOT(ISERROR(VLOOKUP(E411,'Optional features'!B:D,1,FALSE)=E411)),NOT(ISERROR(VLOOKUP(E411,'HIDDEN calc sheet'!A:C,1,FALSE)=E411)))),MD!$A$3,MD!$A$2)))</f>
        <v>Mandatory for optional feature</v>
      </c>
      <c r="E411" t="str">
        <f>IF('HIDDEN import'!F410=0,"",'HIDDEN import'!F410)</f>
        <v>UI-0</v>
      </c>
      <c r="F411" t="str">
        <f>IF('HIDDEN import'!G410=0,"",'HIDDEN import'!G410)</f>
        <v/>
      </c>
      <c r="G411" s="19" t="str">
        <f>IFERROR(VLOOKUP($A411,'HIDDEN Testrun Results'!$A:$B,2,FALSE),"")</f>
        <v/>
      </c>
      <c r="H411" s="3" t="b">
        <f t="shared" si="6"/>
        <v>0</v>
      </c>
      <c r="I411" s="3" t="b">
        <f>IF(VLOOKUP(A411&amp;" "&amp;B411,'HIDDEN import'!A:G,5,FALSE)="M",TRUE,IFERROR(VLOOKUP(E411,'Optional features'!B:D,3,FALSE)="Yes",IFERROR(VLOOKUP(E411,'HIDDEN calc sheet'!A:B,2,FALSE),IFERROR(VLOOKUP(E411,'Additional questions'!B:D,3,FALSE)="Yes",VLOOKUP(E411,'Hardware Feature set'!B:D,3,FALSE)="No"))))</f>
        <v>0</v>
      </c>
      <c r="J411" s="3" t="b">
        <f>IF(VLOOKUP(B411,'Profile selection'!B:C,2,FALSE)="Yes",TRUE,FALSE)</f>
        <v>1</v>
      </c>
      <c r="K411"/>
      <c r="L411"/>
    </row>
    <row r="412" spans="1:12" ht="17.100000000000001" customHeight="1" x14ac:dyDescent="0.25">
      <c r="A412" t="str">
        <f>'HIDDEN import'!B411</f>
        <v>TC_O_28_CS</v>
      </c>
      <c r="B412" t="str">
        <f>'HIDDEN import'!C411</f>
        <v>Core</v>
      </c>
      <c r="C412" t="str">
        <f>'HIDDEN import'!D411</f>
        <v>Set Display Message - Specific transaction - Remove message after EndTime</v>
      </c>
      <c r="D412" t="str">
        <f>IF(VLOOKUP(A412&amp;" "&amp;B412,'HIDDEN import'!A:G,5,FALSE)="M",MD!$A$1,(IF(AND(VLOOKUP(A412,'HIDDEN import'!B:E,4,FALSE)="C",OR(NOT(ISERROR(VLOOKUP(E412,'Optional features'!B:D,1,FALSE)=E412)),NOT(ISERROR(VLOOKUP(E412,'HIDDEN calc sheet'!A:C,1,FALSE)=E412)))),MD!$A$3,MD!$A$2)))</f>
        <v>Mandatory for optional feature</v>
      </c>
      <c r="E412" t="str">
        <f>IF('HIDDEN import'!F411=0,"",'HIDDEN import'!F411)</f>
        <v>UI-0</v>
      </c>
      <c r="F412" t="str">
        <f>IF('HIDDEN import'!G411=0,"",'HIDDEN import'!G411)</f>
        <v/>
      </c>
      <c r="G412" s="19" t="str">
        <f>IFERROR(VLOOKUP($A412,'HIDDEN Testrun Results'!$A:$B,2,FALSE),"")</f>
        <v/>
      </c>
      <c r="H412" s="3" t="b">
        <f t="shared" si="6"/>
        <v>0</v>
      </c>
      <c r="I412" s="3" t="b">
        <f>IF(VLOOKUP(A412&amp;" "&amp;B412,'HIDDEN import'!A:G,5,FALSE)="M",TRUE,IFERROR(VLOOKUP(E412,'Optional features'!B:D,3,FALSE)="Yes",IFERROR(VLOOKUP(E412,'HIDDEN calc sheet'!A:B,2,FALSE),IFERROR(VLOOKUP(E412,'Additional questions'!B:D,3,FALSE)="Yes",VLOOKUP(E412,'Hardware Feature set'!B:D,3,FALSE)="No"))))</f>
        <v>0</v>
      </c>
      <c r="J412" s="3" t="b">
        <f>IF(VLOOKUP(B412,'Profile selection'!B:C,2,FALSE)="Yes",TRUE,FALSE)</f>
        <v>1</v>
      </c>
      <c r="K412"/>
      <c r="L412"/>
    </row>
    <row r="413" spans="1:12" ht="17.100000000000001" customHeight="1" x14ac:dyDescent="0.25">
      <c r="A413" t="str">
        <f>'HIDDEN import'!B412</f>
        <v>TC_O_30_CS</v>
      </c>
      <c r="B413" t="str">
        <f>'HIDDEN import'!C412</f>
        <v>Core</v>
      </c>
      <c r="C413" t="str">
        <f>'HIDDEN import'!D412</f>
        <v>Set Display Message - Specific transaction - Multiple In front priority</v>
      </c>
      <c r="D413" t="str">
        <f>IF(VLOOKUP(A413&amp;" "&amp;B413,'HIDDEN import'!A:G,5,FALSE)="M",MD!$A$1,(IF(AND(VLOOKUP(A413,'HIDDEN import'!B:E,4,FALSE)="C",OR(NOT(ISERROR(VLOOKUP(E413,'Optional features'!B:D,1,FALSE)=E413)),NOT(ISERROR(VLOOKUP(E413,'HIDDEN calc sheet'!A:C,1,FALSE)=E413)))),MD!$A$3,MD!$A$2)))</f>
        <v>Mandatory for optional feature</v>
      </c>
      <c r="E413" t="str">
        <f>IF('HIDDEN import'!F412=0,"",'HIDDEN import'!F412)</f>
        <v>UI-0 and UI-1.2</v>
      </c>
      <c r="F413" t="str">
        <f>IF('HIDDEN import'!G412=0,"",'HIDDEN import'!G412)</f>
        <v>Supported MessagePriorities InFront</v>
      </c>
      <c r="G413" s="19" t="str">
        <f>IFERROR(VLOOKUP($A413,'HIDDEN Testrun Results'!$A:$B,2,FALSE),"")</f>
        <v/>
      </c>
      <c r="H413" s="3" t="b">
        <f t="shared" si="6"/>
        <v>0</v>
      </c>
      <c r="I413" s="3" t="b">
        <f>IF(VLOOKUP(A413&amp;" "&amp;B413,'HIDDEN import'!A:G,5,FALSE)="M",TRUE,IFERROR(VLOOKUP(E413,'Optional features'!B:D,3,FALSE)="Yes",IFERROR(VLOOKUP(E413,'HIDDEN calc sheet'!A:B,2,FALSE),IFERROR(VLOOKUP(E413,'Additional questions'!B:D,3,FALSE)="Yes",VLOOKUP(E413,'Hardware Feature set'!B:D,3,FALSE)="No"))))</f>
        <v>0</v>
      </c>
      <c r="J413" s="3" t="b">
        <f>IF(VLOOKUP(B413,'Profile selection'!B:C,2,FALSE)="Yes",TRUE,FALSE)</f>
        <v>1</v>
      </c>
      <c r="K413"/>
      <c r="L413"/>
    </row>
    <row r="414" spans="1:12" ht="17.100000000000001" customHeight="1" x14ac:dyDescent="0.25">
      <c r="A414" t="str">
        <f>'HIDDEN import'!B413</f>
        <v>TC_O_32_CS</v>
      </c>
      <c r="B414" t="str">
        <f>'HIDDEN import'!C413</f>
        <v>Core</v>
      </c>
      <c r="C414" t="str">
        <f>'HIDDEN import'!D413</f>
        <v>Set Display Message - Specific transaction - Second Alwaysfront priority</v>
      </c>
      <c r="D414" t="str">
        <f>IF(VLOOKUP(A414&amp;" "&amp;B414,'HIDDEN import'!A:G,5,FALSE)="M",MD!$A$1,(IF(AND(VLOOKUP(A414,'HIDDEN import'!B:E,4,FALSE)="C",OR(NOT(ISERROR(VLOOKUP(E414,'Optional features'!B:D,1,FALSE)=E414)),NOT(ISERROR(VLOOKUP(E414,'HIDDEN calc sheet'!A:C,1,FALSE)=E414)))),MD!$A$3,MD!$A$2)))</f>
        <v>Mandatory for optional feature</v>
      </c>
      <c r="E414" t="str">
        <f>IF('HIDDEN import'!F413=0,"",'HIDDEN import'!F413)</f>
        <v>UI-0 and UI-1.1</v>
      </c>
      <c r="F414" t="str">
        <f>IF('HIDDEN import'!G413=0,"",'HIDDEN import'!G413)</f>
        <v>Supported MessagePriorities AlwaysFront</v>
      </c>
      <c r="G414" s="19" t="str">
        <f>IFERROR(VLOOKUP($A414,'HIDDEN Testrun Results'!$A:$B,2,FALSE),"")</f>
        <v/>
      </c>
      <c r="H414" s="3" t="b">
        <f t="shared" si="6"/>
        <v>0</v>
      </c>
      <c r="I414" s="3" t="b">
        <f>IF(VLOOKUP(A414&amp;" "&amp;B414,'HIDDEN import'!A:G,5,FALSE)="M",TRUE,IFERROR(VLOOKUP(E414,'Optional features'!B:D,3,FALSE)="Yes",IFERROR(VLOOKUP(E414,'HIDDEN calc sheet'!A:B,2,FALSE),IFERROR(VLOOKUP(E414,'Additional questions'!B:D,3,FALSE)="Yes",VLOOKUP(E414,'Hardware Feature set'!B:D,3,FALSE)="No"))))</f>
        <v>0</v>
      </c>
      <c r="J414" s="3" t="b">
        <f>IF(VLOOKUP(B414,'Profile selection'!B:C,2,FALSE)="Yes",TRUE,FALSE)</f>
        <v>1</v>
      </c>
      <c r="K414"/>
      <c r="L414"/>
    </row>
    <row r="415" spans="1:12" ht="17.100000000000001" customHeight="1" x14ac:dyDescent="0.25">
      <c r="A415" t="str">
        <f>'HIDDEN import'!B414</f>
        <v>TC_O_02_CS</v>
      </c>
      <c r="B415" t="str">
        <f>'HIDDEN import'!C414</f>
        <v>Core</v>
      </c>
      <c r="C415" t="str">
        <f>'HIDDEN import'!D414</f>
        <v>Get all Display Messages - Success</v>
      </c>
      <c r="D415" t="str">
        <f>IF(VLOOKUP(A415&amp;" "&amp;B415,'HIDDEN import'!A:G,5,FALSE)="M",MD!$A$1,(IF(AND(VLOOKUP(A415,'HIDDEN import'!B:E,4,FALSE)="C",OR(NOT(ISERROR(VLOOKUP(E415,'Optional features'!B:D,1,FALSE)=E415)),NOT(ISERROR(VLOOKUP(E415,'HIDDEN calc sheet'!A:C,1,FALSE)=E415)))),MD!$A$3,MD!$A$2)))</f>
        <v>Mandatory for optional feature</v>
      </c>
      <c r="E415" t="str">
        <f>IF('HIDDEN import'!F414=0,"",'HIDDEN import'!F414)</f>
        <v>UI-0</v>
      </c>
      <c r="F415" t="str">
        <f>IF('HIDDEN import'!G414=0,"",'HIDDEN import'!G414)</f>
        <v/>
      </c>
      <c r="G415" s="19" t="str">
        <f>IFERROR(VLOOKUP($A415,'HIDDEN Testrun Results'!$A:$B,2,FALSE),"")</f>
        <v/>
      </c>
      <c r="H415" s="3" t="b">
        <f t="shared" si="6"/>
        <v>0</v>
      </c>
      <c r="I415" s="3" t="b">
        <f>IF(VLOOKUP(A415&amp;" "&amp;B415,'HIDDEN import'!A:G,5,FALSE)="M",TRUE,IFERROR(VLOOKUP(E415,'Optional features'!B:D,3,FALSE)="Yes",IFERROR(VLOOKUP(E415,'HIDDEN calc sheet'!A:B,2,FALSE),IFERROR(VLOOKUP(E415,'Additional questions'!B:D,3,FALSE)="Yes",VLOOKUP(E415,'Hardware Feature set'!B:D,3,FALSE)="No"))))</f>
        <v>0</v>
      </c>
      <c r="J415" s="3" t="b">
        <f>IF(VLOOKUP(B415,'Profile selection'!B:C,2,FALSE)="Yes",TRUE,FALSE)</f>
        <v>1</v>
      </c>
      <c r="K415"/>
      <c r="L415"/>
    </row>
    <row r="416" spans="1:12" ht="17.100000000000001" customHeight="1" x14ac:dyDescent="0.25">
      <c r="A416" t="str">
        <f>'HIDDEN import'!B415</f>
        <v>TC_O_03_CS</v>
      </c>
      <c r="B416" t="str">
        <f>'HIDDEN import'!C415</f>
        <v>Core</v>
      </c>
      <c r="C416" t="str">
        <f>'HIDDEN import'!D415</f>
        <v>Get all Display Messages - No DisplayMessages configured</v>
      </c>
      <c r="D416" t="str">
        <f>IF(VLOOKUP(A416&amp;" "&amp;B416,'HIDDEN import'!A:G,5,FALSE)="M",MD!$A$1,(IF(AND(VLOOKUP(A416,'HIDDEN import'!B:E,4,FALSE)="C",OR(NOT(ISERROR(VLOOKUP(E416,'Optional features'!B:D,1,FALSE)=E416)),NOT(ISERROR(VLOOKUP(E416,'HIDDEN calc sheet'!A:C,1,FALSE)=E416)))),MD!$A$3,MD!$A$2)))</f>
        <v>Mandatory for optional feature</v>
      </c>
      <c r="E416" t="str">
        <f>IF('HIDDEN import'!F415=0,"",'HIDDEN import'!F415)</f>
        <v>UI-0</v>
      </c>
      <c r="F416" t="str">
        <f>IF('HIDDEN import'!G415=0,"",'HIDDEN import'!G415)</f>
        <v/>
      </c>
      <c r="G416" s="19" t="str">
        <f>IFERROR(VLOOKUP($A416,'HIDDEN Testrun Results'!$A:$B,2,FALSE),"")</f>
        <v/>
      </c>
      <c r="H416" s="3" t="b">
        <f t="shared" si="6"/>
        <v>0</v>
      </c>
      <c r="I416" s="3" t="b">
        <f>IF(VLOOKUP(A416&amp;" "&amp;B416,'HIDDEN import'!A:G,5,FALSE)="M",TRUE,IFERROR(VLOOKUP(E416,'Optional features'!B:D,3,FALSE)="Yes",IFERROR(VLOOKUP(E416,'HIDDEN calc sheet'!A:B,2,FALSE),IFERROR(VLOOKUP(E416,'Additional questions'!B:D,3,FALSE)="Yes",VLOOKUP(E416,'Hardware Feature set'!B:D,3,FALSE)="No"))))</f>
        <v>0</v>
      </c>
      <c r="J416" s="3" t="b">
        <f>IF(VLOOKUP(B416,'Profile selection'!B:C,2,FALSE)="Yes",TRUE,FALSE)</f>
        <v>1</v>
      </c>
      <c r="K416"/>
      <c r="L416"/>
    </row>
    <row r="417" spans="1:12" ht="17.100000000000001" customHeight="1" x14ac:dyDescent="0.25">
      <c r="A417" t="str">
        <f>'HIDDEN import'!B416</f>
        <v>TC_O_07_CS</v>
      </c>
      <c r="B417" t="str">
        <f>'HIDDEN import'!C416</f>
        <v>Core</v>
      </c>
      <c r="C417" t="str">
        <f>'HIDDEN import'!D416</f>
        <v>Get a Specific Display Message - Id</v>
      </c>
      <c r="D417" t="str">
        <f>IF(VLOOKUP(A417&amp;" "&amp;B417,'HIDDEN import'!A:G,5,FALSE)="M",MD!$A$1,(IF(AND(VLOOKUP(A417,'HIDDEN import'!B:E,4,FALSE)="C",OR(NOT(ISERROR(VLOOKUP(E417,'Optional features'!B:D,1,FALSE)=E417)),NOT(ISERROR(VLOOKUP(E417,'HIDDEN calc sheet'!A:C,1,FALSE)=E417)))),MD!$A$3,MD!$A$2)))</f>
        <v>Mandatory for optional feature</v>
      </c>
      <c r="E417" t="str">
        <f>IF('HIDDEN import'!F416=0,"",'HIDDEN import'!F416)</f>
        <v>UI-0</v>
      </c>
      <c r="F417" t="str">
        <f>IF('HIDDEN import'!G416=0,"",'HIDDEN import'!G416)</f>
        <v/>
      </c>
      <c r="G417" s="19" t="str">
        <f>IFERROR(VLOOKUP($A417,'HIDDEN Testrun Results'!$A:$B,2,FALSE),"")</f>
        <v/>
      </c>
      <c r="H417" s="3" t="b">
        <f t="shared" si="6"/>
        <v>0</v>
      </c>
      <c r="I417" s="3" t="b">
        <f>IF(VLOOKUP(A417&amp;" "&amp;B417,'HIDDEN import'!A:G,5,FALSE)="M",TRUE,IFERROR(VLOOKUP(E417,'Optional features'!B:D,3,FALSE)="Yes",IFERROR(VLOOKUP(E417,'HIDDEN calc sheet'!A:B,2,FALSE),IFERROR(VLOOKUP(E417,'Additional questions'!B:D,3,FALSE)="Yes",VLOOKUP(E417,'Hardware Feature set'!B:D,3,FALSE)="No"))))</f>
        <v>0</v>
      </c>
      <c r="J417" s="3" t="b">
        <f>IF(VLOOKUP(B417,'Profile selection'!B:C,2,FALSE)="Yes",TRUE,FALSE)</f>
        <v>1</v>
      </c>
      <c r="K417"/>
      <c r="L417"/>
    </row>
    <row r="418" spans="1:12" ht="17.100000000000001" customHeight="1" x14ac:dyDescent="0.25">
      <c r="A418" t="str">
        <f>'HIDDEN import'!B417</f>
        <v>TC_O_08_CS</v>
      </c>
      <c r="B418" t="str">
        <f>'HIDDEN import'!C417</f>
        <v>Core</v>
      </c>
      <c r="C418" t="str">
        <f>'HIDDEN import'!D417</f>
        <v>Get a Specific Display Message - Priority</v>
      </c>
      <c r="D418" t="str">
        <f>IF(VLOOKUP(A418&amp;" "&amp;B418,'HIDDEN import'!A:G,5,FALSE)="M",MD!$A$1,(IF(AND(VLOOKUP(A418,'HIDDEN import'!B:E,4,FALSE)="C",OR(NOT(ISERROR(VLOOKUP(E418,'Optional features'!B:D,1,FALSE)=E418)),NOT(ISERROR(VLOOKUP(E418,'HIDDEN calc sheet'!A:C,1,FALSE)=E418)))),MD!$A$3,MD!$A$2)))</f>
        <v>Mandatory for optional feature</v>
      </c>
      <c r="E418" t="str">
        <f>IF('HIDDEN import'!F417=0,"",'HIDDEN import'!F417)</f>
        <v>UI-0</v>
      </c>
      <c r="F418" t="str">
        <f>IF('HIDDEN import'!G417=0,"",'HIDDEN import'!G417)</f>
        <v>UI-1: Supported MessagePriorities</v>
      </c>
      <c r="G418" s="19" t="str">
        <f>IFERROR(VLOOKUP($A418,'HIDDEN Testrun Results'!$A:$B,2,FALSE),"")</f>
        <v/>
      </c>
      <c r="H418" s="3" t="b">
        <f t="shared" si="6"/>
        <v>0</v>
      </c>
      <c r="I418" s="3" t="b">
        <f>IF(VLOOKUP(A418&amp;" "&amp;B418,'HIDDEN import'!A:G,5,FALSE)="M",TRUE,IFERROR(VLOOKUP(E418,'Optional features'!B:D,3,FALSE)="Yes",IFERROR(VLOOKUP(E418,'HIDDEN calc sheet'!A:B,2,FALSE),IFERROR(VLOOKUP(E418,'Additional questions'!B:D,3,FALSE)="Yes",VLOOKUP(E418,'Hardware Feature set'!B:D,3,FALSE)="No"))))</f>
        <v>0</v>
      </c>
      <c r="J418" s="3" t="b">
        <f>IF(VLOOKUP(B418,'Profile selection'!B:C,2,FALSE)="Yes",TRUE,FALSE)</f>
        <v>1</v>
      </c>
      <c r="K418"/>
      <c r="L418"/>
    </row>
    <row r="419" spans="1:12" ht="17.100000000000001" customHeight="1" x14ac:dyDescent="0.25">
      <c r="A419" t="str">
        <f>'HIDDEN import'!B418</f>
        <v>TC_O_09_CS</v>
      </c>
      <c r="B419" t="str">
        <f>'HIDDEN import'!C418</f>
        <v>Core</v>
      </c>
      <c r="C419" t="str">
        <f>'HIDDEN import'!D418</f>
        <v>Get a Specific Display Message - State</v>
      </c>
      <c r="D419" t="str">
        <f>IF(VLOOKUP(A419&amp;" "&amp;B419,'HIDDEN import'!A:G,5,FALSE)="M",MD!$A$1,(IF(AND(VLOOKUP(A419,'HIDDEN import'!B:E,4,FALSE)="C",OR(NOT(ISERROR(VLOOKUP(E419,'Optional features'!B:D,1,FALSE)=E419)),NOT(ISERROR(VLOOKUP(E419,'HIDDEN calc sheet'!A:C,1,FALSE)=E419)))),MD!$A$3,MD!$A$2)))</f>
        <v>Mandatory for optional feature</v>
      </c>
      <c r="E419" t="str">
        <f>IF('HIDDEN import'!F418=0,"",'HIDDEN import'!F418)</f>
        <v>UI-0</v>
      </c>
      <c r="F419" t="str">
        <f>IF('HIDDEN import'!G418=0,"",'HIDDEN import'!G418)</f>
        <v/>
      </c>
      <c r="G419" s="19" t="str">
        <f>IFERROR(VLOOKUP($A419,'HIDDEN Testrun Results'!$A:$B,2,FALSE),"")</f>
        <v/>
      </c>
      <c r="H419" s="3" t="b">
        <f t="shared" si="6"/>
        <v>0</v>
      </c>
      <c r="I419" s="3" t="b">
        <f>IF(VLOOKUP(A419&amp;" "&amp;B419,'HIDDEN import'!A:G,5,FALSE)="M",TRUE,IFERROR(VLOOKUP(E419,'Optional features'!B:D,3,FALSE)="Yes",IFERROR(VLOOKUP(E419,'HIDDEN calc sheet'!A:B,2,FALSE),IFERROR(VLOOKUP(E419,'Additional questions'!B:D,3,FALSE)="Yes",VLOOKUP(E419,'Hardware Feature set'!B:D,3,FALSE)="No"))))</f>
        <v>0</v>
      </c>
      <c r="J419" s="3" t="b">
        <f>IF(VLOOKUP(B419,'Profile selection'!B:C,2,FALSE)="Yes",TRUE,FALSE)</f>
        <v>1</v>
      </c>
      <c r="K419"/>
      <c r="L419"/>
    </row>
    <row r="420" spans="1:12" ht="17.100000000000001" customHeight="1" x14ac:dyDescent="0.25">
      <c r="A420" t="str">
        <f>'HIDDEN import'!B419</f>
        <v>TC_O_11_CS</v>
      </c>
      <c r="B420" t="str">
        <f>'HIDDEN import'!C419</f>
        <v>Core</v>
      </c>
      <c r="C420" t="str">
        <f>'HIDDEN import'!D419</f>
        <v>Get a Specific Display Message - Unknown parameters</v>
      </c>
      <c r="D420" t="str">
        <f>IF(VLOOKUP(A420&amp;" "&amp;B420,'HIDDEN import'!A:G,5,FALSE)="M",MD!$A$1,(IF(AND(VLOOKUP(A420,'HIDDEN import'!B:E,4,FALSE)="C",OR(NOT(ISERROR(VLOOKUP(E420,'Optional features'!B:D,1,FALSE)=E420)),NOT(ISERROR(VLOOKUP(E420,'HIDDEN calc sheet'!A:C,1,FALSE)=E420)))),MD!$A$3,MD!$A$2)))</f>
        <v>Mandatory for optional feature</v>
      </c>
      <c r="E420" t="str">
        <f>IF('HIDDEN import'!F419=0,"",'HIDDEN import'!F419)</f>
        <v>UI-0</v>
      </c>
      <c r="F420" t="str">
        <f>IF('HIDDEN import'!G419=0,"",'HIDDEN import'!G419)</f>
        <v/>
      </c>
      <c r="G420" s="19" t="str">
        <f>IFERROR(VLOOKUP($A420,'HIDDEN Testrun Results'!$A:$B,2,FALSE),"")</f>
        <v/>
      </c>
      <c r="H420" s="3" t="b">
        <f t="shared" si="6"/>
        <v>0</v>
      </c>
      <c r="I420" s="3" t="b">
        <f>IF(VLOOKUP(A420&amp;" "&amp;B420,'HIDDEN import'!A:G,5,FALSE)="M",TRUE,IFERROR(VLOOKUP(E420,'Optional features'!B:D,3,FALSE)="Yes",IFERROR(VLOOKUP(E420,'HIDDEN calc sheet'!A:B,2,FALSE),IFERROR(VLOOKUP(E420,'Additional questions'!B:D,3,FALSE)="Yes",VLOOKUP(E420,'Hardware Feature set'!B:D,3,FALSE)="No"))))</f>
        <v>0</v>
      </c>
      <c r="J420" s="3" t="b">
        <f>IF(VLOOKUP(B420,'Profile selection'!B:C,2,FALSE)="Yes",TRUE,FALSE)</f>
        <v>1</v>
      </c>
      <c r="K420"/>
      <c r="L420"/>
    </row>
    <row r="421" spans="1:12" ht="17.100000000000001" customHeight="1" x14ac:dyDescent="0.25">
      <c r="A421" t="str">
        <f>'HIDDEN import'!B420</f>
        <v>TC_O_33_CS</v>
      </c>
      <c r="B421" t="str">
        <f>'HIDDEN import'!C420</f>
        <v>Core</v>
      </c>
      <c r="C421" t="str">
        <f>'HIDDEN import'!D420</f>
        <v>Get a Specific Display Message - No DisplayMessages configured</v>
      </c>
      <c r="D421" t="str">
        <f>IF(VLOOKUP(A421&amp;" "&amp;B421,'HIDDEN import'!A:G,5,FALSE)="M",MD!$A$1,(IF(AND(VLOOKUP(A421,'HIDDEN import'!B:E,4,FALSE)="C",OR(NOT(ISERROR(VLOOKUP(E421,'Optional features'!B:D,1,FALSE)=E421)),NOT(ISERROR(VLOOKUP(E421,'HIDDEN calc sheet'!A:C,1,FALSE)=E421)))),MD!$A$3,MD!$A$2)))</f>
        <v>Mandatory for optional feature</v>
      </c>
      <c r="E421" t="str">
        <f>IF('HIDDEN import'!F420=0,"",'HIDDEN import'!F420)</f>
        <v>UI-0</v>
      </c>
      <c r="F421" t="str">
        <f>IF('HIDDEN import'!G420=0,"",'HIDDEN import'!G420)</f>
        <v/>
      </c>
      <c r="G421" s="19" t="str">
        <f>IFERROR(VLOOKUP($A421,'HIDDEN Testrun Results'!$A:$B,2,FALSE),"")</f>
        <v/>
      </c>
      <c r="H421" s="3" t="b">
        <f t="shared" si="6"/>
        <v>0</v>
      </c>
      <c r="I421" s="3" t="b">
        <f>IF(VLOOKUP(A421&amp;" "&amp;B421,'HIDDEN import'!A:G,5,FALSE)="M",TRUE,IFERROR(VLOOKUP(E421,'Optional features'!B:D,3,FALSE)="Yes",IFERROR(VLOOKUP(E421,'HIDDEN calc sheet'!A:B,2,FALSE),IFERROR(VLOOKUP(E421,'Additional questions'!B:D,3,FALSE)="Yes",VLOOKUP(E421,'Hardware Feature set'!B:D,3,FALSE)="No"))))</f>
        <v>0</v>
      </c>
      <c r="J421" s="3" t="b">
        <f>IF(VLOOKUP(B421,'Profile selection'!B:C,2,FALSE)="Yes",TRUE,FALSE)</f>
        <v>1</v>
      </c>
      <c r="K421"/>
      <c r="L421"/>
    </row>
    <row r="422" spans="1:12" ht="17.100000000000001" customHeight="1" x14ac:dyDescent="0.25">
      <c r="A422" t="str">
        <f>'HIDDEN import'!B421</f>
        <v>TC_O_34_CS</v>
      </c>
      <c r="B422" t="str">
        <f>'HIDDEN import'!C421</f>
        <v>Core</v>
      </c>
      <c r="C422" t="str">
        <f>'HIDDEN import'!D421</f>
        <v>Get a Specific Display Message - Known Id, but not matching State</v>
      </c>
      <c r="D422" t="str">
        <f>IF(VLOOKUP(A422&amp;" "&amp;B422,'HIDDEN import'!A:G,5,FALSE)="M",MD!$A$1,(IF(AND(VLOOKUP(A422,'HIDDEN import'!B:E,4,FALSE)="C",OR(NOT(ISERROR(VLOOKUP(E422,'Optional features'!B:D,1,FALSE)=E422)),NOT(ISERROR(VLOOKUP(E422,'HIDDEN calc sheet'!A:C,1,FALSE)=E422)))),MD!$A$3,MD!$A$2)))</f>
        <v>Mandatory for optional feature</v>
      </c>
      <c r="E422" t="str">
        <f>IF('HIDDEN import'!F421=0,"",'HIDDEN import'!F421)</f>
        <v>UI-0</v>
      </c>
      <c r="F422" t="str">
        <f>IF('HIDDEN import'!G421=0,"",'HIDDEN import'!G421)</f>
        <v/>
      </c>
      <c r="G422" s="19" t="str">
        <f>IFERROR(VLOOKUP($A422,'HIDDEN Testrun Results'!$A:$B,2,FALSE),"")</f>
        <v/>
      </c>
      <c r="H422" s="3" t="b">
        <f t="shared" si="6"/>
        <v>0</v>
      </c>
      <c r="I422" s="3" t="b">
        <f>IF(VLOOKUP(A422&amp;" "&amp;B422,'HIDDEN import'!A:G,5,FALSE)="M",TRUE,IFERROR(VLOOKUP(E422,'Optional features'!B:D,3,FALSE)="Yes",IFERROR(VLOOKUP(E422,'HIDDEN calc sheet'!A:B,2,FALSE),IFERROR(VLOOKUP(E422,'Additional questions'!B:D,3,FALSE)="Yes",VLOOKUP(E422,'Hardware Feature set'!B:D,3,FALSE)="No"))))</f>
        <v>0</v>
      </c>
      <c r="J422" s="3" t="b">
        <f>IF(VLOOKUP(B422,'Profile selection'!B:C,2,FALSE)="Yes",TRUE,FALSE)</f>
        <v>1</v>
      </c>
      <c r="K422"/>
      <c r="L422"/>
    </row>
    <row r="423" spans="1:12" ht="17.100000000000001" customHeight="1" x14ac:dyDescent="0.25">
      <c r="A423" t="str">
        <f>'HIDDEN import'!B422</f>
        <v>TC_O_35_CS</v>
      </c>
      <c r="B423" t="str">
        <f>'HIDDEN import'!C422</f>
        <v>Core</v>
      </c>
      <c r="C423" t="str">
        <f>'HIDDEN import'!D422</f>
        <v>Get a Specific Display Message - Known Id, but not matching Priority</v>
      </c>
      <c r="D423" t="str">
        <f>IF(VLOOKUP(A423&amp;" "&amp;B423,'HIDDEN import'!A:G,5,FALSE)="M",MD!$A$1,(IF(AND(VLOOKUP(A423,'HIDDEN import'!B:E,4,FALSE)="C",OR(NOT(ISERROR(VLOOKUP(E423,'Optional features'!B:D,1,FALSE)=E423)),NOT(ISERROR(VLOOKUP(E423,'HIDDEN calc sheet'!A:C,1,FALSE)=E423)))),MD!$A$3,MD!$A$2)))</f>
        <v>Mandatory for optional feature</v>
      </c>
      <c r="E423" t="str">
        <f>IF('HIDDEN import'!F422=0,"",'HIDDEN import'!F422)</f>
        <v>UI-0 and ((UI-1.1 and UI-1.2) or (UI-1.2 and UI-1.3) or (UI-1.3 and UI-1.1))</v>
      </c>
      <c r="F423" t="str">
        <f>IF('HIDDEN import'!G422=0,"",'HIDDEN import'!G422)</f>
        <v>Supported MessagePriorities</v>
      </c>
      <c r="G423" s="19" t="str">
        <f>IFERROR(VLOOKUP($A423,'HIDDEN Testrun Results'!$A:$B,2,FALSE),"")</f>
        <v/>
      </c>
      <c r="H423" s="3" t="b">
        <f t="shared" si="6"/>
        <v>0</v>
      </c>
      <c r="I423" s="3" t="b">
        <f>IF(VLOOKUP(A423&amp;" "&amp;B423,'HIDDEN import'!A:G,5,FALSE)="M",TRUE,IFERROR(VLOOKUP(E423,'Optional features'!B:D,3,FALSE)="Yes",IFERROR(VLOOKUP(E423,'HIDDEN calc sheet'!A:B,2,FALSE),IFERROR(VLOOKUP(E423,'Additional questions'!B:D,3,FALSE)="Yes",VLOOKUP(E423,'Hardware Feature set'!B:D,3,FALSE)="No"))))</f>
        <v>0</v>
      </c>
      <c r="J423" s="3" t="b">
        <f>IF(VLOOKUP(B423,'Profile selection'!B:C,2,FALSE)="Yes",TRUE,FALSE)</f>
        <v>1</v>
      </c>
      <c r="K423"/>
      <c r="L423"/>
    </row>
    <row r="424" spans="1:12" ht="17.100000000000001" customHeight="1" x14ac:dyDescent="0.25">
      <c r="A424" t="str">
        <f>'HIDDEN import'!B423</f>
        <v>TC_O_04_CS</v>
      </c>
      <c r="B424" t="str">
        <f>'HIDDEN import'!C423</f>
        <v>Core</v>
      </c>
      <c r="C424" t="str">
        <f>'HIDDEN import'!D423</f>
        <v>Clear Display Message - Success</v>
      </c>
      <c r="D424" t="str">
        <f>IF(VLOOKUP(A424&amp;" "&amp;B424,'HIDDEN import'!A:G,5,FALSE)="M",MD!$A$1,(IF(AND(VLOOKUP(A424,'HIDDEN import'!B:E,4,FALSE)="C",OR(NOT(ISERROR(VLOOKUP(E424,'Optional features'!B:D,1,FALSE)=E424)),NOT(ISERROR(VLOOKUP(E424,'HIDDEN calc sheet'!A:C,1,FALSE)=E424)))),MD!$A$3,MD!$A$2)))</f>
        <v>Mandatory for optional feature</v>
      </c>
      <c r="E424" t="str">
        <f>IF('HIDDEN import'!F423=0,"",'HIDDEN import'!F423)</f>
        <v>UI-0</v>
      </c>
      <c r="F424" t="str">
        <f>IF('HIDDEN import'!G423=0,"",'HIDDEN import'!G423)</f>
        <v/>
      </c>
      <c r="G424" s="19" t="str">
        <f>IFERROR(VLOOKUP($A424,'HIDDEN Testrun Results'!$A:$B,2,FALSE),"")</f>
        <v/>
      </c>
      <c r="H424" s="3" t="b">
        <f t="shared" si="6"/>
        <v>0</v>
      </c>
      <c r="I424" s="3" t="b">
        <f>IF(VLOOKUP(A424&amp;" "&amp;B424,'HIDDEN import'!A:G,5,FALSE)="M",TRUE,IFERROR(VLOOKUP(E424,'Optional features'!B:D,3,FALSE)="Yes",IFERROR(VLOOKUP(E424,'HIDDEN calc sheet'!A:B,2,FALSE),IFERROR(VLOOKUP(E424,'Additional questions'!B:D,3,FALSE)="Yes",VLOOKUP(E424,'Hardware Feature set'!B:D,3,FALSE)="No"))))</f>
        <v>0</v>
      </c>
      <c r="J424" s="3" t="b">
        <f>IF(VLOOKUP(B424,'Profile selection'!B:C,2,FALSE)="Yes",TRUE,FALSE)</f>
        <v>1</v>
      </c>
      <c r="K424"/>
      <c r="L424"/>
    </row>
    <row r="425" spans="1:12" ht="17.100000000000001" customHeight="1" x14ac:dyDescent="0.25">
      <c r="A425" t="str">
        <f>'HIDDEN import'!B424</f>
        <v>TC_O_05_CS</v>
      </c>
      <c r="B425" t="str">
        <f>'HIDDEN import'!C424</f>
        <v>Core</v>
      </c>
      <c r="C425" t="str">
        <f>'HIDDEN import'!D424</f>
        <v>Clear Display Message - Unknown Key</v>
      </c>
      <c r="D425" t="str">
        <f>IF(VLOOKUP(A425&amp;" "&amp;B425,'HIDDEN import'!A:G,5,FALSE)="M",MD!$A$1,(IF(AND(VLOOKUP(A425,'HIDDEN import'!B:E,4,FALSE)="C",OR(NOT(ISERROR(VLOOKUP(E425,'Optional features'!B:D,1,FALSE)=E425)),NOT(ISERROR(VLOOKUP(E425,'HIDDEN calc sheet'!A:C,1,FALSE)=E425)))),MD!$A$3,MD!$A$2)))</f>
        <v>Mandatory for optional feature</v>
      </c>
      <c r="E425" t="str">
        <f>IF('HIDDEN import'!F424=0,"",'HIDDEN import'!F424)</f>
        <v>UI-0</v>
      </c>
      <c r="F425" t="str">
        <f>IF('HIDDEN import'!G424=0,"",'HIDDEN import'!G424)</f>
        <v/>
      </c>
      <c r="G425" s="19" t="str">
        <f>IFERROR(VLOOKUP($A425,'HIDDEN Testrun Results'!$A:$B,2,FALSE),"")</f>
        <v/>
      </c>
      <c r="H425" s="3" t="b">
        <f t="shared" si="6"/>
        <v>0</v>
      </c>
      <c r="I425" s="3" t="b">
        <f>IF(VLOOKUP(A425&amp;" "&amp;B425,'HIDDEN import'!A:G,5,FALSE)="M",TRUE,IFERROR(VLOOKUP(E425,'Optional features'!B:D,3,FALSE)="Yes",IFERROR(VLOOKUP(E425,'HIDDEN calc sheet'!A:B,2,FALSE),IFERROR(VLOOKUP(E425,'Additional questions'!B:D,3,FALSE)="Yes",VLOOKUP(E425,'Hardware Feature set'!B:D,3,FALSE)="No"))))</f>
        <v>0</v>
      </c>
      <c r="J425" s="3" t="b">
        <f>IF(VLOOKUP(B425,'Profile selection'!B:C,2,FALSE)="Yes",TRUE,FALSE)</f>
        <v>1</v>
      </c>
      <c r="K425"/>
      <c r="L425"/>
    </row>
    <row r="426" spans="1:12" ht="17.100000000000001" customHeight="1" x14ac:dyDescent="0.25">
      <c r="A426" t="str">
        <f>'HIDDEN import'!B425</f>
        <v>TC_A_07_CS</v>
      </c>
      <c r="B426" t="str">
        <f>'HIDDEN import'!C425</f>
        <v>Advanced Security</v>
      </c>
      <c r="C426" t="str">
        <f>'HIDDEN import'!D425</f>
        <v>TLS - Client-side certificate - valid certificate</v>
      </c>
      <c r="D426" t="str">
        <f>IF(VLOOKUP(A426&amp;" "&amp;B426,'HIDDEN import'!A:G,5,FALSE)="M",MD!$A$1,(IF(AND(VLOOKUP(A426,'HIDDEN import'!B:E,4,FALSE)="C",OR(NOT(ISERROR(VLOOKUP(E426,'Optional features'!B:D,1,FALSE)=E426)),NOT(ISERROR(VLOOKUP(E426,'HIDDEN calc sheet'!A:C,1,FALSE)=E426)))),MD!$A$3,MD!$A$2)))</f>
        <v>Mandatory test for a mandatory feature</v>
      </c>
      <c r="E426" t="str">
        <f>IF('HIDDEN import'!F425=0,"",'HIDDEN import'!F425)</f>
        <v/>
      </c>
      <c r="F426" t="str">
        <f>IF('HIDDEN import'!G425=0,"",'HIDDEN import'!G425)</f>
        <v/>
      </c>
      <c r="G426" s="19" t="str">
        <f>IFERROR(VLOOKUP($A426,'HIDDEN Testrun Results'!$A:$B,2,FALSE),"")</f>
        <v/>
      </c>
      <c r="H426" s="3" t="b">
        <f t="shared" si="6"/>
        <v>1</v>
      </c>
      <c r="I426" s="3" t="b">
        <f>IF(VLOOKUP(A426&amp;" "&amp;B426,'HIDDEN import'!A:G,5,FALSE)="M",TRUE,IFERROR(VLOOKUP(E426,'Optional features'!B:D,3,FALSE)="Yes",IFERROR(VLOOKUP(E426,'HIDDEN calc sheet'!A:B,2,FALSE),IFERROR(VLOOKUP(E426,'Additional questions'!B:D,3,FALSE)="Yes",VLOOKUP(E426,'Hardware Feature set'!B:D,3,FALSE)="No"))))</f>
        <v>1</v>
      </c>
      <c r="J426" s="3" t="b">
        <f>IF(VLOOKUP(B426,'Profile selection'!B:C,2,FALSE)="Yes",TRUE,FALSE)</f>
        <v>1</v>
      </c>
      <c r="K426"/>
      <c r="L426"/>
    </row>
    <row r="427" spans="1:12" ht="17.100000000000001" customHeight="1" x14ac:dyDescent="0.25">
      <c r="A427" t="str">
        <f>'HIDDEN import'!B426</f>
        <v>TC_A_11_CS</v>
      </c>
      <c r="B427" t="str">
        <f>'HIDDEN import'!C426</f>
        <v>Advanced Security</v>
      </c>
      <c r="C427" t="str">
        <f>'HIDDEN import'!D426</f>
        <v>Update Charging Station Certificate by request of CSMS - Success - Charging Station Certificate</v>
      </c>
      <c r="D427" t="str">
        <f>IF(VLOOKUP(A427&amp;" "&amp;B427,'HIDDEN import'!A:G,5,FALSE)="M",MD!$A$1,(IF(AND(VLOOKUP(A427,'HIDDEN import'!B:E,4,FALSE)="C",OR(NOT(ISERROR(VLOOKUP(E427,'Optional features'!B:D,1,FALSE)=E427)),NOT(ISERROR(VLOOKUP(E427,'HIDDEN calc sheet'!A:C,1,FALSE)=E427)))),MD!$A$3,MD!$A$2)))</f>
        <v>Mandatory test for a mandatory feature</v>
      </c>
      <c r="E427" t="str">
        <f>IF('HIDDEN import'!F426=0,"",'HIDDEN import'!F426)</f>
        <v/>
      </c>
      <c r="F427" t="str">
        <f>IF('HIDDEN import'!G426=0,"",'HIDDEN import'!G426)</f>
        <v/>
      </c>
      <c r="G427" s="19" t="str">
        <f>IFERROR(VLOOKUP($A427,'HIDDEN Testrun Results'!$A:$B,2,FALSE),"")</f>
        <v/>
      </c>
      <c r="H427" s="3" t="b">
        <f t="shared" si="6"/>
        <v>1</v>
      </c>
      <c r="I427" s="3" t="b">
        <f>IF(VLOOKUP(A427&amp;" "&amp;B427,'HIDDEN import'!A:G,5,FALSE)="M",TRUE,IFERROR(VLOOKUP(E427,'Optional features'!B:D,3,FALSE)="Yes",IFERROR(VLOOKUP(E427,'HIDDEN calc sheet'!A:B,2,FALSE),IFERROR(VLOOKUP(E427,'Additional questions'!B:D,3,FALSE)="Yes",VLOOKUP(E427,'Hardware Feature set'!B:D,3,FALSE)="No"))))</f>
        <v>1</v>
      </c>
      <c r="J427" s="3" t="b">
        <f>IF(VLOOKUP(B427,'Profile selection'!B:C,2,FALSE)="Yes",TRUE,FALSE)</f>
        <v>1</v>
      </c>
      <c r="K427"/>
      <c r="L427"/>
    </row>
    <row r="428" spans="1:12" ht="17.100000000000001" customHeight="1" x14ac:dyDescent="0.25">
      <c r="A428" t="str">
        <f>'HIDDEN import'!B427</f>
        <v>TC_A_14_CS</v>
      </c>
      <c r="B428" t="str">
        <f>'HIDDEN import'!C427</f>
        <v>Advanced Security</v>
      </c>
      <c r="C428" t="str">
        <f>'HIDDEN import'!D427</f>
        <v>Update Charging Station Certificate by request of CSMS - Invalid certificate</v>
      </c>
      <c r="D428" t="str">
        <f>IF(VLOOKUP(A428&amp;" "&amp;B428,'HIDDEN import'!A:G,5,FALSE)="M",MD!$A$1,(IF(AND(VLOOKUP(A428,'HIDDEN import'!B:E,4,FALSE)="C",OR(NOT(ISERROR(VLOOKUP(E428,'Optional features'!B:D,1,FALSE)=E428)),NOT(ISERROR(VLOOKUP(E428,'HIDDEN calc sheet'!A:C,1,FALSE)=E428)))),MD!$A$3,MD!$A$2)))</f>
        <v>Mandatory test for a mandatory feature</v>
      </c>
      <c r="E428" t="str">
        <f>IF('HIDDEN import'!F427=0,"",'HIDDEN import'!F427)</f>
        <v/>
      </c>
      <c r="F428" t="str">
        <f>IF('HIDDEN import'!G427=0,"",'HIDDEN import'!G427)</f>
        <v/>
      </c>
      <c r="G428" s="19" t="str">
        <f>IFERROR(VLOOKUP($A428,'HIDDEN Testrun Results'!$A:$B,2,FALSE),"")</f>
        <v/>
      </c>
      <c r="H428" s="3" t="b">
        <f t="shared" si="6"/>
        <v>1</v>
      </c>
      <c r="I428" s="3" t="b">
        <f>IF(VLOOKUP(A428&amp;" "&amp;B428,'HIDDEN import'!A:G,5,FALSE)="M",TRUE,IFERROR(VLOOKUP(E428,'Optional features'!B:D,3,FALSE)="Yes",IFERROR(VLOOKUP(E428,'HIDDEN calc sheet'!A:B,2,FALSE),IFERROR(VLOOKUP(E428,'Additional questions'!B:D,3,FALSE)="Yes",VLOOKUP(E428,'Hardware Feature set'!B:D,3,FALSE)="No"))))</f>
        <v>1</v>
      </c>
      <c r="J428" s="3" t="b">
        <f>IF(VLOOKUP(B428,'Profile selection'!B:C,2,FALSE)="Yes",TRUE,FALSE)</f>
        <v>1</v>
      </c>
      <c r="K428"/>
      <c r="L428"/>
    </row>
    <row r="429" spans="1:12" ht="17.100000000000001" customHeight="1" x14ac:dyDescent="0.25">
      <c r="A429" t="str">
        <f>'HIDDEN import'!B428</f>
        <v>TC_A_15_CS</v>
      </c>
      <c r="B429" t="str">
        <f>'HIDDEN import'!C428</f>
        <v>Advanced Security</v>
      </c>
      <c r="C429" t="str">
        <f>'HIDDEN import'!D428</f>
        <v>Update Charging Station Certificate by request of CSMS - SignCertificateRequest Rejected</v>
      </c>
      <c r="D429" t="str">
        <f>IF(VLOOKUP(A429&amp;" "&amp;B429,'HIDDEN import'!A:G,5,FALSE)="M",MD!$A$1,(IF(AND(VLOOKUP(A429,'HIDDEN import'!B:E,4,FALSE)="C",OR(NOT(ISERROR(VLOOKUP(E429,'Optional features'!B:D,1,FALSE)=E429)),NOT(ISERROR(VLOOKUP(E429,'HIDDEN calc sheet'!A:C,1,FALSE)=E429)))),MD!$A$3,MD!$A$2)))</f>
        <v>Mandatory test for a mandatory feature</v>
      </c>
      <c r="E429" t="str">
        <f>IF('HIDDEN import'!F428=0,"",'HIDDEN import'!F428)</f>
        <v/>
      </c>
      <c r="F429" t="str">
        <f>IF('HIDDEN import'!G428=0,"",'HIDDEN import'!G428)</f>
        <v/>
      </c>
      <c r="G429" s="19" t="str">
        <f>IFERROR(VLOOKUP($A429,'HIDDEN Testrun Results'!$A:$B,2,FALSE),"")</f>
        <v/>
      </c>
      <c r="H429" s="3" t="b">
        <f t="shared" si="6"/>
        <v>1</v>
      </c>
      <c r="I429" s="3" t="b">
        <f>IF(VLOOKUP(A429&amp;" "&amp;B429,'HIDDEN import'!A:G,5,FALSE)="M",TRUE,IFERROR(VLOOKUP(E429,'Optional features'!B:D,3,FALSE)="Yes",IFERROR(VLOOKUP(E429,'HIDDEN calc sheet'!A:B,2,FALSE),IFERROR(VLOOKUP(E429,'Additional questions'!B:D,3,FALSE)="Yes",VLOOKUP(E429,'Hardware Feature set'!B:D,3,FALSE)="No"))))</f>
        <v>1</v>
      </c>
      <c r="J429" s="3" t="b">
        <f>IF(VLOOKUP(B429,'Profile selection'!B:C,2,FALSE)="Yes",TRUE,FALSE)</f>
        <v>1</v>
      </c>
      <c r="K429"/>
      <c r="L429"/>
    </row>
    <row r="430" spans="1:12" ht="17.100000000000001" customHeight="1" x14ac:dyDescent="0.25">
      <c r="A430" t="str">
        <f>'HIDDEN import'!B429</f>
        <v>TC_A_23_CS</v>
      </c>
      <c r="B430" t="str">
        <f>'HIDDEN import'!C429</f>
        <v>Advanced Security</v>
      </c>
      <c r="C430" t="str">
        <f>'HIDDEN import'!D429</f>
        <v>Update Charging Station Certificate by request of CSMS - CertificateSignedRequest Timeout</v>
      </c>
      <c r="D430" t="str">
        <f>IF(VLOOKUP(A430&amp;" "&amp;B430,'HIDDEN import'!A:G,5,FALSE)="M",MD!$A$1,(IF(AND(VLOOKUP(A430,'HIDDEN import'!B:E,4,FALSE)="C",OR(NOT(ISERROR(VLOOKUP(E430,'Optional features'!B:D,1,FALSE)=E430)),NOT(ISERROR(VLOOKUP(E430,'HIDDEN calc sheet'!A:C,1,FALSE)=E430)))),MD!$A$3,MD!$A$2)))</f>
        <v>Mandatory for optional feature</v>
      </c>
      <c r="E430" t="str">
        <f>IF('HIDDEN import'!F429=0,"",'HIDDEN import'!F429)</f>
        <v>AS-3</v>
      </c>
      <c r="F430" t="str">
        <f>IF('HIDDEN import'!G429=0,"",'HIDDEN import'!G429)</f>
        <v/>
      </c>
      <c r="G430" s="19" t="str">
        <f>IFERROR(VLOOKUP($A430,'HIDDEN Testrun Results'!$A:$B,2,FALSE),"")</f>
        <v/>
      </c>
      <c r="H430" s="3" t="b">
        <f t="shared" si="6"/>
        <v>0</v>
      </c>
      <c r="I430" s="3" t="b">
        <f>IF(VLOOKUP(A430&amp;" "&amp;B430,'HIDDEN import'!A:G,5,FALSE)="M",TRUE,IFERROR(VLOOKUP(E430,'Optional features'!B:D,3,FALSE)="Yes",IFERROR(VLOOKUP(E430,'HIDDEN calc sheet'!A:B,2,FALSE),IFERROR(VLOOKUP(E430,'Additional questions'!B:D,3,FALSE)="Yes",VLOOKUP(E430,'Hardware Feature set'!B:D,3,FALSE)="No"))))</f>
        <v>0</v>
      </c>
      <c r="J430" s="3" t="b">
        <f>IF(VLOOKUP(B430,'Profile selection'!B:C,2,FALSE)="Yes",TRUE,FALSE)</f>
        <v>1</v>
      </c>
      <c r="K430"/>
      <c r="L430"/>
    </row>
    <row r="431" spans="1:12" ht="17.100000000000001" customHeight="1" x14ac:dyDescent="0.25">
      <c r="A431" t="str">
        <f>'HIDDEN import'!B430</f>
        <v>TC_A_21_CS</v>
      </c>
      <c r="B431" t="str">
        <f>'HIDDEN import'!C430</f>
        <v>Advanced Security</v>
      </c>
      <c r="C431" t="str">
        <f>'HIDDEN import'!D430</f>
        <v>Upgrade Charging Station Security Profile - No valid ChargingStationCertificate installed</v>
      </c>
      <c r="D431" t="str">
        <f>IF(VLOOKUP(A431&amp;" "&amp;B431,'HIDDEN import'!A:G,5,FALSE)="M",MD!$A$1,(IF(AND(VLOOKUP(A431,'HIDDEN import'!B:E,4,FALSE)="C",OR(NOT(ISERROR(VLOOKUP(E431,'Optional features'!B:D,1,FALSE)=E431)),NOT(ISERROR(VLOOKUP(E431,'HIDDEN calc sheet'!A:C,1,FALSE)=E431)))),MD!$A$3,MD!$A$2)))</f>
        <v>Possibly mandatory, depending on your system</v>
      </c>
      <c r="E431" t="str">
        <f>IF('HIDDEN import'!F430=0,"",'HIDDEN import'!F430)</f>
        <v>AQ-3</v>
      </c>
      <c r="F431" t="str">
        <f>IF('HIDDEN import'!G430=0,"",'HIDDEN import'!G430)</f>
        <v/>
      </c>
      <c r="G431" s="19" t="str">
        <f>IFERROR(VLOOKUP($A431,'HIDDEN Testrun Results'!$A:$B,2,FALSE),"")</f>
        <v/>
      </c>
      <c r="H431" s="3" t="b">
        <f t="shared" si="6"/>
        <v>0</v>
      </c>
      <c r="I431" s="3" t="b">
        <f>IF(VLOOKUP(A431&amp;" "&amp;B431,'HIDDEN import'!A:G,5,FALSE)="M",TRUE,IFERROR(VLOOKUP(E431,'Optional features'!B:D,3,FALSE)="Yes",IFERROR(VLOOKUP(E431,'HIDDEN calc sheet'!A:B,2,FALSE),IFERROR(VLOOKUP(E431,'Additional questions'!B:D,3,FALSE)="Yes",VLOOKUP(E431,'Hardware Feature set'!B:D,3,FALSE)="No"))))</f>
        <v>0</v>
      </c>
      <c r="J431" s="3" t="b">
        <f>IF(VLOOKUP(B431,'Profile selection'!B:C,2,FALSE)="Yes",TRUE,FALSE)</f>
        <v>1</v>
      </c>
      <c r="K431"/>
      <c r="L431"/>
    </row>
    <row r="432" spans="1:12" ht="17.100000000000001" customHeight="1" x14ac:dyDescent="0.25">
      <c r="A432" t="str">
        <f>'HIDDEN import'!B431</f>
        <v>TC_M_23_CS</v>
      </c>
      <c r="B432" t="str">
        <f>'HIDDEN import'!C431</f>
        <v>Advanced Security</v>
      </c>
      <c r="C432" t="str">
        <f>'HIDDEN import'!D431</f>
        <v>Delete a certificate from a Charging Station - Unable to delete the Charging Station Certificate</v>
      </c>
      <c r="D432" t="str">
        <f>IF(VLOOKUP(A432&amp;" "&amp;B432,'HIDDEN import'!A:G,5,FALSE)="M",MD!$A$1,(IF(AND(VLOOKUP(A432,'HIDDEN import'!B:E,4,FALSE)="C",OR(NOT(ISERROR(VLOOKUP(E432,'Optional features'!B:D,1,FALSE)=E432)),NOT(ISERROR(VLOOKUP(E432,'HIDDEN calc sheet'!A:C,1,FALSE)=E432)))),MD!$A$3,MD!$A$2)))</f>
        <v>Mandatory test for a mandatory feature</v>
      </c>
      <c r="E432" t="str">
        <f>IF('HIDDEN import'!F431=0,"",'HIDDEN import'!F431)</f>
        <v/>
      </c>
      <c r="F432" t="str">
        <f>IF('HIDDEN import'!G431=0,"",'HIDDEN import'!G431)</f>
        <v/>
      </c>
      <c r="G432" s="19" t="str">
        <f>IFERROR(VLOOKUP($A432,'HIDDEN Testrun Results'!$A:$B,2,FALSE),"")</f>
        <v/>
      </c>
      <c r="H432" s="3" t="b">
        <f t="shared" si="6"/>
        <v>1</v>
      </c>
      <c r="I432" s="3" t="b">
        <f>IF(VLOOKUP(A432&amp;" "&amp;B432,'HIDDEN import'!A:G,5,FALSE)="M",TRUE,IFERROR(VLOOKUP(E432,'Optional features'!B:D,3,FALSE)="Yes",IFERROR(VLOOKUP(E432,'HIDDEN calc sheet'!A:B,2,FALSE),IFERROR(VLOOKUP(E432,'Additional questions'!B:D,3,FALSE)="Yes",VLOOKUP(E432,'Hardware Feature set'!B:D,3,FALSE)="No"))))</f>
        <v>1</v>
      </c>
      <c r="J432" s="3" t="b">
        <f>IF(VLOOKUP(B432,'Profile selection'!B:C,2,FALSE)="Yes",TRUE,FALSE)</f>
        <v>1</v>
      </c>
      <c r="K432"/>
      <c r="L432"/>
    </row>
    <row r="433" spans="1:12" ht="17.100000000000001" customHeight="1" x14ac:dyDescent="0.25">
      <c r="A433" t="str">
        <f>'HIDDEN import'!B432</f>
        <v>TC_B_112_CS</v>
      </c>
      <c r="B433" t="str">
        <f>'HIDDEN import'!C432</f>
        <v>Advanced Security</v>
      </c>
      <c r="C433" t="str">
        <f>'HIDDEN import'!D432</f>
        <v>Set new NetworkConnectionProfile - AllowSecurityDowngrade is false</v>
      </c>
      <c r="D433" t="str">
        <f>IF(VLOOKUP(A433&amp;" "&amp;B433,'HIDDEN import'!A:G,5,FALSE)="M",MD!$A$1,(IF(AND(VLOOKUP(A433,'HIDDEN import'!B:E,4,FALSE)="C",OR(NOT(ISERROR(VLOOKUP(E433,'Optional features'!B:D,1,FALSE)=E433)),NOT(ISERROR(VLOOKUP(E433,'HIDDEN calc sheet'!A:C,1,FALSE)=E433)))),MD!$A$3,MD!$A$2)))</f>
        <v>Mandatory for optional feature</v>
      </c>
      <c r="E433" t="str">
        <f>IF('HIDDEN import'!F432=0,"",'HIDDEN import'!F432)</f>
        <v>AS-4.1</v>
      </c>
      <c r="F433" t="str">
        <f>IF('HIDDEN import'!G432=0,"",'HIDDEN import'!G432)</f>
        <v>Support for disallowing security downgrades from profile 3 to 2</v>
      </c>
      <c r="G433" s="19" t="str">
        <f>IFERROR(VLOOKUP($A433,'HIDDEN Testrun Results'!$A:$B,2,FALSE),"")</f>
        <v/>
      </c>
      <c r="H433" s="3" t="b">
        <f t="shared" si="6"/>
        <v>0</v>
      </c>
      <c r="I433" s="3" t="b">
        <f>IF(VLOOKUP(A433&amp;" "&amp;B433,'HIDDEN import'!A:G,5,FALSE)="M",TRUE,IFERROR(VLOOKUP(E433,'Optional features'!B:D,3,FALSE)="Yes",IFERROR(VLOOKUP(E433,'HIDDEN calc sheet'!A:B,2,FALSE),IFERROR(VLOOKUP(E433,'Additional questions'!B:D,3,FALSE)="Yes",VLOOKUP(E433,'Hardware Feature set'!B:D,3,FALSE)="No"))))</f>
        <v>0</v>
      </c>
      <c r="J433" s="3" t="b">
        <f>IF(VLOOKUP(B433,'Profile selection'!B:C,2,FALSE)="Yes",TRUE,FALSE)</f>
        <v>1</v>
      </c>
      <c r="K433"/>
      <c r="L433"/>
    </row>
    <row r="434" spans="1:12" ht="17.100000000000001" customHeight="1" x14ac:dyDescent="0.25">
      <c r="A434" t="str">
        <f>'HIDDEN import'!B433</f>
        <v>TC_B_113_CS</v>
      </c>
      <c r="B434" t="str">
        <f>'HIDDEN import'!C433</f>
        <v>Advanced Security</v>
      </c>
      <c r="C434" t="str">
        <f>'HIDDEN import'!D433</f>
        <v>Set new NetworkConnectionProfile - AllowSecurityDowngrade = false - DM</v>
      </c>
      <c r="D434" t="str">
        <f>IF(VLOOKUP(A434&amp;" "&amp;B434,'HIDDEN import'!A:G,5,FALSE)="M",MD!$A$1,(IF(AND(VLOOKUP(A434,'HIDDEN import'!B:E,4,FALSE)="C",OR(NOT(ISERROR(VLOOKUP(E434,'Optional features'!B:D,1,FALSE)=E434)),NOT(ISERROR(VLOOKUP(E434,'HIDDEN calc sheet'!A:C,1,FALSE)=E434)))),MD!$A$3,MD!$A$2)))</f>
        <v>Mandatory for optional feature</v>
      </c>
      <c r="E434" t="str">
        <f>IF('HIDDEN import'!F433=0,"",'HIDDEN import'!F433)</f>
        <v>AS-4.1</v>
      </c>
      <c r="F434" t="str">
        <f>IF('HIDDEN import'!G433=0,"",'HIDDEN import'!G433)</f>
        <v>Support for disallowing security downgrades from profile 3 to 2</v>
      </c>
      <c r="G434" s="19" t="str">
        <f>IFERROR(VLOOKUP($A434,'HIDDEN Testrun Results'!$A:$B,2,FALSE),"")</f>
        <v/>
      </c>
      <c r="H434" s="3" t="b">
        <f t="shared" si="6"/>
        <v>0</v>
      </c>
      <c r="I434" s="3" t="b">
        <f>IF(VLOOKUP(A434&amp;" "&amp;B434,'HIDDEN import'!A:G,5,FALSE)="M",TRUE,IFERROR(VLOOKUP(E434,'Optional features'!B:D,3,FALSE)="Yes",IFERROR(VLOOKUP(E434,'HIDDEN calc sheet'!A:B,2,FALSE),IFERROR(VLOOKUP(E434,'Additional questions'!B:D,3,FALSE)="Yes",VLOOKUP(E434,'Hardware Feature set'!B:D,3,FALSE)="No"))))</f>
        <v>0</v>
      </c>
      <c r="J434" s="3" t="b">
        <f>IF(VLOOKUP(B434,'Profile selection'!B:C,2,FALSE)="Yes",TRUE,FALSE)</f>
        <v>1</v>
      </c>
      <c r="K434"/>
      <c r="L434"/>
    </row>
    <row r="435" spans="1:12" ht="17.100000000000001" customHeight="1" x14ac:dyDescent="0.25">
      <c r="A435" t="str">
        <f>'HIDDEN import'!B434</f>
        <v>TC_K_01_CS</v>
      </c>
      <c r="B435" t="str">
        <f>'HIDDEN import'!C434</f>
        <v>Smart Charging</v>
      </c>
      <c r="C435" t="str">
        <f>'HIDDEN import'!D434</f>
        <v>Set Charging Profile - TxDefaultProfile - Specific EVSE</v>
      </c>
      <c r="D435" t="str">
        <f>IF(VLOOKUP(A435&amp;" "&amp;B435,'HIDDEN import'!A:G,5,FALSE)="M",MD!$A$1,(IF(AND(VLOOKUP(A435,'HIDDEN import'!B:E,4,FALSE)="C",OR(NOT(ISERROR(VLOOKUP(E435,'Optional features'!B:D,1,FALSE)=E435)),NOT(ISERROR(VLOOKUP(E435,'HIDDEN calc sheet'!A:C,1,FALSE)=E435)))),MD!$A$3,MD!$A$2)))</f>
        <v>Mandatory test for a mandatory feature</v>
      </c>
      <c r="E435" t="str">
        <f>IF('HIDDEN import'!F434=0,"",'HIDDEN import'!F434)</f>
        <v/>
      </c>
      <c r="F435" t="str">
        <f>IF('HIDDEN import'!G434=0,"",'HIDDEN import'!G434)</f>
        <v/>
      </c>
      <c r="G435" s="19" t="str">
        <f>IFERROR(VLOOKUP($A435,'HIDDEN Testrun Results'!$A:$B,2,FALSE),"")</f>
        <v/>
      </c>
      <c r="H435" s="3" t="b">
        <f t="shared" si="6"/>
        <v>0</v>
      </c>
      <c r="I435" s="3" t="b">
        <f>IF(VLOOKUP(A435&amp;" "&amp;B435,'HIDDEN import'!A:G,5,FALSE)="M",TRUE,IFERROR(VLOOKUP(E435,'Optional features'!B:D,3,FALSE)="Yes",IFERROR(VLOOKUP(E435,'HIDDEN calc sheet'!A:B,2,FALSE),IFERROR(VLOOKUP(E435,'Additional questions'!B:D,3,FALSE)="Yes",VLOOKUP(E435,'Hardware Feature set'!B:D,3,FALSE)="No"))))</f>
        <v>1</v>
      </c>
      <c r="J435" s="3" t="b">
        <f>IF(VLOOKUP(B435,'Profile selection'!B:C,2,FALSE)="Yes",TRUE,FALSE)</f>
        <v>0</v>
      </c>
      <c r="K435"/>
      <c r="L435"/>
    </row>
    <row r="436" spans="1:12" ht="17.100000000000001" customHeight="1" x14ac:dyDescent="0.25">
      <c r="A436" t="str">
        <f>'HIDDEN import'!B435</f>
        <v>TC_K_10_CS</v>
      </c>
      <c r="B436" t="str">
        <f>'HIDDEN import'!C435</f>
        <v>Smart Charging</v>
      </c>
      <c r="C436" t="str">
        <f>'HIDDEN import'!D435</f>
        <v>Set Charging Profile - TxDefaultProfile - All EVSE</v>
      </c>
      <c r="D436" t="str">
        <f>IF(VLOOKUP(A436&amp;" "&amp;B436,'HIDDEN import'!A:G,5,FALSE)="M",MD!$A$1,(IF(AND(VLOOKUP(A436,'HIDDEN import'!B:E,4,FALSE)="C",OR(NOT(ISERROR(VLOOKUP(E436,'Optional features'!B:D,1,FALSE)=E436)),NOT(ISERROR(VLOOKUP(E436,'HIDDEN calc sheet'!A:C,1,FALSE)=E436)))),MD!$A$3,MD!$A$2)))</f>
        <v>Mandatory test for a mandatory feature</v>
      </c>
      <c r="E436" t="str">
        <f>IF('HIDDEN import'!F435=0,"",'HIDDEN import'!F435)</f>
        <v/>
      </c>
      <c r="F436" t="str">
        <f>IF('HIDDEN import'!G435=0,"",'HIDDEN import'!G435)</f>
        <v/>
      </c>
      <c r="G436" s="19" t="str">
        <f>IFERROR(VLOOKUP($A436,'HIDDEN Testrun Results'!$A:$B,2,FALSE),"")</f>
        <v/>
      </c>
      <c r="H436" s="3" t="b">
        <f t="shared" si="6"/>
        <v>0</v>
      </c>
      <c r="I436" s="3" t="b">
        <f>IF(VLOOKUP(A436&amp;" "&amp;B436,'HIDDEN import'!A:G,5,FALSE)="M",TRUE,IFERROR(VLOOKUP(E436,'Optional features'!B:D,3,FALSE)="Yes",IFERROR(VLOOKUP(E436,'HIDDEN calc sheet'!A:B,2,FALSE),IFERROR(VLOOKUP(E436,'Additional questions'!B:D,3,FALSE)="Yes",VLOOKUP(E436,'Hardware Feature set'!B:D,3,FALSE)="No"))))</f>
        <v>1</v>
      </c>
      <c r="J436" s="3" t="b">
        <f>IF(VLOOKUP(B436,'Profile selection'!B:C,2,FALSE)="Yes",TRUE,FALSE)</f>
        <v>0</v>
      </c>
      <c r="K436"/>
      <c r="L436"/>
    </row>
    <row r="437" spans="1:12" ht="17.100000000000001" customHeight="1" x14ac:dyDescent="0.25">
      <c r="A437" t="str">
        <f>'HIDDEN import'!B436</f>
        <v>TC_K_60_CS</v>
      </c>
      <c r="B437" t="str">
        <f>'HIDDEN import'!C436</f>
        <v>Smart Charging</v>
      </c>
      <c r="C437" t="str">
        <f>'HIDDEN import'!D436</f>
        <v>Set Charging Profile - TxProfile with ongoing transaction on the specified EVSE</v>
      </c>
      <c r="D437" t="str">
        <f>IF(VLOOKUP(A437&amp;" "&amp;B437,'HIDDEN import'!A:G,5,FALSE)="M",MD!$A$1,(IF(AND(VLOOKUP(A437,'HIDDEN import'!B:E,4,FALSE)="C",OR(NOT(ISERROR(VLOOKUP(E437,'Optional features'!B:D,1,FALSE)=E437)),NOT(ISERROR(VLOOKUP(E437,'HIDDEN calc sheet'!A:C,1,FALSE)=E437)))),MD!$A$3,MD!$A$2)))</f>
        <v>Mandatory test for a mandatory feature</v>
      </c>
      <c r="E437" t="str">
        <f>IF('HIDDEN import'!F436=0,"",'HIDDEN import'!F436)</f>
        <v/>
      </c>
      <c r="F437" t="str">
        <f>IF('HIDDEN import'!G436=0,"",'HIDDEN import'!G436)</f>
        <v/>
      </c>
      <c r="G437" s="19" t="str">
        <f>IFERROR(VLOOKUP($A437,'HIDDEN Testrun Results'!$A:$B,2,FALSE),"")</f>
        <v/>
      </c>
      <c r="H437" s="3" t="b">
        <f t="shared" si="6"/>
        <v>0</v>
      </c>
      <c r="I437" s="3" t="b">
        <f>IF(VLOOKUP(A437&amp;" "&amp;B437,'HIDDEN import'!A:G,5,FALSE)="M",TRUE,IFERROR(VLOOKUP(E437,'Optional features'!B:D,3,FALSE)="Yes",IFERROR(VLOOKUP(E437,'HIDDEN calc sheet'!A:B,2,FALSE),IFERROR(VLOOKUP(E437,'Additional questions'!B:D,3,FALSE)="Yes",VLOOKUP(E437,'Hardware Feature set'!B:D,3,FALSE)="No"))))</f>
        <v>1</v>
      </c>
      <c r="J437" s="3" t="b">
        <f>IF(VLOOKUP(B437,'Profile selection'!B:C,2,FALSE)="Yes",TRUE,FALSE)</f>
        <v>0</v>
      </c>
      <c r="K437"/>
      <c r="L437"/>
    </row>
    <row r="438" spans="1:12" ht="17.100000000000001" customHeight="1" x14ac:dyDescent="0.25">
      <c r="A438" t="str">
        <f>'HIDDEN import'!B437</f>
        <v>TC_K_02_CS</v>
      </c>
      <c r="B438" t="str">
        <f>'HIDDEN import'!C437</f>
        <v>Smart Charging</v>
      </c>
      <c r="C438" t="str">
        <f>'HIDDEN import'!D437</f>
        <v>Set Charging Profile - TxProfile without ongoing transaction on the specified EVSE</v>
      </c>
      <c r="D438" t="str">
        <f>IF(VLOOKUP(A438&amp;" "&amp;B438,'HIDDEN import'!A:G,5,FALSE)="M",MD!$A$1,(IF(AND(VLOOKUP(A438,'HIDDEN import'!B:E,4,FALSE)="C",OR(NOT(ISERROR(VLOOKUP(E438,'Optional features'!B:D,1,FALSE)=E438)),NOT(ISERROR(VLOOKUP(E438,'HIDDEN calc sheet'!A:C,1,FALSE)=E438)))),MD!$A$3,MD!$A$2)))</f>
        <v>Mandatory test for a mandatory feature</v>
      </c>
      <c r="E438" t="str">
        <f>IF('HIDDEN import'!F437=0,"",'HIDDEN import'!F437)</f>
        <v/>
      </c>
      <c r="F438" t="str">
        <f>IF('HIDDEN import'!G437=0,"",'HIDDEN import'!G437)</f>
        <v/>
      </c>
      <c r="G438" s="19" t="str">
        <f>IFERROR(VLOOKUP($A438,'HIDDEN Testrun Results'!$A:$B,2,FALSE),"")</f>
        <v/>
      </c>
      <c r="H438" s="3" t="b">
        <f t="shared" si="6"/>
        <v>0</v>
      </c>
      <c r="I438" s="3" t="b">
        <f>IF(VLOOKUP(A438&amp;" "&amp;B438,'HIDDEN import'!A:G,5,FALSE)="M",TRUE,IFERROR(VLOOKUP(E438,'Optional features'!B:D,3,FALSE)="Yes",IFERROR(VLOOKUP(E438,'HIDDEN calc sheet'!A:B,2,FALSE),IFERROR(VLOOKUP(E438,'Additional questions'!B:D,3,FALSE)="Yes",VLOOKUP(E438,'Hardware Feature set'!B:D,3,FALSE)="No"))))</f>
        <v>1</v>
      </c>
      <c r="J438" s="3" t="b">
        <f>IF(VLOOKUP(B438,'Profile selection'!B:C,2,FALSE)="Yes",TRUE,FALSE)</f>
        <v>0</v>
      </c>
      <c r="K438"/>
      <c r="L438"/>
    </row>
    <row r="439" spans="1:12" ht="17.100000000000001" customHeight="1" x14ac:dyDescent="0.25">
      <c r="A439" t="str">
        <f>'HIDDEN import'!B438</f>
        <v>TC_K_11_CS</v>
      </c>
      <c r="B439" t="str">
        <f>'HIDDEN import'!C438</f>
        <v>Smart Charging</v>
      </c>
      <c r="C439" t="str">
        <f>'HIDDEN import'!D438</f>
        <v>Set Charging Profile - Unable to set TxProfile on all EVSE at once</v>
      </c>
      <c r="D439" t="str">
        <f>IF(VLOOKUP(A439&amp;" "&amp;B439,'HIDDEN import'!A:G,5,FALSE)="M",MD!$A$1,(IF(AND(VLOOKUP(A439,'HIDDEN import'!B:E,4,FALSE)="C",OR(NOT(ISERROR(VLOOKUP(E439,'Optional features'!B:D,1,FALSE)=E439)),NOT(ISERROR(VLOOKUP(E439,'HIDDEN calc sheet'!A:C,1,FALSE)=E439)))),MD!$A$3,MD!$A$2)))</f>
        <v>Mandatory test for a mandatory feature</v>
      </c>
      <c r="E439" t="str">
        <f>IF('HIDDEN import'!F438=0,"",'HIDDEN import'!F438)</f>
        <v/>
      </c>
      <c r="F439" t="str">
        <f>IF('HIDDEN import'!G438=0,"",'HIDDEN import'!G438)</f>
        <v/>
      </c>
      <c r="G439" s="19" t="str">
        <f>IFERROR(VLOOKUP($A439,'HIDDEN Testrun Results'!$A:$B,2,FALSE),"")</f>
        <v/>
      </c>
      <c r="H439" s="3" t="b">
        <f t="shared" si="6"/>
        <v>0</v>
      </c>
      <c r="I439" s="3" t="b">
        <f>IF(VLOOKUP(A439&amp;" "&amp;B439,'HIDDEN import'!A:G,5,FALSE)="M",TRUE,IFERROR(VLOOKUP(E439,'Optional features'!B:D,3,FALSE)="Yes",IFERROR(VLOOKUP(E439,'HIDDEN calc sheet'!A:B,2,FALSE),IFERROR(VLOOKUP(E439,'Additional questions'!B:D,3,FALSE)="Yes",VLOOKUP(E439,'Hardware Feature set'!B:D,3,FALSE)="No"))))</f>
        <v>1</v>
      </c>
      <c r="J439" s="3" t="b">
        <f>IF(VLOOKUP(B439,'Profile selection'!B:C,2,FALSE)="Yes",TRUE,FALSE)</f>
        <v>0</v>
      </c>
      <c r="K439"/>
      <c r="L439"/>
    </row>
    <row r="440" spans="1:12" ht="17.100000000000001" customHeight="1" x14ac:dyDescent="0.25">
      <c r="A440" t="str">
        <f>'HIDDEN import'!B439</f>
        <v>TC_K_03_CS</v>
      </c>
      <c r="B440" t="str">
        <f>'HIDDEN import'!C439</f>
        <v>Smart Charging</v>
      </c>
      <c r="C440" t="str">
        <f>'HIDDEN import'!D439</f>
        <v>Set Charging Profile - ChargingStationMaxProfile</v>
      </c>
      <c r="D440" t="str">
        <f>IF(VLOOKUP(A440&amp;" "&amp;B440,'HIDDEN import'!A:G,5,FALSE)="M",MD!$A$1,(IF(AND(VLOOKUP(A440,'HIDDEN import'!B:E,4,FALSE)="C",OR(NOT(ISERROR(VLOOKUP(E440,'Optional features'!B:D,1,FALSE)=E440)),NOT(ISERROR(VLOOKUP(E440,'HIDDEN calc sheet'!A:C,1,FALSE)=E440)))),MD!$A$3,MD!$A$2)))</f>
        <v>Mandatory test for a mandatory feature</v>
      </c>
      <c r="E440" t="str">
        <f>IF('HIDDEN import'!F439=0,"",'HIDDEN import'!F439)</f>
        <v/>
      </c>
      <c r="F440" t="str">
        <f>IF('HIDDEN import'!G439=0,"",'HIDDEN import'!G439)</f>
        <v/>
      </c>
      <c r="G440" s="19" t="str">
        <f>IFERROR(VLOOKUP($A440,'HIDDEN Testrun Results'!$A:$B,2,FALSE),"")</f>
        <v/>
      </c>
      <c r="H440" s="3" t="b">
        <f t="shared" si="6"/>
        <v>0</v>
      </c>
      <c r="I440" s="3" t="b">
        <f>IF(VLOOKUP(A440&amp;" "&amp;B440,'HIDDEN import'!A:G,5,FALSE)="M",TRUE,IFERROR(VLOOKUP(E440,'Optional features'!B:D,3,FALSE)="Yes",IFERROR(VLOOKUP(E440,'HIDDEN calc sheet'!A:B,2,FALSE),IFERROR(VLOOKUP(E440,'Additional questions'!B:D,3,FALSE)="Yes",VLOOKUP(E440,'Hardware Feature set'!B:D,3,FALSE)="No"))))</f>
        <v>1</v>
      </c>
      <c r="J440" s="3" t="b">
        <f>IF(VLOOKUP(B440,'Profile selection'!B:C,2,FALSE)="Yes",TRUE,FALSE)</f>
        <v>0</v>
      </c>
      <c r="K440"/>
      <c r="L440"/>
    </row>
    <row r="441" spans="1:12" ht="17.100000000000001" customHeight="1" x14ac:dyDescent="0.25">
      <c r="A441" t="str">
        <f>'HIDDEN import'!B440</f>
        <v>TC_K_19_CS</v>
      </c>
      <c r="B441" t="str">
        <f>'HIDDEN import'!C440</f>
        <v>Smart Charging</v>
      </c>
      <c r="C441" t="str">
        <f>'HIDDEN import'!D440</f>
        <v>Set Charging Profile - ChargingProfileKind is Recurring</v>
      </c>
      <c r="D441" t="str">
        <f>IF(VLOOKUP(A441&amp;" "&amp;B441,'HIDDEN import'!A:G,5,FALSE)="M",MD!$A$1,(IF(AND(VLOOKUP(A441,'HIDDEN import'!B:E,4,FALSE)="C",OR(NOT(ISERROR(VLOOKUP(E441,'Optional features'!B:D,1,FALSE)=E441)),NOT(ISERROR(VLOOKUP(E441,'HIDDEN calc sheet'!A:C,1,FALSE)=E441)))),MD!$A$3,MD!$A$2)))</f>
        <v>Mandatory test for a mandatory feature</v>
      </c>
      <c r="E441" t="str">
        <f>IF('HIDDEN import'!F440=0,"",'HIDDEN import'!F440)</f>
        <v/>
      </c>
      <c r="F441" t="str">
        <f>IF('HIDDEN import'!G440=0,"",'HIDDEN import'!G440)</f>
        <v/>
      </c>
      <c r="G441" s="19" t="str">
        <f>IFERROR(VLOOKUP($A441,'HIDDEN Testrun Results'!$A:$B,2,FALSE),"")</f>
        <v/>
      </c>
      <c r="H441" s="3" t="b">
        <f t="shared" si="6"/>
        <v>0</v>
      </c>
      <c r="I441" s="3" t="b">
        <f>IF(VLOOKUP(A441&amp;" "&amp;B441,'HIDDEN import'!A:G,5,FALSE)="M",TRUE,IFERROR(VLOOKUP(E441,'Optional features'!B:D,3,FALSE)="Yes",IFERROR(VLOOKUP(E441,'HIDDEN calc sheet'!A:B,2,FALSE),IFERROR(VLOOKUP(E441,'Additional questions'!B:D,3,FALSE)="Yes",VLOOKUP(E441,'Hardware Feature set'!B:D,3,FALSE)="No"))))</f>
        <v>1</v>
      </c>
      <c r="J441" s="3" t="b">
        <f>IF(VLOOKUP(B441,'Profile selection'!B:C,2,FALSE)="Yes",TRUE,FALSE)</f>
        <v>0</v>
      </c>
      <c r="K441"/>
      <c r="L441"/>
    </row>
    <row r="442" spans="1:12" ht="17.100000000000001" customHeight="1" x14ac:dyDescent="0.25">
      <c r="A442" t="str">
        <f>'HIDDEN import'!B441</f>
        <v>TC_K_12_CS</v>
      </c>
      <c r="B442" t="str">
        <f>'HIDDEN import'!C441</f>
        <v>Smart Charging</v>
      </c>
      <c r="C442" t="str">
        <f>'HIDDEN import'!D441</f>
        <v>Set Charging Profile - ChargerRateUnit Rejected</v>
      </c>
      <c r="D442" t="str">
        <f>IF(VLOOKUP(A442&amp;" "&amp;B442,'HIDDEN import'!A:G,5,FALSE)="M",MD!$A$1,(IF(AND(VLOOKUP(A442,'HIDDEN import'!B:E,4,FALSE)="C",OR(NOT(ISERROR(VLOOKUP(E442,'Optional features'!B:D,1,FALSE)=E442)),NOT(ISERROR(VLOOKUP(E442,'HIDDEN calc sheet'!A:C,1,FALSE)=E442)))),MD!$A$3,MD!$A$2)))</f>
        <v>Mandatory for optional feature</v>
      </c>
      <c r="E442" t="str">
        <f>IF('HIDDEN import'!F441=0,"",'HIDDEN import'!F441)</f>
        <v>NOT (SC-2.1 and SC-2.2)</v>
      </c>
      <c r="F442" t="str">
        <f>IF('HIDDEN import'!G441=0,"",'HIDDEN import'!G441)</f>
        <v/>
      </c>
      <c r="G442" s="19" t="str">
        <f>IFERROR(VLOOKUP($A442,'HIDDEN Testrun Results'!$A:$B,2,FALSE),"")</f>
        <v/>
      </c>
      <c r="H442" s="3" t="b">
        <f t="shared" si="6"/>
        <v>0</v>
      </c>
      <c r="I442" s="3" t="b">
        <f>IF(VLOOKUP(A442&amp;" "&amp;B442,'HIDDEN import'!A:G,5,FALSE)="M",TRUE,IFERROR(VLOOKUP(E442,'Optional features'!B:D,3,FALSE)="Yes",IFERROR(VLOOKUP(E442,'HIDDEN calc sheet'!A:B,2,FALSE),IFERROR(VLOOKUP(E442,'Additional questions'!B:D,3,FALSE)="Yes",VLOOKUP(E442,'Hardware Feature set'!B:D,3,FALSE)="No"))))</f>
        <v>1</v>
      </c>
      <c r="J442" s="3" t="b">
        <f>IF(VLOOKUP(B442,'Profile selection'!B:C,2,FALSE)="Yes",TRUE,FALSE)</f>
        <v>0</v>
      </c>
      <c r="K442"/>
      <c r="L442"/>
    </row>
    <row r="443" spans="1:12" ht="17.100000000000001" customHeight="1" x14ac:dyDescent="0.25">
      <c r="A443" t="str">
        <f>'HIDDEN import'!B442</f>
        <v>TC_K_13_CS</v>
      </c>
      <c r="B443" t="str">
        <f>'HIDDEN import'!C442</f>
        <v>Smart Charging</v>
      </c>
      <c r="C443" t="str">
        <f>'HIDDEN import'!D442</f>
        <v>Set Charging Profile - Persistent over reboot</v>
      </c>
      <c r="D443" t="str">
        <f>IF(VLOOKUP(A443&amp;" "&amp;B443,'HIDDEN import'!A:G,5,FALSE)="M",MD!$A$1,(IF(AND(VLOOKUP(A443,'HIDDEN import'!B:E,4,FALSE)="C",OR(NOT(ISERROR(VLOOKUP(E443,'Optional features'!B:D,1,FALSE)=E443)),NOT(ISERROR(VLOOKUP(E443,'HIDDEN calc sheet'!A:C,1,FALSE)=E443)))),MD!$A$3,MD!$A$2)))</f>
        <v>Mandatory test for a mandatory feature</v>
      </c>
      <c r="E443" t="str">
        <f>IF('HIDDEN import'!F442=0,"",'HIDDEN import'!F442)</f>
        <v/>
      </c>
      <c r="F443" t="str">
        <f>IF('HIDDEN import'!G442=0,"",'HIDDEN import'!G442)</f>
        <v/>
      </c>
      <c r="G443" s="19" t="str">
        <f>IFERROR(VLOOKUP($A443,'HIDDEN Testrun Results'!$A:$B,2,FALSE),"")</f>
        <v/>
      </c>
      <c r="H443" s="3" t="b">
        <f t="shared" si="6"/>
        <v>0</v>
      </c>
      <c r="I443" s="3" t="b">
        <f>IF(VLOOKUP(A443&amp;" "&amp;B443,'HIDDEN import'!A:G,5,FALSE)="M",TRUE,IFERROR(VLOOKUP(E443,'Optional features'!B:D,3,FALSE)="Yes",IFERROR(VLOOKUP(E443,'HIDDEN calc sheet'!A:B,2,FALSE),IFERROR(VLOOKUP(E443,'Additional questions'!B:D,3,FALSE)="Yes",VLOOKUP(E443,'Hardware Feature set'!B:D,3,FALSE)="No"))))</f>
        <v>1</v>
      </c>
      <c r="J443" s="3" t="b">
        <f>IF(VLOOKUP(B443,'Profile selection'!B:C,2,FALSE)="Yes",TRUE,FALSE)</f>
        <v>0</v>
      </c>
      <c r="K443"/>
      <c r="L443"/>
    </row>
    <row r="444" spans="1:12" ht="17.100000000000001" customHeight="1" x14ac:dyDescent="0.25">
      <c r="A444" t="str">
        <f>'HIDDEN import'!B443</f>
        <v>TC_K_14_CS</v>
      </c>
      <c r="B444" t="str">
        <f>'HIDDEN import'!C443</f>
        <v>Smart Charging</v>
      </c>
      <c r="C444" t="str">
        <f>'HIDDEN import'!D443</f>
        <v>Set Charging Profile - Unexisting EVSEid</v>
      </c>
      <c r="D444" t="str">
        <f>IF(VLOOKUP(A444&amp;" "&amp;B444,'HIDDEN import'!A:G,5,FALSE)="M",MD!$A$1,(IF(AND(VLOOKUP(A444,'HIDDEN import'!B:E,4,FALSE)="C",OR(NOT(ISERROR(VLOOKUP(E444,'Optional features'!B:D,1,FALSE)=E444)),NOT(ISERROR(VLOOKUP(E444,'HIDDEN calc sheet'!A:C,1,FALSE)=E444)))),MD!$A$3,MD!$A$2)))</f>
        <v>Mandatory test for a mandatory feature</v>
      </c>
      <c r="E444" t="str">
        <f>IF('HIDDEN import'!F443=0,"",'HIDDEN import'!F443)</f>
        <v/>
      </c>
      <c r="F444" t="str">
        <f>IF('HIDDEN import'!G443=0,"",'HIDDEN import'!G443)</f>
        <v/>
      </c>
      <c r="G444" s="19" t="str">
        <f>IFERROR(VLOOKUP($A444,'HIDDEN Testrun Results'!$A:$B,2,FALSE),"")</f>
        <v/>
      </c>
      <c r="H444" s="3" t="b">
        <f t="shared" si="6"/>
        <v>0</v>
      </c>
      <c r="I444" s="3" t="b">
        <f>IF(VLOOKUP(A444&amp;" "&amp;B444,'HIDDEN import'!A:G,5,FALSE)="M",TRUE,IFERROR(VLOOKUP(E444,'Optional features'!B:D,3,FALSE)="Yes",IFERROR(VLOOKUP(E444,'HIDDEN calc sheet'!A:B,2,FALSE),IFERROR(VLOOKUP(E444,'Additional questions'!B:D,3,FALSE)="Yes",VLOOKUP(E444,'Hardware Feature set'!B:D,3,FALSE)="No"))))</f>
        <v>1</v>
      </c>
      <c r="J444" s="3" t="b">
        <f>IF(VLOOKUP(B444,'Profile selection'!B:C,2,FALSE)="Yes",TRUE,FALSE)</f>
        <v>0</v>
      </c>
      <c r="K444"/>
      <c r="L444"/>
    </row>
    <row r="445" spans="1:12" ht="15.75" customHeight="1" x14ac:dyDescent="0.25">
      <c r="A445" t="str">
        <f>'HIDDEN import'!B444</f>
        <v>TC_K_28_CS</v>
      </c>
      <c r="B445" t="str">
        <f>'HIDDEN import'!C444</f>
        <v>Smart Charging</v>
      </c>
      <c r="C445" t="str">
        <f>'HIDDEN import'!D444</f>
        <v>Set Charging Profile - TxDefaultProfile with transaction ongoing</v>
      </c>
      <c r="D445" t="str">
        <f>IF(VLOOKUP(A445&amp;" "&amp;B445,'HIDDEN import'!A:G,5,FALSE)="M",MD!$A$1,(IF(AND(VLOOKUP(A445,'HIDDEN import'!B:E,4,FALSE)="C",OR(NOT(ISERROR(VLOOKUP(E445,'Optional features'!B:D,1,FALSE)=E445)),NOT(ISERROR(VLOOKUP(E445,'HIDDEN calc sheet'!A:C,1,FALSE)=E445)))),MD!$A$3,MD!$A$2)))</f>
        <v>Mandatory test for a mandatory feature</v>
      </c>
      <c r="E445" t="str">
        <f>IF('HIDDEN import'!F444=0,"",'HIDDEN import'!F444)</f>
        <v/>
      </c>
      <c r="F445" t="str">
        <f>IF('HIDDEN import'!G444=0,"",'HIDDEN import'!G444)</f>
        <v/>
      </c>
      <c r="G445" s="19" t="str">
        <f>IFERROR(VLOOKUP($A445,'HIDDEN Testrun Results'!$A:$B,2,FALSE),"")</f>
        <v/>
      </c>
      <c r="H445" s="3" t="b">
        <f t="shared" si="6"/>
        <v>0</v>
      </c>
      <c r="I445" s="3" t="b">
        <f>IF(VLOOKUP(A445&amp;" "&amp;B445,'HIDDEN import'!A:G,5,FALSE)="M",TRUE,IFERROR(VLOOKUP(E445,'Optional features'!B:D,3,FALSE)="Yes",IFERROR(VLOOKUP(E445,'HIDDEN calc sheet'!A:B,2,FALSE),IFERROR(VLOOKUP(E445,'Additional questions'!B:D,3,FALSE)="Yes",VLOOKUP(E445,'Hardware Feature set'!B:D,3,FALSE)="No"))))</f>
        <v>1</v>
      </c>
      <c r="J445" s="3" t="b">
        <f>IF(VLOOKUP(B445,'Profile selection'!B:C,2,FALSE)="Yes",TRUE,FALSE)</f>
        <v>0</v>
      </c>
      <c r="K445"/>
      <c r="L445"/>
    </row>
    <row r="446" spans="1:12" ht="15.75" customHeight="1" x14ac:dyDescent="0.25">
      <c r="A446" t="str">
        <f>'HIDDEN import'!B445</f>
        <v>TC_K_16_CS</v>
      </c>
      <c r="B446" t="str">
        <f>'HIDDEN import'!C445</f>
        <v>Smart Charging</v>
      </c>
      <c r="C446" t="str">
        <f>'HIDDEN import'!D445</f>
        <v>Set Charging Profile - Unknown transactionId</v>
      </c>
      <c r="D446" t="str">
        <f>IF(VLOOKUP(A446&amp;" "&amp;B446,'HIDDEN import'!A:G,5,FALSE)="M",MD!$A$1,(IF(AND(VLOOKUP(A446,'HIDDEN import'!B:E,4,FALSE)="C",OR(NOT(ISERROR(VLOOKUP(E446,'Optional features'!B:D,1,FALSE)=E446)),NOT(ISERROR(VLOOKUP(E446,'HIDDEN calc sheet'!A:C,1,FALSE)=E446)))),MD!$A$3,MD!$A$2)))</f>
        <v>Mandatory test for a mandatory feature</v>
      </c>
      <c r="E446" t="str">
        <f>IF('HIDDEN import'!F445=0,"",'HIDDEN import'!F445)</f>
        <v/>
      </c>
      <c r="F446" t="str">
        <f>IF('HIDDEN import'!G445=0,"",'HIDDEN import'!G445)</f>
        <v/>
      </c>
      <c r="G446" s="19" t="str">
        <f>IFERROR(VLOOKUP($A446,'HIDDEN Testrun Results'!$A:$B,2,FALSE),"")</f>
        <v/>
      </c>
      <c r="H446" s="3" t="b">
        <f t="shared" si="6"/>
        <v>0</v>
      </c>
      <c r="I446" s="3" t="b">
        <f>IF(VLOOKUP(A446&amp;" "&amp;B446,'HIDDEN import'!A:G,5,FALSE)="M",TRUE,IFERROR(VLOOKUP(E446,'Optional features'!B:D,3,FALSE)="Yes",IFERROR(VLOOKUP(E446,'HIDDEN calc sheet'!A:B,2,FALSE),IFERROR(VLOOKUP(E446,'Additional questions'!B:D,3,FALSE)="Yes",VLOOKUP(E446,'Hardware Feature set'!B:D,3,FALSE)="No"))))</f>
        <v>1</v>
      </c>
      <c r="J446" s="3" t="b">
        <f>IF(VLOOKUP(B446,'Profile selection'!B:C,2,FALSE)="Yes",TRUE,FALSE)</f>
        <v>0</v>
      </c>
      <c r="K446"/>
      <c r="L446"/>
    </row>
    <row r="447" spans="1:12" ht="15.75" customHeight="1" x14ac:dyDescent="0.25">
      <c r="A447" t="str">
        <f>'HIDDEN import'!B446</f>
        <v>TC_K_21_CS</v>
      </c>
      <c r="B447" t="str">
        <f>'HIDDEN import'!C446</f>
        <v>Smart Charging</v>
      </c>
      <c r="C447" t="str">
        <f>'HIDDEN import'!D446</f>
        <v>Set Charging Profile - ValidFrom</v>
      </c>
      <c r="D447" t="str">
        <f>IF(VLOOKUP(A447&amp;" "&amp;B447,'HIDDEN import'!A:G,5,FALSE)="M",MD!$A$1,(IF(AND(VLOOKUP(A447,'HIDDEN import'!B:E,4,FALSE)="C",OR(NOT(ISERROR(VLOOKUP(E447,'Optional features'!B:D,1,FALSE)=E447)),NOT(ISERROR(VLOOKUP(E447,'HIDDEN calc sheet'!A:C,1,FALSE)=E447)))),MD!$A$3,MD!$A$2)))</f>
        <v>Mandatory test for a mandatory feature</v>
      </c>
      <c r="E447" t="str">
        <f>IF('HIDDEN import'!F446=0,"",'HIDDEN import'!F446)</f>
        <v/>
      </c>
      <c r="F447" t="str">
        <f>IF('HIDDEN import'!G446=0,"",'HIDDEN import'!G446)</f>
        <v/>
      </c>
      <c r="G447" s="19" t="str">
        <f>IFERROR(VLOOKUP($A447,'HIDDEN Testrun Results'!$A:$B,2,FALSE),"")</f>
        <v/>
      </c>
      <c r="H447" s="3" t="b">
        <f t="shared" si="6"/>
        <v>0</v>
      </c>
      <c r="I447" s="3" t="b">
        <f>IF(VLOOKUP(A447&amp;" "&amp;B447,'HIDDEN import'!A:G,5,FALSE)="M",TRUE,IFERROR(VLOOKUP(E447,'Optional features'!B:D,3,FALSE)="Yes",IFERROR(VLOOKUP(E447,'HIDDEN calc sheet'!A:B,2,FALSE),IFERROR(VLOOKUP(E447,'Additional questions'!B:D,3,FALSE)="Yes",VLOOKUP(E447,'Hardware Feature set'!B:D,3,FALSE)="No"))))</f>
        <v>1</v>
      </c>
      <c r="J447" s="3" t="b">
        <f>IF(VLOOKUP(B447,'Profile selection'!B:C,2,FALSE)="Yes",TRUE,FALSE)</f>
        <v>0</v>
      </c>
      <c r="K447"/>
      <c r="L447"/>
    </row>
    <row r="448" spans="1:12" ht="15.75" customHeight="1" x14ac:dyDescent="0.25">
      <c r="A448" t="str">
        <f>'HIDDEN import'!B447</f>
        <v>TC_K_22_CS</v>
      </c>
      <c r="B448" t="str">
        <f>'HIDDEN import'!C447</f>
        <v>Smart Charging</v>
      </c>
      <c r="C448" t="str">
        <f>'HIDDEN import'!D447</f>
        <v>Set Charging Profile - ValidTo</v>
      </c>
      <c r="D448" t="str">
        <f>IF(VLOOKUP(A448&amp;" "&amp;B448,'HIDDEN import'!A:G,5,FALSE)="M",MD!$A$1,(IF(AND(VLOOKUP(A448,'HIDDEN import'!B:E,4,FALSE)="C",OR(NOT(ISERROR(VLOOKUP(E448,'Optional features'!B:D,1,FALSE)=E448)),NOT(ISERROR(VLOOKUP(E448,'HIDDEN calc sheet'!A:C,1,FALSE)=E448)))),MD!$A$3,MD!$A$2)))</f>
        <v>Mandatory test for a mandatory feature</v>
      </c>
      <c r="E448" t="str">
        <f>IF('HIDDEN import'!F447=0,"",'HIDDEN import'!F447)</f>
        <v/>
      </c>
      <c r="F448" t="str">
        <f>IF('HIDDEN import'!G447=0,"",'HIDDEN import'!G447)</f>
        <v/>
      </c>
      <c r="G448" s="19" t="str">
        <f>IFERROR(VLOOKUP($A448,'HIDDEN Testrun Results'!$A:$B,2,FALSE),"")</f>
        <v/>
      </c>
      <c r="H448" s="3" t="b">
        <f t="shared" si="6"/>
        <v>0</v>
      </c>
      <c r="I448" s="3" t="b">
        <f>IF(VLOOKUP(A448&amp;" "&amp;B448,'HIDDEN import'!A:G,5,FALSE)="M",TRUE,IFERROR(VLOOKUP(E448,'Optional features'!B:D,3,FALSE)="Yes",IFERROR(VLOOKUP(E448,'HIDDEN calc sheet'!A:B,2,FALSE),IFERROR(VLOOKUP(E448,'Additional questions'!B:D,3,FALSE)="Yes",VLOOKUP(E448,'Hardware Feature set'!B:D,3,FALSE)="No"))))</f>
        <v>1</v>
      </c>
      <c r="J448" s="3" t="b">
        <f>IF(VLOOKUP(B448,'Profile selection'!B:C,2,FALSE)="Yes",TRUE,FALSE)</f>
        <v>0</v>
      </c>
      <c r="K448"/>
      <c r="L448"/>
    </row>
    <row r="449" spans="1:12" ht="15.75" customHeight="1" x14ac:dyDescent="0.25">
      <c r="A449" t="str">
        <f>'HIDDEN import'!B448</f>
        <v>TC_K_23_CS</v>
      </c>
      <c r="B449" t="str">
        <f>'HIDDEN import'!C448</f>
        <v>Smart Charging</v>
      </c>
      <c r="C449" t="str">
        <f>'HIDDEN import'!D448</f>
        <v>Set Charging Profile - StartSchedule</v>
      </c>
      <c r="D449" t="str">
        <f>IF(VLOOKUP(A449&amp;" "&amp;B449,'HIDDEN import'!A:G,5,FALSE)="M",MD!$A$1,(IF(AND(VLOOKUP(A449,'HIDDEN import'!B:E,4,FALSE)="C",OR(NOT(ISERROR(VLOOKUP(E449,'Optional features'!B:D,1,FALSE)=E449)),NOT(ISERROR(VLOOKUP(E449,'HIDDEN calc sheet'!A:C,1,FALSE)=E449)))),MD!$A$3,MD!$A$2)))</f>
        <v>Mandatory test for a mandatory feature</v>
      </c>
      <c r="E449" t="str">
        <f>IF('HIDDEN import'!F448=0,"",'HIDDEN import'!F448)</f>
        <v/>
      </c>
      <c r="F449" t="str">
        <f>IF('HIDDEN import'!G448=0,"",'HIDDEN import'!G448)</f>
        <v/>
      </c>
      <c r="G449" s="19" t="str">
        <f>IFERROR(VLOOKUP($A449,'HIDDEN Testrun Results'!$A:$B,2,FALSE),"")</f>
        <v/>
      </c>
      <c r="H449" s="3" t="b">
        <f t="shared" si="6"/>
        <v>0</v>
      </c>
      <c r="I449" s="3" t="b">
        <f>IF(VLOOKUP(A449&amp;" "&amp;B449,'HIDDEN import'!A:G,5,FALSE)="M",TRUE,IFERROR(VLOOKUP(E449,'Optional features'!B:D,3,FALSE)="Yes",IFERROR(VLOOKUP(E449,'HIDDEN calc sheet'!A:B,2,FALSE),IFERROR(VLOOKUP(E449,'Additional questions'!B:D,3,FALSE)="Yes",VLOOKUP(E449,'Hardware Feature set'!B:D,3,FALSE)="No"))))</f>
        <v>1</v>
      </c>
      <c r="J449" s="3" t="b">
        <f>IF(VLOOKUP(B449,'Profile selection'!B:C,2,FALSE)="Yes",TRUE,FALSE)</f>
        <v>0</v>
      </c>
      <c r="K449"/>
      <c r="L449"/>
    </row>
    <row r="450" spans="1:12" ht="15.75" customHeight="1" x14ac:dyDescent="0.25">
      <c r="A450" t="str">
        <f>'HIDDEN import'!B449</f>
        <v>TC_K_100_CS</v>
      </c>
      <c r="B450" t="str">
        <f>'HIDDEN import'!C449</f>
        <v>Smart Charging</v>
      </c>
      <c r="C450" t="str">
        <f>'HIDDEN import'!D449</f>
        <v>Set Charging Profile - maxOfflineDuration</v>
      </c>
      <c r="D450" t="str">
        <f>IF(VLOOKUP(A450&amp;" "&amp;B450,'HIDDEN import'!A:G,5,FALSE)="M",MD!$A$1,(IF(AND(VLOOKUP(A450,'HIDDEN import'!B:E,4,FALSE)="C",OR(NOT(ISERROR(VLOOKUP(E450,'Optional features'!B:D,1,FALSE)=E450)),NOT(ISERROR(VLOOKUP(E450,'HIDDEN calc sheet'!A:C,1,FALSE)=E450)))),MD!$A$3,MD!$A$2)))</f>
        <v>Mandatory test for a mandatory feature</v>
      </c>
      <c r="E450" t="str">
        <f>IF('HIDDEN import'!F449=0,"",'HIDDEN import'!F449)</f>
        <v/>
      </c>
      <c r="F450" t="str">
        <f>IF('HIDDEN import'!G449=0,"",'HIDDEN import'!G449)</f>
        <v/>
      </c>
      <c r="G450" s="19" t="str">
        <f>IFERROR(VLOOKUP($A450,'HIDDEN Testrun Results'!$A:$B,2,FALSE),"")</f>
        <v/>
      </c>
      <c r="H450" s="3" t="b">
        <f t="shared" si="6"/>
        <v>0</v>
      </c>
      <c r="I450" s="3" t="b">
        <f>IF(VLOOKUP(A450&amp;" "&amp;B450,'HIDDEN import'!A:G,5,FALSE)="M",TRUE,IFERROR(VLOOKUP(E450,'Optional features'!B:D,3,FALSE)="Yes",IFERROR(VLOOKUP(E450,'HIDDEN calc sheet'!A:B,2,FALSE),IFERROR(VLOOKUP(E450,'Additional questions'!B:D,3,FALSE)="Yes",VLOOKUP(E450,'Hardware Feature set'!B:D,3,FALSE)="No"))))</f>
        <v>1</v>
      </c>
      <c r="J450" s="3" t="b">
        <f>IF(VLOOKUP(B450,'Profile selection'!B:C,2,FALSE)="Yes",TRUE,FALSE)</f>
        <v>0</v>
      </c>
      <c r="K450"/>
      <c r="L450"/>
    </row>
    <row r="451" spans="1:12" ht="15.75" customHeight="1" x14ac:dyDescent="0.25">
      <c r="A451" t="str">
        <f>'HIDDEN import'!B450</f>
        <v>TC_K_102_CS</v>
      </c>
      <c r="B451" t="str">
        <f>'HIDDEN import'!C450</f>
        <v>Smart Charging</v>
      </c>
      <c r="C451" t="str">
        <f>'HIDDEN import'!D450</f>
        <v>Set Charging Profile - limitAtSoc</v>
      </c>
      <c r="D451" t="str">
        <f>IF(VLOOKUP(A451&amp;" "&amp;B451,'HIDDEN import'!A:G,5,FALSE)="M",MD!$A$1,(IF(AND(VLOOKUP(A451,'HIDDEN import'!B:E,4,FALSE)="C",OR(NOT(ISERROR(VLOOKUP(E451,'Optional features'!B:D,1,FALSE)=E451)),NOT(ISERROR(VLOOKUP(E451,'HIDDEN calc sheet'!A:C,1,FALSE)=E451)))),MD!$A$3,MD!$A$2)))</f>
        <v>Mandatory for optional feature</v>
      </c>
      <c r="E451" t="str">
        <f>IF('HIDDEN import'!F450=0,"",'HIDDEN import'!F450)</f>
        <v>SC-3</v>
      </c>
      <c r="F451" t="str">
        <f>IF('HIDDEN import'!G450=0,"",'HIDDEN import'!G450)</f>
        <v>Support for limiting based on SoC</v>
      </c>
      <c r="G451" s="19" t="str">
        <f>IFERROR(VLOOKUP($A451,'HIDDEN Testrun Results'!$A:$B,2,FALSE),"")</f>
        <v/>
      </c>
      <c r="H451" s="3" t="b">
        <f t="shared" ref="H451:H514" si="7">IF(NOT(J451),FALSE,IF(NOT(ISLOGICAL(I451)),I451,AND(I451,J451)))</f>
        <v>0</v>
      </c>
      <c r="I451" s="3" t="b">
        <f>IF(VLOOKUP(A451&amp;" "&amp;B451,'HIDDEN import'!A:G,5,FALSE)="M",TRUE,IFERROR(VLOOKUP(E451,'Optional features'!B:D,3,FALSE)="Yes",IFERROR(VLOOKUP(E451,'HIDDEN calc sheet'!A:B,2,FALSE),IFERROR(VLOOKUP(E451,'Additional questions'!B:D,3,FALSE)="Yes",VLOOKUP(E451,'Hardware Feature set'!B:D,3,FALSE)="No"))))</f>
        <v>0</v>
      </c>
      <c r="J451" s="3" t="b">
        <f>IF(VLOOKUP(B451,'Profile selection'!B:C,2,FALSE)="Yes",TRUE,FALSE)</f>
        <v>0</v>
      </c>
      <c r="K451"/>
      <c r="L451"/>
    </row>
    <row r="452" spans="1:12" ht="15.75" customHeight="1" x14ac:dyDescent="0.25">
      <c r="A452" t="str">
        <f>'HIDDEN import'!B451</f>
        <v>TC_K_103_CS</v>
      </c>
      <c r="B452" t="str">
        <f>'HIDDEN import'!C451</f>
        <v>Smart Charging</v>
      </c>
      <c r="C452" t="str">
        <f>'HIDDEN import'!D451</f>
        <v>Set Charging Profile - Local time - TimeOffset</v>
      </c>
      <c r="D452" t="str">
        <f>IF(VLOOKUP(A452&amp;" "&amp;B452,'HIDDEN import'!A:G,5,FALSE)="M",MD!$A$1,(IF(AND(VLOOKUP(A452,'HIDDEN import'!B:E,4,FALSE)="C",OR(NOT(ISERROR(VLOOKUP(E452,'Optional features'!B:D,1,FALSE)=E452)),NOT(ISERROR(VLOOKUP(E452,'HIDDEN calc sheet'!A:C,1,FALSE)=E452)))),MD!$A$3,MD!$A$2)))</f>
        <v>Mandatory for optional feature</v>
      </c>
      <c r="E452" t="str">
        <f>IF('HIDDEN import'!F451=0,"",'HIDDEN import'!F451)</f>
        <v>SC-5.1</v>
      </c>
      <c r="F452" t="str">
        <f>IF('HIDDEN import'!G451=0,"",'HIDDEN import'!G451)</f>
        <v>Support for using local time (TimeOffset)</v>
      </c>
      <c r="G452" s="19" t="str">
        <f>IFERROR(VLOOKUP($A452,'HIDDEN Testrun Results'!$A:$B,2,FALSE),"")</f>
        <v/>
      </c>
      <c r="H452" s="3" t="b">
        <f t="shared" si="7"/>
        <v>0</v>
      </c>
      <c r="I452" s="3" t="b">
        <f>IF(VLOOKUP(A452&amp;" "&amp;B452,'HIDDEN import'!A:G,5,FALSE)="M",TRUE,IFERROR(VLOOKUP(E452,'Optional features'!B:D,3,FALSE)="Yes",IFERROR(VLOOKUP(E452,'HIDDEN calc sheet'!A:B,2,FALSE),IFERROR(VLOOKUP(E452,'Additional questions'!B:D,3,FALSE)="Yes",VLOOKUP(E452,'Hardware Feature set'!B:D,3,FALSE)="No"))))</f>
        <v>0</v>
      </c>
      <c r="J452" s="3" t="b">
        <f>IF(VLOOKUP(B452,'Profile selection'!B:C,2,FALSE)="Yes",TRUE,FALSE)</f>
        <v>0</v>
      </c>
      <c r="K452"/>
      <c r="L452"/>
    </row>
    <row r="453" spans="1:12" ht="15.75" customHeight="1" x14ac:dyDescent="0.25">
      <c r="A453" t="str">
        <f>'HIDDEN import'!B452</f>
        <v>TC_K_136_CS</v>
      </c>
      <c r="B453" t="str">
        <f>'HIDDEN import'!C452</f>
        <v>Smart Charging</v>
      </c>
      <c r="C453" t="str">
        <f>'HIDDEN import'!D452</f>
        <v>Set Charging Profile - Local time - TimeZone</v>
      </c>
      <c r="D453" t="str">
        <f>IF(VLOOKUP(A453&amp;" "&amp;B453,'HIDDEN import'!A:G,5,FALSE)="M",MD!$A$1,(IF(AND(VLOOKUP(A453,'HIDDEN import'!B:E,4,FALSE)="C",OR(NOT(ISERROR(VLOOKUP(E453,'Optional features'!B:D,1,FALSE)=E453)),NOT(ISERROR(VLOOKUP(E453,'HIDDEN calc sheet'!A:C,1,FALSE)=E453)))),MD!$A$3,MD!$A$2)))</f>
        <v>Mandatory for optional feature</v>
      </c>
      <c r="E453" t="str">
        <f>IF('HIDDEN import'!F452=0,"",'HIDDEN import'!F452)</f>
        <v>SC-5.2</v>
      </c>
      <c r="F453" t="str">
        <f>IF('HIDDEN import'!G452=0,"",'HIDDEN import'!G452)</f>
        <v>Support for using local time (TimeZone)</v>
      </c>
      <c r="G453" s="19" t="str">
        <f>IFERROR(VLOOKUP($A453,'HIDDEN Testrun Results'!$A:$B,2,FALSE),"")</f>
        <v/>
      </c>
      <c r="H453" s="3" t="b">
        <f t="shared" si="7"/>
        <v>0</v>
      </c>
      <c r="I453" s="3" t="b">
        <f>IF(VLOOKUP(A453&amp;" "&amp;B453,'HIDDEN import'!A:G,5,FALSE)="M",TRUE,IFERROR(VLOOKUP(E453,'Optional features'!B:D,3,FALSE)="Yes",IFERROR(VLOOKUP(E453,'HIDDEN calc sheet'!A:B,2,FALSE),IFERROR(VLOOKUP(E453,'Additional questions'!B:D,3,FALSE)="Yes",VLOOKUP(E453,'Hardware Feature set'!B:D,3,FALSE)="No"))))</f>
        <v>0</v>
      </c>
      <c r="J453" s="3" t="b">
        <f>IF(VLOOKUP(B453,'Profile selection'!B:C,2,FALSE)="Yes",TRUE,FALSE)</f>
        <v>0</v>
      </c>
      <c r="K453"/>
      <c r="L453"/>
    </row>
    <row r="454" spans="1:12" ht="15.75" customHeight="1" x14ac:dyDescent="0.25">
      <c r="A454" t="str">
        <f>'HIDDEN import'!B453</f>
        <v>TC_K_104_CS</v>
      </c>
      <c r="B454" t="str">
        <f>'HIDDEN import'!C453</f>
        <v>Smart Charging</v>
      </c>
      <c r="C454" t="str">
        <f>'HIDDEN import'!D453</f>
        <v>Set Charging Profile - PriorityCharging</v>
      </c>
      <c r="D454" t="str">
        <f>IF(VLOOKUP(A454&amp;" "&amp;B454,'HIDDEN import'!A:G,5,FALSE)="M",MD!$A$1,(IF(AND(VLOOKUP(A454,'HIDDEN import'!B:E,4,FALSE)="C",OR(NOT(ISERROR(VLOOKUP(E454,'Optional features'!B:D,1,FALSE)=E454)),NOT(ISERROR(VLOOKUP(E454,'HIDDEN calc sheet'!A:C,1,FALSE)=E454)))),MD!$A$3,MD!$A$2)))</f>
        <v>Mandatory for optional feature</v>
      </c>
      <c r="E454" t="str">
        <f>IF('HIDDEN import'!F453=0,"",'HIDDEN import'!F453)</f>
        <v>SC-6</v>
      </c>
      <c r="F454" t="str">
        <f>IF('HIDDEN import'!G453=0,"",'HIDDEN import'!G453)</f>
        <v>Support for using priority charging</v>
      </c>
      <c r="G454" s="19" t="str">
        <f>IFERROR(VLOOKUP($A454,'HIDDEN Testrun Results'!$A:$B,2,FALSE),"")</f>
        <v/>
      </c>
      <c r="H454" s="3" t="b">
        <f t="shared" si="7"/>
        <v>0</v>
      </c>
      <c r="I454" s="3" t="b">
        <f>IF(VLOOKUP(A454&amp;" "&amp;B454,'HIDDEN import'!A:G,5,FALSE)="M",TRUE,IFERROR(VLOOKUP(E454,'Optional features'!B:D,3,FALSE)="Yes",IFERROR(VLOOKUP(E454,'HIDDEN calc sheet'!A:B,2,FALSE),IFERROR(VLOOKUP(E454,'Additional questions'!B:D,3,FALSE)="Yes",VLOOKUP(E454,'Hardware Feature set'!B:D,3,FALSE)="No"))))</f>
        <v>0</v>
      </c>
      <c r="J454" s="3" t="b">
        <f>IF(VLOOKUP(B454,'Profile selection'!B:C,2,FALSE)="Yes",TRUE,FALSE)</f>
        <v>0</v>
      </c>
      <c r="K454"/>
      <c r="L454"/>
    </row>
    <row r="455" spans="1:12" ht="15.75" customHeight="1" x14ac:dyDescent="0.25">
      <c r="A455" t="str">
        <f>'HIDDEN import'!B454</f>
        <v>TC_K_105_CS</v>
      </c>
      <c r="B455" t="str">
        <f>'HIDDEN import'!C454</f>
        <v>Smart Charging</v>
      </c>
      <c r="C455" t="str">
        <f>'HIDDEN import'!D454</f>
        <v>Set Charging Profile - ChargingStationMaxProfile persistent over reboot</v>
      </c>
      <c r="D455" t="str">
        <f>IF(VLOOKUP(A455&amp;" "&amp;B455,'HIDDEN import'!A:G,5,FALSE)="M",MD!$A$1,(IF(AND(VLOOKUP(A455,'HIDDEN import'!B:E,4,FALSE)="C",OR(NOT(ISERROR(VLOOKUP(E455,'Optional features'!B:D,1,FALSE)=E455)),NOT(ISERROR(VLOOKUP(E455,'HIDDEN calc sheet'!A:C,1,FALSE)=E455)))),MD!$A$3,MD!$A$2)))</f>
        <v>Mandatory test for a mandatory feature</v>
      </c>
      <c r="E455" t="str">
        <f>IF('HIDDEN import'!F454=0,"",'HIDDEN import'!F454)</f>
        <v/>
      </c>
      <c r="F455" t="str">
        <f>IF('HIDDEN import'!G454=0,"",'HIDDEN import'!G454)</f>
        <v/>
      </c>
      <c r="G455" s="19" t="str">
        <f>IFERROR(VLOOKUP($A455,'HIDDEN Testrun Results'!$A:$B,2,FALSE),"")</f>
        <v/>
      </c>
      <c r="H455" s="3" t="b">
        <f t="shared" si="7"/>
        <v>0</v>
      </c>
      <c r="I455" s="3" t="b">
        <f>IF(VLOOKUP(A455&amp;" "&amp;B455,'HIDDEN import'!A:G,5,FALSE)="M",TRUE,IFERROR(VLOOKUP(E455,'Optional features'!B:D,3,FALSE)="Yes",IFERROR(VLOOKUP(E455,'HIDDEN calc sheet'!A:B,2,FALSE),IFERROR(VLOOKUP(E455,'Additional questions'!B:D,3,FALSE)="Yes",VLOOKUP(E455,'Hardware Feature set'!B:D,3,FALSE)="No"))))</f>
        <v>1</v>
      </c>
      <c r="J455" s="3" t="b">
        <f>IF(VLOOKUP(B455,'Profile selection'!B:C,2,FALSE)="Yes",TRUE,FALSE)</f>
        <v>0</v>
      </c>
      <c r="K455"/>
      <c r="L455"/>
    </row>
    <row r="456" spans="1:12" ht="15.75" customHeight="1" x14ac:dyDescent="0.25">
      <c r="A456" t="str">
        <f>'HIDDEN import'!B455</f>
        <v>TC_K_106_CS</v>
      </c>
      <c r="B456" t="str">
        <f>'HIDDEN import'!C455</f>
        <v>Smart Charging</v>
      </c>
      <c r="C456" t="str">
        <f>'HIDDEN import'!D455</f>
        <v>Set Charging Profile - randomizedDelay</v>
      </c>
      <c r="D456" t="str">
        <f>IF(VLOOKUP(A456&amp;" "&amp;B456,'HIDDEN import'!A:G,5,FALSE)="M",MD!$A$1,(IF(AND(VLOOKUP(A456,'HIDDEN import'!B:E,4,FALSE)="C",OR(NOT(ISERROR(VLOOKUP(E456,'Optional features'!B:D,1,FALSE)=E456)),NOT(ISERROR(VLOOKUP(E456,'HIDDEN calc sheet'!A:C,1,FALSE)=E456)))),MD!$A$3,MD!$A$2)))</f>
        <v>Mandatory for optional feature</v>
      </c>
      <c r="E456" t="str">
        <f>IF('HIDDEN import'!F455=0,"",'HIDDEN import'!F455)</f>
        <v>SC-7</v>
      </c>
      <c r="F456" t="str">
        <f>IF('HIDDEN import'!G455=0,"",'HIDDEN import'!G455)</f>
        <v>Support for using randomized delays</v>
      </c>
      <c r="G456" s="19" t="str">
        <f>IFERROR(VLOOKUP($A456,'HIDDEN Testrun Results'!$A:$B,2,FALSE),"")</f>
        <v/>
      </c>
      <c r="H456" s="3" t="b">
        <f t="shared" si="7"/>
        <v>0</v>
      </c>
      <c r="I456" s="3" t="b">
        <f>IF(VLOOKUP(A456&amp;" "&amp;B456,'HIDDEN import'!A:G,5,FALSE)="M",TRUE,IFERROR(VLOOKUP(E456,'Optional features'!B:D,3,FALSE)="Yes",IFERROR(VLOOKUP(E456,'HIDDEN calc sheet'!A:B,2,FALSE),IFERROR(VLOOKUP(E456,'Additional questions'!B:D,3,FALSE)="Yes",VLOOKUP(E456,'Hardware Feature set'!B:D,3,FALSE)="No"))))</f>
        <v>0</v>
      </c>
      <c r="J456" s="3" t="b">
        <f>IF(VLOOKUP(B456,'Profile selection'!B:C,2,FALSE)="Yes",TRUE,FALSE)</f>
        <v>0</v>
      </c>
      <c r="K456"/>
      <c r="L456"/>
    </row>
    <row r="457" spans="1:12" ht="15.75" customHeight="1" x14ac:dyDescent="0.25">
      <c r="A457" t="str">
        <f>'HIDDEN import'!B456</f>
        <v>TC_K_107_CS</v>
      </c>
      <c r="B457" t="str">
        <f>'HIDDEN import'!C456</f>
        <v>Smart Charging</v>
      </c>
      <c r="C457" t="str">
        <f>'HIDDEN import'!D456</f>
        <v>Set Charging Profile - randomizedDelay - validations</v>
      </c>
      <c r="D457" t="str">
        <f>IF(VLOOKUP(A457&amp;" "&amp;B457,'HIDDEN import'!A:G,5,FALSE)="M",MD!$A$1,(IF(AND(VLOOKUP(A457,'HIDDEN import'!B:E,4,FALSE)="C",OR(NOT(ISERROR(VLOOKUP(E457,'Optional features'!B:D,1,FALSE)=E457)),NOT(ISERROR(VLOOKUP(E457,'HIDDEN calc sheet'!A:C,1,FALSE)=E457)))),MD!$A$3,MD!$A$2)))</f>
        <v>Mandatory for optional feature</v>
      </c>
      <c r="E457" t="str">
        <f>IF('HIDDEN import'!F456=0,"",'HIDDEN import'!F456)</f>
        <v>SC-7</v>
      </c>
      <c r="F457" t="str">
        <f>IF('HIDDEN import'!G456=0,"",'HIDDEN import'!G456)</f>
        <v>Support for using randomized delays</v>
      </c>
      <c r="G457" s="19" t="str">
        <f>IFERROR(VLOOKUP($A457,'HIDDEN Testrun Results'!$A:$B,2,FALSE),"")</f>
        <v/>
      </c>
      <c r="H457" s="3" t="b">
        <f t="shared" si="7"/>
        <v>0</v>
      </c>
      <c r="I457" s="3" t="b">
        <f>IF(VLOOKUP(A457&amp;" "&amp;B457,'HIDDEN import'!A:G,5,FALSE)="M",TRUE,IFERROR(VLOOKUP(E457,'Optional features'!B:D,3,FALSE)="Yes",IFERROR(VLOOKUP(E457,'HIDDEN calc sheet'!A:B,2,FALSE),IFERROR(VLOOKUP(E457,'Additional questions'!B:D,3,FALSE)="Yes",VLOOKUP(E457,'Hardware Feature set'!B:D,3,FALSE)="No"))))</f>
        <v>0</v>
      </c>
      <c r="J457" s="3" t="b">
        <f>IF(VLOOKUP(B457,'Profile selection'!B:C,2,FALSE)="Yes",TRUE,FALSE)</f>
        <v>0</v>
      </c>
      <c r="K457"/>
      <c r="L457"/>
    </row>
    <row r="458" spans="1:12" ht="15.75" customHeight="1" x14ac:dyDescent="0.25">
      <c r="A458" t="str">
        <f>'HIDDEN import'!B457</f>
        <v>TC_K_108_CS</v>
      </c>
      <c r="B458" t="str">
        <f>'HIDDEN import'!C457</f>
        <v>Smart Charging</v>
      </c>
      <c r="C458" t="str">
        <f>'HIDDEN import'!D457</f>
        <v>Set Charging Profile - randomizedDelay - random for each tx</v>
      </c>
      <c r="D458" t="str">
        <f>IF(VLOOKUP(A458&amp;" "&amp;B458,'HIDDEN import'!A:G,5,FALSE)="M",MD!$A$1,(IF(AND(VLOOKUP(A458,'HIDDEN import'!B:E,4,FALSE)="C",OR(NOT(ISERROR(VLOOKUP(E458,'Optional features'!B:D,1,FALSE)=E458)),NOT(ISERROR(VLOOKUP(E458,'HIDDEN calc sheet'!A:C,1,FALSE)=E458)))),MD!$A$3,MD!$A$2)))</f>
        <v>Mandatory for optional feature</v>
      </c>
      <c r="E458" t="str">
        <f>IF('HIDDEN import'!F457=0,"",'HIDDEN import'!F457)</f>
        <v>SC-7</v>
      </c>
      <c r="F458" t="str">
        <f>IF('HIDDEN import'!G457=0,"",'HIDDEN import'!G457)</f>
        <v>Support for using randomized delays</v>
      </c>
      <c r="G458" s="19" t="str">
        <f>IFERROR(VLOOKUP($A458,'HIDDEN Testrun Results'!$A:$B,2,FALSE),"")</f>
        <v/>
      </c>
      <c r="H458" s="3" t="b">
        <f t="shared" si="7"/>
        <v>0</v>
      </c>
      <c r="I458" s="3" t="b">
        <f>IF(VLOOKUP(A458&amp;" "&amp;B458,'HIDDEN import'!A:G,5,FALSE)="M",TRUE,IFERROR(VLOOKUP(E458,'Optional features'!B:D,3,FALSE)="Yes",IFERROR(VLOOKUP(E458,'HIDDEN calc sheet'!A:B,2,FALSE),IFERROR(VLOOKUP(E458,'Additional questions'!B:D,3,FALSE)="Yes",VLOOKUP(E458,'Hardware Feature set'!B:D,3,FALSE)="No"))))</f>
        <v>0</v>
      </c>
      <c r="J458" s="3" t="b">
        <f>IF(VLOOKUP(B458,'Profile selection'!B:C,2,FALSE)="Yes",TRUE,FALSE)</f>
        <v>0</v>
      </c>
      <c r="K458"/>
      <c r="L458"/>
    </row>
    <row r="459" spans="1:12" ht="15.75" customHeight="1" x14ac:dyDescent="0.25">
      <c r="A459" t="str">
        <f>'HIDDEN import'!B458</f>
        <v>TC_K_129_CS</v>
      </c>
      <c r="B459" t="str">
        <f>'HIDDEN import'!C458</f>
        <v>Smart Charging</v>
      </c>
      <c r="C459" t="str">
        <f>'HIDDEN import'!D458</f>
        <v>Set Charging Profile - PriorityCharging persistent over reboot</v>
      </c>
      <c r="D459" t="str">
        <f>IF(VLOOKUP(A459&amp;" "&amp;B459,'HIDDEN import'!A:G,5,FALSE)="M",MD!$A$1,(IF(AND(VLOOKUP(A459,'HIDDEN import'!B:E,4,FALSE)="C",OR(NOT(ISERROR(VLOOKUP(E459,'Optional features'!B:D,1,FALSE)=E459)),NOT(ISERROR(VLOOKUP(E459,'HIDDEN calc sheet'!A:C,1,FALSE)=E459)))),MD!$A$3,MD!$A$2)))</f>
        <v>Mandatory for optional feature</v>
      </c>
      <c r="E459" t="str">
        <f>IF('HIDDEN import'!F458=0,"",'HIDDEN import'!F458)</f>
        <v>SC-6</v>
      </c>
      <c r="F459" t="str">
        <f>IF('HIDDEN import'!G458=0,"",'HIDDEN import'!G458)</f>
        <v>Support for using priority charging</v>
      </c>
      <c r="G459" s="19" t="str">
        <f>IFERROR(VLOOKUP($A459,'HIDDEN Testrun Results'!$A:$B,2,FALSE),"")</f>
        <v/>
      </c>
      <c r="H459" s="3" t="b">
        <f t="shared" si="7"/>
        <v>0</v>
      </c>
      <c r="I459" s="3" t="b">
        <f>IF(VLOOKUP(A459&amp;" "&amp;B459,'HIDDEN import'!A:G,5,FALSE)="M",TRUE,IFERROR(VLOOKUP(E459,'Optional features'!B:D,3,FALSE)="Yes",IFERROR(VLOOKUP(E459,'HIDDEN calc sheet'!A:B,2,FALSE),IFERROR(VLOOKUP(E459,'Additional questions'!B:D,3,FALSE)="Yes",VLOOKUP(E459,'Hardware Feature set'!B:D,3,FALSE)="No"))))</f>
        <v>0</v>
      </c>
      <c r="J459" s="3" t="b">
        <f>IF(VLOOKUP(B459,'Profile selection'!B:C,2,FALSE)="Yes",TRUE,FALSE)</f>
        <v>0</v>
      </c>
      <c r="K459"/>
      <c r="L459"/>
    </row>
    <row r="460" spans="1:12" ht="15.75" customHeight="1" x14ac:dyDescent="0.25">
      <c r="A460" t="str">
        <f>'HIDDEN import'!B459</f>
        <v>TC_K_130_CS</v>
      </c>
      <c r="B460" t="str">
        <f>'HIDDEN import'!C459</f>
        <v>Smart Charging</v>
      </c>
      <c r="C460" t="str">
        <f>'HIDDEN import'!D459</f>
        <v>Set Charging Profile - PriorityCharging unsupported</v>
      </c>
      <c r="D460" t="str">
        <f>IF(VLOOKUP(A460&amp;" "&amp;B460,'HIDDEN import'!A:G,5,FALSE)="M",MD!$A$1,(IF(AND(VLOOKUP(A460,'HIDDEN import'!B:E,4,FALSE)="C",OR(NOT(ISERROR(VLOOKUP(E460,'Optional features'!B:D,1,FALSE)=E460)),NOT(ISERROR(VLOOKUP(E460,'HIDDEN calc sheet'!A:C,1,FALSE)=E460)))),MD!$A$3,MD!$A$2)))</f>
        <v>Mandatory for optional feature</v>
      </c>
      <c r="E460" t="str">
        <f>IF('HIDDEN import'!F459=0,"",'HIDDEN import'!F459)</f>
        <v>NOT SC-6</v>
      </c>
      <c r="F460" t="str">
        <f>IF('HIDDEN import'!G459=0,"",'HIDDEN import'!G459)</f>
        <v/>
      </c>
      <c r="G460" s="19" t="str">
        <f>IFERROR(VLOOKUP($A460,'HIDDEN Testrun Results'!$A:$B,2,FALSE),"")</f>
        <v/>
      </c>
      <c r="H460" s="3" t="b">
        <f t="shared" si="7"/>
        <v>0</v>
      </c>
      <c r="I460" s="3" t="b">
        <f>IF(VLOOKUP(A460&amp;" "&amp;B460,'HIDDEN import'!A:G,5,FALSE)="M",TRUE,IFERROR(VLOOKUP(E460,'Optional features'!B:D,3,FALSE)="Yes",IFERROR(VLOOKUP(E460,'HIDDEN calc sheet'!A:B,2,FALSE),IFERROR(VLOOKUP(E460,'Additional questions'!B:D,3,FALSE)="Yes",VLOOKUP(E460,'Hardware Feature set'!B:D,3,FALSE)="No"))))</f>
        <v>1</v>
      </c>
      <c r="J460" s="3" t="b">
        <f>IF(VLOOKUP(B460,'Profile selection'!B:C,2,FALSE)="Yes",TRUE,FALSE)</f>
        <v>0</v>
      </c>
      <c r="K460"/>
      <c r="L460"/>
    </row>
    <row r="461" spans="1:12" ht="15.75" customHeight="1" x14ac:dyDescent="0.25">
      <c r="A461" t="str">
        <f>'HIDDEN import'!B460</f>
        <v>TC_K_131_CS</v>
      </c>
      <c r="B461" t="str">
        <f>'HIDDEN import'!C460</f>
        <v>Smart Charging</v>
      </c>
      <c r="C461" t="str">
        <f>'HIDDEN import'!D460</f>
        <v>Set Charging Profile - LocalGeneration unsupported</v>
      </c>
      <c r="D461" t="str">
        <f>IF(VLOOKUP(A461&amp;" "&amp;B461,'HIDDEN import'!A:G,5,FALSE)="M",MD!$A$1,(IF(AND(VLOOKUP(A461,'HIDDEN import'!B:E,4,FALSE)="C",OR(NOT(ISERROR(VLOOKUP(E461,'Optional features'!B:D,1,FALSE)=E461)),NOT(ISERROR(VLOOKUP(E461,'HIDDEN calc sheet'!A:C,1,FALSE)=E461)))),MD!$A$3,MD!$A$2)))</f>
        <v>Mandatory for optional feature</v>
      </c>
      <c r="E461" t="str">
        <f>IF('HIDDEN import'!F460=0,"",'HIDDEN import'!F460)</f>
        <v>Not supporting Bidirectional Power Transfer</v>
      </c>
      <c r="F461" t="str">
        <f>IF('HIDDEN import'!G460=0,"",'HIDDEN import'!G460)</f>
        <v/>
      </c>
      <c r="G461" s="19" t="str">
        <f>IFERROR(VLOOKUP($A461,'HIDDEN Testrun Results'!$A:$B,2,FALSE),"")</f>
        <v/>
      </c>
      <c r="H461" s="3" t="b">
        <f t="shared" si="7"/>
        <v>0</v>
      </c>
      <c r="I461" s="3" t="b">
        <f>IF(VLOOKUP(A461&amp;" "&amp;B461,'HIDDEN import'!A:G,5,FALSE)="M",TRUE,IFERROR(VLOOKUP(E461,'Optional features'!B:D,3,FALSE)="Yes",IFERROR(VLOOKUP(E461,'HIDDEN calc sheet'!A:B,2,FALSE),IFERROR(VLOOKUP(E461,'Additional questions'!B:D,3,FALSE)="Yes",VLOOKUP(E461,'Hardware Feature set'!B:D,3,FALSE)="No"))))</f>
        <v>1</v>
      </c>
      <c r="J461" s="3" t="b">
        <f>IF(VLOOKUP(B461,'Profile selection'!B:C,2,FALSE)="Yes",TRUE,FALSE)</f>
        <v>0</v>
      </c>
      <c r="K461"/>
      <c r="L461"/>
    </row>
    <row r="462" spans="1:12" ht="15.75" customHeight="1" x14ac:dyDescent="0.25">
      <c r="A462" t="str">
        <f>'HIDDEN import'!B461</f>
        <v>TC_K_132_CS</v>
      </c>
      <c r="B462" t="str">
        <f>'HIDDEN import'!C461</f>
        <v>Smart Charging</v>
      </c>
      <c r="C462" t="str">
        <f>'HIDDEN import'!D461</f>
        <v>Set Charging Profile - useLocalTime unsupported</v>
      </c>
      <c r="D462" t="str">
        <f>IF(VLOOKUP(A462&amp;" "&amp;B462,'HIDDEN import'!A:G,5,FALSE)="M",MD!$A$1,(IF(AND(VLOOKUP(A462,'HIDDEN import'!B:E,4,FALSE)="C",OR(NOT(ISERROR(VLOOKUP(E462,'Optional features'!B:D,1,FALSE)=E462)),NOT(ISERROR(VLOOKUP(E462,'HIDDEN calc sheet'!A:C,1,FALSE)=E462)))),MD!$A$3,MD!$A$2)))</f>
        <v>Mandatory for optional feature</v>
      </c>
      <c r="E462" t="str">
        <f>IF('HIDDEN import'!F461=0,"",'HIDDEN import'!F461)</f>
        <v>NOT SC-5</v>
      </c>
      <c r="F462" t="str">
        <f>IF('HIDDEN import'!G461=0,"",'HIDDEN import'!G461)</f>
        <v/>
      </c>
      <c r="G462" s="19" t="str">
        <f>IFERROR(VLOOKUP($A462,'HIDDEN Testrun Results'!$A:$B,2,FALSE),"")</f>
        <v/>
      </c>
      <c r="H462" s="3" t="b">
        <f t="shared" si="7"/>
        <v>0</v>
      </c>
      <c r="I462" s="3" t="b">
        <f>IF(VLOOKUP(A462&amp;" "&amp;B462,'HIDDEN import'!A:G,5,FALSE)="M",TRUE,IFERROR(VLOOKUP(E462,'Optional features'!B:D,3,FALSE)="Yes",IFERROR(VLOOKUP(E462,'HIDDEN calc sheet'!A:B,2,FALSE),IFERROR(VLOOKUP(E462,'Additional questions'!B:D,3,FALSE)="Yes",VLOOKUP(E462,'Hardware Feature set'!B:D,3,FALSE)="No"))))</f>
        <v>1</v>
      </c>
      <c r="J462" s="3" t="b">
        <f>IF(VLOOKUP(B462,'Profile selection'!B:C,2,FALSE)="Yes",TRUE,FALSE)</f>
        <v>0</v>
      </c>
      <c r="K462"/>
      <c r="L462"/>
    </row>
    <row r="463" spans="1:12" ht="15.75" customHeight="1" x14ac:dyDescent="0.25">
      <c r="A463" t="str">
        <f>'HIDDEN import'!B462</f>
        <v>TC_K_133_CS</v>
      </c>
      <c r="B463" t="str">
        <f>'HIDDEN import'!C462</f>
        <v>Smart Charging</v>
      </c>
      <c r="C463" t="str">
        <f>'HIDDEN import'!D462</f>
        <v>Set Charging Profile - RandomizedDelay unsupported</v>
      </c>
      <c r="D463" t="str">
        <f>IF(VLOOKUP(A463&amp;" "&amp;B463,'HIDDEN import'!A:G,5,FALSE)="M",MD!$A$1,(IF(AND(VLOOKUP(A463,'HIDDEN import'!B:E,4,FALSE)="C",OR(NOT(ISERROR(VLOOKUP(E463,'Optional features'!B:D,1,FALSE)=E463)),NOT(ISERROR(VLOOKUP(E463,'HIDDEN calc sheet'!A:C,1,FALSE)=E463)))),MD!$A$3,MD!$A$2)))</f>
        <v>Mandatory for optional feature</v>
      </c>
      <c r="E463" t="str">
        <f>IF('HIDDEN import'!F462=0,"",'HIDDEN import'!F462)</f>
        <v>NOT SC-7</v>
      </c>
      <c r="F463" t="str">
        <f>IF('HIDDEN import'!G462=0,"",'HIDDEN import'!G462)</f>
        <v/>
      </c>
      <c r="G463" s="19" t="str">
        <f>IFERROR(VLOOKUP($A463,'HIDDEN Testrun Results'!$A:$B,2,FALSE),"")</f>
        <v/>
      </c>
      <c r="H463" s="3" t="b">
        <f t="shared" si="7"/>
        <v>0</v>
      </c>
      <c r="I463" s="3" t="b">
        <f>IF(VLOOKUP(A463&amp;" "&amp;B463,'HIDDEN import'!A:G,5,FALSE)="M",TRUE,IFERROR(VLOOKUP(E463,'Optional features'!B:D,3,FALSE)="Yes",IFERROR(VLOOKUP(E463,'HIDDEN calc sheet'!A:B,2,FALSE),IFERROR(VLOOKUP(E463,'Additional questions'!B:D,3,FALSE)="Yes",VLOOKUP(E463,'Hardware Feature set'!B:D,3,FALSE)="No"))))</f>
        <v>1</v>
      </c>
      <c r="J463" s="3" t="b">
        <f>IF(VLOOKUP(B463,'Profile selection'!B:C,2,FALSE)="Yes",TRUE,FALSE)</f>
        <v>0</v>
      </c>
      <c r="K463"/>
      <c r="L463"/>
    </row>
    <row r="464" spans="1:12" ht="15.75" customHeight="1" x14ac:dyDescent="0.25">
      <c r="A464" t="str">
        <f>'HIDDEN import'!B463</f>
        <v>TC_K_134_CS</v>
      </c>
      <c r="B464" t="str">
        <f>'HIDDEN import'!C463</f>
        <v>Smart Charging</v>
      </c>
      <c r="C464" t="str">
        <f>'HIDDEN import'!D463</f>
        <v>Set Charging Profile - LimitAtSoC unsupported</v>
      </c>
      <c r="D464" t="str">
        <f>IF(VLOOKUP(A464&amp;" "&amp;B464,'HIDDEN import'!A:G,5,FALSE)="M",MD!$A$1,(IF(AND(VLOOKUP(A464,'HIDDEN import'!B:E,4,FALSE)="C",OR(NOT(ISERROR(VLOOKUP(E464,'Optional features'!B:D,1,FALSE)=E464)),NOT(ISERROR(VLOOKUP(E464,'HIDDEN calc sheet'!A:C,1,FALSE)=E464)))),MD!$A$3,MD!$A$2)))</f>
        <v>Mandatory for optional feature</v>
      </c>
      <c r="E464" t="str">
        <f>IF('HIDDEN import'!F463=0,"",'HIDDEN import'!F463)</f>
        <v>NOT SC-3</v>
      </c>
      <c r="F464" t="str">
        <f>IF('HIDDEN import'!G463=0,"",'HIDDEN import'!G463)</f>
        <v/>
      </c>
      <c r="G464" s="19" t="str">
        <f>IFERROR(VLOOKUP($A464,'HIDDEN Testrun Results'!$A:$B,2,FALSE),"")</f>
        <v/>
      </c>
      <c r="H464" s="3" t="b">
        <f t="shared" si="7"/>
        <v>0</v>
      </c>
      <c r="I464" s="3" t="b">
        <f>IF(VLOOKUP(A464&amp;" "&amp;B464,'HIDDEN import'!A:G,5,FALSE)="M",TRUE,IFERROR(VLOOKUP(E464,'Optional features'!B:D,3,FALSE)="Yes",IFERROR(VLOOKUP(E464,'HIDDEN calc sheet'!A:B,2,FALSE),IFERROR(VLOOKUP(E464,'Additional questions'!B:D,3,FALSE)="Yes",VLOOKUP(E464,'Hardware Feature set'!B:D,3,FALSE)="No"))))</f>
        <v>1</v>
      </c>
      <c r="J464" s="3" t="b">
        <f>IF(VLOOKUP(B464,'Profile selection'!B:C,2,FALSE)="Yes",TRUE,FALSE)</f>
        <v>0</v>
      </c>
      <c r="K464"/>
      <c r="L464"/>
    </row>
    <row r="465" spans="1:12" ht="15.75" customHeight="1" x14ac:dyDescent="0.25">
      <c r="A465" t="str">
        <f>'HIDDEN import'!B464</f>
        <v>TC_K_04_CS</v>
      </c>
      <c r="B465" t="str">
        <f>'HIDDEN import'!C464</f>
        <v>Smart Charging</v>
      </c>
      <c r="C465" t="str">
        <f>'HIDDEN import'!D464</f>
        <v>Replace charging profile - With chargingProfileId</v>
      </c>
      <c r="D465" t="str">
        <f>IF(VLOOKUP(A465&amp;" "&amp;B465,'HIDDEN import'!A:G,5,FALSE)="M",MD!$A$1,(IF(AND(VLOOKUP(A465,'HIDDEN import'!B:E,4,FALSE)="C",OR(NOT(ISERROR(VLOOKUP(E465,'Optional features'!B:D,1,FALSE)=E465)),NOT(ISERROR(VLOOKUP(E465,'HIDDEN calc sheet'!A:C,1,FALSE)=E465)))),MD!$A$3,MD!$A$2)))</f>
        <v>Mandatory test for a mandatory feature</v>
      </c>
      <c r="E465" t="str">
        <f>IF('HIDDEN import'!F464=0,"",'HIDDEN import'!F464)</f>
        <v/>
      </c>
      <c r="F465" t="str">
        <f>IF('HIDDEN import'!G464=0,"",'HIDDEN import'!G464)</f>
        <v/>
      </c>
      <c r="G465" s="19" t="str">
        <f>IFERROR(VLOOKUP($A465,'HIDDEN Testrun Results'!$A:$B,2,FALSE),"")</f>
        <v/>
      </c>
      <c r="H465" s="3" t="b">
        <f t="shared" si="7"/>
        <v>0</v>
      </c>
      <c r="I465" s="3" t="b">
        <f>IF(VLOOKUP(A465&amp;" "&amp;B465,'HIDDEN import'!A:G,5,FALSE)="M",TRUE,IFERROR(VLOOKUP(E465,'Optional features'!B:D,3,FALSE)="Yes",IFERROR(VLOOKUP(E465,'HIDDEN calc sheet'!A:B,2,FALSE),IFERROR(VLOOKUP(E465,'Additional questions'!B:D,3,FALSE)="Yes",VLOOKUP(E465,'Hardware Feature set'!B:D,3,FALSE)="No"))))</f>
        <v>1</v>
      </c>
      <c r="J465" s="3" t="b">
        <f>IF(VLOOKUP(B465,'Profile selection'!B:C,2,FALSE)="Yes",TRUE,FALSE)</f>
        <v>0</v>
      </c>
      <c r="K465"/>
      <c r="L465"/>
    </row>
    <row r="466" spans="1:12" ht="15.75" customHeight="1" x14ac:dyDescent="0.25">
      <c r="A466" t="str">
        <f>'HIDDEN import'!B465</f>
        <v>TC_K_37_CS</v>
      </c>
      <c r="B466" t="str">
        <f>'HIDDEN import'!C465</f>
        <v>Smart Charging</v>
      </c>
      <c r="C466" t="str">
        <f>'HIDDEN import'!D465</f>
        <v>Remote start transaction with charging profile - Success</v>
      </c>
      <c r="D466" t="str">
        <f>IF(VLOOKUP(A466&amp;" "&amp;B466,'HIDDEN import'!A:G,5,FALSE)="M",MD!$A$1,(IF(AND(VLOOKUP(A466,'HIDDEN import'!B:E,4,FALSE)="C",OR(NOT(ISERROR(VLOOKUP(E466,'Optional features'!B:D,1,FALSE)=E466)),NOT(ISERROR(VLOOKUP(E466,'HIDDEN calc sheet'!A:C,1,FALSE)=E466)))),MD!$A$3,MD!$A$2)))</f>
        <v>Mandatory test for a mandatory feature</v>
      </c>
      <c r="E466" t="str">
        <f>IF('HIDDEN import'!F465=0,"",'HIDDEN import'!F465)</f>
        <v/>
      </c>
      <c r="F466" t="str">
        <f>IF('HIDDEN import'!G465=0,"",'HIDDEN import'!G465)</f>
        <v/>
      </c>
      <c r="G466" s="19" t="str">
        <f>IFERROR(VLOOKUP($A466,'HIDDEN Testrun Results'!$A:$B,2,FALSE),"")</f>
        <v/>
      </c>
      <c r="H466" s="3" t="b">
        <f t="shared" si="7"/>
        <v>0</v>
      </c>
      <c r="I466" s="3" t="b">
        <f>IF(VLOOKUP(A466&amp;" "&amp;B466,'HIDDEN import'!A:G,5,FALSE)="M",TRUE,IFERROR(VLOOKUP(E466,'Optional features'!B:D,3,FALSE)="Yes",IFERROR(VLOOKUP(E466,'HIDDEN calc sheet'!A:B,2,FALSE),IFERROR(VLOOKUP(E466,'Additional questions'!B:D,3,FALSE)="Yes",VLOOKUP(E466,'Hardware Feature set'!B:D,3,FALSE)="No"))))</f>
        <v>1</v>
      </c>
      <c r="J466" s="3" t="b">
        <f>IF(VLOOKUP(B466,'Profile selection'!B:C,2,FALSE)="Yes",TRUE,FALSE)</f>
        <v>0</v>
      </c>
      <c r="K466"/>
      <c r="L466"/>
    </row>
    <row r="467" spans="1:12" ht="15.75" customHeight="1" x14ac:dyDescent="0.25">
      <c r="A467" t="str">
        <f>'HIDDEN import'!B466</f>
        <v>TC_K_39_CS</v>
      </c>
      <c r="B467" t="str">
        <f>'HIDDEN import'!C466</f>
        <v>Smart Charging</v>
      </c>
      <c r="C467" t="str">
        <f>'HIDDEN import'!D466</f>
        <v>Get Composite Schedule - No ChargingProfile installed on Charging Station</v>
      </c>
      <c r="D467" t="str">
        <f>IF(VLOOKUP(A467&amp;" "&amp;B467,'HIDDEN import'!A:G,5,FALSE)="M",MD!$A$1,(IF(AND(VLOOKUP(A467,'HIDDEN import'!B:E,4,FALSE)="C",OR(NOT(ISERROR(VLOOKUP(E467,'Optional features'!B:D,1,FALSE)=E467)),NOT(ISERROR(VLOOKUP(E467,'HIDDEN calc sheet'!A:C,1,FALSE)=E467)))),MD!$A$3,MD!$A$2)))</f>
        <v>Mandatory test for a mandatory feature</v>
      </c>
      <c r="E467" t="str">
        <f>IF('HIDDEN import'!F466=0,"",'HIDDEN import'!F466)</f>
        <v/>
      </c>
      <c r="F467" t="str">
        <f>IF('HIDDEN import'!G466=0,"",'HIDDEN import'!G466)</f>
        <v/>
      </c>
      <c r="G467" s="19" t="str">
        <f>IFERROR(VLOOKUP($A467,'HIDDEN Testrun Results'!$A:$B,2,FALSE),"")</f>
        <v/>
      </c>
      <c r="H467" s="3" t="b">
        <f t="shared" si="7"/>
        <v>0</v>
      </c>
      <c r="I467" s="3" t="b">
        <f>IF(VLOOKUP(A467&amp;" "&amp;B467,'HIDDEN import'!A:G,5,FALSE)="M",TRUE,IFERROR(VLOOKUP(E467,'Optional features'!B:D,3,FALSE)="Yes",IFERROR(VLOOKUP(E467,'HIDDEN calc sheet'!A:B,2,FALSE),IFERROR(VLOOKUP(E467,'Additional questions'!B:D,3,FALSE)="Yes",VLOOKUP(E467,'Hardware Feature set'!B:D,3,FALSE)="No"))))</f>
        <v>1</v>
      </c>
      <c r="J467" s="3" t="b">
        <f>IF(VLOOKUP(B467,'Profile selection'!B:C,2,FALSE)="Yes",TRUE,FALSE)</f>
        <v>0</v>
      </c>
      <c r="K467"/>
      <c r="L467"/>
    </row>
    <row r="468" spans="1:12" ht="15.75" customHeight="1" x14ac:dyDescent="0.25">
      <c r="A468" t="str">
        <f>'HIDDEN import'!B467</f>
        <v>TC_K_40_CS</v>
      </c>
      <c r="B468" t="str">
        <f>'HIDDEN import'!C467</f>
        <v>Smart Charging</v>
      </c>
      <c r="C468" t="str">
        <f>'HIDDEN import'!D467</f>
        <v>Get Composite Schedule - Stacking ChargingProfiles</v>
      </c>
      <c r="D468" t="str">
        <f>IF(VLOOKUP(A468&amp;" "&amp;B468,'HIDDEN import'!A:G,5,FALSE)="M",MD!$A$1,(IF(AND(VLOOKUP(A468,'HIDDEN import'!B:E,4,FALSE)="C",OR(NOT(ISERROR(VLOOKUP(E468,'Optional features'!B:D,1,FALSE)=E468)),NOT(ISERROR(VLOOKUP(E468,'HIDDEN calc sheet'!A:C,1,FALSE)=E468)))),MD!$A$3,MD!$A$2)))</f>
        <v>Mandatory test for a mandatory feature</v>
      </c>
      <c r="E468" t="str">
        <f>IF('HIDDEN import'!F467=0,"",'HIDDEN import'!F467)</f>
        <v/>
      </c>
      <c r="F468" t="str">
        <f>IF('HIDDEN import'!G467=0,"",'HIDDEN import'!G467)</f>
        <v/>
      </c>
      <c r="G468" s="19" t="str">
        <f>IFERROR(VLOOKUP($A468,'HIDDEN Testrun Results'!$A:$B,2,FALSE),"")</f>
        <v/>
      </c>
      <c r="H468" s="3" t="b">
        <f t="shared" si="7"/>
        <v>0</v>
      </c>
      <c r="I468" s="3" t="b">
        <f>IF(VLOOKUP(A468&amp;" "&amp;B468,'HIDDEN import'!A:G,5,FALSE)="M",TRUE,IFERROR(VLOOKUP(E468,'Optional features'!B:D,3,FALSE)="Yes",IFERROR(VLOOKUP(E468,'HIDDEN calc sheet'!A:B,2,FALSE),IFERROR(VLOOKUP(E468,'Additional questions'!B:D,3,FALSE)="Yes",VLOOKUP(E468,'Hardware Feature set'!B:D,3,FALSE)="No"))))</f>
        <v>1</v>
      </c>
      <c r="J468" s="3" t="b">
        <f>IF(VLOOKUP(B468,'Profile selection'!B:C,2,FALSE)="Yes",TRUE,FALSE)</f>
        <v>0</v>
      </c>
      <c r="K468"/>
      <c r="L468"/>
    </row>
    <row r="469" spans="1:12" ht="15.75" customHeight="1" x14ac:dyDescent="0.25">
      <c r="A469" t="str">
        <f>'HIDDEN import'!B468</f>
        <v>TC_K_41_CS</v>
      </c>
      <c r="B469" t="str">
        <f>'HIDDEN import'!C468</f>
        <v>Smart Charging</v>
      </c>
      <c r="C469" t="str">
        <f>'HIDDEN import'!D468</f>
        <v>Get Composite Schedule - Combining chargingProfilePurposes</v>
      </c>
      <c r="D469" t="str">
        <f>IF(VLOOKUP(A469&amp;" "&amp;B469,'HIDDEN import'!A:G,5,FALSE)="M",MD!$A$1,(IF(AND(VLOOKUP(A469,'HIDDEN import'!B:E,4,FALSE)="C",OR(NOT(ISERROR(VLOOKUP(E469,'Optional features'!B:D,1,FALSE)=E469)),NOT(ISERROR(VLOOKUP(E469,'HIDDEN calc sheet'!A:C,1,FALSE)=E469)))),MD!$A$3,MD!$A$2)))</f>
        <v>Mandatory test for a mandatory feature</v>
      </c>
      <c r="E469" t="str">
        <f>IF('HIDDEN import'!F468=0,"",'HIDDEN import'!F468)</f>
        <v/>
      </c>
      <c r="F469" t="str">
        <f>IF('HIDDEN import'!G468=0,"",'HIDDEN import'!G468)</f>
        <v/>
      </c>
      <c r="G469" s="19" t="str">
        <f>IFERROR(VLOOKUP($A469,'HIDDEN Testrun Results'!$A:$B,2,FALSE),"")</f>
        <v/>
      </c>
      <c r="H469" s="3" t="b">
        <f t="shared" si="7"/>
        <v>0</v>
      </c>
      <c r="I469" s="3" t="b">
        <f>IF(VLOOKUP(A469&amp;" "&amp;B469,'HIDDEN import'!A:G,5,FALSE)="M",TRUE,IFERROR(VLOOKUP(E469,'Optional features'!B:D,3,FALSE)="Yes",IFERROR(VLOOKUP(E469,'HIDDEN calc sheet'!A:B,2,FALSE),IFERROR(VLOOKUP(E469,'Additional questions'!B:D,3,FALSE)="Yes",VLOOKUP(E469,'Hardware Feature set'!B:D,3,FALSE)="No"))))</f>
        <v>1</v>
      </c>
      <c r="J469" s="3" t="b">
        <f>IF(VLOOKUP(B469,'Profile selection'!B:C,2,FALSE)="Yes",TRUE,FALSE)</f>
        <v>0</v>
      </c>
      <c r="K469"/>
      <c r="L469"/>
    </row>
    <row r="470" spans="1:12" ht="15.75" customHeight="1" x14ac:dyDescent="0.25">
      <c r="A470" t="str">
        <f>'HIDDEN import'!B469</f>
        <v>TC_K_42_CS</v>
      </c>
      <c r="B470" t="str">
        <f>'HIDDEN import'!C469</f>
        <v>Smart Charging</v>
      </c>
      <c r="C470" t="str">
        <f>'HIDDEN import'!D469</f>
        <v>Get Composite Schedule - chargingRateUnit not supported</v>
      </c>
      <c r="D470" t="str">
        <f>IF(VLOOKUP(A470&amp;" "&amp;B470,'HIDDEN import'!A:G,5,FALSE)="M",MD!$A$1,(IF(AND(VLOOKUP(A470,'HIDDEN import'!B:E,4,FALSE)="C",OR(NOT(ISERROR(VLOOKUP(E470,'Optional features'!B:D,1,FALSE)=E470)),NOT(ISERROR(VLOOKUP(E470,'HIDDEN calc sheet'!A:C,1,FALSE)=E470)))),MD!$A$3,MD!$A$2)))</f>
        <v>Mandatory for optional feature</v>
      </c>
      <c r="E470" t="str">
        <f>IF('HIDDEN import'!F469=0,"",'HIDDEN import'!F469)</f>
        <v>NOT (SC-2.1 and SC-2.2)</v>
      </c>
      <c r="F470" t="str">
        <f>IF('HIDDEN import'!G469=0,"",'HIDDEN import'!G469)</f>
        <v/>
      </c>
      <c r="G470" s="19" t="str">
        <f>IFERROR(VLOOKUP($A470,'HIDDEN Testrun Results'!$A:$B,2,FALSE),"")</f>
        <v/>
      </c>
      <c r="H470" s="3" t="b">
        <f t="shared" si="7"/>
        <v>0</v>
      </c>
      <c r="I470" s="3" t="b">
        <f>IF(VLOOKUP(A470&amp;" "&amp;B470,'HIDDEN import'!A:G,5,FALSE)="M",TRUE,IFERROR(VLOOKUP(E470,'Optional features'!B:D,3,FALSE)="Yes",IFERROR(VLOOKUP(E470,'HIDDEN calc sheet'!A:B,2,FALSE),IFERROR(VLOOKUP(E470,'Additional questions'!B:D,3,FALSE)="Yes",VLOOKUP(E470,'Hardware Feature set'!B:D,3,FALSE)="No"))))</f>
        <v>1</v>
      </c>
      <c r="J470" s="3" t="b">
        <f>IF(VLOOKUP(B470,'Profile selection'!B:C,2,FALSE)="Yes",TRUE,FALSE)</f>
        <v>0</v>
      </c>
      <c r="K470"/>
      <c r="L470"/>
    </row>
    <row r="471" spans="1:12" ht="15.75" customHeight="1" x14ac:dyDescent="0.25">
      <c r="A471" t="str">
        <f>'HIDDEN import'!B470</f>
        <v>TC_K_47_CS</v>
      </c>
      <c r="B471" t="str">
        <f>'HIDDEN import'!C470</f>
        <v>Smart Charging</v>
      </c>
      <c r="C471" t="str">
        <f>'HIDDEN import'!D470</f>
        <v>Get Composite Schedule - Unknown EVSEId</v>
      </c>
      <c r="D471" t="str">
        <f>IF(VLOOKUP(A471&amp;" "&amp;B471,'HIDDEN import'!A:G,5,FALSE)="M",MD!$A$1,(IF(AND(VLOOKUP(A471,'HIDDEN import'!B:E,4,FALSE)="C",OR(NOT(ISERROR(VLOOKUP(E471,'Optional features'!B:D,1,FALSE)=E471)),NOT(ISERROR(VLOOKUP(E471,'HIDDEN calc sheet'!A:C,1,FALSE)=E471)))),MD!$A$3,MD!$A$2)))</f>
        <v>Mandatory test for a mandatory feature</v>
      </c>
      <c r="E471" t="str">
        <f>IF('HIDDEN import'!F470=0,"",'HIDDEN import'!F470)</f>
        <v/>
      </c>
      <c r="F471" t="str">
        <f>IF('HIDDEN import'!G470=0,"",'HIDDEN import'!G470)</f>
        <v/>
      </c>
      <c r="G471" s="19" t="str">
        <f>IFERROR(VLOOKUP($A471,'HIDDEN Testrun Results'!$A:$B,2,FALSE),"")</f>
        <v/>
      </c>
      <c r="H471" s="3" t="b">
        <f t="shared" si="7"/>
        <v>0</v>
      </c>
      <c r="I471" s="3" t="b">
        <f>IF(VLOOKUP(A471&amp;" "&amp;B471,'HIDDEN import'!A:G,5,FALSE)="M",TRUE,IFERROR(VLOOKUP(E471,'Optional features'!B:D,3,FALSE)="Yes",IFERROR(VLOOKUP(E471,'HIDDEN calc sheet'!A:B,2,FALSE),IFERROR(VLOOKUP(E471,'Additional questions'!B:D,3,FALSE)="Yes",VLOOKUP(E471,'Hardware Feature set'!B:D,3,FALSE)="No"))))</f>
        <v>1</v>
      </c>
      <c r="J471" s="3" t="b">
        <f>IF(VLOOKUP(B471,'Profile selection'!B:C,2,FALSE)="Yes",TRUE,FALSE)</f>
        <v>0</v>
      </c>
      <c r="K471"/>
      <c r="L471"/>
    </row>
    <row r="472" spans="1:12" ht="15.75" customHeight="1" x14ac:dyDescent="0.25">
      <c r="A472" t="str">
        <f>'HIDDEN import'!B471</f>
        <v>TC_K_112_CS</v>
      </c>
      <c r="B472" t="str">
        <f>'HIDDEN import'!C471</f>
        <v>Smart Charging</v>
      </c>
      <c r="C472" t="str">
        <f>'HIDDEN import'!D471</f>
        <v>Get Composite Schedule - randomizedDelay</v>
      </c>
      <c r="D472" t="str">
        <f>IF(VLOOKUP(A472&amp;" "&amp;B472,'HIDDEN import'!A:G,5,FALSE)="M",MD!$A$1,(IF(AND(VLOOKUP(A472,'HIDDEN import'!B:E,4,FALSE)="C",OR(NOT(ISERROR(VLOOKUP(E472,'Optional features'!B:D,1,FALSE)=E472)),NOT(ISERROR(VLOOKUP(E472,'HIDDEN calc sheet'!A:C,1,FALSE)=E472)))),MD!$A$3,MD!$A$2)))</f>
        <v>Mandatory for optional feature</v>
      </c>
      <c r="E472" t="str">
        <f>IF('HIDDEN import'!F471=0,"",'HIDDEN import'!F471)</f>
        <v>SC-7</v>
      </c>
      <c r="F472" t="str">
        <f>IF('HIDDEN import'!G471=0,"",'HIDDEN import'!G471)</f>
        <v>Support for using randomized delays</v>
      </c>
      <c r="G472" s="19" t="str">
        <f>IFERROR(VLOOKUP($A472,'HIDDEN Testrun Results'!$A:$B,2,FALSE),"")</f>
        <v/>
      </c>
      <c r="H472" s="3" t="b">
        <f t="shared" si="7"/>
        <v>0</v>
      </c>
      <c r="I472" s="3" t="b">
        <f>IF(VLOOKUP(A472&amp;" "&amp;B472,'HIDDEN import'!A:G,5,FALSE)="M",TRUE,IFERROR(VLOOKUP(E472,'Optional features'!B:D,3,FALSE)="Yes",IFERROR(VLOOKUP(E472,'HIDDEN calc sheet'!A:B,2,FALSE),IFERROR(VLOOKUP(E472,'Additional questions'!B:D,3,FALSE)="Yes",VLOOKUP(E472,'Hardware Feature set'!B:D,3,FALSE)="No"))))</f>
        <v>0</v>
      </c>
      <c r="J472" s="3" t="b">
        <f>IF(VLOOKUP(B472,'Profile selection'!B:C,2,FALSE)="Yes",TRUE,FALSE)</f>
        <v>0</v>
      </c>
      <c r="K472"/>
      <c r="L472"/>
    </row>
    <row r="473" spans="1:12" ht="15.75" customHeight="1" x14ac:dyDescent="0.25">
      <c r="A473" t="str">
        <f>'HIDDEN import'!B472</f>
        <v>TC_K_29_CS</v>
      </c>
      <c r="B473" t="str">
        <f>'HIDDEN import'!C472</f>
        <v>Smart Charging</v>
      </c>
      <c r="C473" t="str">
        <f>'HIDDEN import'!D472</f>
        <v>Get Charging Profile - EvseId 0</v>
      </c>
      <c r="D473" t="str">
        <f>IF(VLOOKUP(A473&amp;" "&amp;B473,'HIDDEN import'!A:G,5,FALSE)="M",MD!$A$1,(IF(AND(VLOOKUP(A473,'HIDDEN import'!B:E,4,FALSE)="C",OR(NOT(ISERROR(VLOOKUP(E473,'Optional features'!B:D,1,FALSE)=E473)),NOT(ISERROR(VLOOKUP(E473,'HIDDEN calc sheet'!A:C,1,FALSE)=E473)))),MD!$A$3,MD!$A$2)))</f>
        <v>Mandatory test for a mandatory feature</v>
      </c>
      <c r="E473" t="str">
        <f>IF('HIDDEN import'!F472=0,"",'HIDDEN import'!F472)</f>
        <v/>
      </c>
      <c r="F473" t="str">
        <f>IF('HIDDEN import'!G472=0,"",'HIDDEN import'!G472)</f>
        <v/>
      </c>
      <c r="G473" s="19" t="str">
        <f>IFERROR(VLOOKUP($A473,'HIDDEN Testrun Results'!$A:$B,2,FALSE),"")</f>
        <v/>
      </c>
      <c r="H473" s="3" t="b">
        <f t="shared" si="7"/>
        <v>0</v>
      </c>
      <c r="I473" s="3" t="b">
        <f>IF(VLOOKUP(A473&amp;" "&amp;B473,'HIDDEN import'!A:G,5,FALSE)="M",TRUE,IFERROR(VLOOKUP(E473,'Optional features'!B:D,3,FALSE)="Yes",IFERROR(VLOOKUP(E473,'HIDDEN calc sheet'!A:B,2,FALSE),IFERROR(VLOOKUP(E473,'Additional questions'!B:D,3,FALSE)="Yes",VLOOKUP(E473,'Hardware Feature set'!B:D,3,FALSE)="No"))))</f>
        <v>1</v>
      </c>
      <c r="J473" s="3" t="b">
        <f>IF(VLOOKUP(B473,'Profile selection'!B:C,2,FALSE)="Yes",TRUE,FALSE)</f>
        <v>0</v>
      </c>
      <c r="K473"/>
      <c r="L473"/>
    </row>
    <row r="474" spans="1:12" ht="15.75" customHeight="1" x14ac:dyDescent="0.25">
      <c r="A474" t="str">
        <f>'HIDDEN import'!B473</f>
        <v>TC_K_30_CS</v>
      </c>
      <c r="B474" t="str">
        <f>'HIDDEN import'!C473</f>
        <v>Smart Charging</v>
      </c>
      <c r="C474" t="str">
        <f>'HIDDEN import'!D473</f>
        <v>Get Charging Profile - EvseId &gt; 0</v>
      </c>
      <c r="D474" t="str">
        <f>IF(VLOOKUP(A474&amp;" "&amp;B474,'HIDDEN import'!A:G,5,FALSE)="M",MD!$A$1,(IF(AND(VLOOKUP(A474,'HIDDEN import'!B:E,4,FALSE)="C",OR(NOT(ISERROR(VLOOKUP(E474,'Optional features'!B:D,1,FALSE)=E474)),NOT(ISERROR(VLOOKUP(E474,'HIDDEN calc sheet'!A:C,1,FALSE)=E474)))),MD!$A$3,MD!$A$2)))</f>
        <v>Mandatory test for a mandatory feature</v>
      </c>
      <c r="E474" t="str">
        <f>IF('HIDDEN import'!F473=0,"",'HIDDEN import'!F473)</f>
        <v/>
      </c>
      <c r="F474" t="str">
        <f>IF('HIDDEN import'!G473=0,"",'HIDDEN import'!G473)</f>
        <v/>
      </c>
      <c r="G474" s="19" t="str">
        <f>IFERROR(VLOOKUP($A474,'HIDDEN Testrun Results'!$A:$B,2,FALSE),"")</f>
        <v/>
      </c>
      <c r="H474" s="3" t="b">
        <f t="shared" si="7"/>
        <v>0</v>
      </c>
      <c r="I474" s="3" t="b">
        <f>IF(VLOOKUP(A474&amp;" "&amp;B474,'HIDDEN import'!A:G,5,FALSE)="M",TRUE,IFERROR(VLOOKUP(E474,'Optional features'!B:D,3,FALSE)="Yes",IFERROR(VLOOKUP(E474,'HIDDEN calc sheet'!A:B,2,FALSE),IFERROR(VLOOKUP(E474,'Additional questions'!B:D,3,FALSE)="Yes",VLOOKUP(E474,'Hardware Feature set'!B:D,3,FALSE)="No"))))</f>
        <v>1</v>
      </c>
      <c r="J474" s="3" t="b">
        <f>IF(VLOOKUP(B474,'Profile selection'!B:C,2,FALSE)="Yes",TRUE,FALSE)</f>
        <v>0</v>
      </c>
      <c r="K474"/>
      <c r="L474"/>
    </row>
    <row r="475" spans="1:12" ht="15.75" customHeight="1" x14ac:dyDescent="0.25">
      <c r="A475" t="str">
        <f>'HIDDEN import'!B474</f>
        <v>TC_K_31_CS</v>
      </c>
      <c r="B475" t="str">
        <f>'HIDDEN import'!C474</f>
        <v>Smart Charging</v>
      </c>
      <c r="C475" t="str">
        <f>'HIDDEN import'!D474</f>
        <v>Get Charging Profile - No EvseId</v>
      </c>
      <c r="D475" t="str">
        <f>IF(VLOOKUP(A475&amp;" "&amp;B475,'HIDDEN import'!A:G,5,FALSE)="M",MD!$A$1,(IF(AND(VLOOKUP(A475,'HIDDEN import'!B:E,4,FALSE)="C",OR(NOT(ISERROR(VLOOKUP(E475,'Optional features'!B:D,1,FALSE)=E475)),NOT(ISERROR(VLOOKUP(E475,'HIDDEN calc sheet'!A:C,1,FALSE)=E475)))),MD!$A$3,MD!$A$2)))</f>
        <v>Mandatory test for a mandatory feature</v>
      </c>
      <c r="E475" t="str">
        <f>IF('HIDDEN import'!F474=0,"",'HIDDEN import'!F474)</f>
        <v/>
      </c>
      <c r="F475" t="str">
        <f>IF('HIDDEN import'!G474=0,"",'HIDDEN import'!G474)</f>
        <v/>
      </c>
      <c r="G475" s="19" t="str">
        <f>IFERROR(VLOOKUP($A475,'HIDDEN Testrun Results'!$A:$B,2,FALSE),"")</f>
        <v/>
      </c>
      <c r="H475" s="3" t="b">
        <f t="shared" si="7"/>
        <v>0</v>
      </c>
      <c r="I475" s="3" t="b">
        <f>IF(VLOOKUP(A475&amp;" "&amp;B475,'HIDDEN import'!A:G,5,FALSE)="M",TRUE,IFERROR(VLOOKUP(E475,'Optional features'!B:D,3,FALSE)="Yes",IFERROR(VLOOKUP(E475,'HIDDEN calc sheet'!A:B,2,FALSE),IFERROR(VLOOKUP(E475,'Additional questions'!B:D,3,FALSE)="Yes",VLOOKUP(E475,'Hardware Feature set'!B:D,3,FALSE)="No"))))</f>
        <v>1</v>
      </c>
      <c r="J475" s="3" t="b">
        <f>IF(VLOOKUP(B475,'Profile selection'!B:C,2,FALSE)="Yes",TRUE,FALSE)</f>
        <v>0</v>
      </c>
      <c r="K475"/>
      <c r="L475"/>
    </row>
    <row r="476" spans="1:12" ht="15.75" customHeight="1" x14ac:dyDescent="0.25">
      <c r="A476" t="str">
        <f>'HIDDEN import'!B475</f>
        <v>TC_K_32_CS</v>
      </c>
      <c r="B476" t="str">
        <f>'HIDDEN import'!C475</f>
        <v>Smart Charging</v>
      </c>
      <c r="C476" t="str">
        <f>'HIDDEN import'!D475</f>
        <v>Get Charging Profile - chargingProfileId</v>
      </c>
      <c r="D476" t="str">
        <f>IF(VLOOKUP(A476&amp;" "&amp;B476,'HIDDEN import'!A:G,5,FALSE)="M",MD!$A$1,(IF(AND(VLOOKUP(A476,'HIDDEN import'!B:E,4,FALSE)="C",OR(NOT(ISERROR(VLOOKUP(E476,'Optional features'!B:D,1,FALSE)=E476)),NOT(ISERROR(VLOOKUP(E476,'HIDDEN calc sheet'!A:C,1,FALSE)=E476)))),MD!$A$3,MD!$A$2)))</f>
        <v>Mandatory test for a mandatory feature</v>
      </c>
      <c r="E476" t="str">
        <f>IF('HIDDEN import'!F475=0,"",'HIDDEN import'!F475)</f>
        <v/>
      </c>
      <c r="F476" t="str">
        <f>IF('HIDDEN import'!G475=0,"",'HIDDEN import'!G475)</f>
        <v/>
      </c>
      <c r="G476" s="19" t="str">
        <f>IFERROR(VLOOKUP($A476,'HIDDEN Testrun Results'!$A:$B,2,FALSE),"")</f>
        <v/>
      </c>
      <c r="H476" s="3" t="b">
        <f t="shared" si="7"/>
        <v>0</v>
      </c>
      <c r="I476" s="3" t="b">
        <f>IF(VLOOKUP(A476&amp;" "&amp;B476,'HIDDEN import'!A:G,5,FALSE)="M",TRUE,IFERROR(VLOOKUP(E476,'Optional features'!B:D,3,FALSE)="Yes",IFERROR(VLOOKUP(E476,'HIDDEN calc sheet'!A:B,2,FALSE),IFERROR(VLOOKUP(E476,'Additional questions'!B:D,3,FALSE)="Yes",VLOOKUP(E476,'Hardware Feature set'!B:D,3,FALSE)="No"))))</f>
        <v>1</v>
      </c>
      <c r="J476" s="3" t="b">
        <f>IF(VLOOKUP(B476,'Profile selection'!B:C,2,FALSE)="Yes",TRUE,FALSE)</f>
        <v>0</v>
      </c>
      <c r="K476"/>
      <c r="L476"/>
    </row>
    <row r="477" spans="1:12" ht="15.75" customHeight="1" x14ac:dyDescent="0.25">
      <c r="A477" t="str">
        <f>'HIDDEN import'!B476</f>
        <v>TC_K_33_CS</v>
      </c>
      <c r="B477" t="str">
        <f>'HIDDEN import'!C476</f>
        <v>Smart Charging</v>
      </c>
      <c r="C477" t="str">
        <f>'HIDDEN import'!D476</f>
        <v>Get Charging Profile - EvseId &gt; 0 + stackLevel</v>
      </c>
      <c r="D477" t="str">
        <f>IF(VLOOKUP(A477&amp;" "&amp;B477,'HIDDEN import'!A:G,5,FALSE)="M",MD!$A$1,(IF(AND(VLOOKUP(A477,'HIDDEN import'!B:E,4,FALSE)="C",OR(NOT(ISERROR(VLOOKUP(E477,'Optional features'!B:D,1,FALSE)=E477)),NOT(ISERROR(VLOOKUP(E477,'HIDDEN calc sheet'!A:C,1,FALSE)=E477)))),MD!$A$3,MD!$A$2)))</f>
        <v>Mandatory test for a mandatory feature</v>
      </c>
      <c r="E477" t="str">
        <f>IF('HIDDEN import'!F476=0,"",'HIDDEN import'!F476)</f>
        <v/>
      </c>
      <c r="F477" t="str">
        <f>IF('HIDDEN import'!G476=0,"",'HIDDEN import'!G476)</f>
        <v/>
      </c>
      <c r="G477" s="19" t="str">
        <f>IFERROR(VLOOKUP($A477,'HIDDEN Testrun Results'!$A:$B,2,FALSE),"")</f>
        <v/>
      </c>
      <c r="H477" s="3" t="b">
        <f t="shared" si="7"/>
        <v>0</v>
      </c>
      <c r="I477" s="3" t="b">
        <f>IF(VLOOKUP(A477&amp;" "&amp;B477,'HIDDEN import'!A:G,5,FALSE)="M",TRUE,IFERROR(VLOOKUP(E477,'Optional features'!B:D,3,FALSE)="Yes",IFERROR(VLOOKUP(E477,'HIDDEN calc sheet'!A:B,2,FALSE),IFERROR(VLOOKUP(E477,'Additional questions'!B:D,3,FALSE)="Yes",VLOOKUP(E477,'Hardware Feature set'!B:D,3,FALSE)="No"))))</f>
        <v>1</v>
      </c>
      <c r="J477" s="3" t="b">
        <f>IF(VLOOKUP(B477,'Profile selection'!B:C,2,FALSE)="Yes",TRUE,FALSE)</f>
        <v>0</v>
      </c>
      <c r="K477"/>
      <c r="L477"/>
    </row>
    <row r="478" spans="1:12" ht="15.75" customHeight="1" x14ac:dyDescent="0.25">
      <c r="A478" t="str">
        <f>'HIDDEN import'!B477</f>
        <v>TC_K_34_CS</v>
      </c>
      <c r="B478" t="str">
        <f>'HIDDEN import'!C477</f>
        <v>Smart Charging</v>
      </c>
      <c r="C478" t="str">
        <f>'HIDDEN import'!D477</f>
        <v>Get Charging Profile - EvseId &gt; 0 + chargingLimitSource</v>
      </c>
      <c r="D478" t="str">
        <f>IF(VLOOKUP(A478&amp;" "&amp;B478,'HIDDEN import'!A:G,5,FALSE)="M",MD!$A$1,(IF(AND(VLOOKUP(A478,'HIDDEN import'!B:E,4,FALSE)="C",OR(NOT(ISERROR(VLOOKUP(E478,'Optional features'!B:D,1,FALSE)=E478)),NOT(ISERROR(VLOOKUP(E478,'HIDDEN calc sheet'!A:C,1,FALSE)=E478)))),MD!$A$3,MD!$A$2)))</f>
        <v>Mandatory test for a mandatory feature</v>
      </c>
      <c r="E478" t="str">
        <f>IF('HIDDEN import'!F477=0,"",'HIDDEN import'!F477)</f>
        <v/>
      </c>
      <c r="F478" t="str">
        <f>IF('HIDDEN import'!G477=0,"",'HIDDEN import'!G477)</f>
        <v/>
      </c>
      <c r="G478" s="19" t="str">
        <f>IFERROR(VLOOKUP($A478,'HIDDEN Testrun Results'!$A:$B,2,FALSE),"")</f>
        <v/>
      </c>
      <c r="H478" s="3" t="b">
        <f t="shared" si="7"/>
        <v>0</v>
      </c>
      <c r="I478" s="3" t="b">
        <f>IF(VLOOKUP(A478&amp;" "&amp;B478,'HIDDEN import'!A:G,5,FALSE)="M",TRUE,IFERROR(VLOOKUP(E478,'Optional features'!B:D,3,FALSE)="Yes",IFERROR(VLOOKUP(E478,'HIDDEN calc sheet'!A:B,2,FALSE),IFERROR(VLOOKUP(E478,'Additional questions'!B:D,3,FALSE)="Yes",VLOOKUP(E478,'Hardware Feature set'!B:D,3,FALSE)="No"))))</f>
        <v>1</v>
      </c>
      <c r="J478" s="3" t="b">
        <f>IF(VLOOKUP(B478,'Profile selection'!B:C,2,FALSE)="Yes",TRUE,FALSE)</f>
        <v>0</v>
      </c>
      <c r="K478"/>
      <c r="L478"/>
    </row>
    <row r="479" spans="1:12" ht="15.75" customHeight="1" x14ac:dyDescent="0.25">
      <c r="A479" t="str">
        <f>'HIDDEN import'!B478</f>
        <v>TC_K_35_CS</v>
      </c>
      <c r="B479" t="str">
        <f>'HIDDEN import'!C478</f>
        <v>Smart Charging</v>
      </c>
      <c r="C479" t="str">
        <f>'HIDDEN import'!D478</f>
        <v>Get Charging Profile - EvseId &gt; 0 + chargingProfilePurpose</v>
      </c>
      <c r="D479" t="str">
        <f>IF(VLOOKUP(A479&amp;" "&amp;B479,'HIDDEN import'!A:G,5,FALSE)="M",MD!$A$1,(IF(AND(VLOOKUP(A479,'HIDDEN import'!B:E,4,FALSE)="C",OR(NOT(ISERROR(VLOOKUP(E479,'Optional features'!B:D,1,FALSE)=E479)),NOT(ISERROR(VLOOKUP(E479,'HIDDEN calc sheet'!A:C,1,FALSE)=E479)))),MD!$A$3,MD!$A$2)))</f>
        <v>Mandatory test for a mandatory feature</v>
      </c>
      <c r="E479" t="str">
        <f>IF('HIDDEN import'!F478=0,"",'HIDDEN import'!F478)</f>
        <v/>
      </c>
      <c r="F479" t="str">
        <f>IF('HIDDEN import'!G478=0,"",'HIDDEN import'!G478)</f>
        <v/>
      </c>
      <c r="G479" s="19" t="str">
        <f>IFERROR(VLOOKUP($A479,'HIDDEN Testrun Results'!$A:$B,2,FALSE),"")</f>
        <v/>
      </c>
      <c r="H479" s="3" t="b">
        <f t="shared" si="7"/>
        <v>0</v>
      </c>
      <c r="I479" s="3" t="b">
        <f>IF(VLOOKUP(A479&amp;" "&amp;B479,'HIDDEN import'!A:G,5,FALSE)="M",TRUE,IFERROR(VLOOKUP(E479,'Optional features'!B:D,3,FALSE)="Yes",IFERROR(VLOOKUP(E479,'HIDDEN calc sheet'!A:B,2,FALSE),IFERROR(VLOOKUP(E479,'Additional questions'!B:D,3,FALSE)="Yes",VLOOKUP(E479,'Hardware Feature set'!B:D,3,FALSE)="No"))))</f>
        <v>1</v>
      </c>
      <c r="J479" s="3" t="b">
        <f>IF(VLOOKUP(B479,'Profile selection'!B:C,2,FALSE)="Yes",TRUE,FALSE)</f>
        <v>0</v>
      </c>
      <c r="K479"/>
      <c r="L479"/>
    </row>
    <row r="480" spans="1:12" ht="15.75" customHeight="1" x14ac:dyDescent="0.25">
      <c r="A480" t="str">
        <f>'HIDDEN import'!B479</f>
        <v>TC_K_36_CS</v>
      </c>
      <c r="B480" t="str">
        <f>'HIDDEN import'!C479</f>
        <v>Smart Charging</v>
      </c>
      <c r="C480" t="str">
        <f>'HIDDEN import'!D479</f>
        <v>Get Charging Profile - EvseId &gt; 0 + chargingProfilePurpose + stackLevel</v>
      </c>
      <c r="D480" t="str">
        <f>IF(VLOOKUP(A480&amp;" "&amp;B480,'HIDDEN import'!A:G,5,FALSE)="M",MD!$A$1,(IF(AND(VLOOKUP(A480,'HIDDEN import'!B:E,4,FALSE)="C",OR(NOT(ISERROR(VLOOKUP(E480,'Optional features'!B:D,1,FALSE)=E480)),NOT(ISERROR(VLOOKUP(E480,'HIDDEN calc sheet'!A:C,1,FALSE)=E480)))),MD!$A$3,MD!$A$2)))</f>
        <v>Mandatory test for a mandatory feature</v>
      </c>
      <c r="E480" t="str">
        <f>IF('HIDDEN import'!F479=0,"",'HIDDEN import'!F479)</f>
        <v/>
      </c>
      <c r="F480" t="str">
        <f>IF('HIDDEN import'!G479=0,"",'HIDDEN import'!G479)</f>
        <v/>
      </c>
      <c r="G480" s="19" t="str">
        <f>IFERROR(VLOOKUP($A480,'HIDDEN Testrun Results'!$A:$B,2,FALSE),"")</f>
        <v/>
      </c>
      <c r="H480" s="3" t="b">
        <f t="shared" si="7"/>
        <v>0</v>
      </c>
      <c r="I480" s="3" t="b">
        <f>IF(VLOOKUP(A480&amp;" "&amp;B480,'HIDDEN import'!A:G,5,FALSE)="M",TRUE,IFERROR(VLOOKUP(E480,'Optional features'!B:D,3,FALSE)="Yes",IFERROR(VLOOKUP(E480,'HIDDEN calc sheet'!A:B,2,FALSE),IFERROR(VLOOKUP(E480,'Additional questions'!B:D,3,FALSE)="Yes",VLOOKUP(E480,'Hardware Feature set'!B:D,3,FALSE)="No"))))</f>
        <v>1</v>
      </c>
      <c r="J480" s="3" t="b">
        <f>IF(VLOOKUP(B480,'Profile selection'!B:C,2,FALSE)="Yes",TRUE,FALSE)</f>
        <v>0</v>
      </c>
      <c r="K480"/>
      <c r="L480"/>
    </row>
    <row r="481" spans="1:12" ht="15.75" customHeight="1" x14ac:dyDescent="0.25">
      <c r="A481" t="str">
        <f>'HIDDEN import'!B480</f>
        <v>TC_K_05_CS</v>
      </c>
      <c r="B481" t="str">
        <f>'HIDDEN import'!C480</f>
        <v>Smart Charging</v>
      </c>
      <c r="C481" t="str">
        <f>'HIDDEN import'!D480</f>
        <v>Clear Charging Profile - With chargingProfileId</v>
      </c>
      <c r="D481" t="str">
        <f>IF(VLOOKUP(A481&amp;" "&amp;B481,'HIDDEN import'!A:G,5,FALSE)="M",MD!$A$1,(IF(AND(VLOOKUP(A481,'HIDDEN import'!B:E,4,FALSE)="C",OR(NOT(ISERROR(VLOOKUP(E481,'Optional features'!B:D,1,FALSE)=E481)),NOT(ISERROR(VLOOKUP(E481,'HIDDEN calc sheet'!A:C,1,FALSE)=E481)))),MD!$A$3,MD!$A$2)))</f>
        <v>Mandatory test for a mandatory feature</v>
      </c>
      <c r="E481" t="str">
        <f>IF('HIDDEN import'!F480=0,"",'HIDDEN import'!F480)</f>
        <v/>
      </c>
      <c r="F481" t="str">
        <f>IF('HIDDEN import'!G480=0,"",'HIDDEN import'!G480)</f>
        <v/>
      </c>
      <c r="G481" s="19" t="str">
        <f>IFERROR(VLOOKUP($A481,'HIDDEN Testrun Results'!$A:$B,2,FALSE),"")</f>
        <v/>
      </c>
      <c r="H481" s="3" t="b">
        <f t="shared" si="7"/>
        <v>0</v>
      </c>
      <c r="I481" s="3" t="b">
        <f>IF(VLOOKUP(A481&amp;" "&amp;B481,'HIDDEN import'!A:G,5,FALSE)="M",TRUE,IFERROR(VLOOKUP(E481,'Optional features'!B:D,3,FALSE)="Yes",IFERROR(VLOOKUP(E481,'HIDDEN calc sheet'!A:B,2,FALSE),IFERROR(VLOOKUP(E481,'Additional questions'!B:D,3,FALSE)="Yes",VLOOKUP(E481,'Hardware Feature set'!B:D,3,FALSE)="No"))))</f>
        <v>1</v>
      </c>
      <c r="J481" s="3" t="b">
        <f>IF(VLOOKUP(B481,'Profile selection'!B:C,2,FALSE)="Yes",TRUE,FALSE)</f>
        <v>0</v>
      </c>
      <c r="K481"/>
      <c r="L481"/>
    </row>
    <row r="482" spans="1:12" ht="15.75" customHeight="1" x14ac:dyDescent="0.25">
      <c r="A482" t="str">
        <f>'HIDDEN import'!B481</f>
        <v>TC_K_06_CS</v>
      </c>
      <c r="B482" t="str">
        <f>'HIDDEN import'!C481</f>
        <v>Smart Charging</v>
      </c>
      <c r="C482" t="str">
        <f>'HIDDEN import'!D481</f>
        <v>Clear Charging Profile - With stackLevel/purpose combination for one profile</v>
      </c>
      <c r="D482" t="str">
        <f>IF(VLOOKUP(A482&amp;" "&amp;B482,'HIDDEN import'!A:G,5,FALSE)="M",MD!$A$1,(IF(AND(VLOOKUP(A482,'HIDDEN import'!B:E,4,FALSE)="C",OR(NOT(ISERROR(VLOOKUP(E482,'Optional features'!B:D,1,FALSE)=E482)),NOT(ISERROR(VLOOKUP(E482,'HIDDEN calc sheet'!A:C,1,FALSE)=E482)))),MD!$A$3,MD!$A$2)))</f>
        <v>Mandatory test for a mandatory feature</v>
      </c>
      <c r="E482" t="str">
        <f>IF('HIDDEN import'!F481=0,"",'HIDDEN import'!F481)</f>
        <v/>
      </c>
      <c r="F482" t="str">
        <f>IF('HIDDEN import'!G481=0,"",'HIDDEN import'!G481)</f>
        <v/>
      </c>
      <c r="G482" s="19" t="str">
        <f>IFERROR(VLOOKUP($A482,'HIDDEN Testrun Results'!$A:$B,2,FALSE),"")</f>
        <v/>
      </c>
      <c r="H482" s="3" t="b">
        <f t="shared" si="7"/>
        <v>0</v>
      </c>
      <c r="I482" s="3" t="b">
        <f>IF(VLOOKUP(A482&amp;" "&amp;B482,'HIDDEN import'!A:G,5,FALSE)="M",TRUE,IFERROR(VLOOKUP(E482,'Optional features'!B:D,3,FALSE)="Yes",IFERROR(VLOOKUP(E482,'HIDDEN calc sheet'!A:B,2,FALSE),IFERROR(VLOOKUP(E482,'Additional questions'!B:D,3,FALSE)="Yes",VLOOKUP(E482,'Hardware Feature set'!B:D,3,FALSE)="No"))))</f>
        <v>1</v>
      </c>
      <c r="J482" s="3" t="b">
        <f>IF(VLOOKUP(B482,'Profile selection'!B:C,2,FALSE)="Yes",TRUE,FALSE)</f>
        <v>0</v>
      </c>
      <c r="K482"/>
      <c r="L482"/>
    </row>
    <row r="483" spans="1:12" ht="15.75" customHeight="1" x14ac:dyDescent="0.25">
      <c r="A483" t="str">
        <f>'HIDDEN import'!B482</f>
        <v>TC_K_07_CS</v>
      </c>
      <c r="B483" t="str">
        <f>'HIDDEN import'!C482</f>
        <v>Smart Charging</v>
      </c>
      <c r="C483" t="str">
        <f>'HIDDEN import'!D482</f>
        <v>Clear Charging Profile - With unknown stackLevel/purpose combination</v>
      </c>
      <c r="D483" t="str">
        <f>IF(VLOOKUP(A483&amp;" "&amp;B483,'HIDDEN import'!A:G,5,FALSE)="M",MD!$A$1,(IF(AND(VLOOKUP(A483,'HIDDEN import'!B:E,4,FALSE)="C",OR(NOT(ISERROR(VLOOKUP(E483,'Optional features'!B:D,1,FALSE)=E483)),NOT(ISERROR(VLOOKUP(E483,'HIDDEN calc sheet'!A:C,1,FALSE)=E483)))),MD!$A$3,MD!$A$2)))</f>
        <v>Mandatory test for a mandatory feature</v>
      </c>
      <c r="E483" t="str">
        <f>IF('HIDDEN import'!F482=0,"",'HIDDEN import'!F482)</f>
        <v/>
      </c>
      <c r="F483" t="str">
        <f>IF('HIDDEN import'!G482=0,"",'HIDDEN import'!G482)</f>
        <v/>
      </c>
      <c r="G483" s="19" t="str">
        <f>IFERROR(VLOOKUP($A483,'HIDDEN Testrun Results'!$A:$B,2,FALSE),"")</f>
        <v/>
      </c>
      <c r="H483" s="3" t="b">
        <f t="shared" si="7"/>
        <v>0</v>
      </c>
      <c r="I483" s="3" t="b">
        <f>IF(VLOOKUP(A483&amp;" "&amp;B483,'HIDDEN import'!A:G,5,FALSE)="M",TRUE,IFERROR(VLOOKUP(E483,'Optional features'!B:D,3,FALSE)="Yes",IFERROR(VLOOKUP(E483,'HIDDEN calc sheet'!A:B,2,FALSE),IFERROR(VLOOKUP(E483,'Additional questions'!B:D,3,FALSE)="Yes",VLOOKUP(E483,'Hardware Feature set'!B:D,3,FALSE)="No"))))</f>
        <v>1</v>
      </c>
      <c r="J483" s="3" t="b">
        <f>IF(VLOOKUP(B483,'Profile selection'!B:C,2,FALSE)="Yes",TRUE,FALSE)</f>
        <v>0</v>
      </c>
      <c r="K483"/>
      <c r="L483"/>
    </row>
    <row r="484" spans="1:12" ht="15.75" customHeight="1" x14ac:dyDescent="0.25">
      <c r="A484" t="str">
        <f>'HIDDEN import'!B483</f>
        <v>TC_K_08_CS</v>
      </c>
      <c r="B484" t="str">
        <f>'HIDDEN import'!C483</f>
        <v>Smart Charging</v>
      </c>
      <c r="C484" t="str">
        <f>'HIDDEN import'!D483</f>
        <v>Clear Charging Profile - Without previous charging profile</v>
      </c>
      <c r="D484" t="str">
        <f>IF(VLOOKUP(A484&amp;" "&amp;B484,'HIDDEN import'!A:G,5,FALSE)="M",MD!$A$1,(IF(AND(VLOOKUP(A484,'HIDDEN import'!B:E,4,FALSE)="C",OR(NOT(ISERROR(VLOOKUP(E484,'Optional features'!B:D,1,FALSE)=E484)),NOT(ISERROR(VLOOKUP(E484,'HIDDEN calc sheet'!A:C,1,FALSE)=E484)))),MD!$A$3,MD!$A$2)))</f>
        <v>Mandatory test for a mandatory feature</v>
      </c>
      <c r="E484" t="str">
        <f>IF('HIDDEN import'!F483=0,"",'HIDDEN import'!F483)</f>
        <v/>
      </c>
      <c r="F484" t="str">
        <f>IF('HIDDEN import'!G483=0,"",'HIDDEN import'!G483)</f>
        <v/>
      </c>
      <c r="G484" s="19" t="str">
        <f>IFERROR(VLOOKUP($A484,'HIDDEN Testrun Results'!$A:$B,2,FALSE),"")</f>
        <v/>
      </c>
      <c r="H484" s="3" t="b">
        <f t="shared" si="7"/>
        <v>0</v>
      </c>
      <c r="I484" s="3" t="b">
        <f>IF(VLOOKUP(A484&amp;" "&amp;B484,'HIDDEN import'!A:G,5,FALSE)="M",TRUE,IFERROR(VLOOKUP(E484,'Optional features'!B:D,3,FALSE)="Yes",IFERROR(VLOOKUP(E484,'HIDDEN calc sheet'!A:B,2,FALSE),IFERROR(VLOOKUP(E484,'Additional questions'!B:D,3,FALSE)="Yes",VLOOKUP(E484,'Hardware Feature set'!B:D,3,FALSE)="No"))))</f>
        <v>1</v>
      </c>
      <c r="J484" s="3" t="b">
        <f>IF(VLOOKUP(B484,'Profile selection'!B:C,2,FALSE)="Yes",TRUE,FALSE)</f>
        <v>0</v>
      </c>
      <c r="K484"/>
      <c r="L484"/>
    </row>
    <row r="485" spans="1:12" ht="15.75" customHeight="1" x14ac:dyDescent="0.25">
      <c r="A485" t="str">
        <f>'HIDDEN import'!B484</f>
        <v>TC_K_09_CS</v>
      </c>
      <c r="B485" t="str">
        <f>'HIDDEN import'!C484</f>
        <v>Smart Charging</v>
      </c>
      <c r="C485" t="str">
        <f>'HIDDEN import'!D484</f>
        <v>Clear Charging Profile - Clearing a TxDefaultProfile - With ongoing transaction</v>
      </c>
      <c r="D485" t="str">
        <f>IF(VLOOKUP(A485&amp;" "&amp;B485,'HIDDEN import'!A:G,5,FALSE)="M",MD!$A$1,(IF(AND(VLOOKUP(A485,'HIDDEN import'!B:E,4,FALSE)="C",OR(NOT(ISERROR(VLOOKUP(E485,'Optional features'!B:D,1,FALSE)=E485)),NOT(ISERROR(VLOOKUP(E485,'HIDDEN calc sheet'!A:C,1,FALSE)=E485)))),MD!$A$3,MD!$A$2)))</f>
        <v>Mandatory test for a mandatory feature</v>
      </c>
      <c r="E485" t="str">
        <f>IF('HIDDEN import'!F484=0,"",'HIDDEN import'!F484)</f>
        <v/>
      </c>
      <c r="F485" t="str">
        <f>IF('HIDDEN import'!G484=0,"",'HIDDEN import'!G484)</f>
        <v/>
      </c>
      <c r="G485" s="19" t="str">
        <f>IFERROR(VLOOKUP($A485,'HIDDEN Testrun Results'!$A:$B,2,FALSE),"")</f>
        <v/>
      </c>
      <c r="H485" s="3" t="b">
        <f t="shared" si="7"/>
        <v>0</v>
      </c>
      <c r="I485" s="3" t="b">
        <f>IF(VLOOKUP(A485&amp;" "&amp;B485,'HIDDEN import'!A:G,5,FALSE)="M",TRUE,IFERROR(VLOOKUP(E485,'Optional features'!B:D,3,FALSE)="Yes",IFERROR(VLOOKUP(E485,'HIDDEN calc sheet'!A:B,2,FALSE),IFERROR(VLOOKUP(E485,'Additional questions'!B:D,3,FALSE)="Yes",VLOOKUP(E485,'Hardware Feature set'!B:D,3,FALSE)="No"))))</f>
        <v>1</v>
      </c>
      <c r="J485" s="3" t="b">
        <f>IF(VLOOKUP(B485,'Profile selection'!B:C,2,FALSE)="Yes",TRUE,FALSE)</f>
        <v>0</v>
      </c>
      <c r="K485"/>
      <c r="L485"/>
    </row>
    <row r="486" spans="1:12" ht="15.75" customHeight="1" x14ac:dyDescent="0.25">
      <c r="A486" t="str">
        <f>'HIDDEN import'!B485</f>
        <v>TC_K_24_CS</v>
      </c>
      <c r="B486" t="str">
        <f>'HIDDEN import'!C485</f>
        <v>Smart Charging</v>
      </c>
      <c r="C486" t="str">
        <f>'HIDDEN import'!D485</f>
        <v>Clear Charging Profile - With stackLevel/purpose combination for multiple profiles</v>
      </c>
      <c r="D486" t="str">
        <f>IF(VLOOKUP(A486&amp;" "&amp;B486,'HIDDEN import'!A:G,5,FALSE)="M",MD!$A$1,(IF(AND(VLOOKUP(A486,'HIDDEN import'!B:E,4,FALSE)="C",OR(NOT(ISERROR(VLOOKUP(E486,'Optional features'!B:D,1,FALSE)=E486)),NOT(ISERROR(VLOOKUP(E486,'HIDDEN calc sheet'!A:C,1,FALSE)=E486)))),MD!$A$3,MD!$A$2)))</f>
        <v>Mandatory for optional feature</v>
      </c>
      <c r="E486" t="str">
        <f>IF('HIDDEN import'!F485=0,"",'HIDDEN import'!F485)</f>
        <v>HFS-8 &gt; 1</v>
      </c>
      <c r="F486" t="str">
        <f>IF('HIDDEN import'!G485=0,"",'HIDDEN import'!G485)</f>
        <v/>
      </c>
      <c r="G486" s="19" t="str">
        <f>IFERROR(VLOOKUP($A486,'HIDDEN Testrun Results'!$A:$B,2,FALSE),"")</f>
        <v/>
      </c>
      <c r="H486" s="3" t="b">
        <f t="shared" si="7"/>
        <v>0</v>
      </c>
      <c r="I486" s="3" t="b">
        <f>IF(VLOOKUP(A486&amp;" "&amp;B486,'HIDDEN import'!A:G,5,FALSE)="M",TRUE,IFERROR(VLOOKUP(E486,'Optional features'!B:D,3,FALSE)="Yes",IFERROR(VLOOKUP(E486,'HIDDEN calc sheet'!A:B,2,FALSE),IFERROR(VLOOKUP(E486,'Additional questions'!B:D,3,FALSE)="Yes",VLOOKUP(E486,'Hardware Feature set'!B:D,3,FALSE)="No"))))</f>
        <v>0</v>
      </c>
      <c r="J486" s="3" t="b">
        <f>IF(VLOOKUP(B486,'Profile selection'!B:C,2,FALSE)="Yes",TRUE,FALSE)</f>
        <v>0</v>
      </c>
      <c r="K486"/>
      <c r="L486"/>
    </row>
    <row r="487" spans="1:12" ht="15.75" customHeight="1" x14ac:dyDescent="0.25">
      <c r="A487" t="str">
        <f>'HIDDEN import'!B486</f>
        <v>TC_K_118_CS</v>
      </c>
      <c r="B487" t="str">
        <f>'HIDDEN import'!C486</f>
        <v>Smart Charging</v>
      </c>
      <c r="C487" t="str">
        <f>'HIDDEN import'!D486</f>
        <v>Priority charging - Requesting priority charging remotely</v>
      </c>
      <c r="D487" t="str">
        <f>IF(VLOOKUP(A487&amp;" "&amp;B487,'HIDDEN import'!A:G,5,FALSE)="M",MD!$A$1,(IF(AND(VLOOKUP(A487,'HIDDEN import'!B:E,4,FALSE)="C",OR(NOT(ISERROR(VLOOKUP(E487,'Optional features'!B:D,1,FALSE)=E487)),NOT(ISERROR(VLOOKUP(E487,'HIDDEN calc sheet'!A:C,1,FALSE)=E487)))),MD!$A$3,MD!$A$2)))</f>
        <v>Mandatory for optional feature</v>
      </c>
      <c r="E487" t="str">
        <f>IF('HIDDEN import'!F486=0,"",'HIDDEN import'!F486)</f>
        <v>SC-6</v>
      </c>
      <c r="F487" t="str">
        <f>IF('HIDDEN import'!G486=0,"",'HIDDEN import'!G486)</f>
        <v>Support for using priority charging</v>
      </c>
      <c r="G487" s="19" t="str">
        <f>IFERROR(VLOOKUP($A487,'HIDDEN Testrun Results'!$A:$B,2,FALSE),"")</f>
        <v/>
      </c>
      <c r="H487" s="3" t="b">
        <f t="shared" si="7"/>
        <v>0</v>
      </c>
      <c r="I487" s="3" t="b">
        <f>IF(VLOOKUP(A487&amp;" "&amp;B487,'HIDDEN import'!A:G,5,FALSE)="M",TRUE,IFERROR(VLOOKUP(E487,'Optional features'!B:D,3,FALSE)="Yes",IFERROR(VLOOKUP(E487,'HIDDEN calc sheet'!A:B,2,FALSE),IFERROR(VLOOKUP(E487,'Additional questions'!B:D,3,FALSE)="Yes",VLOOKUP(E487,'Hardware Feature set'!B:D,3,FALSE)="No"))))</f>
        <v>0</v>
      </c>
      <c r="J487" s="3" t="b">
        <f>IF(VLOOKUP(B487,'Profile selection'!B:C,2,FALSE)="Yes",TRUE,FALSE)</f>
        <v>0</v>
      </c>
      <c r="K487"/>
      <c r="L487"/>
    </row>
    <row r="488" spans="1:12" ht="15.75" customHeight="1" x14ac:dyDescent="0.25">
      <c r="A488" t="str">
        <f>'HIDDEN import'!B487</f>
        <v>TC_K_119_CS</v>
      </c>
      <c r="B488" t="str">
        <f>'HIDDEN import'!C487</f>
        <v>Smart Charging</v>
      </c>
      <c r="C488" t="str">
        <f>'HIDDEN import'!D487</f>
        <v>Priority charging - Requesting priority charging locally</v>
      </c>
      <c r="D488" t="str">
        <f>IF(VLOOKUP(A488&amp;" "&amp;B488,'HIDDEN import'!A:G,5,FALSE)="M",MD!$A$1,(IF(AND(VLOOKUP(A488,'HIDDEN import'!B:E,4,FALSE)="C",OR(NOT(ISERROR(VLOOKUP(E488,'Optional features'!B:D,1,FALSE)=E488)),NOT(ISERROR(VLOOKUP(E488,'HIDDEN calc sheet'!A:C,1,FALSE)=E488)))),MD!$A$3,MD!$A$2)))</f>
        <v>Mandatory for optional feature</v>
      </c>
      <c r="E488" t="str">
        <f>IF('HIDDEN import'!F487=0,"",'HIDDEN import'!F487)</f>
        <v>SC-6</v>
      </c>
      <c r="F488" t="str">
        <f>IF('HIDDEN import'!G487=0,"",'HIDDEN import'!G487)</f>
        <v>Support for using priority charging</v>
      </c>
      <c r="G488" s="19" t="str">
        <f>IFERROR(VLOOKUP($A488,'HIDDEN Testrun Results'!$A:$B,2,FALSE),"")</f>
        <v/>
      </c>
      <c r="H488" s="3" t="b">
        <f t="shared" si="7"/>
        <v>0</v>
      </c>
      <c r="I488" s="3" t="b">
        <f>IF(VLOOKUP(A488&amp;" "&amp;B488,'HIDDEN import'!A:G,5,FALSE)="M",TRUE,IFERROR(VLOOKUP(E488,'Optional features'!B:D,3,FALSE)="Yes",IFERROR(VLOOKUP(E488,'HIDDEN calc sheet'!A:B,2,FALSE),IFERROR(VLOOKUP(E488,'Additional questions'!B:D,3,FALSE)="Yes",VLOOKUP(E488,'Hardware Feature set'!B:D,3,FALSE)="No"))))</f>
        <v>0</v>
      </c>
      <c r="J488" s="3" t="b">
        <f>IF(VLOOKUP(B488,'Profile selection'!B:C,2,FALSE)="Yes",TRUE,FALSE)</f>
        <v>0</v>
      </c>
      <c r="K488"/>
      <c r="L488"/>
    </row>
    <row r="489" spans="1:12" ht="15.75" customHeight="1" x14ac:dyDescent="0.25">
      <c r="A489" t="str">
        <f>'HIDDEN import'!B488</f>
        <v>TC_K_121_CS</v>
      </c>
      <c r="B489" t="str">
        <f>'HIDDEN import'!C488</f>
        <v>Smart Charging</v>
      </c>
      <c r="C489" t="str">
        <f>'HIDDEN import'!D488</f>
        <v>Dynamic charging profiles from CSMS - Pull</v>
      </c>
      <c r="D489" t="str">
        <f>IF(VLOOKUP(A489&amp;" "&amp;B489,'HIDDEN import'!A:G,5,FALSE)="M",MD!$A$1,(IF(AND(VLOOKUP(A489,'HIDDEN import'!B:E,4,FALSE)="C",OR(NOT(ISERROR(VLOOKUP(E489,'Optional features'!B:D,1,FALSE)=E489)),NOT(ISERROR(VLOOKUP(E489,'HIDDEN calc sheet'!A:C,1,FALSE)=E489)))),MD!$A$3,MD!$A$2)))</f>
        <v>Mandatory for optional feature</v>
      </c>
      <c r="E489" t="str">
        <f>IF('HIDDEN import'!F488=0,"",'HIDDEN import'!F488)</f>
        <v>SC-8</v>
      </c>
      <c r="F489" t="str">
        <f>IF('HIDDEN import'!G488=0,"",'HIDDEN import'!G488)</f>
        <v>Support for dynamic charging profiles</v>
      </c>
      <c r="G489" s="19" t="str">
        <f>IFERROR(VLOOKUP($A489,'HIDDEN Testrun Results'!$A:$B,2,FALSE),"")</f>
        <v/>
      </c>
      <c r="H489" s="3" t="b">
        <f t="shared" si="7"/>
        <v>0</v>
      </c>
      <c r="I489" s="3" t="b">
        <f>IF(VLOOKUP(A489&amp;" "&amp;B489,'HIDDEN import'!A:G,5,FALSE)="M",TRUE,IFERROR(VLOOKUP(E489,'Optional features'!B:D,3,FALSE)="Yes",IFERROR(VLOOKUP(E489,'HIDDEN calc sheet'!A:B,2,FALSE),IFERROR(VLOOKUP(E489,'Additional questions'!B:D,3,FALSE)="Yes",VLOOKUP(E489,'Hardware Feature set'!B:D,3,FALSE)="No"))))</f>
        <v>0</v>
      </c>
      <c r="J489" s="3" t="b">
        <f>IF(VLOOKUP(B489,'Profile selection'!B:C,2,FALSE)="Yes",TRUE,FALSE)</f>
        <v>0</v>
      </c>
      <c r="K489"/>
      <c r="L489"/>
    </row>
    <row r="490" spans="1:12" ht="15.75" customHeight="1" x14ac:dyDescent="0.25">
      <c r="A490" t="str">
        <f>'HIDDEN import'!B489</f>
        <v>TC_K_122_CS</v>
      </c>
      <c r="B490" t="str">
        <f>'HIDDEN import'!C489</f>
        <v>Smart Charging</v>
      </c>
      <c r="C490" t="str">
        <f>'HIDDEN import'!D489</f>
        <v>Dynamic charging profiles from CSMS - Push</v>
      </c>
      <c r="D490" t="str">
        <f>IF(VLOOKUP(A490&amp;" "&amp;B490,'HIDDEN import'!A:G,5,FALSE)="M",MD!$A$1,(IF(AND(VLOOKUP(A490,'HIDDEN import'!B:E,4,FALSE)="C",OR(NOT(ISERROR(VLOOKUP(E490,'Optional features'!B:D,1,FALSE)=E490)),NOT(ISERROR(VLOOKUP(E490,'HIDDEN calc sheet'!A:C,1,FALSE)=E490)))),MD!$A$3,MD!$A$2)))</f>
        <v>Mandatory for optional feature</v>
      </c>
      <c r="E490" t="str">
        <f>IF('HIDDEN import'!F489=0,"",'HIDDEN import'!F489)</f>
        <v>SC-8</v>
      </c>
      <c r="F490" t="str">
        <f>IF('HIDDEN import'!G489=0,"",'HIDDEN import'!G489)</f>
        <v>Support for dynamic charging profiles</v>
      </c>
      <c r="G490" s="19" t="str">
        <f>IFERROR(VLOOKUP($A490,'HIDDEN Testrun Results'!$A:$B,2,FALSE),"")</f>
        <v/>
      </c>
      <c r="H490" s="3" t="b">
        <f t="shared" si="7"/>
        <v>0</v>
      </c>
      <c r="I490" s="3" t="b">
        <f>IF(VLOOKUP(A490&amp;" "&amp;B490,'HIDDEN import'!A:G,5,FALSE)="M",TRUE,IFERROR(VLOOKUP(E490,'Optional features'!B:D,3,FALSE)="Yes",IFERROR(VLOOKUP(E490,'HIDDEN calc sheet'!A:B,2,FALSE),IFERROR(VLOOKUP(E490,'Additional questions'!B:D,3,FALSE)="Yes",VLOOKUP(E490,'Hardware Feature set'!B:D,3,FALSE)="No"))))</f>
        <v>0</v>
      </c>
      <c r="J490" s="3" t="b">
        <f>IF(VLOOKUP(B490,'Profile selection'!B:C,2,FALSE)="Yes",TRUE,FALSE)</f>
        <v>0</v>
      </c>
      <c r="K490"/>
      <c r="L490"/>
    </row>
    <row r="491" spans="1:12" ht="15.75" customHeight="1" x14ac:dyDescent="0.25">
      <c r="A491" t="str">
        <f>'HIDDEN import'!B490</f>
        <v>TC_K_123_CS</v>
      </c>
      <c r="B491" t="str">
        <f>'HIDDEN import'!C490</f>
        <v>Smart Charging</v>
      </c>
      <c r="C491" t="str">
        <f>'HIDDEN import'!D490</f>
        <v>Dynamic charging profiles from CSMS - validations</v>
      </c>
      <c r="D491" t="str">
        <f>IF(VLOOKUP(A491&amp;" "&amp;B491,'HIDDEN import'!A:G,5,FALSE)="M",MD!$A$1,(IF(AND(VLOOKUP(A491,'HIDDEN import'!B:E,4,FALSE)="C",OR(NOT(ISERROR(VLOOKUP(E491,'Optional features'!B:D,1,FALSE)=E491)),NOT(ISERROR(VLOOKUP(E491,'HIDDEN calc sheet'!A:C,1,FALSE)=E491)))),MD!$A$3,MD!$A$2)))</f>
        <v>Mandatory for optional feature</v>
      </c>
      <c r="E491" t="str">
        <f>IF('HIDDEN import'!F490=0,"",'HIDDEN import'!F490)</f>
        <v>SC-8</v>
      </c>
      <c r="F491" t="str">
        <f>IF('HIDDEN import'!G490=0,"",'HIDDEN import'!G490)</f>
        <v>Support for dynamic charging profiles</v>
      </c>
      <c r="G491" s="19" t="str">
        <f>IFERROR(VLOOKUP($A491,'HIDDEN Testrun Results'!$A:$B,2,FALSE),"")</f>
        <v/>
      </c>
      <c r="H491" s="3" t="b">
        <f t="shared" si="7"/>
        <v>0</v>
      </c>
      <c r="I491" s="3" t="b">
        <f>IF(VLOOKUP(A491&amp;" "&amp;B491,'HIDDEN import'!A:G,5,FALSE)="M",TRUE,IFERROR(VLOOKUP(E491,'Optional features'!B:D,3,FALSE)="Yes",IFERROR(VLOOKUP(E491,'HIDDEN calc sheet'!A:B,2,FALSE),IFERROR(VLOOKUP(E491,'Additional questions'!B:D,3,FALSE)="Yes",VLOOKUP(E491,'Hardware Feature set'!B:D,3,FALSE)="No"))))</f>
        <v>0</v>
      </c>
      <c r="J491" s="3" t="b">
        <f>IF(VLOOKUP(B491,'Profile selection'!B:C,2,FALSE)="Yes",TRUE,FALSE)</f>
        <v>0</v>
      </c>
      <c r="K491"/>
      <c r="L491"/>
    </row>
    <row r="492" spans="1:12" ht="15.75" customHeight="1" x14ac:dyDescent="0.25">
      <c r="A492" t="str">
        <f>'HIDDEN import'!B491</f>
        <v>TC_K_135_CS</v>
      </c>
      <c r="B492" t="str">
        <f>'HIDDEN import'!C491</f>
        <v>Smart Charging</v>
      </c>
      <c r="C492" t="str">
        <f>'HIDDEN import'!D491</f>
        <v>Idle operationMode - Set Charging Profile - EvseSleep unsupported</v>
      </c>
      <c r="D492" t="str">
        <f>IF(VLOOKUP(A492&amp;" "&amp;B492,'HIDDEN import'!A:G,5,FALSE)="M",MD!$A$1,(IF(AND(VLOOKUP(A492,'HIDDEN import'!B:E,4,FALSE)="C",OR(NOT(ISERROR(VLOOKUP(E492,'Optional features'!B:D,1,FALSE)=E492)),NOT(ISERROR(VLOOKUP(E492,'HIDDEN calc sheet'!A:C,1,FALSE)=E492)))),MD!$A$3,MD!$A$2)))</f>
        <v>Mandatory for optional feature</v>
      </c>
      <c r="E492" t="str">
        <f>IF('HIDDEN import'!F491=0,"",'HIDDEN import'!F491)</f>
        <v>NOT BPT-3.1</v>
      </c>
      <c r="F492" t="str">
        <f>IF('HIDDEN import'!G491=0,"",'HIDDEN import'!G491)</f>
        <v/>
      </c>
      <c r="G492" s="19" t="str">
        <f>IFERROR(VLOOKUP($A492,'HIDDEN Testrun Results'!$A:$B,2,FALSE),"")</f>
        <v/>
      </c>
      <c r="H492" s="3" t="b">
        <f t="shared" si="7"/>
        <v>0</v>
      </c>
      <c r="I492" s="3" t="b">
        <f>IF(VLOOKUP(A492&amp;" "&amp;B492,'HIDDEN import'!A:G,5,FALSE)="M",TRUE,IFERROR(VLOOKUP(E492,'Optional features'!B:D,3,FALSE)="Yes",IFERROR(VLOOKUP(E492,'HIDDEN calc sheet'!A:B,2,FALSE),IFERROR(VLOOKUP(E492,'Additional questions'!B:D,3,FALSE)="Yes",VLOOKUP(E492,'Hardware Feature set'!B:D,3,FALSE)="No"))))</f>
        <v>1</v>
      </c>
      <c r="J492" s="3" t="b">
        <f>IF(VLOOKUP(B492,'Profile selection'!B:C,2,FALSE)="Yes",TRUE,FALSE)</f>
        <v>0</v>
      </c>
      <c r="K492"/>
      <c r="L492"/>
    </row>
    <row r="493" spans="1:12" ht="15.75" customHeight="1" x14ac:dyDescent="0.25">
      <c r="A493" t="str">
        <f>'HIDDEN import'!B492</f>
        <v>TC_K_52_CS</v>
      </c>
      <c r="B493" t="str">
        <f>'HIDDEN import'!C492</f>
        <v>Smart Charging</v>
      </c>
      <c r="C493" t="str">
        <f>'HIDDEN import'!D492</f>
        <v>EMS Control - Set External Charging Limit (not on a transaction) - ChargingStationExternalConstraints in report</v>
      </c>
      <c r="D493" t="str">
        <f>IF(VLOOKUP(A493&amp;" "&amp;B493,'HIDDEN import'!A:G,5,FALSE)="M",MD!$A$1,(IF(AND(VLOOKUP(A493,'HIDDEN import'!B:E,4,FALSE)="C",OR(NOT(ISERROR(VLOOKUP(E493,'Optional features'!B:D,1,FALSE)=E493)),NOT(ISERROR(VLOOKUP(E493,'HIDDEN calc sheet'!A:C,1,FALSE)=E493)))),MD!$A$3,MD!$A$2)))</f>
        <v>Mandatory for optional feature</v>
      </c>
      <c r="E493" t="str">
        <f>IF('HIDDEN import'!F492=0,"",'HIDDEN import'!F492)</f>
        <v>SC-10</v>
      </c>
      <c r="F493" t="str">
        <f>IF('HIDDEN import'!G492=0,"",'HIDDEN import'!G492)</f>
        <v>Support for EMS control</v>
      </c>
      <c r="G493" s="19" t="str">
        <f>IFERROR(VLOOKUP($A493,'HIDDEN Testrun Results'!$A:$B,2,FALSE),"")</f>
        <v/>
      </c>
      <c r="H493" s="3" t="b">
        <f t="shared" si="7"/>
        <v>0</v>
      </c>
      <c r="I493" s="3" t="b">
        <f>IF(VLOOKUP(A493&amp;" "&amp;B493,'HIDDEN import'!A:G,5,FALSE)="M",TRUE,IFERROR(VLOOKUP(E493,'Optional features'!B:D,3,FALSE)="Yes",IFERROR(VLOOKUP(E493,'HIDDEN calc sheet'!A:B,2,FALSE),IFERROR(VLOOKUP(E493,'Additional questions'!B:D,3,FALSE)="Yes",VLOOKUP(E493,'Hardware Feature set'!B:D,3,FALSE)="No"))))</f>
        <v>0</v>
      </c>
      <c r="J493" s="3" t="b">
        <f>IF(VLOOKUP(B493,'Profile selection'!B:C,2,FALSE)="Yes",TRUE,FALSE)</f>
        <v>0</v>
      </c>
      <c r="K493"/>
      <c r="L493"/>
    </row>
    <row r="494" spans="1:12" ht="15.75" customHeight="1" x14ac:dyDescent="0.25">
      <c r="A494" t="str">
        <f>'HIDDEN import'!B493</f>
        <v>TC_K_120_CS</v>
      </c>
      <c r="B494" t="str">
        <f>'HIDDEN import'!C493</f>
        <v>Smart Charging</v>
      </c>
      <c r="C494" t="str">
        <f>'HIDDEN import'!D493</f>
        <v>EMS Control - Smart Charging with EMS and LocalGeneration</v>
      </c>
      <c r="D494" t="str">
        <f>IF(VLOOKUP(A494&amp;" "&amp;B494,'HIDDEN import'!A:G,5,FALSE)="M",MD!$A$1,(IF(AND(VLOOKUP(A494,'HIDDEN import'!B:E,4,FALSE)="C",OR(NOT(ISERROR(VLOOKUP(E494,'Optional features'!B:D,1,FALSE)=E494)),NOT(ISERROR(VLOOKUP(E494,'HIDDEN calc sheet'!A:C,1,FALSE)=E494)))),MD!$A$3,MD!$A$2)))</f>
        <v>Mandatory for optional feature</v>
      </c>
      <c r="E494" t="str">
        <f>IF('HIDDEN import'!F493=0,"",'HIDDEN import'!F493)</f>
        <v>SC-10</v>
      </c>
      <c r="F494" t="str">
        <f>IF('HIDDEN import'!G493=0,"",'HIDDEN import'!G493)</f>
        <v>Support for EMS control</v>
      </c>
      <c r="G494" s="19" t="str">
        <f>IFERROR(VLOOKUP($A494,'HIDDEN Testrun Results'!$A:$B,2,FALSE),"")</f>
        <v/>
      </c>
      <c r="H494" s="3" t="b">
        <f t="shared" si="7"/>
        <v>0</v>
      </c>
      <c r="I494" s="3" t="b">
        <f>IF(VLOOKUP(A494&amp;" "&amp;B494,'HIDDEN import'!A:G,5,FALSE)="M",TRUE,IFERROR(VLOOKUP(E494,'Optional features'!B:D,3,FALSE)="Yes",IFERROR(VLOOKUP(E494,'HIDDEN calc sheet'!A:B,2,FALSE),IFERROR(VLOOKUP(E494,'Additional questions'!B:D,3,FALSE)="Yes",VLOOKUP(E494,'Hardware Feature set'!B:D,3,FALSE)="No"))))</f>
        <v>0</v>
      </c>
      <c r="J494" s="3" t="b">
        <f>IF(VLOOKUP(B494,'Profile selection'!B:C,2,FALSE)="Yes",TRUE,FALSE)</f>
        <v>0</v>
      </c>
      <c r="K494"/>
      <c r="L494"/>
    </row>
    <row r="495" spans="1:12" ht="15.75" customHeight="1" x14ac:dyDescent="0.25">
      <c r="A495" t="str">
        <f>'HIDDEN import'!B494</f>
        <v>TC_K_109_CS</v>
      </c>
      <c r="B495" t="str">
        <f>'HIDDEN import'!C494</f>
        <v>Smart Charging</v>
      </c>
      <c r="C495" t="str">
        <f>'HIDDEN import'!D494</f>
        <v>EMS Control - Set Charging Profile - MaxExternalConstraintsId</v>
      </c>
      <c r="D495" t="str">
        <f>IF(VLOOKUP(A495&amp;" "&amp;B495,'HIDDEN import'!A:G,5,FALSE)="M",MD!$A$1,(IF(AND(VLOOKUP(A495,'HIDDEN import'!B:E,4,FALSE)="C",OR(NOT(ISERROR(VLOOKUP(E495,'Optional features'!B:D,1,FALSE)=E495)),NOT(ISERROR(VLOOKUP(E495,'HIDDEN calc sheet'!A:C,1,FALSE)=E495)))),MD!$A$3,MD!$A$2)))</f>
        <v>Mandatory for optional feature</v>
      </c>
      <c r="E495" t="str">
        <f>IF('HIDDEN import'!F494=0,"",'HIDDEN import'!F494)</f>
        <v>SC-10</v>
      </c>
      <c r="F495" t="str">
        <f>IF('HIDDEN import'!G494=0,"",'HIDDEN import'!G494)</f>
        <v>Support for EMS control</v>
      </c>
      <c r="G495" s="19" t="str">
        <f>IFERROR(VLOOKUP($A495,'HIDDEN Testrun Results'!$A:$B,2,FALSE),"")</f>
        <v/>
      </c>
      <c r="H495" s="3" t="b">
        <f t="shared" si="7"/>
        <v>0</v>
      </c>
      <c r="I495" s="3" t="b">
        <f>IF(VLOOKUP(A495&amp;" "&amp;B495,'HIDDEN import'!A:G,5,FALSE)="M",TRUE,IFERROR(VLOOKUP(E495,'Optional features'!B:D,3,FALSE)="Yes",IFERROR(VLOOKUP(E495,'HIDDEN calc sheet'!A:B,2,FALSE),IFERROR(VLOOKUP(E495,'Additional questions'!B:D,3,FALSE)="Yes",VLOOKUP(E495,'Hardware Feature set'!B:D,3,FALSE)="No"))))</f>
        <v>0</v>
      </c>
      <c r="J495" s="3" t="b">
        <f>IF(VLOOKUP(B495,'Profile selection'!B:C,2,FALSE)="Yes",TRUE,FALSE)</f>
        <v>0</v>
      </c>
      <c r="K495"/>
      <c r="L495"/>
    </row>
    <row r="496" spans="1:12" ht="15.75" customHeight="1" x14ac:dyDescent="0.25">
      <c r="A496" t="str">
        <f>'HIDDEN import'!B495</f>
        <v>TC_K_110_CS</v>
      </c>
      <c r="B496" t="str">
        <f>'HIDDEN import'!C495</f>
        <v>Smart Charging</v>
      </c>
      <c r="C496" t="str">
        <f>'HIDDEN import'!D495</f>
        <v>EMS Control - Set Charging Profile - MaxExternalConstraintsId - validations</v>
      </c>
      <c r="D496" t="str">
        <f>IF(VLOOKUP(A496&amp;" "&amp;B496,'HIDDEN import'!A:G,5,FALSE)="M",MD!$A$1,(IF(AND(VLOOKUP(A496,'HIDDEN import'!B:E,4,FALSE)="C",OR(NOT(ISERROR(VLOOKUP(E496,'Optional features'!B:D,1,FALSE)=E496)),NOT(ISERROR(VLOOKUP(E496,'HIDDEN calc sheet'!A:C,1,FALSE)=E496)))),MD!$A$3,MD!$A$2)))</f>
        <v>Mandatory for optional feature</v>
      </c>
      <c r="E496" t="str">
        <f>IF('HIDDEN import'!F495=0,"",'HIDDEN import'!F495)</f>
        <v>SC-10</v>
      </c>
      <c r="F496" t="str">
        <f>IF('HIDDEN import'!G495=0,"",'HIDDEN import'!G495)</f>
        <v>Support for EMS control</v>
      </c>
      <c r="G496" s="19" t="str">
        <f>IFERROR(VLOOKUP($A496,'HIDDEN Testrun Results'!$A:$B,2,FALSE),"")</f>
        <v/>
      </c>
      <c r="H496" s="3" t="b">
        <f t="shared" si="7"/>
        <v>0</v>
      </c>
      <c r="I496" s="3" t="b">
        <f>IF(VLOOKUP(A496&amp;" "&amp;B496,'HIDDEN import'!A:G,5,FALSE)="M",TRUE,IFERROR(VLOOKUP(E496,'Optional features'!B:D,3,FALSE)="Yes",IFERROR(VLOOKUP(E496,'HIDDEN calc sheet'!A:B,2,FALSE),IFERROR(VLOOKUP(E496,'Additional questions'!B:D,3,FALSE)="Yes",VLOOKUP(E496,'Hardware Feature set'!B:D,3,FALSE)="No"))))</f>
        <v>0</v>
      </c>
      <c r="J496" s="3" t="b">
        <f>IF(VLOOKUP(B496,'Profile selection'!B:C,2,FALSE)="Yes",TRUE,FALSE)</f>
        <v>0</v>
      </c>
      <c r="K496"/>
      <c r="L496"/>
    </row>
    <row r="497" spans="1:12" ht="15.75" customHeight="1" x14ac:dyDescent="0.25">
      <c r="A497" t="str">
        <f>'HIDDEN import'!B496</f>
        <v>TC_K_124_CS</v>
      </c>
      <c r="B497" t="str">
        <f>'HIDDEN import'!C496</f>
        <v>Smart Charging</v>
      </c>
      <c r="C497" t="str">
        <f>'HIDDEN import'!D496</f>
        <v>Dynamic charging profiles by external system - No Dynamic charging profile configured</v>
      </c>
      <c r="D497" t="str">
        <f>IF(VLOOKUP(A497&amp;" "&amp;B497,'HIDDEN import'!A:G,5,FALSE)="M",MD!$A$1,(IF(AND(VLOOKUP(A497,'HIDDEN import'!B:E,4,FALSE)="C",OR(NOT(ISERROR(VLOOKUP(E497,'Optional features'!B:D,1,FALSE)=E497)),NOT(ISERROR(VLOOKUP(E497,'HIDDEN calc sheet'!A:C,1,FALSE)=E497)))),MD!$A$3,MD!$A$2)))</f>
        <v>Mandatory for optional feature</v>
      </c>
      <c r="E497" t="str">
        <f>IF('HIDDEN import'!F496=0,"",'HIDDEN import'!F496)</f>
        <v>SC-10</v>
      </c>
      <c r="F497" t="str">
        <f>IF('HIDDEN import'!G496=0,"",'HIDDEN import'!G496)</f>
        <v>Support for EMS control</v>
      </c>
      <c r="G497" s="19" t="str">
        <f>IFERROR(VLOOKUP($A497,'HIDDEN Testrun Results'!$A:$B,2,FALSE),"")</f>
        <v/>
      </c>
      <c r="H497" s="3" t="b">
        <f t="shared" si="7"/>
        <v>0</v>
      </c>
      <c r="I497" s="3" t="b">
        <f>IF(VLOOKUP(A497&amp;" "&amp;B497,'HIDDEN import'!A:G,5,FALSE)="M",TRUE,IFERROR(VLOOKUP(E497,'Optional features'!B:D,3,FALSE)="Yes",IFERROR(VLOOKUP(E497,'HIDDEN calc sheet'!A:B,2,FALSE),IFERROR(VLOOKUP(E497,'Additional questions'!B:D,3,FALSE)="Yes",VLOOKUP(E497,'Hardware Feature set'!B:D,3,FALSE)="No"))))</f>
        <v>0</v>
      </c>
      <c r="J497" s="3" t="b">
        <f>IF(VLOOKUP(B497,'Profile selection'!B:C,2,FALSE)="Yes",TRUE,FALSE)</f>
        <v>0</v>
      </c>
      <c r="K497"/>
      <c r="L497"/>
    </row>
    <row r="498" spans="1:12" ht="15.75" customHeight="1" x14ac:dyDescent="0.25">
      <c r="A498" t="str">
        <f>'HIDDEN import'!B497</f>
        <v>TC_K_125_CS</v>
      </c>
      <c r="B498" t="str">
        <f>'HIDDEN import'!C497</f>
        <v>Smart Charging</v>
      </c>
      <c r="C498" t="str">
        <f>'HIDDEN import'!D497</f>
        <v>Dynamic charging profiles by external system - Dynamic charging profile configured</v>
      </c>
      <c r="D498" t="str">
        <f>IF(VLOOKUP(A498&amp;" "&amp;B498,'HIDDEN import'!A:G,5,FALSE)="M",MD!$A$1,(IF(AND(VLOOKUP(A498,'HIDDEN import'!B:E,4,FALSE)="C",OR(NOT(ISERROR(VLOOKUP(E498,'Optional features'!B:D,1,FALSE)=E498)),NOT(ISERROR(VLOOKUP(E498,'HIDDEN calc sheet'!A:C,1,FALSE)=E498)))),MD!$A$3,MD!$A$2)))</f>
        <v>Mandatory for optional feature</v>
      </c>
      <c r="E498" t="str">
        <f>IF('HIDDEN import'!F497=0,"",'HIDDEN import'!F497)</f>
        <v>SC-10</v>
      </c>
      <c r="F498" t="str">
        <f>IF('HIDDEN import'!G497=0,"",'HIDDEN import'!G497)</f>
        <v>Support for EMS control</v>
      </c>
      <c r="G498" s="19" t="str">
        <f>IFERROR(VLOOKUP($A498,'HIDDEN Testrun Results'!$A:$B,2,FALSE),"")</f>
        <v/>
      </c>
      <c r="H498" s="3" t="b">
        <f t="shared" si="7"/>
        <v>0</v>
      </c>
      <c r="I498" s="3" t="b">
        <f>IF(VLOOKUP(A498&amp;" "&amp;B498,'HIDDEN import'!A:G,5,FALSE)="M",TRUE,IFERROR(VLOOKUP(E498,'Optional features'!B:D,3,FALSE)="Yes",IFERROR(VLOOKUP(E498,'HIDDEN calc sheet'!A:B,2,FALSE),IFERROR(VLOOKUP(E498,'Additional questions'!B:D,3,FALSE)="Yes",VLOOKUP(E498,'Hardware Feature set'!B:D,3,FALSE)="No"))))</f>
        <v>0</v>
      </c>
      <c r="J498" s="3" t="b">
        <f>IF(VLOOKUP(B498,'Profile selection'!B:C,2,FALSE)="Yes",TRUE,FALSE)</f>
        <v>0</v>
      </c>
      <c r="K498"/>
      <c r="L498"/>
    </row>
    <row r="499" spans="1:12" ht="15.75" customHeight="1" x14ac:dyDescent="0.25">
      <c r="A499" t="str">
        <f>'HIDDEN import'!B498</f>
        <v>TC_A_12_CS</v>
      </c>
      <c r="B499" t="str">
        <f>'HIDDEN import'!C498</f>
        <v>ISO 15118 Support</v>
      </c>
      <c r="C499" t="str">
        <f>'HIDDEN import'!D498</f>
        <v>Update Charging Station Certificate by request of CSMS - Success - V2G Certificate</v>
      </c>
      <c r="D499" t="str">
        <f>IF(VLOOKUP(A499&amp;" "&amp;B499,'HIDDEN import'!A:G,5,FALSE)="M",MD!$A$1,(IF(AND(VLOOKUP(A499,'HIDDEN import'!B:E,4,FALSE)="C",OR(NOT(ISERROR(VLOOKUP(E499,'Optional features'!B:D,1,FALSE)=E499)),NOT(ISERROR(VLOOKUP(E499,'HIDDEN calc sheet'!A:C,1,FALSE)=E499)))),MD!$A$3,MD!$A$2)))</f>
        <v>Mandatory for optional feature</v>
      </c>
      <c r="E499" t="str">
        <f>IF('HIDDEN import'!F498=0,"",'HIDDEN import'!F498)</f>
        <v>ISO-1.1</v>
      </c>
      <c r="F499" t="str">
        <f>IF('HIDDEN import'!G498=0,"",'HIDDEN import'!G498)</f>
        <v>ISO 15118-2</v>
      </c>
      <c r="G499" s="19" t="str">
        <f>IFERROR(VLOOKUP($A499,'HIDDEN Testrun Results'!$A:$B,2,FALSE),"")</f>
        <v/>
      </c>
      <c r="H499" s="3" t="b">
        <f t="shared" si="7"/>
        <v>0</v>
      </c>
      <c r="I499" s="3" t="b">
        <f>IF(VLOOKUP(A499&amp;" "&amp;B499,'HIDDEN import'!A:G,5,FALSE)="M",TRUE,IFERROR(VLOOKUP(E499,'Optional features'!B:D,3,FALSE)="Yes",IFERROR(VLOOKUP(E499,'HIDDEN calc sheet'!A:B,2,FALSE),IFERROR(VLOOKUP(E499,'Additional questions'!B:D,3,FALSE)="Yes",VLOOKUP(E499,'Hardware Feature set'!B:D,3,FALSE)="No"))))</f>
        <v>0</v>
      </c>
      <c r="J499" s="3" t="b">
        <f>IF(VLOOKUP(B499,'Profile selection'!B:C,2,FALSE)="Yes",TRUE,FALSE)</f>
        <v>0</v>
      </c>
      <c r="K499"/>
      <c r="L499"/>
    </row>
    <row r="500" spans="1:12" ht="15.75" customHeight="1" x14ac:dyDescent="0.25">
      <c r="A500" t="str">
        <f>'HIDDEN import'!B499</f>
        <v>TC_A_112_CS</v>
      </c>
      <c r="B500" t="str">
        <f>'HIDDEN import'!C499</f>
        <v>ISO 15118 Support</v>
      </c>
      <c r="C500" t="str">
        <f>'HIDDEN import'!D499</f>
        <v>Update Charging Station Certificate by request of CSMS - Success - V2G Certificate -20</v>
      </c>
      <c r="D500" t="str">
        <f>IF(VLOOKUP(A500&amp;" "&amp;B500,'HIDDEN import'!A:G,5,FALSE)="M",MD!$A$1,(IF(AND(VLOOKUP(A500,'HIDDEN import'!B:E,4,FALSE)="C",OR(NOT(ISERROR(VLOOKUP(E500,'Optional features'!B:D,1,FALSE)=E500)),NOT(ISERROR(VLOOKUP(E500,'HIDDEN calc sheet'!A:C,1,FALSE)=E500)))),MD!$A$3,MD!$A$2)))</f>
        <v>Mandatory for optional feature</v>
      </c>
      <c r="E500" t="str">
        <f>IF('HIDDEN import'!F499=0,"",'HIDDEN import'!F499)</f>
        <v>ISO-1.2</v>
      </c>
      <c r="F500" t="str">
        <f>IF('HIDDEN import'!G499=0,"",'HIDDEN import'!G499)</f>
        <v>ISO 15118-20</v>
      </c>
      <c r="G500" s="19" t="str">
        <f>IFERROR(VLOOKUP($A500,'HIDDEN Testrun Results'!$A:$B,2,FALSE),"")</f>
        <v/>
      </c>
      <c r="H500" s="3" t="b">
        <f t="shared" si="7"/>
        <v>0</v>
      </c>
      <c r="I500" s="3" t="b">
        <f>IF(VLOOKUP(A500&amp;" "&amp;B500,'HIDDEN import'!A:G,5,FALSE)="M",TRUE,IFERROR(VLOOKUP(E500,'Optional features'!B:D,3,FALSE)="Yes",IFERROR(VLOOKUP(E500,'HIDDEN calc sheet'!A:B,2,FALSE),IFERROR(VLOOKUP(E500,'Additional questions'!B:D,3,FALSE)="Yes",VLOOKUP(E500,'Hardware Feature set'!B:D,3,FALSE)="No"))))</f>
        <v>0</v>
      </c>
      <c r="J500" s="3" t="b">
        <f>IF(VLOOKUP(B500,'Profile selection'!B:C,2,FALSE)="Yes",TRUE,FALSE)</f>
        <v>0</v>
      </c>
      <c r="K500"/>
      <c r="L500"/>
    </row>
    <row r="501" spans="1:12" ht="15.75" customHeight="1" x14ac:dyDescent="0.25">
      <c r="A501" t="str">
        <f>'HIDDEN import'!B500</f>
        <v>TC_C_50_CS</v>
      </c>
      <c r="B501" t="str">
        <f>'HIDDEN import'!C500</f>
        <v>ISO 15118 Support</v>
      </c>
      <c r="C501" t="str">
        <f>'HIDDEN import'!D500</f>
        <v>Authorization using Contract Certificates 15118 - Online - Local contract certificate validation - Accepted</v>
      </c>
      <c r="D501" t="str">
        <f>IF(VLOOKUP(A501&amp;" "&amp;B501,'HIDDEN import'!A:G,5,FALSE)="M",MD!$A$1,(IF(AND(VLOOKUP(A501,'HIDDEN import'!B:E,4,FALSE)="C",OR(NOT(ISERROR(VLOOKUP(E501,'Optional features'!B:D,1,FALSE)=E501)),NOT(ISERROR(VLOOKUP(E501,'HIDDEN calc sheet'!A:C,1,FALSE)=E501)))),MD!$A$3,MD!$A$2)))</f>
        <v>Mandatory test for a mandatory feature</v>
      </c>
      <c r="E501" t="str">
        <f>IF('HIDDEN import'!F500=0,"",'HIDDEN import'!F500)</f>
        <v/>
      </c>
      <c r="F501" t="str">
        <f>IF('HIDDEN import'!G500=0,"",'HIDDEN import'!G500)</f>
        <v/>
      </c>
      <c r="G501" s="19" t="str">
        <f>IFERROR(VLOOKUP($A501,'HIDDEN Testrun Results'!$A:$B,2,FALSE),"")</f>
        <v/>
      </c>
      <c r="H501" s="3" t="b">
        <f t="shared" si="7"/>
        <v>0</v>
      </c>
      <c r="I501" s="3" t="b">
        <f>IF(VLOOKUP(A501&amp;" "&amp;B501,'HIDDEN import'!A:G,5,FALSE)="M",TRUE,IFERROR(VLOOKUP(E501,'Optional features'!B:D,3,FALSE)="Yes",IFERROR(VLOOKUP(E501,'HIDDEN calc sheet'!A:B,2,FALSE),IFERROR(VLOOKUP(E501,'Additional questions'!B:D,3,FALSE)="Yes",VLOOKUP(E501,'Hardware Feature set'!B:D,3,FALSE)="No"))))</f>
        <v>1</v>
      </c>
      <c r="J501" s="3" t="b">
        <f>IF(VLOOKUP(B501,'Profile selection'!B:C,2,FALSE)="Yes",TRUE,FALSE)</f>
        <v>0</v>
      </c>
      <c r="K501"/>
      <c r="L501"/>
    </row>
    <row r="502" spans="1:12" ht="15.75" customHeight="1" x14ac:dyDescent="0.25">
      <c r="A502" t="str">
        <f>'HIDDEN import'!B501</f>
        <v>TC_C_51_CS</v>
      </c>
      <c r="B502" t="str">
        <f>'HIDDEN import'!C501</f>
        <v>ISO 15118 Support</v>
      </c>
      <c r="C502" t="str">
        <f>'HIDDEN import'!D501</f>
        <v>Authorization using Contract Certificates 15118 - Online - Local contract certificate validation - Rejected</v>
      </c>
      <c r="D502" t="str">
        <f>IF(VLOOKUP(A502&amp;" "&amp;B502,'HIDDEN import'!A:G,5,FALSE)="M",MD!$A$1,(IF(AND(VLOOKUP(A502,'HIDDEN import'!B:E,4,FALSE)="C",OR(NOT(ISERROR(VLOOKUP(E502,'Optional features'!B:D,1,FALSE)=E502)),NOT(ISERROR(VLOOKUP(E502,'HIDDEN calc sheet'!A:C,1,FALSE)=E502)))),MD!$A$3,MD!$A$2)))</f>
        <v>Mandatory test for a mandatory feature</v>
      </c>
      <c r="E502" t="str">
        <f>IF('HIDDEN import'!F501=0,"",'HIDDEN import'!F501)</f>
        <v/>
      </c>
      <c r="F502" t="str">
        <f>IF('HIDDEN import'!G501=0,"",'HIDDEN import'!G501)</f>
        <v/>
      </c>
      <c r="G502" s="19" t="str">
        <f>IFERROR(VLOOKUP($A502,'HIDDEN Testrun Results'!$A:$B,2,FALSE),"")</f>
        <v/>
      </c>
      <c r="H502" s="3" t="b">
        <f t="shared" si="7"/>
        <v>0</v>
      </c>
      <c r="I502" s="3" t="b">
        <f>IF(VLOOKUP(A502&amp;" "&amp;B502,'HIDDEN import'!A:G,5,FALSE)="M",TRUE,IFERROR(VLOOKUP(E502,'Optional features'!B:D,3,FALSE)="Yes",IFERROR(VLOOKUP(E502,'HIDDEN calc sheet'!A:B,2,FALSE),IFERROR(VLOOKUP(E502,'Additional questions'!B:D,3,FALSE)="Yes",VLOOKUP(E502,'Hardware Feature set'!B:D,3,FALSE)="No"))))</f>
        <v>1</v>
      </c>
      <c r="J502" s="3" t="b">
        <f>IF(VLOOKUP(B502,'Profile selection'!B:C,2,FALSE)="Yes",TRUE,FALSE)</f>
        <v>0</v>
      </c>
      <c r="K502"/>
      <c r="L502"/>
    </row>
    <row r="503" spans="1:12" ht="15.75" customHeight="1" x14ac:dyDescent="0.25">
      <c r="A503" t="str">
        <f>'HIDDEN import'!B502</f>
        <v>TC_C_52_CS</v>
      </c>
      <c r="B503" t="str">
        <f>'HIDDEN import'!C502</f>
        <v>ISO 15118 Support</v>
      </c>
      <c r="C503" t="str">
        <f>'HIDDEN import'!D502</f>
        <v>Authorization using Contract Certificates 15118 - Online - Central contract certificate validation - Accepted</v>
      </c>
      <c r="D503" t="str">
        <f>IF(VLOOKUP(A503&amp;" "&amp;B503,'HIDDEN import'!A:G,5,FALSE)="M",MD!$A$1,(IF(AND(VLOOKUP(A503,'HIDDEN import'!B:E,4,FALSE)="C",OR(NOT(ISERROR(VLOOKUP(E503,'Optional features'!B:D,1,FALSE)=E503)),NOT(ISERROR(VLOOKUP(E503,'HIDDEN calc sheet'!A:C,1,FALSE)=E503)))),MD!$A$3,MD!$A$2)))</f>
        <v>Mandatory for optional feature</v>
      </c>
      <c r="E503" t="str">
        <f>IF('HIDDEN import'!F502=0,"",'HIDDEN import'!F502)</f>
        <v>ISO-5</v>
      </c>
      <c r="F503" t="str">
        <f>IF('HIDDEN import'!G502=0,"",'HIDDEN import'!G502)</f>
        <v/>
      </c>
      <c r="G503" s="19" t="str">
        <f>IFERROR(VLOOKUP($A503,'HIDDEN Testrun Results'!$A:$B,2,FALSE),"")</f>
        <v/>
      </c>
      <c r="H503" s="3" t="b">
        <f t="shared" si="7"/>
        <v>0</v>
      </c>
      <c r="I503" s="3" t="b">
        <f>IF(VLOOKUP(A503&amp;" "&amp;B503,'HIDDEN import'!A:G,5,FALSE)="M",TRUE,IFERROR(VLOOKUP(E503,'Optional features'!B:D,3,FALSE)="Yes",IFERROR(VLOOKUP(E503,'HIDDEN calc sheet'!A:B,2,FALSE),IFERROR(VLOOKUP(E503,'Additional questions'!B:D,3,FALSE)="Yes",VLOOKUP(E503,'Hardware Feature set'!B:D,3,FALSE)="No"))))</f>
        <v>0</v>
      </c>
      <c r="J503" s="3" t="b">
        <f>IF(VLOOKUP(B503,'Profile selection'!B:C,2,FALSE)="Yes",TRUE,FALSE)</f>
        <v>0</v>
      </c>
      <c r="K503"/>
      <c r="L503"/>
    </row>
    <row r="504" spans="1:12" ht="15.75" customHeight="1" x14ac:dyDescent="0.25">
      <c r="A504" t="str">
        <f>'HIDDEN import'!B503</f>
        <v>TC_C_53_CS</v>
      </c>
      <c r="B504" t="str">
        <f>'HIDDEN import'!C503</f>
        <v>ISO 15118 Support</v>
      </c>
      <c r="C504" t="str">
        <f>'HIDDEN import'!D503</f>
        <v>Authorization using Contract Certificates 15118 - Online - Central contract validation fails</v>
      </c>
      <c r="D504" t="str">
        <f>IF(VLOOKUP(A504&amp;" "&amp;B504,'HIDDEN import'!A:G,5,FALSE)="M",MD!$A$1,(IF(AND(VLOOKUP(A504,'HIDDEN import'!B:E,4,FALSE)="C",OR(NOT(ISERROR(VLOOKUP(E504,'Optional features'!B:D,1,FALSE)=E504)),NOT(ISERROR(VLOOKUP(E504,'HIDDEN calc sheet'!A:C,1,FALSE)=E504)))),MD!$A$3,MD!$A$2)))</f>
        <v>Mandatory for optional feature</v>
      </c>
      <c r="E504" t="str">
        <f>IF('HIDDEN import'!F503=0,"",'HIDDEN import'!F503)</f>
        <v>ISO-5</v>
      </c>
      <c r="F504" t="str">
        <f>IF('HIDDEN import'!G503=0,"",'HIDDEN import'!G503)</f>
        <v/>
      </c>
      <c r="G504" s="19" t="str">
        <f>IFERROR(VLOOKUP($A504,'HIDDEN Testrun Results'!$A:$B,2,FALSE),"")</f>
        <v/>
      </c>
      <c r="H504" s="3" t="b">
        <f t="shared" si="7"/>
        <v>0</v>
      </c>
      <c r="I504" s="3" t="b">
        <f>IF(VLOOKUP(A504&amp;" "&amp;B504,'HIDDEN import'!A:G,5,FALSE)="M",TRUE,IFERROR(VLOOKUP(E504,'Optional features'!B:D,3,FALSE)="Yes",IFERROR(VLOOKUP(E504,'HIDDEN calc sheet'!A:B,2,FALSE),IFERROR(VLOOKUP(E504,'Additional questions'!B:D,3,FALSE)="Yes",VLOOKUP(E504,'Hardware Feature set'!B:D,3,FALSE)="No"))))</f>
        <v>0</v>
      </c>
      <c r="J504" s="3" t="b">
        <f>IF(VLOOKUP(B504,'Profile selection'!B:C,2,FALSE)="Yes",TRUE,FALSE)</f>
        <v>0</v>
      </c>
      <c r="K504"/>
      <c r="L504"/>
    </row>
    <row r="505" spans="1:12" ht="15.75" customHeight="1" x14ac:dyDescent="0.25">
      <c r="A505" t="str">
        <f>'HIDDEN import'!B504</f>
        <v>TC_C_54_CS</v>
      </c>
      <c r="B505" t="str">
        <f>'HIDDEN import'!C504</f>
        <v>ISO 15118 Support</v>
      </c>
      <c r="C505" t="str">
        <f>'HIDDEN import'!D504</f>
        <v>Authorization using Contract Certificates 15118 - Offline - ContractValidationOffline is true</v>
      </c>
      <c r="D505" t="str">
        <f>IF(VLOOKUP(A505&amp;" "&amp;B505,'HIDDEN import'!A:G,5,FALSE)="M",MD!$A$1,(IF(AND(VLOOKUP(A505,'HIDDEN import'!B:E,4,FALSE)="C",OR(NOT(ISERROR(VLOOKUP(E505,'Optional features'!B:D,1,FALSE)=E505)),NOT(ISERROR(VLOOKUP(E505,'HIDDEN calc sheet'!A:C,1,FALSE)=E505)))),MD!$A$3,MD!$A$2)))</f>
        <v>Mandatory test for a mandatory feature</v>
      </c>
      <c r="E505" t="str">
        <f>IF('HIDDEN import'!F504=0,"",'HIDDEN import'!F504)</f>
        <v/>
      </c>
      <c r="F505" t="str">
        <f>IF('HIDDEN import'!G504=0,"",'HIDDEN import'!G504)</f>
        <v/>
      </c>
      <c r="G505" s="19" t="str">
        <f>IFERROR(VLOOKUP($A505,'HIDDEN Testrun Results'!$A:$B,2,FALSE),"")</f>
        <v/>
      </c>
      <c r="H505" s="3" t="b">
        <f t="shared" si="7"/>
        <v>0</v>
      </c>
      <c r="I505" s="3" t="b">
        <f>IF(VLOOKUP(A505&amp;" "&amp;B505,'HIDDEN import'!A:G,5,FALSE)="M",TRUE,IFERROR(VLOOKUP(E505,'Optional features'!B:D,3,FALSE)="Yes",IFERROR(VLOOKUP(E505,'HIDDEN calc sheet'!A:B,2,FALSE),IFERROR(VLOOKUP(E505,'Additional questions'!B:D,3,FALSE)="Yes",VLOOKUP(E505,'Hardware Feature set'!B:D,3,FALSE)="No"))))</f>
        <v>1</v>
      </c>
      <c r="J505" s="3" t="b">
        <f>IF(VLOOKUP(B505,'Profile selection'!B:C,2,FALSE)="Yes",TRUE,FALSE)</f>
        <v>0</v>
      </c>
      <c r="K505"/>
      <c r="L505"/>
    </row>
    <row r="506" spans="1:12" ht="15.75" customHeight="1" x14ac:dyDescent="0.25">
      <c r="A506" t="str">
        <f>'HIDDEN import'!B505</f>
        <v>TC_C_55_CS</v>
      </c>
      <c r="B506" t="str">
        <f>'HIDDEN import'!C505</f>
        <v>ISO 15118 Support</v>
      </c>
      <c r="C506" t="str">
        <f>'HIDDEN import'!D505</f>
        <v>Authorization using Contract Certificates 15118 - Offline - ContractValidationOffline is false</v>
      </c>
      <c r="D506" t="str">
        <f>IF(VLOOKUP(A506&amp;" "&amp;B506,'HIDDEN import'!A:G,5,FALSE)="M",MD!$A$1,(IF(AND(VLOOKUP(A506,'HIDDEN import'!B:E,4,FALSE)="C",OR(NOT(ISERROR(VLOOKUP(E506,'Optional features'!B:D,1,FALSE)=E506)),NOT(ISERROR(VLOOKUP(E506,'HIDDEN calc sheet'!A:C,1,FALSE)=E506)))),MD!$A$3,MD!$A$2)))</f>
        <v>Mandatory test for a mandatory feature</v>
      </c>
      <c r="E506" t="str">
        <f>IF('HIDDEN import'!F505=0,"",'HIDDEN import'!F505)</f>
        <v/>
      </c>
      <c r="F506" t="str">
        <f>IF('HIDDEN import'!G505=0,"",'HIDDEN import'!G505)</f>
        <v/>
      </c>
      <c r="G506" s="19" t="str">
        <f>IFERROR(VLOOKUP($A506,'HIDDEN Testrun Results'!$A:$B,2,FALSE),"")</f>
        <v/>
      </c>
      <c r="H506" s="3" t="b">
        <f t="shared" si="7"/>
        <v>0</v>
      </c>
      <c r="I506" s="3" t="b">
        <f>IF(VLOOKUP(A506&amp;" "&amp;B506,'HIDDEN import'!A:G,5,FALSE)="M",TRUE,IFERROR(VLOOKUP(E506,'Optional features'!B:D,3,FALSE)="Yes",IFERROR(VLOOKUP(E506,'HIDDEN calc sheet'!A:B,2,FALSE),IFERROR(VLOOKUP(E506,'Additional questions'!B:D,3,FALSE)="Yes",VLOOKUP(E506,'Hardware Feature set'!B:D,3,FALSE)="No"))))</f>
        <v>1</v>
      </c>
      <c r="J506" s="3" t="b">
        <f>IF(VLOOKUP(B506,'Profile selection'!B:C,2,FALSE)="Yes",TRUE,FALSE)</f>
        <v>0</v>
      </c>
      <c r="K506"/>
      <c r="L506"/>
    </row>
    <row r="507" spans="1:12" ht="15.75" customHeight="1" x14ac:dyDescent="0.25">
      <c r="A507" t="str">
        <f>'HIDDEN import'!B506</f>
        <v>TC_E_46_CS</v>
      </c>
      <c r="B507" t="str">
        <f>'HIDDEN import'!C506</f>
        <v>ISO 15118 Support</v>
      </c>
      <c r="C507" t="str">
        <f>'HIDDEN import'!D506</f>
        <v>End of charging process 15118 - End of charging process 15118</v>
      </c>
      <c r="D507" t="str">
        <f>IF(VLOOKUP(A507&amp;" "&amp;B507,'HIDDEN import'!A:G,5,FALSE)="M",MD!$A$1,(IF(AND(VLOOKUP(A507,'HIDDEN import'!B:E,4,FALSE)="C",OR(NOT(ISERROR(VLOOKUP(E507,'Optional features'!B:D,1,FALSE)=E507)),NOT(ISERROR(VLOOKUP(E507,'HIDDEN calc sheet'!A:C,1,FALSE)=E507)))),MD!$A$3,MD!$A$2)))</f>
        <v>Mandatory test for a mandatory feature</v>
      </c>
      <c r="E507" t="str">
        <f>IF('HIDDEN import'!F506=0,"",'HIDDEN import'!F506)</f>
        <v/>
      </c>
      <c r="F507" t="str">
        <f>IF('HIDDEN import'!G506=0,"",'HIDDEN import'!G506)</f>
        <v/>
      </c>
      <c r="G507" s="19" t="str">
        <f>IFERROR(VLOOKUP($A507,'HIDDEN Testrun Results'!$A:$B,2,FALSE),"")</f>
        <v/>
      </c>
      <c r="H507" s="3" t="b">
        <f t="shared" si="7"/>
        <v>0</v>
      </c>
      <c r="I507" s="3" t="b">
        <f>IF(VLOOKUP(A507&amp;" "&amp;B507,'HIDDEN import'!A:G,5,FALSE)="M",TRUE,IFERROR(VLOOKUP(E507,'Optional features'!B:D,3,FALSE)="Yes",IFERROR(VLOOKUP(E507,'HIDDEN calc sheet'!A:B,2,FALSE),IFERROR(VLOOKUP(E507,'Additional questions'!B:D,3,FALSE)="Yes",VLOOKUP(E507,'Hardware Feature set'!B:D,3,FALSE)="No"))))</f>
        <v>1</v>
      </c>
      <c r="J507" s="3" t="b">
        <f>IF(VLOOKUP(B507,'Profile selection'!B:C,2,FALSE)="Yes",TRUE,FALSE)</f>
        <v>0</v>
      </c>
      <c r="K507"/>
      <c r="L507"/>
    </row>
    <row r="508" spans="1:12" ht="15.75" customHeight="1" x14ac:dyDescent="0.25">
      <c r="A508" t="str">
        <f>'HIDDEN import'!B507</f>
        <v>TC_K_01_CS</v>
      </c>
      <c r="B508" t="str">
        <f>'HIDDEN import'!C507</f>
        <v>ISO 15118 Support</v>
      </c>
      <c r="C508" t="str">
        <f>'HIDDEN import'!D507</f>
        <v>Set Charging Profile - TxDefaultProfile - Specific EVSE</v>
      </c>
      <c r="D508" t="str">
        <f>IF(VLOOKUP(A508&amp;" "&amp;B508,'HIDDEN import'!A:G,5,FALSE)="M",MD!$A$1,(IF(AND(VLOOKUP(A508,'HIDDEN import'!B:E,4,FALSE)="C",OR(NOT(ISERROR(VLOOKUP(E508,'Optional features'!B:D,1,FALSE)=E508)),NOT(ISERROR(VLOOKUP(E508,'HIDDEN calc sheet'!A:C,1,FALSE)=E508)))),MD!$A$3,MD!$A$2)))</f>
        <v>Mandatory test for a mandatory feature</v>
      </c>
      <c r="E508" t="str">
        <f>IF('HIDDEN import'!F507=0,"",'HIDDEN import'!F507)</f>
        <v/>
      </c>
      <c r="F508" t="str">
        <f>IF('HIDDEN import'!G507=0,"",'HIDDEN import'!G507)</f>
        <v/>
      </c>
      <c r="G508" s="19" t="str">
        <f>IFERROR(VLOOKUP($A508,'HIDDEN Testrun Results'!$A:$B,2,FALSE),"")</f>
        <v/>
      </c>
      <c r="H508" s="3" t="b">
        <f t="shared" si="7"/>
        <v>0</v>
      </c>
      <c r="I508" s="3" t="b">
        <f>IF(VLOOKUP(A508&amp;" "&amp;B508,'HIDDEN import'!A:G,5,FALSE)="M",TRUE,IFERROR(VLOOKUP(E508,'Optional features'!B:D,3,FALSE)="Yes",IFERROR(VLOOKUP(E508,'HIDDEN calc sheet'!A:B,2,FALSE),IFERROR(VLOOKUP(E508,'Additional questions'!B:D,3,FALSE)="Yes",VLOOKUP(E508,'Hardware Feature set'!B:D,3,FALSE)="No"))))</f>
        <v>1</v>
      </c>
      <c r="J508" s="3" t="b">
        <f>IF(VLOOKUP(B508,'Profile selection'!B:C,2,FALSE)="Yes",TRUE,FALSE)</f>
        <v>0</v>
      </c>
      <c r="K508"/>
      <c r="L508"/>
    </row>
    <row r="509" spans="1:12" ht="15.75" customHeight="1" x14ac:dyDescent="0.25">
      <c r="A509" t="str">
        <f>'HIDDEN import'!B508</f>
        <v>TC_K_10_CS</v>
      </c>
      <c r="B509" t="str">
        <f>'HIDDEN import'!C508</f>
        <v>ISO 15118 Support</v>
      </c>
      <c r="C509" t="str">
        <f>'HIDDEN import'!D508</f>
        <v>Set Charging Profile - TxDefaultProfile - All EVSE</v>
      </c>
      <c r="D509" t="str">
        <f>IF(VLOOKUP(A509&amp;" "&amp;B509,'HIDDEN import'!A:G,5,FALSE)="M",MD!$A$1,(IF(AND(VLOOKUP(A509,'HIDDEN import'!B:E,4,FALSE)="C",OR(NOT(ISERROR(VLOOKUP(E509,'Optional features'!B:D,1,FALSE)=E509)),NOT(ISERROR(VLOOKUP(E509,'HIDDEN calc sheet'!A:C,1,FALSE)=E509)))),MD!$A$3,MD!$A$2)))</f>
        <v>Mandatory test for a mandatory feature</v>
      </c>
      <c r="E509" t="str">
        <f>IF('HIDDEN import'!F508=0,"",'HIDDEN import'!F508)</f>
        <v/>
      </c>
      <c r="F509" t="str">
        <f>IF('HIDDEN import'!G508=0,"",'HIDDEN import'!G508)</f>
        <v/>
      </c>
      <c r="G509" s="19" t="str">
        <f>IFERROR(VLOOKUP($A509,'HIDDEN Testrun Results'!$A:$B,2,FALSE),"")</f>
        <v/>
      </c>
      <c r="H509" s="3" t="b">
        <f t="shared" si="7"/>
        <v>0</v>
      </c>
      <c r="I509" s="3" t="b">
        <f>IF(VLOOKUP(A509&amp;" "&amp;B509,'HIDDEN import'!A:G,5,FALSE)="M",TRUE,IFERROR(VLOOKUP(E509,'Optional features'!B:D,3,FALSE)="Yes",IFERROR(VLOOKUP(E509,'HIDDEN calc sheet'!A:B,2,FALSE),IFERROR(VLOOKUP(E509,'Additional questions'!B:D,3,FALSE)="Yes",VLOOKUP(E509,'Hardware Feature set'!B:D,3,FALSE)="No"))))</f>
        <v>1</v>
      </c>
      <c r="J509" s="3" t="b">
        <f>IF(VLOOKUP(B509,'Profile selection'!B:C,2,FALSE)="Yes",TRUE,FALSE)</f>
        <v>0</v>
      </c>
      <c r="K509"/>
      <c r="L509"/>
    </row>
    <row r="510" spans="1:12" ht="15.75" customHeight="1" x14ac:dyDescent="0.25">
      <c r="A510" t="str">
        <f>'HIDDEN import'!B509</f>
        <v>TC_K_60_CS</v>
      </c>
      <c r="B510" t="str">
        <f>'HIDDEN import'!C509</f>
        <v>ISO 15118 Support</v>
      </c>
      <c r="C510" t="str">
        <f>'HIDDEN import'!D509</f>
        <v>Set Charging Profile - TxProfile with ongoing transaction on the specified EVSE</v>
      </c>
      <c r="D510" t="str">
        <f>IF(VLOOKUP(A510&amp;" "&amp;B510,'HIDDEN import'!A:G,5,FALSE)="M",MD!$A$1,(IF(AND(VLOOKUP(A510,'HIDDEN import'!B:E,4,FALSE)="C",OR(NOT(ISERROR(VLOOKUP(E510,'Optional features'!B:D,1,FALSE)=E510)),NOT(ISERROR(VLOOKUP(E510,'HIDDEN calc sheet'!A:C,1,FALSE)=E510)))),MD!$A$3,MD!$A$2)))</f>
        <v>Mandatory test for a mandatory feature</v>
      </c>
      <c r="E510" t="str">
        <f>IF('HIDDEN import'!F509=0,"",'HIDDEN import'!F509)</f>
        <v/>
      </c>
      <c r="F510" t="str">
        <f>IF('HIDDEN import'!G509=0,"",'HIDDEN import'!G509)</f>
        <v/>
      </c>
      <c r="G510" s="19" t="str">
        <f>IFERROR(VLOOKUP($A510,'HIDDEN Testrun Results'!$A:$B,2,FALSE),"")</f>
        <v/>
      </c>
      <c r="H510" s="3" t="b">
        <f t="shared" si="7"/>
        <v>0</v>
      </c>
      <c r="I510" s="3" t="b">
        <f>IF(VLOOKUP(A510&amp;" "&amp;B510,'HIDDEN import'!A:G,5,FALSE)="M",TRUE,IFERROR(VLOOKUP(E510,'Optional features'!B:D,3,FALSE)="Yes",IFERROR(VLOOKUP(E510,'HIDDEN calc sheet'!A:B,2,FALSE),IFERROR(VLOOKUP(E510,'Additional questions'!B:D,3,FALSE)="Yes",VLOOKUP(E510,'Hardware Feature set'!B:D,3,FALSE)="No"))))</f>
        <v>1</v>
      </c>
      <c r="J510" s="3" t="b">
        <f>IF(VLOOKUP(B510,'Profile selection'!B:C,2,FALSE)="Yes",TRUE,FALSE)</f>
        <v>0</v>
      </c>
      <c r="K510"/>
      <c r="L510"/>
    </row>
    <row r="511" spans="1:12" ht="15.75" customHeight="1" x14ac:dyDescent="0.25">
      <c r="A511" t="str">
        <f>'HIDDEN import'!B510</f>
        <v>TC_K_02_CS</v>
      </c>
      <c r="B511" t="str">
        <f>'HIDDEN import'!C510</f>
        <v>ISO 15118 Support</v>
      </c>
      <c r="C511" t="str">
        <f>'HIDDEN import'!D510</f>
        <v>Set Charging Profile - TxProfile without ongoing transaction on the specified EVSE</v>
      </c>
      <c r="D511" t="str">
        <f>IF(VLOOKUP(A511&amp;" "&amp;B511,'HIDDEN import'!A:G,5,FALSE)="M",MD!$A$1,(IF(AND(VLOOKUP(A511,'HIDDEN import'!B:E,4,FALSE)="C",OR(NOT(ISERROR(VLOOKUP(E511,'Optional features'!B:D,1,FALSE)=E511)),NOT(ISERROR(VLOOKUP(E511,'HIDDEN calc sheet'!A:C,1,FALSE)=E511)))),MD!$A$3,MD!$A$2)))</f>
        <v>Mandatory test for a mandatory feature</v>
      </c>
      <c r="E511" t="str">
        <f>IF('HIDDEN import'!F510=0,"",'HIDDEN import'!F510)</f>
        <v/>
      </c>
      <c r="F511" t="str">
        <f>IF('HIDDEN import'!G510=0,"",'HIDDEN import'!G510)</f>
        <v/>
      </c>
      <c r="G511" s="19" t="str">
        <f>IFERROR(VLOOKUP($A511,'HIDDEN Testrun Results'!$A:$B,2,FALSE),"")</f>
        <v/>
      </c>
      <c r="H511" s="3" t="b">
        <f t="shared" si="7"/>
        <v>0</v>
      </c>
      <c r="I511" s="3" t="b">
        <f>IF(VLOOKUP(A511&amp;" "&amp;B511,'HIDDEN import'!A:G,5,FALSE)="M",TRUE,IFERROR(VLOOKUP(E511,'Optional features'!B:D,3,FALSE)="Yes",IFERROR(VLOOKUP(E511,'HIDDEN calc sheet'!A:B,2,FALSE),IFERROR(VLOOKUP(E511,'Additional questions'!B:D,3,FALSE)="Yes",VLOOKUP(E511,'Hardware Feature set'!B:D,3,FALSE)="No"))))</f>
        <v>1</v>
      </c>
      <c r="J511" s="3" t="b">
        <f>IF(VLOOKUP(B511,'Profile selection'!B:C,2,FALSE)="Yes",TRUE,FALSE)</f>
        <v>0</v>
      </c>
      <c r="K511"/>
      <c r="L511"/>
    </row>
    <row r="512" spans="1:12" ht="15.75" customHeight="1" x14ac:dyDescent="0.25">
      <c r="A512" t="str">
        <f>'HIDDEN import'!B511</f>
        <v>TC_K_11_CS</v>
      </c>
      <c r="B512" t="str">
        <f>'HIDDEN import'!C511</f>
        <v>ISO 15118 Support</v>
      </c>
      <c r="C512" t="str">
        <f>'HIDDEN import'!D511</f>
        <v>Set Charging Profile - Unable to set TxProfile on all EVSE at once</v>
      </c>
      <c r="D512" t="str">
        <f>IF(VLOOKUP(A512&amp;" "&amp;B512,'HIDDEN import'!A:G,5,FALSE)="M",MD!$A$1,(IF(AND(VLOOKUP(A512,'HIDDEN import'!B:E,4,FALSE)="C",OR(NOT(ISERROR(VLOOKUP(E512,'Optional features'!B:D,1,FALSE)=E512)),NOT(ISERROR(VLOOKUP(E512,'HIDDEN calc sheet'!A:C,1,FALSE)=E512)))),MD!$A$3,MD!$A$2)))</f>
        <v>Mandatory test for a mandatory feature</v>
      </c>
      <c r="E512" t="str">
        <f>IF('HIDDEN import'!F511=0,"",'HIDDEN import'!F511)</f>
        <v/>
      </c>
      <c r="F512" t="str">
        <f>IF('HIDDEN import'!G511=0,"",'HIDDEN import'!G511)</f>
        <v/>
      </c>
      <c r="G512" s="19" t="str">
        <f>IFERROR(VLOOKUP($A512,'HIDDEN Testrun Results'!$A:$B,2,FALSE),"")</f>
        <v/>
      </c>
      <c r="H512" s="3" t="b">
        <f t="shared" si="7"/>
        <v>0</v>
      </c>
      <c r="I512" s="3" t="b">
        <f>IF(VLOOKUP(A512&amp;" "&amp;B512,'HIDDEN import'!A:G,5,FALSE)="M",TRUE,IFERROR(VLOOKUP(E512,'Optional features'!B:D,3,FALSE)="Yes",IFERROR(VLOOKUP(E512,'HIDDEN calc sheet'!A:B,2,FALSE),IFERROR(VLOOKUP(E512,'Additional questions'!B:D,3,FALSE)="Yes",VLOOKUP(E512,'Hardware Feature set'!B:D,3,FALSE)="No"))))</f>
        <v>1</v>
      </c>
      <c r="J512" s="3" t="b">
        <f>IF(VLOOKUP(B512,'Profile selection'!B:C,2,FALSE)="Yes",TRUE,FALSE)</f>
        <v>0</v>
      </c>
      <c r="K512"/>
      <c r="L512"/>
    </row>
    <row r="513" spans="1:12" ht="15.75" customHeight="1" x14ac:dyDescent="0.25">
      <c r="A513" t="str">
        <f>'HIDDEN import'!B512</f>
        <v>TC_K_03_CS</v>
      </c>
      <c r="B513" t="str">
        <f>'HIDDEN import'!C512</f>
        <v>ISO 15118 Support</v>
      </c>
      <c r="C513" t="str">
        <f>'HIDDEN import'!D512</f>
        <v>Set Charging Profile - ChargingStationMaxProfile</v>
      </c>
      <c r="D513" t="str">
        <f>IF(VLOOKUP(A513&amp;" "&amp;B513,'HIDDEN import'!A:G,5,FALSE)="M",MD!$A$1,(IF(AND(VLOOKUP(A513,'HIDDEN import'!B:E,4,FALSE)="C",OR(NOT(ISERROR(VLOOKUP(E513,'Optional features'!B:D,1,FALSE)=E513)),NOT(ISERROR(VLOOKUP(E513,'HIDDEN calc sheet'!A:C,1,FALSE)=E513)))),MD!$A$3,MD!$A$2)))</f>
        <v>Mandatory test for a mandatory feature</v>
      </c>
      <c r="E513" t="str">
        <f>IF('HIDDEN import'!F512=0,"",'HIDDEN import'!F512)</f>
        <v/>
      </c>
      <c r="F513" t="str">
        <f>IF('HIDDEN import'!G512=0,"",'HIDDEN import'!G512)</f>
        <v/>
      </c>
      <c r="G513" s="19" t="str">
        <f>IFERROR(VLOOKUP($A513,'HIDDEN Testrun Results'!$A:$B,2,FALSE),"")</f>
        <v/>
      </c>
      <c r="H513" s="3" t="b">
        <f t="shared" si="7"/>
        <v>0</v>
      </c>
      <c r="I513" s="3" t="b">
        <f>IF(VLOOKUP(A513&amp;" "&amp;B513,'HIDDEN import'!A:G,5,FALSE)="M",TRUE,IFERROR(VLOOKUP(E513,'Optional features'!B:D,3,FALSE)="Yes",IFERROR(VLOOKUP(E513,'HIDDEN calc sheet'!A:B,2,FALSE),IFERROR(VLOOKUP(E513,'Additional questions'!B:D,3,FALSE)="Yes",VLOOKUP(E513,'Hardware Feature set'!B:D,3,FALSE)="No"))))</f>
        <v>1</v>
      </c>
      <c r="J513" s="3" t="b">
        <f>IF(VLOOKUP(B513,'Profile selection'!B:C,2,FALSE)="Yes",TRUE,FALSE)</f>
        <v>0</v>
      </c>
      <c r="K513"/>
      <c r="L513"/>
    </row>
    <row r="514" spans="1:12" ht="15.75" customHeight="1" x14ac:dyDescent="0.25">
      <c r="A514" t="str">
        <f>'HIDDEN import'!B513</f>
        <v>TC_K_19_CS</v>
      </c>
      <c r="B514" t="str">
        <f>'HIDDEN import'!C513</f>
        <v>ISO 15118 Support</v>
      </c>
      <c r="C514" t="str">
        <f>'HIDDEN import'!D513</f>
        <v>Set Charging Profile - ChargingProfileKind is Recurring</v>
      </c>
      <c r="D514" t="str">
        <f>IF(VLOOKUP(A514&amp;" "&amp;B514,'HIDDEN import'!A:G,5,FALSE)="M",MD!$A$1,(IF(AND(VLOOKUP(A514,'HIDDEN import'!B:E,4,FALSE)="C",OR(NOT(ISERROR(VLOOKUP(E514,'Optional features'!B:D,1,FALSE)=E514)),NOT(ISERROR(VLOOKUP(E514,'HIDDEN calc sheet'!A:C,1,FALSE)=E514)))),MD!$A$3,MD!$A$2)))</f>
        <v>Mandatory test for a mandatory feature</v>
      </c>
      <c r="E514" t="str">
        <f>IF('HIDDEN import'!F513=0,"",'HIDDEN import'!F513)</f>
        <v/>
      </c>
      <c r="F514" t="str">
        <f>IF('HIDDEN import'!G513=0,"",'HIDDEN import'!G513)</f>
        <v/>
      </c>
      <c r="G514" s="19" t="str">
        <f>IFERROR(VLOOKUP($A514,'HIDDEN Testrun Results'!$A:$B,2,FALSE),"")</f>
        <v/>
      </c>
      <c r="H514" s="3" t="b">
        <f t="shared" si="7"/>
        <v>0</v>
      </c>
      <c r="I514" s="3" t="b">
        <f>IF(VLOOKUP(A514&amp;" "&amp;B514,'HIDDEN import'!A:G,5,FALSE)="M",TRUE,IFERROR(VLOOKUP(E514,'Optional features'!B:D,3,FALSE)="Yes",IFERROR(VLOOKUP(E514,'HIDDEN calc sheet'!A:B,2,FALSE),IFERROR(VLOOKUP(E514,'Additional questions'!B:D,3,FALSE)="Yes",VLOOKUP(E514,'Hardware Feature set'!B:D,3,FALSE)="No"))))</f>
        <v>1</v>
      </c>
      <c r="J514" s="3" t="b">
        <f>IF(VLOOKUP(B514,'Profile selection'!B:C,2,FALSE)="Yes",TRUE,FALSE)</f>
        <v>0</v>
      </c>
      <c r="K514"/>
      <c r="L514"/>
    </row>
    <row r="515" spans="1:12" ht="15.75" customHeight="1" x14ac:dyDescent="0.25">
      <c r="A515" t="str">
        <f>'HIDDEN import'!B514</f>
        <v>TC_K_12_CS</v>
      </c>
      <c r="B515" t="str">
        <f>'HIDDEN import'!C514</f>
        <v>ISO 15118 Support</v>
      </c>
      <c r="C515" t="str">
        <f>'HIDDEN import'!D514</f>
        <v>Set Charging Profile - ChargerRateUnit Rejected</v>
      </c>
      <c r="D515" t="str">
        <f>IF(VLOOKUP(A515&amp;" "&amp;B515,'HIDDEN import'!A:G,5,FALSE)="M",MD!$A$1,(IF(AND(VLOOKUP(A515,'HIDDEN import'!B:E,4,FALSE)="C",OR(NOT(ISERROR(VLOOKUP(E515,'Optional features'!B:D,1,FALSE)=E515)),NOT(ISERROR(VLOOKUP(E515,'HIDDEN calc sheet'!A:C,1,FALSE)=E515)))),MD!$A$3,MD!$A$2)))</f>
        <v>Mandatory for optional feature</v>
      </c>
      <c r="E515" t="str">
        <f>IF('HIDDEN import'!F514=0,"",'HIDDEN import'!F514)</f>
        <v>NOT (SC-2.1 and SC-2.2)</v>
      </c>
      <c r="F515" t="str">
        <f>IF('HIDDEN import'!G514=0,"",'HIDDEN import'!G514)</f>
        <v/>
      </c>
      <c r="G515" s="19" t="str">
        <f>IFERROR(VLOOKUP($A515,'HIDDEN Testrun Results'!$A:$B,2,FALSE),"")</f>
        <v/>
      </c>
      <c r="H515" s="3" t="b">
        <f t="shared" ref="H515:H578" si="8">IF(NOT(J515),FALSE,IF(NOT(ISLOGICAL(I515)),I515,AND(I515,J515)))</f>
        <v>0</v>
      </c>
      <c r="I515" s="3" t="b">
        <f>IF(VLOOKUP(A515&amp;" "&amp;B515,'HIDDEN import'!A:G,5,FALSE)="M",TRUE,IFERROR(VLOOKUP(E515,'Optional features'!B:D,3,FALSE)="Yes",IFERROR(VLOOKUP(E515,'HIDDEN calc sheet'!A:B,2,FALSE),IFERROR(VLOOKUP(E515,'Additional questions'!B:D,3,FALSE)="Yes",VLOOKUP(E515,'Hardware Feature set'!B:D,3,FALSE)="No"))))</f>
        <v>1</v>
      </c>
      <c r="J515" s="3" t="b">
        <f>IF(VLOOKUP(B515,'Profile selection'!B:C,2,FALSE)="Yes",TRUE,FALSE)</f>
        <v>0</v>
      </c>
      <c r="K515"/>
      <c r="L515"/>
    </row>
    <row r="516" spans="1:12" ht="15.75" customHeight="1" x14ac:dyDescent="0.25">
      <c r="A516" t="str">
        <f>'HIDDEN import'!B515</f>
        <v>TC_K_13_CS</v>
      </c>
      <c r="B516" t="str">
        <f>'HIDDEN import'!C515</f>
        <v>ISO 15118 Support</v>
      </c>
      <c r="C516" t="str">
        <f>'HIDDEN import'!D515</f>
        <v>Set Charging Profile - Persistent over reboot</v>
      </c>
      <c r="D516" t="str">
        <f>IF(VLOOKUP(A516&amp;" "&amp;B516,'HIDDEN import'!A:G,5,FALSE)="M",MD!$A$1,(IF(AND(VLOOKUP(A516,'HIDDEN import'!B:E,4,FALSE)="C",OR(NOT(ISERROR(VLOOKUP(E516,'Optional features'!B:D,1,FALSE)=E516)),NOT(ISERROR(VLOOKUP(E516,'HIDDEN calc sheet'!A:C,1,FALSE)=E516)))),MD!$A$3,MD!$A$2)))</f>
        <v>Mandatory test for a mandatory feature</v>
      </c>
      <c r="E516" t="str">
        <f>IF('HIDDEN import'!F515=0,"",'HIDDEN import'!F515)</f>
        <v/>
      </c>
      <c r="F516" t="str">
        <f>IF('HIDDEN import'!G515=0,"",'HIDDEN import'!G515)</f>
        <v/>
      </c>
      <c r="G516" s="19" t="str">
        <f>IFERROR(VLOOKUP($A516,'HIDDEN Testrun Results'!$A:$B,2,FALSE),"")</f>
        <v/>
      </c>
      <c r="H516" s="3" t="b">
        <f t="shared" si="8"/>
        <v>0</v>
      </c>
      <c r="I516" s="3" t="b">
        <f>IF(VLOOKUP(A516&amp;" "&amp;B516,'HIDDEN import'!A:G,5,FALSE)="M",TRUE,IFERROR(VLOOKUP(E516,'Optional features'!B:D,3,FALSE)="Yes",IFERROR(VLOOKUP(E516,'HIDDEN calc sheet'!A:B,2,FALSE),IFERROR(VLOOKUP(E516,'Additional questions'!B:D,3,FALSE)="Yes",VLOOKUP(E516,'Hardware Feature set'!B:D,3,FALSE)="No"))))</f>
        <v>1</v>
      </c>
      <c r="J516" s="3" t="b">
        <f>IF(VLOOKUP(B516,'Profile selection'!B:C,2,FALSE)="Yes",TRUE,FALSE)</f>
        <v>0</v>
      </c>
      <c r="K516"/>
      <c r="L516"/>
    </row>
    <row r="517" spans="1:12" ht="15.75" customHeight="1" x14ac:dyDescent="0.25">
      <c r="A517" t="str">
        <f>'HIDDEN import'!B516</f>
        <v>TC_K_14_CS</v>
      </c>
      <c r="B517" t="str">
        <f>'HIDDEN import'!C516</f>
        <v>ISO 15118 Support</v>
      </c>
      <c r="C517" t="str">
        <f>'HIDDEN import'!D516</f>
        <v>Set Charging Profile - Unexisting EVSEid</v>
      </c>
      <c r="D517" t="str">
        <f>IF(VLOOKUP(A517&amp;" "&amp;B517,'HIDDEN import'!A:G,5,FALSE)="M",MD!$A$1,(IF(AND(VLOOKUP(A517,'HIDDEN import'!B:E,4,FALSE)="C",OR(NOT(ISERROR(VLOOKUP(E517,'Optional features'!B:D,1,FALSE)=E517)),NOT(ISERROR(VLOOKUP(E517,'HIDDEN calc sheet'!A:C,1,FALSE)=E517)))),MD!$A$3,MD!$A$2)))</f>
        <v>Mandatory test for a mandatory feature</v>
      </c>
      <c r="E517" t="str">
        <f>IF('HIDDEN import'!F516=0,"",'HIDDEN import'!F516)</f>
        <v/>
      </c>
      <c r="F517" t="str">
        <f>IF('HIDDEN import'!G516=0,"",'HIDDEN import'!G516)</f>
        <v/>
      </c>
      <c r="G517" s="19" t="str">
        <f>IFERROR(VLOOKUP($A517,'HIDDEN Testrun Results'!$A:$B,2,FALSE),"")</f>
        <v/>
      </c>
      <c r="H517" s="3" t="b">
        <f t="shared" si="8"/>
        <v>0</v>
      </c>
      <c r="I517" s="3" t="b">
        <f>IF(VLOOKUP(A517&amp;" "&amp;B517,'HIDDEN import'!A:G,5,FALSE)="M",TRUE,IFERROR(VLOOKUP(E517,'Optional features'!B:D,3,FALSE)="Yes",IFERROR(VLOOKUP(E517,'HIDDEN calc sheet'!A:B,2,FALSE),IFERROR(VLOOKUP(E517,'Additional questions'!B:D,3,FALSE)="Yes",VLOOKUP(E517,'Hardware Feature set'!B:D,3,FALSE)="No"))))</f>
        <v>1</v>
      </c>
      <c r="J517" s="3" t="b">
        <f>IF(VLOOKUP(B517,'Profile selection'!B:C,2,FALSE)="Yes",TRUE,FALSE)</f>
        <v>0</v>
      </c>
      <c r="K517"/>
      <c r="L517"/>
    </row>
    <row r="518" spans="1:12" ht="15.75" customHeight="1" x14ac:dyDescent="0.25">
      <c r="A518" t="str">
        <f>'HIDDEN import'!B517</f>
        <v>TC_K_28_CS</v>
      </c>
      <c r="B518" t="str">
        <f>'HIDDEN import'!C517</f>
        <v>ISO 15118 Support</v>
      </c>
      <c r="C518" t="str">
        <f>'HIDDEN import'!D517</f>
        <v>Set Charging Profile - TxDefaultProfile with transaction ongoing</v>
      </c>
      <c r="D518" t="str">
        <f>IF(VLOOKUP(A518&amp;" "&amp;B518,'HIDDEN import'!A:G,5,FALSE)="M",MD!$A$1,(IF(AND(VLOOKUP(A518,'HIDDEN import'!B:E,4,FALSE)="C",OR(NOT(ISERROR(VLOOKUP(E518,'Optional features'!B:D,1,FALSE)=E518)),NOT(ISERROR(VLOOKUP(E518,'HIDDEN calc sheet'!A:C,1,FALSE)=E518)))),MD!$A$3,MD!$A$2)))</f>
        <v>Mandatory test for a mandatory feature</v>
      </c>
      <c r="E518" t="str">
        <f>IF('HIDDEN import'!F517=0,"",'HIDDEN import'!F517)</f>
        <v/>
      </c>
      <c r="F518" t="str">
        <f>IF('HIDDEN import'!G517=0,"",'HIDDEN import'!G517)</f>
        <v/>
      </c>
      <c r="G518" s="19" t="str">
        <f>IFERROR(VLOOKUP($A518,'HIDDEN Testrun Results'!$A:$B,2,FALSE),"")</f>
        <v/>
      </c>
      <c r="H518" s="3" t="b">
        <f t="shared" si="8"/>
        <v>0</v>
      </c>
      <c r="I518" s="3" t="b">
        <f>IF(VLOOKUP(A518&amp;" "&amp;B518,'HIDDEN import'!A:G,5,FALSE)="M",TRUE,IFERROR(VLOOKUP(E518,'Optional features'!B:D,3,FALSE)="Yes",IFERROR(VLOOKUP(E518,'HIDDEN calc sheet'!A:B,2,FALSE),IFERROR(VLOOKUP(E518,'Additional questions'!B:D,3,FALSE)="Yes",VLOOKUP(E518,'Hardware Feature set'!B:D,3,FALSE)="No"))))</f>
        <v>1</v>
      </c>
      <c r="J518" s="3" t="b">
        <f>IF(VLOOKUP(B518,'Profile selection'!B:C,2,FALSE)="Yes",TRUE,FALSE)</f>
        <v>0</v>
      </c>
      <c r="K518"/>
      <c r="L518"/>
    </row>
    <row r="519" spans="1:12" ht="15.75" customHeight="1" x14ac:dyDescent="0.25">
      <c r="A519" t="str">
        <f>'HIDDEN import'!B518</f>
        <v>TC_K_16_CS</v>
      </c>
      <c r="B519" t="str">
        <f>'HIDDEN import'!C518</f>
        <v>ISO 15118 Support</v>
      </c>
      <c r="C519" t="str">
        <f>'HIDDEN import'!D518</f>
        <v>Set Charging Profile - Unknown transactionId</v>
      </c>
      <c r="D519" t="str">
        <f>IF(VLOOKUP(A519&amp;" "&amp;B519,'HIDDEN import'!A:G,5,FALSE)="M",MD!$A$1,(IF(AND(VLOOKUP(A519,'HIDDEN import'!B:E,4,FALSE)="C",OR(NOT(ISERROR(VLOOKUP(E519,'Optional features'!B:D,1,FALSE)=E519)),NOT(ISERROR(VLOOKUP(E519,'HIDDEN calc sheet'!A:C,1,FALSE)=E519)))),MD!$A$3,MD!$A$2)))</f>
        <v>Mandatory test for a mandatory feature</v>
      </c>
      <c r="E519" t="str">
        <f>IF('HIDDEN import'!F518=0,"",'HIDDEN import'!F518)</f>
        <v/>
      </c>
      <c r="F519" t="str">
        <f>IF('HIDDEN import'!G518=0,"",'HIDDEN import'!G518)</f>
        <v/>
      </c>
      <c r="G519" s="19" t="str">
        <f>IFERROR(VLOOKUP($A519,'HIDDEN Testrun Results'!$A:$B,2,FALSE),"")</f>
        <v/>
      </c>
      <c r="H519" s="3" t="b">
        <f t="shared" si="8"/>
        <v>0</v>
      </c>
      <c r="I519" s="3" t="b">
        <f>IF(VLOOKUP(A519&amp;" "&amp;B519,'HIDDEN import'!A:G,5,FALSE)="M",TRUE,IFERROR(VLOOKUP(E519,'Optional features'!B:D,3,FALSE)="Yes",IFERROR(VLOOKUP(E519,'HIDDEN calc sheet'!A:B,2,FALSE),IFERROR(VLOOKUP(E519,'Additional questions'!B:D,3,FALSE)="Yes",VLOOKUP(E519,'Hardware Feature set'!B:D,3,FALSE)="No"))))</f>
        <v>1</v>
      </c>
      <c r="J519" s="3" t="b">
        <f>IF(VLOOKUP(B519,'Profile selection'!B:C,2,FALSE)="Yes",TRUE,FALSE)</f>
        <v>0</v>
      </c>
      <c r="K519"/>
      <c r="L519"/>
    </row>
    <row r="520" spans="1:12" ht="15.75" customHeight="1" x14ac:dyDescent="0.25">
      <c r="A520" t="str">
        <f>'HIDDEN import'!B519</f>
        <v>TC_K_21_CS</v>
      </c>
      <c r="B520" t="str">
        <f>'HIDDEN import'!C519</f>
        <v>ISO 15118 Support</v>
      </c>
      <c r="C520" t="str">
        <f>'HIDDEN import'!D519</f>
        <v>Set Charging Profile - ValidFrom</v>
      </c>
      <c r="D520" t="str">
        <f>IF(VLOOKUP(A520&amp;" "&amp;B520,'HIDDEN import'!A:G,5,FALSE)="M",MD!$A$1,(IF(AND(VLOOKUP(A520,'HIDDEN import'!B:E,4,FALSE)="C",OR(NOT(ISERROR(VLOOKUP(E520,'Optional features'!B:D,1,FALSE)=E520)),NOT(ISERROR(VLOOKUP(E520,'HIDDEN calc sheet'!A:C,1,FALSE)=E520)))),MD!$A$3,MD!$A$2)))</f>
        <v>Mandatory test for a mandatory feature</v>
      </c>
      <c r="E520" t="str">
        <f>IF('HIDDEN import'!F519=0,"",'HIDDEN import'!F519)</f>
        <v/>
      </c>
      <c r="F520" t="str">
        <f>IF('HIDDEN import'!G519=0,"",'HIDDEN import'!G519)</f>
        <v/>
      </c>
      <c r="G520" s="19" t="str">
        <f>IFERROR(VLOOKUP($A520,'HIDDEN Testrun Results'!$A:$B,2,FALSE),"")</f>
        <v/>
      </c>
      <c r="H520" s="3" t="b">
        <f t="shared" si="8"/>
        <v>0</v>
      </c>
      <c r="I520" s="3" t="b">
        <f>IF(VLOOKUP(A520&amp;" "&amp;B520,'HIDDEN import'!A:G,5,FALSE)="M",TRUE,IFERROR(VLOOKUP(E520,'Optional features'!B:D,3,FALSE)="Yes",IFERROR(VLOOKUP(E520,'HIDDEN calc sheet'!A:B,2,FALSE),IFERROR(VLOOKUP(E520,'Additional questions'!B:D,3,FALSE)="Yes",VLOOKUP(E520,'Hardware Feature set'!B:D,3,FALSE)="No"))))</f>
        <v>1</v>
      </c>
      <c r="J520" s="3" t="b">
        <f>IF(VLOOKUP(B520,'Profile selection'!B:C,2,FALSE)="Yes",TRUE,FALSE)</f>
        <v>0</v>
      </c>
      <c r="K520"/>
      <c r="L520"/>
    </row>
    <row r="521" spans="1:12" ht="15.75" customHeight="1" x14ac:dyDescent="0.25">
      <c r="A521" t="str">
        <f>'HIDDEN import'!B520</f>
        <v>TC_K_22_CS</v>
      </c>
      <c r="B521" t="str">
        <f>'HIDDEN import'!C520</f>
        <v>ISO 15118 Support</v>
      </c>
      <c r="C521" t="str">
        <f>'HIDDEN import'!D520</f>
        <v>Set Charging Profile - ValidTo</v>
      </c>
      <c r="D521" t="str">
        <f>IF(VLOOKUP(A521&amp;" "&amp;B521,'HIDDEN import'!A:G,5,FALSE)="M",MD!$A$1,(IF(AND(VLOOKUP(A521,'HIDDEN import'!B:E,4,FALSE)="C",OR(NOT(ISERROR(VLOOKUP(E521,'Optional features'!B:D,1,FALSE)=E521)),NOT(ISERROR(VLOOKUP(E521,'HIDDEN calc sheet'!A:C,1,FALSE)=E521)))),MD!$A$3,MD!$A$2)))</f>
        <v>Mandatory test for a mandatory feature</v>
      </c>
      <c r="E521" t="str">
        <f>IF('HIDDEN import'!F520=0,"",'HIDDEN import'!F520)</f>
        <v/>
      </c>
      <c r="F521" t="str">
        <f>IF('HIDDEN import'!G520=0,"",'HIDDEN import'!G520)</f>
        <v/>
      </c>
      <c r="G521" s="19" t="str">
        <f>IFERROR(VLOOKUP($A521,'HIDDEN Testrun Results'!$A:$B,2,FALSE),"")</f>
        <v/>
      </c>
      <c r="H521" s="3" t="b">
        <f t="shared" si="8"/>
        <v>0</v>
      </c>
      <c r="I521" s="3" t="b">
        <f>IF(VLOOKUP(A521&amp;" "&amp;B521,'HIDDEN import'!A:G,5,FALSE)="M",TRUE,IFERROR(VLOOKUP(E521,'Optional features'!B:D,3,FALSE)="Yes",IFERROR(VLOOKUP(E521,'HIDDEN calc sheet'!A:B,2,FALSE),IFERROR(VLOOKUP(E521,'Additional questions'!B:D,3,FALSE)="Yes",VLOOKUP(E521,'Hardware Feature set'!B:D,3,FALSE)="No"))))</f>
        <v>1</v>
      </c>
      <c r="J521" s="3" t="b">
        <f>IF(VLOOKUP(B521,'Profile selection'!B:C,2,FALSE)="Yes",TRUE,FALSE)</f>
        <v>0</v>
      </c>
      <c r="K521"/>
      <c r="L521"/>
    </row>
    <row r="522" spans="1:12" ht="15.75" customHeight="1" x14ac:dyDescent="0.25">
      <c r="A522" t="str">
        <f>'HIDDEN import'!B521</f>
        <v>TC_K_23_CS</v>
      </c>
      <c r="B522" t="str">
        <f>'HIDDEN import'!C521</f>
        <v>ISO 15118 Support</v>
      </c>
      <c r="C522" t="str">
        <f>'HIDDEN import'!D521</f>
        <v>Set Charging Profile - StartSchedule</v>
      </c>
      <c r="D522" t="str">
        <f>IF(VLOOKUP(A522&amp;" "&amp;B522,'HIDDEN import'!A:G,5,FALSE)="M",MD!$A$1,(IF(AND(VLOOKUP(A522,'HIDDEN import'!B:E,4,FALSE)="C",OR(NOT(ISERROR(VLOOKUP(E522,'Optional features'!B:D,1,FALSE)=E522)),NOT(ISERROR(VLOOKUP(E522,'HIDDEN calc sheet'!A:C,1,FALSE)=E522)))),MD!$A$3,MD!$A$2)))</f>
        <v>Mandatory test for a mandatory feature</v>
      </c>
      <c r="E522" t="str">
        <f>IF('HIDDEN import'!F521=0,"",'HIDDEN import'!F521)</f>
        <v/>
      </c>
      <c r="F522" t="str">
        <f>IF('HIDDEN import'!G521=0,"",'HIDDEN import'!G521)</f>
        <v/>
      </c>
      <c r="G522" s="19" t="str">
        <f>IFERROR(VLOOKUP($A522,'HIDDEN Testrun Results'!$A:$B,2,FALSE),"")</f>
        <v/>
      </c>
      <c r="H522" s="3" t="b">
        <f t="shared" si="8"/>
        <v>0</v>
      </c>
      <c r="I522" s="3" t="b">
        <f>IF(VLOOKUP(A522&amp;" "&amp;B522,'HIDDEN import'!A:G,5,FALSE)="M",TRUE,IFERROR(VLOOKUP(E522,'Optional features'!B:D,3,FALSE)="Yes",IFERROR(VLOOKUP(E522,'HIDDEN calc sheet'!A:B,2,FALSE),IFERROR(VLOOKUP(E522,'Additional questions'!B:D,3,FALSE)="Yes",VLOOKUP(E522,'Hardware Feature set'!B:D,3,FALSE)="No"))))</f>
        <v>1</v>
      </c>
      <c r="J522" s="3" t="b">
        <f>IF(VLOOKUP(B522,'Profile selection'!B:C,2,FALSE)="Yes",TRUE,FALSE)</f>
        <v>0</v>
      </c>
      <c r="K522"/>
      <c r="L522"/>
    </row>
    <row r="523" spans="1:12" ht="15.75" customHeight="1" x14ac:dyDescent="0.25">
      <c r="A523" t="str">
        <f>'HIDDEN import'!B522</f>
        <v>TC_K_04_CS</v>
      </c>
      <c r="B523" t="str">
        <f>'HIDDEN import'!C522</f>
        <v>ISO 15118 Support</v>
      </c>
      <c r="C523" t="str">
        <f>'HIDDEN import'!D522</f>
        <v>Replace charging profile - With chargingProfileId</v>
      </c>
      <c r="D523" t="str">
        <f>IF(VLOOKUP(A523&amp;" "&amp;B523,'HIDDEN import'!A:G,5,FALSE)="M",MD!$A$1,(IF(AND(VLOOKUP(A523,'HIDDEN import'!B:E,4,FALSE)="C",OR(NOT(ISERROR(VLOOKUP(E523,'Optional features'!B:D,1,FALSE)=E523)),NOT(ISERROR(VLOOKUP(E523,'HIDDEN calc sheet'!A:C,1,FALSE)=E523)))),MD!$A$3,MD!$A$2)))</f>
        <v>Mandatory test for a mandatory feature</v>
      </c>
      <c r="E523" t="str">
        <f>IF('HIDDEN import'!F522=0,"",'HIDDEN import'!F522)</f>
        <v/>
      </c>
      <c r="F523" t="str">
        <f>IF('HIDDEN import'!G522=0,"",'HIDDEN import'!G522)</f>
        <v/>
      </c>
      <c r="G523" s="19" t="str">
        <f>IFERROR(VLOOKUP($A523,'HIDDEN Testrun Results'!$A:$B,2,FALSE),"")</f>
        <v/>
      </c>
      <c r="H523" s="3" t="b">
        <f t="shared" si="8"/>
        <v>0</v>
      </c>
      <c r="I523" s="3" t="b">
        <f>IF(VLOOKUP(A523&amp;" "&amp;B523,'HIDDEN import'!A:G,5,FALSE)="M",TRUE,IFERROR(VLOOKUP(E523,'Optional features'!B:D,3,FALSE)="Yes",IFERROR(VLOOKUP(E523,'HIDDEN calc sheet'!A:B,2,FALSE),IFERROR(VLOOKUP(E523,'Additional questions'!B:D,3,FALSE)="Yes",VLOOKUP(E523,'Hardware Feature set'!B:D,3,FALSE)="No"))))</f>
        <v>1</v>
      </c>
      <c r="J523" s="3" t="b">
        <f>IF(VLOOKUP(B523,'Profile selection'!B:C,2,FALSE)="Yes",TRUE,FALSE)</f>
        <v>0</v>
      </c>
      <c r="K523"/>
      <c r="L523"/>
    </row>
    <row r="524" spans="1:12" ht="15.75" customHeight="1" x14ac:dyDescent="0.25">
      <c r="A524" t="str">
        <f>'HIDDEN import'!B523</f>
        <v>TC_K_39_CS</v>
      </c>
      <c r="B524" t="str">
        <f>'HIDDEN import'!C523</f>
        <v>ISO 15118 Support</v>
      </c>
      <c r="C524" t="str">
        <f>'HIDDEN import'!D523</f>
        <v>Get Composite Schedule - No ChargingProfile installed on Charging Station</v>
      </c>
      <c r="D524" t="str">
        <f>IF(VLOOKUP(A524&amp;" "&amp;B524,'HIDDEN import'!A:G,5,FALSE)="M",MD!$A$1,(IF(AND(VLOOKUP(A524,'HIDDEN import'!B:E,4,FALSE)="C",OR(NOT(ISERROR(VLOOKUP(E524,'Optional features'!B:D,1,FALSE)=E524)),NOT(ISERROR(VLOOKUP(E524,'HIDDEN calc sheet'!A:C,1,FALSE)=E524)))),MD!$A$3,MD!$A$2)))</f>
        <v>Mandatory test for a mandatory feature</v>
      </c>
      <c r="E524" t="str">
        <f>IF('HIDDEN import'!F523=0,"",'HIDDEN import'!F523)</f>
        <v/>
      </c>
      <c r="F524" t="str">
        <f>IF('HIDDEN import'!G523=0,"",'HIDDEN import'!G523)</f>
        <v/>
      </c>
      <c r="G524" s="19" t="str">
        <f>IFERROR(VLOOKUP($A524,'HIDDEN Testrun Results'!$A:$B,2,FALSE),"")</f>
        <v/>
      </c>
      <c r="H524" s="3" t="b">
        <f t="shared" si="8"/>
        <v>0</v>
      </c>
      <c r="I524" s="3" t="b">
        <f>IF(VLOOKUP(A524&amp;" "&amp;B524,'HIDDEN import'!A:G,5,FALSE)="M",TRUE,IFERROR(VLOOKUP(E524,'Optional features'!B:D,3,FALSE)="Yes",IFERROR(VLOOKUP(E524,'HIDDEN calc sheet'!A:B,2,FALSE),IFERROR(VLOOKUP(E524,'Additional questions'!B:D,3,FALSE)="Yes",VLOOKUP(E524,'Hardware Feature set'!B:D,3,FALSE)="No"))))</f>
        <v>1</v>
      </c>
      <c r="J524" s="3" t="b">
        <f>IF(VLOOKUP(B524,'Profile selection'!B:C,2,FALSE)="Yes",TRUE,FALSE)</f>
        <v>0</v>
      </c>
      <c r="K524"/>
      <c r="L524"/>
    </row>
    <row r="525" spans="1:12" ht="15.75" customHeight="1" x14ac:dyDescent="0.25">
      <c r="A525" t="str">
        <f>'HIDDEN import'!B524</f>
        <v>TC_K_40_CS</v>
      </c>
      <c r="B525" t="str">
        <f>'HIDDEN import'!C524</f>
        <v>ISO 15118 Support</v>
      </c>
      <c r="C525" t="str">
        <f>'HIDDEN import'!D524</f>
        <v>Get Composite Schedule - Stacking ChargingProfiles</v>
      </c>
      <c r="D525" t="str">
        <f>IF(VLOOKUP(A525&amp;" "&amp;B525,'HIDDEN import'!A:G,5,FALSE)="M",MD!$A$1,(IF(AND(VLOOKUP(A525,'HIDDEN import'!B:E,4,FALSE)="C",OR(NOT(ISERROR(VLOOKUP(E525,'Optional features'!B:D,1,FALSE)=E525)),NOT(ISERROR(VLOOKUP(E525,'HIDDEN calc sheet'!A:C,1,FALSE)=E525)))),MD!$A$3,MD!$A$2)))</f>
        <v>Mandatory test for a mandatory feature</v>
      </c>
      <c r="E525" t="str">
        <f>IF('HIDDEN import'!F524=0,"",'HIDDEN import'!F524)</f>
        <v/>
      </c>
      <c r="F525" t="str">
        <f>IF('HIDDEN import'!G524=0,"",'HIDDEN import'!G524)</f>
        <v/>
      </c>
      <c r="G525" s="19" t="str">
        <f>IFERROR(VLOOKUP($A525,'HIDDEN Testrun Results'!$A:$B,2,FALSE),"")</f>
        <v/>
      </c>
      <c r="H525" s="3" t="b">
        <f t="shared" si="8"/>
        <v>0</v>
      </c>
      <c r="I525" s="3" t="b">
        <f>IF(VLOOKUP(A525&amp;" "&amp;B525,'HIDDEN import'!A:G,5,FALSE)="M",TRUE,IFERROR(VLOOKUP(E525,'Optional features'!B:D,3,FALSE)="Yes",IFERROR(VLOOKUP(E525,'HIDDEN calc sheet'!A:B,2,FALSE),IFERROR(VLOOKUP(E525,'Additional questions'!B:D,3,FALSE)="Yes",VLOOKUP(E525,'Hardware Feature set'!B:D,3,FALSE)="No"))))</f>
        <v>1</v>
      </c>
      <c r="J525" s="3" t="b">
        <f>IF(VLOOKUP(B525,'Profile selection'!B:C,2,FALSE)="Yes",TRUE,FALSE)</f>
        <v>0</v>
      </c>
      <c r="K525"/>
      <c r="L525"/>
    </row>
    <row r="526" spans="1:12" ht="15.75" customHeight="1" x14ac:dyDescent="0.25">
      <c r="A526" t="str">
        <f>'HIDDEN import'!B525</f>
        <v>TC_K_41_CS</v>
      </c>
      <c r="B526" t="str">
        <f>'HIDDEN import'!C525</f>
        <v>ISO 15118 Support</v>
      </c>
      <c r="C526" t="str">
        <f>'HIDDEN import'!D525</f>
        <v>Get Composite Schedule - Combining chargingProfilePurposes</v>
      </c>
      <c r="D526" t="str">
        <f>IF(VLOOKUP(A526&amp;" "&amp;B526,'HIDDEN import'!A:G,5,FALSE)="M",MD!$A$1,(IF(AND(VLOOKUP(A526,'HIDDEN import'!B:E,4,FALSE)="C",OR(NOT(ISERROR(VLOOKUP(E526,'Optional features'!B:D,1,FALSE)=E526)),NOT(ISERROR(VLOOKUP(E526,'HIDDEN calc sheet'!A:C,1,FALSE)=E526)))),MD!$A$3,MD!$A$2)))</f>
        <v>Mandatory test for a mandatory feature</v>
      </c>
      <c r="E526" t="str">
        <f>IF('HIDDEN import'!F525=0,"",'HIDDEN import'!F525)</f>
        <v/>
      </c>
      <c r="F526" t="str">
        <f>IF('HIDDEN import'!G525=0,"",'HIDDEN import'!G525)</f>
        <v/>
      </c>
      <c r="G526" s="19" t="str">
        <f>IFERROR(VLOOKUP($A526,'HIDDEN Testrun Results'!$A:$B,2,FALSE),"")</f>
        <v/>
      </c>
      <c r="H526" s="3" t="b">
        <f t="shared" si="8"/>
        <v>0</v>
      </c>
      <c r="I526" s="3" t="b">
        <f>IF(VLOOKUP(A526&amp;" "&amp;B526,'HIDDEN import'!A:G,5,FALSE)="M",TRUE,IFERROR(VLOOKUP(E526,'Optional features'!B:D,3,FALSE)="Yes",IFERROR(VLOOKUP(E526,'HIDDEN calc sheet'!A:B,2,FALSE),IFERROR(VLOOKUP(E526,'Additional questions'!B:D,3,FALSE)="Yes",VLOOKUP(E526,'Hardware Feature set'!B:D,3,FALSE)="No"))))</f>
        <v>1</v>
      </c>
      <c r="J526" s="3" t="b">
        <f>IF(VLOOKUP(B526,'Profile selection'!B:C,2,FALSE)="Yes",TRUE,FALSE)</f>
        <v>0</v>
      </c>
      <c r="K526"/>
      <c r="L526"/>
    </row>
    <row r="527" spans="1:12" ht="15.75" customHeight="1" x14ac:dyDescent="0.25">
      <c r="A527" t="str">
        <f>'HIDDEN import'!B526</f>
        <v>TC_K_42_CS</v>
      </c>
      <c r="B527" t="str">
        <f>'HIDDEN import'!C526</f>
        <v>ISO 15118 Support</v>
      </c>
      <c r="C527" t="str">
        <f>'HIDDEN import'!D526</f>
        <v>Get Composite Schedule - chargingRateUnit  not supported</v>
      </c>
      <c r="D527" t="str">
        <f>IF(VLOOKUP(A527&amp;" "&amp;B527,'HIDDEN import'!A:G,5,FALSE)="M",MD!$A$1,(IF(AND(VLOOKUP(A527,'HIDDEN import'!B:E,4,FALSE)="C",OR(NOT(ISERROR(VLOOKUP(E527,'Optional features'!B:D,1,FALSE)=E527)),NOT(ISERROR(VLOOKUP(E527,'HIDDEN calc sheet'!A:C,1,FALSE)=E527)))),MD!$A$3,MD!$A$2)))</f>
        <v>Mandatory for optional feature</v>
      </c>
      <c r="E527" t="str">
        <f>IF('HIDDEN import'!F526=0,"",'HIDDEN import'!F526)</f>
        <v>NOT (SC-2.1 and SC-2.2)</v>
      </c>
      <c r="F527" t="str">
        <f>IF('HIDDEN import'!G526=0,"",'HIDDEN import'!G526)</f>
        <v/>
      </c>
      <c r="G527" s="19" t="str">
        <f>IFERROR(VLOOKUP($A527,'HIDDEN Testrun Results'!$A:$B,2,FALSE),"")</f>
        <v/>
      </c>
      <c r="H527" s="3" t="b">
        <f t="shared" si="8"/>
        <v>0</v>
      </c>
      <c r="I527" s="3" t="b">
        <f>IF(VLOOKUP(A527&amp;" "&amp;B527,'HIDDEN import'!A:G,5,FALSE)="M",TRUE,IFERROR(VLOOKUP(E527,'Optional features'!B:D,3,FALSE)="Yes",IFERROR(VLOOKUP(E527,'HIDDEN calc sheet'!A:B,2,FALSE),IFERROR(VLOOKUP(E527,'Additional questions'!B:D,3,FALSE)="Yes",VLOOKUP(E527,'Hardware Feature set'!B:D,3,FALSE)="No"))))</f>
        <v>1</v>
      </c>
      <c r="J527" s="3" t="b">
        <f>IF(VLOOKUP(B527,'Profile selection'!B:C,2,FALSE)="Yes",TRUE,FALSE)</f>
        <v>0</v>
      </c>
      <c r="K527"/>
      <c r="L527"/>
    </row>
    <row r="528" spans="1:12" ht="15.75" customHeight="1" x14ac:dyDescent="0.25">
      <c r="A528" t="str">
        <f>'HIDDEN import'!B527</f>
        <v>TC_K_47_CS</v>
      </c>
      <c r="B528" t="str">
        <f>'HIDDEN import'!C527</f>
        <v>ISO 15118 Support</v>
      </c>
      <c r="C528" t="str">
        <f>'HIDDEN import'!D527</f>
        <v>Get Composite Schedule - Unknown EVSEId</v>
      </c>
      <c r="D528" t="str">
        <f>IF(VLOOKUP(A528&amp;" "&amp;B528,'HIDDEN import'!A:G,5,FALSE)="M",MD!$A$1,(IF(AND(VLOOKUP(A528,'HIDDEN import'!B:E,4,FALSE)="C",OR(NOT(ISERROR(VLOOKUP(E528,'Optional features'!B:D,1,FALSE)=E528)),NOT(ISERROR(VLOOKUP(E528,'HIDDEN calc sheet'!A:C,1,FALSE)=E528)))),MD!$A$3,MD!$A$2)))</f>
        <v>Mandatory test for a mandatory feature</v>
      </c>
      <c r="E528" t="str">
        <f>IF('HIDDEN import'!F527=0,"",'HIDDEN import'!F527)</f>
        <v/>
      </c>
      <c r="F528" t="str">
        <f>IF('HIDDEN import'!G527=0,"",'HIDDEN import'!G527)</f>
        <v/>
      </c>
      <c r="G528" s="19" t="str">
        <f>IFERROR(VLOOKUP($A528,'HIDDEN Testrun Results'!$A:$B,2,FALSE),"")</f>
        <v/>
      </c>
      <c r="H528" s="3" t="b">
        <f t="shared" si="8"/>
        <v>0</v>
      </c>
      <c r="I528" s="3" t="b">
        <f>IF(VLOOKUP(A528&amp;" "&amp;B528,'HIDDEN import'!A:G,5,FALSE)="M",TRUE,IFERROR(VLOOKUP(E528,'Optional features'!B:D,3,FALSE)="Yes",IFERROR(VLOOKUP(E528,'HIDDEN calc sheet'!A:B,2,FALSE),IFERROR(VLOOKUP(E528,'Additional questions'!B:D,3,FALSE)="Yes",VLOOKUP(E528,'Hardware Feature set'!B:D,3,FALSE)="No"))))</f>
        <v>1</v>
      </c>
      <c r="J528" s="3" t="b">
        <f>IF(VLOOKUP(B528,'Profile selection'!B:C,2,FALSE)="Yes",TRUE,FALSE)</f>
        <v>0</v>
      </c>
      <c r="K528"/>
      <c r="L528"/>
    </row>
    <row r="529" spans="1:12" ht="15.75" customHeight="1" x14ac:dyDescent="0.25">
      <c r="A529" t="str">
        <f>'HIDDEN import'!B528</f>
        <v>TC_K_29_CS</v>
      </c>
      <c r="B529" t="str">
        <f>'HIDDEN import'!C528</f>
        <v>ISO 15118 Support</v>
      </c>
      <c r="C529" t="str">
        <f>'HIDDEN import'!D528</f>
        <v>Get Charging Profile - EvseId 0</v>
      </c>
      <c r="D529" t="str">
        <f>IF(VLOOKUP(A529&amp;" "&amp;B529,'HIDDEN import'!A:G,5,FALSE)="M",MD!$A$1,(IF(AND(VLOOKUP(A529,'HIDDEN import'!B:E,4,FALSE)="C",OR(NOT(ISERROR(VLOOKUP(E529,'Optional features'!B:D,1,FALSE)=E529)),NOT(ISERROR(VLOOKUP(E529,'HIDDEN calc sheet'!A:C,1,FALSE)=E529)))),MD!$A$3,MD!$A$2)))</f>
        <v>Mandatory test for a mandatory feature</v>
      </c>
      <c r="E529" t="str">
        <f>IF('HIDDEN import'!F528=0,"",'HIDDEN import'!F528)</f>
        <v/>
      </c>
      <c r="F529" t="str">
        <f>IF('HIDDEN import'!G528=0,"",'HIDDEN import'!G528)</f>
        <v/>
      </c>
      <c r="G529" s="19" t="str">
        <f>IFERROR(VLOOKUP($A529,'HIDDEN Testrun Results'!$A:$B,2,FALSE),"")</f>
        <v/>
      </c>
      <c r="H529" s="3" t="b">
        <f t="shared" si="8"/>
        <v>0</v>
      </c>
      <c r="I529" s="3" t="b">
        <f>IF(VLOOKUP(A529&amp;" "&amp;B529,'HIDDEN import'!A:G,5,FALSE)="M",TRUE,IFERROR(VLOOKUP(E529,'Optional features'!B:D,3,FALSE)="Yes",IFERROR(VLOOKUP(E529,'HIDDEN calc sheet'!A:B,2,FALSE),IFERROR(VLOOKUP(E529,'Additional questions'!B:D,3,FALSE)="Yes",VLOOKUP(E529,'Hardware Feature set'!B:D,3,FALSE)="No"))))</f>
        <v>1</v>
      </c>
      <c r="J529" s="3" t="b">
        <f>IF(VLOOKUP(B529,'Profile selection'!B:C,2,FALSE)="Yes",TRUE,FALSE)</f>
        <v>0</v>
      </c>
      <c r="K529"/>
      <c r="L529"/>
    </row>
    <row r="530" spans="1:12" ht="15.75" customHeight="1" x14ac:dyDescent="0.25">
      <c r="A530" t="str">
        <f>'HIDDEN import'!B529</f>
        <v>TC_K_30_CS</v>
      </c>
      <c r="B530" t="str">
        <f>'HIDDEN import'!C529</f>
        <v>ISO 15118 Support</v>
      </c>
      <c r="C530" t="str">
        <f>'HIDDEN import'!D529</f>
        <v>Get Charging Profile - EvseId &gt; 0</v>
      </c>
      <c r="D530" t="str">
        <f>IF(VLOOKUP(A530&amp;" "&amp;B530,'HIDDEN import'!A:G,5,FALSE)="M",MD!$A$1,(IF(AND(VLOOKUP(A530,'HIDDEN import'!B:E,4,FALSE)="C",OR(NOT(ISERROR(VLOOKUP(E530,'Optional features'!B:D,1,FALSE)=E530)),NOT(ISERROR(VLOOKUP(E530,'HIDDEN calc sheet'!A:C,1,FALSE)=E530)))),MD!$A$3,MD!$A$2)))</f>
        <v>Mandatory test for a mandatory feature</v>
      </c>
      <c r="E530" t="str">
        <f>IF('HIDDEN import'!F529=0,"",'HIDDEN import'!F529)</f>
        <v/>
      </c>
      <c r="F530" t="str">
        <f>IF('HIDDEN import'!G529=0,"",'HIDDEN import'!G529)</f>
        <v/>
      </c>
      <c r="G530" s="19" t="str">
        <f>IFERROR(VLOOKUP($A530,'HIDDEN Testrun Results'!$A:$B,2,FALSE),"")</f>
        <v/>
      </c>
      <c r="H530" s="3" t="b">
        <f t="shared" si="8"/>
        <v>0</v>
      </c>
      <c r="I530" s="3" t="b">
        <f>IF(VLOOKUP(A530&amp;" "&amp;B530,'HIDDEN import'!A:G,5,FALSE)="M",TRUE,IFERROR(VLOOKUP(E530,'Optional features'!B:D,3,FALSE)="Yes",IFERROR(VLOOKUP(E530,'HIDDEN calc sheet'!A:B,2,FALSE),IFERROR(VLOOKUP(E530,'Additional questions'!B:D,3,FALSE)="Yes",VLOOKUP(E530,'Hardware Feature set'!B:D,3,FALSE)="No"))))</f>
        <v>1</v>
      </c>
      <c r="J530" s="3" t="b">
        <f>IF(VLOOKUP(B530,'Profile selection'!B:C,2,FALSE)="Yes",TRUE,FALSE)</f>
        <v>0</v>
      </c>
      <c r="K530"/>
      <c r="L530"/>
    </row>
    <row r="531" spans="1:12" ht="15.75" customHeight="1" x14ac:dyDescent="0.25">
      <c r="A531" t="str">
        <f>'HIDDEN import'!B530</f>
        <v>TC_K_31_CS</v>
      </c>
      <c r="B531" t="str">
        <f>'HIDDEN import'!C530</f>
        <v>ISO 15118 Support</v>
      </c>
      <c r="C531" t="str">
        <f>'HIDDEN import'!D530</f>
        <v>Get Charging Profile - No EvseId</v>
      </c>
      <c r="D531" t="str">
        <f>IF(VLOOKUP(A531&amp;" "&amp;B531,'HIDDEN import'!A:G,5,FALSE)="M",MD!$A$1,(IF(AND(VLOOKUP(A531,'HIDDEN import'!B:E,4,FALSE)="C",OR(NOT(ISERROR(VLOOKUP(E531,'Optional features'!B:D,1,FALSE)=E531)),NOT(ISERROR(VLOOKUP(E531,'HIDDEN calc sheet'!A:C,1,FALSE)=E531)))),MD!$A$3,MD!$A$2)))</f>
        <v>Mandatory test for a mandatory feature</v>
      </c>
      <c r="E531" t="str">
        <f>IF('HIDDEN import'!F530=0,"",'HIDDEN import'!F530)</f>
        <v/>
      </c>
      <c r="F531" t="str">
        <f>IF('HIDDEN import'!G530=0,"",'HIDDEN import'!G530)</f>
        <v/>
      </c>
      <c r="G531" s="19" t="str">
        <f>IFERROR(VLOOKUP($A531,'HIDDEN Testrun Results'!$A:$B,2,FALSE),"")</f>
        <v/>
      </c>
      <c r="H531" s="3" t="b">
        <f t="shared" si="8"/>
        <v>0</v>
      </c>
      <c r="I531" s="3" t="b">
        <f>IF(VLOOKUP(A531&amp;" "&amp;B531,'HIDDEN import'!A:G,5,FALSE)="M",TRUE,IFERROR(VLOOKUP(E531,'Optional features'!B:D,3,FALSE)="Yes",IFERROR(VLOOKUP(E531,'HIDDEN calc sheet'!A:B,2,FALSE),IFERROR(VLOOKUP(E531,'Additional questions'!B:D,3,FALSE)="Yes",VLOOKUP(E531,'Hardware Feature set'!B:D,3,FALSE)="No"))))</f>
        <v>1</v>
      </c>
      <c r="J531" s="3" t="b">
        <f>IF(VLOOKUP(B531,'Profile selection'!B:C,2,FALSE)="Yes",TRUE,FALSE)</f>
        <v>0</v>
      </c>
      <c r="K531"/>
      <c r="L531"/>
    </row>
    <row r="532" spans="1:12" ht="15.75" customHeight="1" x14ac:dyDescent="0.25">
      <c r="A532" t="str">
        <f>'HIDDEN import'!B531</f>
        <v>TC_K_32_CS</v>
      </c>
      <c r="B532" t="str">
        <f>'HIDDEN import'!C531</f>
        <v>ISO 15118 Support</v>
      </c>
      <c r="C532" t="str">
        <f>'HIDDEN import'!D531</f>
        <v>Get Charging Profile - chargingProfileId</v>
      </c>
      <c r="D532" t="str">
        <f>IF(VLOOKUP(A532&amp;" "&amp;B532,'HIDDEN import'!A:G,5,FALSE)="M",MD!$A$1,(IF(AND(VLOOKUP(A532,'HIDDEN import'!B:E,4,FALSE)="C",OR(NOT(ISERROR(VLOOKUP(E532,'Optional features'!B:D,1,FALSE)=E532)),NOT(ISERROR(VLOOKUP(E532,'HIDDEN calc sheet'!A:C,1,FALSE)=E532)))),MD!$A$3,MD!$A$2)))</f>
        <v>Mandatory test for a mandatory feature</v>
      </c>
      <c r="E532" t="str">
        <f>IF('HIDDEN import'!F531=0,"",'HIDDEN import'!F531)</f>
        <v/>
      </c>
      <c r="F532" t="str">
        <f>IF('HIDDEN import'!G531=0,"",'HIDDEN import'!G531)</f>
        <v/>
      </c>
      <c r="G532" s="19" t="str">
        <f>IFERROR(VLOOKUP($A532,'HIDDEN Testrun Results'!$A:$B,2,FALSE),"")</f>
        <v/>
      </c>
      <c r="H532" s="3" t="b">
        <f t="shared" si="8"/>
        <v>0</v>
      </c>
      <c r="I532" s="3" t="b">
        <f>IF(VLOOKUP(A532&amp;" "&amp;B532,'HIDDEN import'!A:G,5,FALSE)="M",TRUE,IFERROR(VLOOKUP(E532,'Optional features'!B:D,3,FALSE)="Yes",IFERROR(VLOOKUP(E532,'HIDDEN calc sheet'!A:B,2,FALSE),IFERROR(VLOOKUP(E532,'Additional questions'!B:D,3,FALSE)="Yes",VLOOKUP(E532,'Hardware Feature set'!B:D,3,FALSE)="No"))))</f>
        <v>1</v>
      </c>
      <c r="J532" s="3" t="b">
        <f>IF(VLOOKUP(B532,'Profile selection'!B:C,2,FALSE)="Yes",TRUE,FALSE)</f>
        <v>0</v>
      </c>
      <c r="K532"/>
      <c r="L532"/>
    </row>
    <row r="533" spans="1:12" ht="15.75" customHeight="1" x14ac:dyDescent="0.25">
      <c r="A533" t="str">
        <f>'HIDDEN import'!B532</f>
        <v>TC_K_33_CS</v>
      </c>
      <c r="B533" t="str">
        <f>'HIDDEN import'!C532</f>
        <v>ISO 15118 Support</v>
      </c>
      <c r="C533" t="str">
        <f>'HIDDEN import'!D532</f>
        <v>Get Charging Profile - EvseId &gt; 0 + stackLevel</v>
      </c>
      <c r="D533" t="str">
        <f>IF(VLOOKUP(A533&amp;" "&amp;B533,'HIDDEN import'!A:G,5,FALSE)="M",MD!$A$1,(IF(AND(VLOOKUP(A533,'HIDDEN import'!B:E,4,FALSE)="C",OR(NOT(ISERROR(VLOOKUP(E533,'Optional features'!B:D,1,FALSE)=E533)),NOT(ISERROR(VLOOKUP(E533,'HIDDEN calc sheet'!A:C,1,FALSE)=E533)))),MD!$A$3,MD!$A$2)))</f>
        <v>Mandatory test for a mandatory feature</v>
      </c>
      <c r="E533" t="str">
        <f>IF('HIDDEN import'!F532=0,"",'HIDDEN import'!F532)</f>
        <v/>
      </c>
      <c r="F533" t="str">
        <f>IF('HIDDEN import'!G532=0,"",'HIDDEN import'!G532)</f>
        <v/>
      </c>
      <c r="G533" s="19" t="str">
        <f>IFERROR(VLOOKUP($A533,'HIDDEN Testrun Results'!$A:$B,2,FALSE),"")</f>
        <v/>
      </c>
      <c r="H533" s="3" t="b">
        <f t="shared" si="8"/>
        <v>0</v>
      </c>
      <c r="I533" s="3" t="b">
        <f>IF(VLOOKUP(A533&amp;" "&amp;B533,'HIDDEN import'!A:G,5,FALSE)="M",TRUE,IFERROR(VLOOKUP(E533,'Optional features'!B:D,3,FALSE)="Yes",IFERROR(VLOOKUP(E533,'HIDDEN calc sheet'!A:B,2,FALSE),IFERROR(VLOOKUP(E533,'Additional questions'!B:D,3,FALSE)="Yes",VLOOKUP(E533,'Hardware Feature set'!B:D,3,FALSE)="No"))))</f>
        <v>1</v>
      </c>
      <c r="J533" s="3" t="b">
        <f>IF(VLOOKUP(B533,'Profile selection'!B:C,2,FALSE)="Yes",TRUE,FALSE)</f>
        <v>0</v>
      </c>
      <c r="K533"/>
      <c r="L533"/>
    </row>
    <row r="534" spans="1:12" ht="15.75" customHeight="1" x14ac:dyDescent="0.25">
      <c r="A534" t="str">
        <f>'HIDDEN import'!B533</f>
        <v>TC_K_34_CS</v>
      </c>
      <c r="B534" t="str">
        <f>'HIDDEN import'!C533</f>
        <v>ISO 15118 Support</v>
      </c>
      <c r="C534" t="str">
        <f>'HIDDEN import'!D533</f>
        <v>Get Charging Profile - EvseId &gt; 0 + chargingLimitSource</v>
      </c>
      <c r="D534" t="str">
        <f>IF(VLOOKUP(A534&amp;" "&amp;B534,'HIDDEN import'!A:G,5,FALSE)="M",MD!$A$1,(IF(AND(VLOOKUP(A534,'HIDDEN import'!B:E,4,FALSE)="C",OR(NOT(ISERROR(VLOOKUP(E534,'Optional features'!B:D,1,FALSE)=E534)),NOT(ISERROR(VLOOKUP(E534,'HIDDEN calc sheet'!A:C,1,FALSE)=E534)))),MD!$A$3,MD!$A$2)))</f>
        <v>Mandatory test for a mandatory feature</v>
      </c>
      <c r="E534" t="str">
        <f>IF('HIDDEN import'!F533=0,"",'HIDDEN import'!F533)</f>
        <v/>
      </c>
      <c r="F534" t="str">
        <f>IF('HIDDEN import'!G533=0,"",'HIDDEN import'!G533)</f>
        <v/>
      </c>
      <c r="G534" s="19" t="str">
        <f>IFERROR(VLOOKUP($A534,'HIDDEN Testrun Results'!$A:$B,2,FALSE),"")</f>
        <v/>
      </c>
      <c r="H534" s="3" t="b">
        <f t="shared" si="8"/>
        <v>0</v>
      </c>
      <c r="I534" s="3" t="b">
        <f>IF(VLOOKUP(A534&amp;" "&amp;B534,'HIDDEN import'!A:G,5,FALSE)="M",TRUE,IFERROR(VLOOKUP(E534,'Optional features'!B:D,3,FALSE)="Yes",IFERROR(VLOOKUP(E534,'HIDDEN calc sheet'!A:B,2,FALSE),IFERROR(VLOOKUP(E534,'Additional questions'!B:D,3,FALSE)="Yes",VLOOKUP(E534,'Hardware Feature set'!B:D,3,FALSE)="No"))))</f>
        <v>1</v>
      </c>
      <c r="J534" s="3" t="b">
        <f>IF(VLOOKUP(B534,'Profile selection'!B:C,2,FALSE)="Yes",TRUE,FALSE)</f>
        <v>0</v>
      </c>
      <c r="K534"/>
      <c r="L534"/>
    </row>
    <row r="535" spans="1:12" ht="15.75" customHeight="1" x14ac:dyDescent="0.25">
      <c r="A535" t="str">
        <f>'HIDDEN import'!B534</f>
        <v>TC_K_35_CS</v>
      </c>
      <c r="B535" t="str">
        <f>'HIDDEN import'!C534</f>
        <v>ISO 15118 Support</v>
      </c>
      <c r="C535" t="str">
        <f>'HIDDEN import'!D534</f>
        <v>Get Charging Profile - EvseId &gt; 0 + chargingProfilePurpose</v>
      </c>
      <c r="D535" t="str">
        <f>IF(VLOOKUP(A535&amp;" "&amp;B535,'HIDDEN import'!A:G,5,FALSE)="M",MD!$A$1,(IF(AND(VLOOKUP(A535,'HIDDEN import'!B:E,4,FALSE)="C",OR(NOT(ISERROR(VLOOKUP(E535,'Optional features'!B:D,1,FALSE)=E535)),NOT(ISERROR(VLOOKUP(E535,'HIDDEN calc sheet'!A:C,1,FALSE)=E535)))),MD!$A$3,MD!$A$2)))</f>
        <v>Mandatory test for a mandatory feature</v>
      </c>
      <c r="E535" t="str">
        <f>IF('HIDDEN import'!F534=0,"",'HIDDEN import'!F534)</f>
        <v/>
      </c>
      <c r="F535" t="str">
        <f>IF('HIDDEN import'!G534=0,"",'HIDDEN import'!G534)</f>
        <v/>
      </c>
      <c r="G535" s="19" t="str">
        <f>IFERROR(VLOOKUP($A535,'HIDDEN Testrun Results'!$A:$B,2,FALSE),"")</f>
        <v/>
      </c>
      <c r="H535" s="3" t="b">
        <f t="shared" si="8"/>
        <v>0</v>
      </c>
      <c r="I535" s="3" t="b">
        <f>IF(VLOOKUP(A535&amp;" "&amp;B535,'HIDDEN import'!A:G,5,FALSE)="M",TRUE,IFERROR(VLOOKUP(E535,'Optional features'!B:D,3,FALSE)="Yes",IFERROR(VLOOKUP(E535,'HIDDEN calc sheet'!A:B,2,FALSE),IFERROR(VLOOKUP(E535,'Additional questions'!B:D,3,FALSE)="Yes",VLOOKUP(E535,'Hardware Feature set'!B:D,3,FALSE)="No"))))</f>
        <v>1</v>
      </c>
      <c r="J535" s="3" t="b">
        <f>IF(VLOOKUP(B535,'Profile selection'!B:C,2,FALSE)="Yes",TRUE,FALSE)</f>
        <v>0</v>
      </c>
      <c r="K535"/>
      <c r="L535"/>
    </row>
    <row r="536" spans="1:12" ht="15.75" customHeight="1" x14ac:dyDescent="0.25">
      <c r="A536" t="str">
        <f>'HIDDEN import'!B535</f>
        <v>TC_K_36_CS</v>
      </c>
      <c r="B536" t="str">
        <f>'HIDDEN import'!C535</f>
        <v>ISO 15118 Support</v>
      </c>
      <c r="C536" t="str">
        <f>'HIDDEN import'!D535</f>
        <v>Get Charging Profile - EvseId &gt; 0 + chargingProfilePurpose + stackLevel</v>
      </c>
      <c r="D536" t="str">
        <f>IF(VLOOKUP(A536&amp;" "&amp;B536,'HIDDEN import'!A:G,5,FALSE)="M",MD!$A$1,(IF(AND(VLOOKUP(A536,'HIDDEN import'!B:E,4,FALSE)="C",OR(NOT(ISERROR(VLOOKUP(E536,'Optional features'!B:D,1,FALSE)=E536)),NOT(ISERROR(VLOOKUP(E536,'HIDDEN calc sheet'!A:C,1,FALSE)=E536)))),MD!$A$3,MD!$A$2)))</f>
        <v>Mandatory test for a mandatory feature</v>
      </c>
      <c r="E536" t="str">
        <f>IF('HIDDEN import'!F535=0,"",'HIDDEN import'!F535)</f>
        <v/>
      </c>
      <c r="F536" t="str">
        <f>IF('HIDDEN import'!G535=0,"",'HIDDEN import'!G535)</f>
        <v/>
      </c>
      <c r="G536" s="19" t="str">
        <f>IFERROR(VLOOKUP($A536,'HIDDEN Testrun Results'!$A:$B,2,FALSE),"")</f>
        <v/>
      </c>
      <c r="H536" s="3" t="b">
        <f t="shared" si="8"/>
        <v>0</v>
      </c>
      <c r="I536" s="3" t="b">
        <f>IF(VLOOKUP(A536&amp;" "&amp;B536,'HIDDEN import'!A:G,5,FALSE)="M",TRUE,IFERROR(VLOOKUP(E536,'Optional features'!B:D,3,FALSE)="Yes",IFERROR(VLOOKUP(E536,'HIDDEN calc sheet'!A:B,2,FALSE),IFERROR(VLOOKUP(E536,'Additional questions'!B:D,3,FALSE)="Yes",VLOOKUP(E536,'Hardware Feature set'!B:D,3,FALSE)="No"))))</f>
        <v>1</v>
      </c>
      <c r="J536" s="3" t="b">
        <f>IF(VLOOKUP(B536,'Profile selection'!B:C,2,FALSE)="Yes",TRUE,FALSE)</f>
        <v>0</v>
      </c>
      <c r="K536"/>
      <c r="L536"/>
    </row>
    <row r="537" spans="1:12" ht="15.75" customHeight="1" x14ac:dyDescent="0.25">
      <c r="A537" t="str">
        <f>'HIDDEN import'!B536</f>
        <v>TC_K_05_CS</v>
      </c>
      <c r="B537" t="str">
        <f>'HIDDEN import'!C536</f>
        <v>ISO 15118 Support</v>
      </c>
      <c r="C537" t="str">
        <f>'HIDDEN import'!D536</f>
        <v>Clear Charging Profile - With chargingProfileId</v>
      </c>
      <c r="D537" t="str">
        <f>IF(VLOOKUP(A537&amp;" "&amp;B537,'HIDDEN import'!A:G,5,FALSE)="M",MD!$A$1,(IF(AND(VLOOKUP(A537,'HIDDEN import'!B:E,4,FALSE)="C",OR(NOT(ISERROR(VLOOKUP(E537,'Optional features'!B:D,1,FALSE)=E537)),NOT(ISERROR(VLOOKUP(E537,'HIDDEN calc sheet'!A:C,1,FALSE)=E537)))),MD!$A$3,MD!$A$2)))</f>
        <v>Mandatory test for a mandatory feature</v>
      </c>
      <c r="E537" t="str">
        <f>IF('HIDDEN import'!F536=0,"",'HIDDEN import'!F536)</f>
        <v/>
      </c>
      <c r="F537" t="str">
        <f>IF('HIDDEN import'!G536=0,"",'HIDDEN import'!G536)</f>
        <v/>
      </c>
      <c r="G537" s="19" t="str">
        <f>IFERROR(VLOOKUP($A537,'HIDDEN Testrun Results'!$A:$B,2,FALSE),"")</f>
        <v/>
      </c>
      <c r="H537" s="3" t="b">
        <f t="shared" si="8"/>
        <v>0</v>
      </c>
      <c r="I537" s="3" t="b">
        <f>IF(VLOOKUP(A537&amp;" "&amp;B537,'HIDDEN import'!A:G,5,FALSE)="M",TRUE,IFERROR(VLOOKUP(E537,'Optional features'!B:D,3,FALSE)="Yes",IFERROR(VLOOKUP(E537,'HIDDEN calc sheet'!A:B,2,FALSE),IFERROR(VLOOKUP(E537,'Additional questions'!B:D,3,FALSE)="Yes",VLOOKUP(E537,'Hardware Feature set'!B:D,3,FALSE)="No"))))</f>
        <v>1</v>
      </c>
      <c r="J537" s="3" t="b">
        <f>IF(VLOOKUP(B537,'Profile selection'!B:C,2,FALSE)="Yes",TRUE,FALSE)</f>
        <v>0</v>
      </c>
      <c r="K537"/>
      <c r="L537"/>
    </row>
    <row r="538" spans="1:12" ht="15.75" customHeight="1" x14ac:dyDescent="0.25">
      <c r="A538" t="str">
        <f>'HIDDEN import'!B537</f>
        <v>TC_K_06_CS</v>
      </c>
      <c r="B538" t="str">
        <f>'HIDDEN import'!C537</f>
        <v>ISO 15118 Support</v>
      </c>
      <c r="C538" t="str">
        <f>'HIDDEN import'!D537</f>
        <v>Clear Charging Profile - With stackLevel/purpose combination for one profile</v>
      </c>
      <c r="D538" t="str">
        <f>IF(VLOOKUP(A538&amp;" "&amp;B538,'HIDDEN import'!A:G,5,FALSE)="M",MD!$A$1,(IF(AND(VLOOKUP(A538,'HIDDEN import'!B:E,4,FALSE)="C",OR(NOT(ISERROR(VLOOKUP(E538,'Optional features'!B:D,1,FALSE)=E538)),NOT(ISERROR(VLOOKUP(E538,'HIDDEN calc sheet'!A:C,1,FALSE)=E538)))),MD!$A$3,MD!$A$2)))</f>
        <v>Mandatory test for a mandatory feature</v>
      </c>
      <c r="E538" t="str">
        <f>IF('HIDDEN import'!F537=0,"",'HIDDEN import'!F537)</f>
        <v/>
      </c>
      <c r="F538" t="str">
        <f>IF('HIDDEN import'!G537=0,"",'HIDDEN import'!G537)</f>
        <v/>
      </c>
      <c r="G538" s="19" t="str">
        <f>IFERROR(VLOOKUP($A538,'HIDDEN Testrun Results'!$A:$B,2,FALSE),"")</f>
        <v/>
      </c>
      <c r="H538" s="3" t="b">
        <f t="shared" si="8"/>
        <v>0</v>
      </c>
      <c r="I538" s="3" t="b">
        <f>IF(VLOOKUP(A538&amp;" "&amp;B538,'HIDDEN import'!A:G,5,FALSE)="M",TRUE,IFERROR(VLOOKUP(E538,'Optional features'!B:D,3,FALSE)="Yes",IFERROR(VLOOKUP(E538,'HIDDEN calc sheet'!A:B,2,FALSE),IFERROR(VLOOKUP(E538,'Additional questions'!B:D,3,FALSE)="Yes",VLOOKUP(E538,'Hardware Feature set'!B:D,3,FALSE)="No"))))</f>
        <v>1</v>
      </c>
      <c r="J538" s="3" t="b">
        <f>IF(VLOOKUP(B538,'Profile selection'!B:C,2,FALSE)="Yes",TRUE,FALSE)</f>
        <v>0</v>
      </c>
      <c r="K538"/>
      <c r="L538"/>
    </row>
    <row r="539" spans="1:12" ht="15.75" customHeight="1" x14ac:dyDescent="0.25">
      <c r="A539" t="str">
        <f>'HIDDEN import'!B538</f>
        <v>TC_K_24_CS</v>
      </c>
      <c r="B539" t="str">
        <f>'HIDDEN import'!C538</f>
        <v>ISO 15118 Support</v>
      </c>
      <c r="C539" t="str">
        <f>'HIDDEN import'!D538</f>
        <v>Clear Charging Profile - With stackLevel/purpose combination for multiple profiles</v>
      </c>
      <c r="D539" t="str">
        <f>IF(VLOOKUP(A539&amp;" "&amp;B539,'HIDDEN import'!A:G,5,FALSE)="M",MD!$A$1,(IF(AND(VLOOKUP(A539,'HIDDEN import'!B:E,4,FALSE)="C",OR(NOT(ISERROR(VLOOKUP(E539,'Optional features'!B:D,1,FALSE)=E539)),NOT(ISERROR(VLOOKUP(E539,'HIDDEN calc sheet'!A:C,1,FALSE)=E539)))),MD!$A$3,MD!$A$2)))</f>
        <v>Mandatory for optional feature</v>
      </c>
      <c r="E539" t="str">
        <f>IF('HIDDEN import'!F538=0,"",'HIDDEN import'!F538)</f>
        <v>HFS-8 &gt; 1</v>
      </c>
      <c r="F539" t="str">
        <f>IF('HIDDEN import'!G538=0,"",'HIDDEN import'!G538)</f>
        <v/>
      </c>
      <c r="G539" s="19" t="str">
        <f>IFERROR(VLOOKUP($A539,'HIDDEN Testrun Results'!$A:$B,2,FALSE),"")</f>
        <v/>
      </c>
      <c r="H539" s="3" t="b">
        <f t="shared" si="8"/>
        <v>0</v>
      </c>
      <c r="I539" s="3" t="b">
        <f>IF(VLOOKUP(A539&amp;" "&amp;B539,'HIDDEN import'!A:G,5,FALSE)="M",TRUE,IFERROR(VLOOKUP(E539,'Optional features'!B:D,3,FALSE)="Yes",IFERROR(VLOOKUP(E539,'HIDDEN calc sheet'!A:B,2,FALSE),IFERROR(VLOOKUP(E539,'Additional questions'!B:D,3,FALSE)="Yes",VLOOKUP(E539,'Hardware Feature set'!B:D,3,FALSE)="No"))))</f>
        <v>0</v>
      </c>
      <c r="J539" s="3" t="b">
        <f>IF(VLOOKUP(B539,'Profile selection'!B:C,2,FALSE)="Yes",TRUE,FALSE)</f>
        <v>0</v>
      </c>
      <c r="K539"/>
      <c r="L539"/>
    </row>
    <row r="540" spans="1:12" ht="15.75" customHeight="1" x14ac:dyDescent="0.25">
      <c r="A540" t="str">
        <f>'HIDDEN import'!B539</f>
        <v>TC_K_07_CS</v>
      </c>
      <c r="B540" t="str">
        <f>'HIDDEN import'!C539</f>
        <v>ISO 15118 Support</v>
      </c>
      <c r="C540" t="str">
        <f>'HIDDEN import'!D539</f>
        <v>Clear Charging Profile - With unknown stackLevel/purpose combination</v>
      </c>
      <c r="D540" t="str">
        <f>IF(VLOOKUP(A540&amp;" "&amp;B540,'HIDDEN import'!A:G,5,FALSE)="M",MD!$A$1,(IF(AND(VLOOKUP(A540,'HIDDEN import'!B:E,4,FALSE)="C",OR(NOT(ISERROR(VLOOKUP(E540,'Optional features'!B:D,1,FALSE)=E540)),NOT(ISERROR(VLOOKUP(E540,'HIDDEN calc sheet'!A:C,1,FALSE)=E540)))),MD!$A$3,MD!$A$2)))</f>
        <v>Mandatory test for a mandatory feature</v>
      </c>
      <c r="E540" t="str">
        <f>IF('HIDDEN import'!F539=0,"",'HIDDEN import'!F539)</f>
        <v/>
      </c>
      <c r="F540" t="str">
        <f>IF('HIDDEN import'!G539=0,"",'HIDDEN import'!G539)</f>
        <v/>
      </c>
      <c r="G540" s="19" t="str">
        <f>IFERROR(VLOOKUP($A540,'HIDDEN Testrun Results'!$A:$B,2,FALSE),"")</f>
        <v/>
      </c>
      <c r="H540" s="3" t="b">
        <f t="shared" si="8"/>
        <v>0</v>
      </c>
      <c r="I540" s="3" t="b">
        <f>IF(VLOOKUP(A540&amp;" "&amp;B540,'HIDDEN import'!A:G,5,FALSE)="M",TRUE,IFERROR(VLOOKUP(E540,'Optional features'!B:D,3,FALSE)="Yes",IFERROR(VLOOKUP(E540,'HIDDEN calc sheet'!A:B,2,FALSE),IFERROR(VLOOKUP(E540,'Additional questions'!B:D,3,FALSE)="Yes",VLOOKUP(E540,'Hardware Feature set'!B:D,3,FALSE)="No"))))</f>
        <v>1</v>
      </c>
      <c r="J540" s="3" t="b">
        <f>IF(VLOOKUP(B540,'Profile selection'!B:C,2,FALSE)="Yes",TRUE,FALSE)</f>
        <v>0</v>
      </c>
      <c r="K540"/>
      <c r="L540"/>
    </row>
    <row r="541" spans="1:12" ht="15.75" customHeight="1" x14ac:dyDescent="0.25">
      <c r="A541" t="str">
        <f>'HIDDEN import'!B540</f>
        <v>TC_K_08_CS</v>
      </c>
      <c r="B541" t="str">
        <f>'HIDDEN import'!C540</f>
        <v>ISO 15118 Support</v>
      </c>
      <c r="C541" t="str">
        <f>'HIDDEN import'!D540</f>
        <v>Clear Charging Profile - Without previous charging profile</v>
      </c>
      <c r="D541" t="str">
        <f>IF(VLOOKUP(A541&amp;" "&amp;B541,'HIDDEN import'!A:G,5,FALSE)="M",MD!$A$1,(IF(AND(VLOOKUP(A541,'HIDDEN import'!B:E,4,FALSE)="C",OR(NOT(ISERROR(VLOOKUP(E541,'Optional features'!B:D,1,FALSE)=E541)),NOT(ISERROR(VLOOKUP(E541,'HIDDEN calc sheet'!A:C,1,FALSE)=E541)))),MD!$A$3,MD!$A$2)))</f>
        <v>Mandatory test for a mandatory feature</v>
      </c>
      <c r="E541" t="str">
        <f>IF('HIDDEN import'!F540=0,"",'HIDDEN import'!F540)</f>
        <v/>
      </c>
      <c r="F541" t="str">
        <f>IF('HIDDEN import'!G540=0,"",'HIDDEN import'!G540)</f>
        <v/>
      </c>
      <c r="G541" s="19" t="str">
        <f>IFERROR(VLOOKUP($A541,'HIDDEN Testrun Results'!$A:$B,2,FALSE),"")</f>
        <v/>
      </c>
      <c r="H541" s="3" t="b">
        <f t="shared" si="8"/>
        <v>0</v>
      </c>
      <c r="I541" s="3" t="b">
        <f>IF(VLOOKUP(A541&amp;" "&amp;B541,'HIDDEN import'!A:G,5,FALSE)="M",TRUE,IFERROR(VLOOKUP(E541,'Optional features'!B:D,3,FALSE)="Yes",IFERROR(VLOOKUP(E541,'HIDDEN calc sheet'!A:B,2,FALSE),IFERROR(VLOOKUP(E541,'Additional questions'!B:D,3,FALSE)="Yes",VLOOKUP(E541,'Hardware Feature set'!B:D,3,FALSE)="No"))))</f>
        <v>1</v>
      </c>
      <c r="J541" s="3" t="b">
        <f>IF(VLOOKUP(B541,'Profile selection'!B:C,2,FALSE)="Yes",TRUE,FALSE)</f>
        <v>0</v>
      </c>
      <c r="K541"/>
      <c r="L541"/>
    </row>
    <row r="542" spans="1:12" ht="15.75" customHeight="1" x14ac:dyDescent="0.25">
      <c r="A542" t="str">
        <f>'HIDDEN import'!B541</f>
        <v>TC_K_09_CS</v>
      </c>
      <c r="B542" t="str">
        <f>'HIDDEN import'!C541</f>
        <v>ISO 15118 Support</v>
      </c>
      <c r="C542" t="str">
        <f>'HIDDEN import'!D541</f>
        <v>Clear Charging Profile - Clearing a TxDefaultProfile - With ongoing transaction</v>
      </c>
      <c r="D542" t="str">
        <f>IF(VLOOKUP(A542&amp;" "&amp;B542,'HIDDEN import'!A:G,5,FALSE)="M",MD!$A$1,(IF(AND(VLOOKUP(A542,'HIDDEN import'!B:E,4,FALSE)="C",OR(NOT(ISERROR(VLOOKUP(E542,'Optional features'!B:D,1,FALSE)=E542)),NOT(ISERROR(VLOOKUP(E542,'HIDDEN calc sheet'!A:C,1,FALSE)=E542)))),MD!$A$3,MD!$A$2)))</f>
        <v>Mandatory test for a mandatory feature</v>
      </c>
      <c r="E542" t="str">
        <f>IF('HIDDEN import'!F541=0,"",'HIDDEN import'!F541)</f>
        <v/>
      </c>
      <c r="F542" t="str">
        <f>IF('HIDDEN import'!G541=0,"",'HIDDEN import'!G541)</f>
        <v/>
      </c>
      <c r="G542" s="19" t="str">
        <f>IFERROR(VLOOKUP($A542,'HIDDEN Testrun Results'!$A:$B,2,FALSE),"")</f>
        <v/>
      </c>
      <c r="H542" s="3" t="b">
        <f t="shared" si="8"/>
        <v>0</v>
      </c>
      <c r="I542" s="3" t="b">
        <f>IF(VLOOKUP(A542&amp;" "&amp;B542,'HIDDEN import'!A:G,5,FALSE)="M",TRUE,IFERROR(VLOOKUP(E542,'Optional features'!B:D,3,FALSE)="Yes",IFERROR(VLOOKUP(E542,'HIDDEN calc sheet'!A:B,2,FALSE),IFERROR(VLOOKUP(E542,'Additional questions'!B:D,3,FALSE)="Yes",VLOOKUP(E542,'Hardware Feature set'!B:D,3,FALSE)="No"))))</f>
        <v>1</v>
      </c>
      <c r="J542" s="3" t="b">
        <f>IF(VLOOKUP(B542,'Profile selection'!B:C,2,FALSE)="Yes",TRUE,FALSE)</f>
        <v>0</v>
      </c>
      <c r="K542"/>
      <c r="L542"/>
    </row>
    <row r="543" spans="1:12" ht="15.75" customHeight="1" x14ac:dyDescent="0.25">
      <c r="A543" t="str">
        <f>'HIDDEN import'!B542</f>
        <v>TC_K_53_CS</v>
      </c>
      <c r="B543" t="str">
        <f>'HIDDEN import'!C542</f>
        <v>ISO 15118 Support</v>
      </c>
      <c r="C543" t="str">
        <f>'HIDDEN import'!D542</f>
        <v>Charging with load leveling based on High Level Communication - Success</v>
      </c>
      <c r="D543" t="str">
        <f>IF(VLOOKUP(A543&amp;" "&amp;B543,'HIDDEN import'!A:G,5,FALSE)="M",MD!$A$1,(IF(AND(VLOOKUP(A543,'HIDDEN import'!B:E,4,FALSE)="C",OR(NOT(ISERROR(VLOOKUP(E543,'Optional features'!B:D,1,FALSE)=E543)),NOT(ISERROR(VLOOKUP(E543,'HIDDEN calc sheet'!A:C,1,FALSE)=E543)))),MD!$A$3,MD!$A$2)))</f>
        <v>Mandatory for optional feature</v>
      </c>
      <c r="E543" t="str">
        <f>IF('HIDDEN import'!F542=0,"",'HIDDEN import'!F542)</f>
        <v>ISO-1.1</v>
      </c>
      <c r="F543" t="str">
        <f>IF('HIDDEN import'!G542=0,"",'HIDDEN import'!G542)</f>
        <v>ISO 15118-2</v>
      </c>
      <c r="G543" s="19" t="str">
        <f>IFERROR(VLOOKUP($A543,'HIDDEN Testrun Results'!$A:$B,2,FALSE),"")</f>
        <v/>
      </c>
      <c r="H543" s="3" t="b">
        <f t="shared" si="8"/>
        <v>0</v>
      </c>
      <c r="I543" s="3" t="b">
        <f>IF(VLOOKUP(A543&amp;" "&amp;B543,'HIDDEN import'!A:G,5,FALSE)="M",TRUE,IFERROR(VLOOKUP(E543,'Optional features'!B:D,3,FALSE)="Yes",IFERROR(VLOOKUP(E543,'HIDDEN calc sheet'!A:B,2,FALSE),IFERROR(VLOOKUP(E543,'Additional questions'!B:D,3,FALSE)="Yes",VLOOKUP(E543,'Hardware Feature set'!B:D,3,FALSE)="No"))))</f>
        <v>0</v>
      </c>
      <c r="J543" s="3" t="b">
        <f>IF(VLOOKUP(B543,'Profile selection'!B:C,2,FALSE)="Yes",TRUE,FALSE)</f>
        <v>0</v>
      </c>
      <c r="K543"/>
      <c r="L543"/>
    </row>
    <row r="544" spans="1:12" ht="15.75" customHeight="1" x14ac:dyDescent="0.25">
      <c r="A544" t="str">
        <f>'HIDDEN import'!B543</f>
        <v>TC_K_54_CS</v>
      </c>
      <c r="B544" t="str">
        <f>'HIDDEN import'!C543</f>
        <v>ISO 15118 Support</v>
      </c>
      <c r="C544" t="str">
        <f>'HIDDEN import'!D543</f>
        <v>Charging with load leveling based on High Level Communication - No SASchedule (rejected)</v>
      </c>
      <c r="D544" t="str">
        <f>IF(VLOOKUP(A544&amp;" "&amp;B544,'HIDDEN import'!A:G,5,FALSE)="M",MD!$A$1,(IF(AND(VLOOKUP(A544,'HIDDEN import'!B:E,4,FALSE)="C",OR(NOT(ISERROR(VLOOKUP(E544,'Optional features'!B:D,1,FALSE)=E544)),NOT(ISERROR(VLOOKUP(E544,'HIDDEN calc sheet'!A:C,1,FALSE)=E544)))),MD!$A$3,MD!$A$2)))</f>
        <v>Mandatory for optional feature</v>
      </c>
      <c r="E544" t="str">
        <f>IF('HIDDEN import'!F543=0,"",'HIDDEN import'!F543)</f>
        <v>ISO-1.1</v>
      </c>
      <c r="F544" t="str">
        <f>IF('HIDDEN import'!G543=0,"",'HIDDEN import'!G543)</f>
        <v>ISO 15118-2</v>
      </c>
      <c r="G544" s="19" t="str">
        <f>IFERROR(VLOOKUP($A544,'HIDDEN Testrun Results'!$A:$B,2,FALSE),"")</f>
        <v/>
      </c>
      <c r="H544" s="3" t="b">
        <f t="shared" si="8"/>
        <v>0</v>
      </c>
      <c r="I544" s="3" t="b">
        <f>IF(VLOOKUP(A544&amp;" "&amp;B544,'HIDDEN import'!A:G,5,FALSE)="M",TRUE,IFERROR(VLOOKUP(E544,'Optional features'!B:D,3,FALSE)="Yes",IFERROR(VLOOKUP(E544,'HIDDEN calc sheet'!A:B,2,FALSE),IFERROR(VLOOKUP(E544,'Additional questions'!B:D,3,FALSE)="Yes",VLOOKUP(E544,'Hardware Feature set'!B:D,3,FALSE)="No"))))</f>
        <v>0</v>
      </c>
      <c r="J544" s="3" t="b">
        <f>IF(VLOOKUP(B544,'Profile selection'!B:C,2,FALSE)="Yes",TRUE,FALSE)</f>
        <v>0</v>
      </c>
      <c r="K544"/>
      <c r="L544"/>
    </row>
    <row r="545" spans="1:12" ht="15.75" customHeight="1" x14ac:dyDescent="0.25">
      <c r="A545" t="str">
        <f>'HIDDEN import'!B544</f>
        <v>TC_K_56_CS</v>
      </c>
      <c r="B545" t="str">
        <f>'HIDDEN import'!C544</f>
        <v>ISO 15118 Support</v>
      </c>
      <c r="C545" t="str">
        <f>'HIDDEN import'!D544</f>
        <v>Charging with load leveling based on High Level Communication - Offline</v>
      </c>
      <c r="D545" t="str">
        <f>IF(VLOOKUP(A545&amp;" "&amp;B545,'HIDDEN import'!A:G,5,FALSE)="M",MD!$A$1,(IF(AND(VLOOKUP(A545,'HIDDEN import'!B:E,4,FALSE)="C",OR(NOT(ISERROR(VLOOKUP(E545,'Optional features'!B:D,1,FALSE)=E545)),NOT(ISERROR(VLOOKUP(E545,'HIDDEN calc sheet'!A:C,1,FALSE)=E545)))),MD!$A$3,MD!$A$2)))</f>
        <v>Mandatory for optional feature</v>
      </c>
      <c r="E545" t="str">
        <f>IF('HIDDEN import'!F544=0,"",'HIDDEN import'!F544)</f>
        <v>ISO-1.1</v>
      </c>
      <c r="F545" t="str">
        <f>IF('HIDDEN import'!G544=0,"",'HIDDEN import'!G544)</f>
        <v>ISO 15118-2</v>
      </c>
      <c r="G545" s="19" t="str">
        <f>IFERROR(VLOOKUP($A545,'HIDDEN Testrun Results'!$A:$B,2,FALSE),"")</f>
        <v/>
      </c>
      <c r="H545" s="3" t="b">
        <f t="shared" si="8"/>
        <v>0</v>
      </c>
      <c r="I545" s="3" t="b">
        <f>IF(VLOOKUP(A545&amp;" "&amp;B545,'HIDDEN import'!A:G,5,FALSE)="M",TRUE,IFERROR(VLOOKUP(E545,'Optional features'!B:D,3,FALSE)="Yes",IFERROR(VLOOKUP(E545,'HIDDEN calc sheet'!A:B,2,FALSE),IFERROR(VLOOKUP(E545,'Additional questions'!B:D,3,FALSE)="Yes",VLOOKUP(E545,'Hardware Feature set'!B:D,3,FALSE)="No"))))</f>
        <v>0</v>
      </c>
      <c r="J545" s="3" t="b">
        <f>IF(VLOOKUP(B545,'Profile selection'!B:C,2,FALSE)="Yes",TRUE,FALSE)</f>
        <v>0</v>
      </c>
      <c r="K545"/>
      <c r="L545"/>
    </row>
    <row r="546" spans="1:12" ht="15.75" customHeight="1" x14ac:dyDescent="0.25">
      <c r="A546" t="str">
        <f>'HIDDEN import'!B545</f>
        <v>TC_K_57_CS</v>
      </c>
      <c r="B546" t="str">
        <f>'HIDDEN import'!C545</f>
        <v>ISO 15118 Support</v>
      </c>
      <c r="C546" t="str">
        <f>'HIDDEN import'!D545</f>
        <v>Renegotiating a Charging Schedule ISO 15118-2 - Initiated by EV</v>
      </c>
      <c r="D546" t="str">
        <f>IF(VLOOKUP(A546&amp;" "&amp;B546,'HIDDEN import'!A:G,5,FALSE)="M",MD!$A$1,(IF(AND(VLOOKUP(A546,'HIDDEN import'!B:E,4,FALSE)="C",OR(NOT(ISERROR(VLOOKUP(E546,'Optional features'!B:D,1,FALSE)=E546)),NOT(ISERROR(VLOOKUP(E546,'HIDDEN calc sheet'!A:C,1,FALSE)=E546)))),MD!$A$3,MD!$A$2)))</f>
        <v>Mandatory for optional feature</v>
      </c>
      <c r="E546" t="str">
        <f>IF('HIDDEN import'!F545=0,"",'HIDDEN import'!F545)</f>
        <v>ISO-1.1</v>
      </c>
      <c r="F546" t="str">
        <f>IF('HIDDEN import'!G545=0,"",'HIDDEN import'!G545)</f>
        <v>ISO 15118-2</v>
      </c>
      <c r="G546" s="19" t="str">
        <f>IFERROR(VLOOKUP($A546,'HIDDEN Testrun Results'!$A:$B,2,FALSE),"")</f>
        <v/>
      </c>
      <c r="H546" s="3" t="b">
        <f t="shared" si="8"/>
        <v>0</v>
      </c>
      <c r="I546" s="3" t="b">
        <f>IF(VLOOKUP(A546&amp;" "&amp;B546,'HIDDEN import'!A:G,5,FALSE)="M",TRUE,IFERROR(VLOOKUP(E546,'Optional features'!B:D,3,FALSE)="Yes",IFERROR(VLOOKUP(E546,'HIDDEN calc sheet'!A:B,2,FALSE),IFERROR(VLOOKUP(E546,'Additional questions'!B:D,3,FALSE)="Yes",VLOOKUP(E546,'Hardware Feature set'!B:D,3,FALSE)="No"))))</f>
        <v>0</v>
      </c>
      <c r="J546" s="3" t="b">
        <f>IF(VLOOKUP(B546,'Profile selection'!B:C,2,FALSE)="Yes",TRUE,FALSE)</f>
        <v>0</v>
      </c>
      <c r="K546"/>
      <c r="L546"/>
    </row>
    <row r="547" spans="1:12" ht="15.75" customHeight="1" x14ac:dyDescent="0.25">
      <c r="A547" t="str">
        <f>'HIDDEN import'!B546</f>
        <v>TC_K_58_CS</v>
      </c>
      <c r="B547" t="str">
        <f>'HIDDEN import'!C546</f>
        <v>ISO 15118 Support</v>
      </c>
      <c r="C547" t="str">
        <f>'HIDDEN import'!D546</f>
        <v>Renegotiating a Charging Schedule ISO 15118-2 - Initiated by CSMS</v>
      </c>
      <c r="D547" t="str">
        <f>IF(VLOOKUP(A547&amp;" "&amp;B547,'HIDDEN import'!A:G,5,FALSE)="M",MD!$A$1,(IF(AND(VLOOKUP(A547,'HIDDEN import'!B:E,4,FALSE)="C",OR(NOT(ISERROR(VLOOKUP(E547,'Optional features'!B:D,1,FALSE)=E547)),NOT(ISERROR(VLOOKUP(E547,'HIDDEN calc sheet'!A:C,1,FALSE)=E547)))),MD!$A$3,MD!$A$2)))</f>
        <v>Mandatory for optional feature</v>
      </c>
      <c r="E547" t="str">
        <f>IF('HIDDEN import'!F546=0,"",'HIDDEN import'!F546)</f>
        <v>ISO-1.1</v>
      </c>
      <c r="F547" t="str">
        <f>IF('HIDDEN import'!G546=0,"",'HIDDEN import'!G546)</f>
        <v>ISO 15118-2</v>
      </c>
      <c r="G547" s="19" t="str">
        <f>IFERROR(VLOOKUP($A547,'HIDDEN Testrun Results'!$A:$B,2,FALSE),"")</f>
        <v/>
      </c>
      <c r="H547" s="3" t="b">
        <f t="shared" si="8"/>
        <v>0</v>
      </c>
      <c r="I547" s="3" t="b">
        <f>IF(VLOOKUP(A547&amp;" "&amp;B547,'HIDDEN import'!A:G,5,FALSE)="M",TRUE,IFERROR(VLOOKUP(E547,'Optional features'!B:D,3,FALSE)="Yes",IFERROR(VLOOKUP(E547,'HIDDEN calc sheet'!A:B,2,FALSE),IFERROR(VLOOKUP(E547,'Additional questions'!B:D,3,FALSE)="Yes",VLOOKUP(E547,'Hardware Feature set'!B:D,3,FALSE)="No"))))</f>
        <v>0</v>
      </c>
      <c r="J547" s="3" t="b">
        <f>IF(VLOOKUP(B547,'Profile selection'!B:C,2,FALSE)="Yes",TRUE,FALSE)</f>
        <v>0</v>
      </c>
      <c r="K547"/>
      <c r="L547"/>
    </row>
    <row r="548" spans="1:12" ht="15.75" customHeight="1" x14ac:dyDescent="0.25">
      <c r="A548" t="str">
        <f>'HIDDEN import'!B547</f>
        <v>TC_K_113_CS</v>
      </c>
      <c r="B548" t="str">
        <f>'HIDDEN import'!C547</f>
        <v>ISO 15118 Support</v>
      </c>
      <c r="C548" t="str">
        <f>'HIDDEN import'!D547</f>
        <v>Renegotiating a Charging Schedule ISO 15118-20 - Initiated by CSMS</v>
      </c>
      <c r="D548" t="str">
        <f>IF(VLOOKUP(A548&amp;" "&amp;B548,'HIDDEN import'!A:G,5,FALSE)="M",MD!$A$1,(IF(AND(VLOOKUP(A548,'HIDDEN import'!B:E,4,FALSE)="C",OR(NOT(ISERROR(VLOOKUP(E548,'Optional features'!B:D,1,FALSE)=E548)),NOT(ISERROR(VLOOKUP(E548,'HIDDEN calc sheet'!A:C,1,FALSE)=E548)))),MD!$A$3,MD!$A$2)))</f>
        <v>Mandatory for optional feature</v>
      </c>
      <c r="E548" t="str">
        <f>IF('HIDDEN import'!F547=0,"",'HIDDEN import'!F547)</f>
        <v>ISO-1.2</v>
      </c>
      <c r="F548" t="str">
        <f>IF('HIDDEN import'!G547=0,"",'HIDDEN import'!G547)</f>
        <v>ISO 15118-20</v>
      </c>
      <c r="G548" s="19" t="str">
        <f>IFERROR(VLOOKUP($A548,'HIDDEN Testrun Results'!$A:$B,2,FALSE),"")</f>
        <v/>
      </c>
      <c r="H548" s="3" t="b">
        <f t="shared" si="8"/>
        <v>0</v>
      </c>
      <c r="I548" s="3" t="b">
        <f>IF(VLOOKUP(A548&amp;" "&amp;B548,'HIDDEN import'!A:G,5,FALSE)="M",TRUE,IFERROR(VLOOKUP(E548,'Optional features'!B:D,3,FALSE)="Yes",IFERROR(VLOOKUP(E548,'HIDDEN calc sheet'!A:B,2,FALSE),IFERROR(VLOOKUP(E548,'Additional questions'!B:D,3,FALSE)="Yes",VLOOKUP(E548,'Hardware Feature set'!B:D,3,FALSE)="No"))))</f>
        <v>0</v>
      </c>
      <c r="J548" s="3" t="b">
        <f>IF(VLOOKUP(B548,'Profile selection'!B:C,2,FALSE)="Yes",TRUE,FALSE)</f>
        <v>0</v>
      </c>
      <c r="K548"/>
      <c r="L548"/>
    </row>
    <row r="549" spans="1:12" ht="15.75" customHeight="1" x14ac:dyDescent="0.25">
      <c r="A549" t="str">
        <f>'HIDDEN import'!B548</f>
        <v>TC_K_114_CS</v>
      </c>
      <c r="B549" t="str">
        <f>'HIDDEN import'!C548</f>
        <v>ISO 15118 Support</v>
      </c>
      <c r="C549" t="str">
        <f>'HIDDEN import'!D548</f>
        <v>Renegotiating a Charging Schedule ISO 15118-20 - Initiated by EV</v>
      </c>
      <c r="D549" t="str">
        <f>IF(VLOOKUP(A549&amp;" "&amp;B549,'HIDDEN import'!A:G,5,FALSE)="M",MD!$A$1,(IF(AND(VLOOKUP(A549,'HIDDEN import'!B:E,4,FALSE)="C",OR(NOT(ISERROR(VLOOKUP(E549,'Optional features'!B:D,1,FALSE)=E549)),NOT(ISERROR(VLOOKUP(E549,'HIDDEN calc sheet'!A:C,1,FALSE)=E549)))),MD!$A$3,MD!$A$2)))</f>
        <v>Mandatory for optional feature</v>
      </c>
      <c r="E549" t="str">
        <f>IF('HIDDEN import'!F548=0,"",'HIDDEN import'!F548)</f>
        <v>ISO-1.2</v>
      </c>
      <c r="F549" t="str">
        <f>IF('HIDDEN import'!G548=0,"",'HIDDEN import'!G548)</f>
        <v>ISO 15118-20</v>
      </c>
      <c r="G549" s="19" t="str">
        <f>IFERROR(VLOOKUP($A549,'HIDDEN Testrun Results'!$A:$B,2,FALSE),"")</f>
        <v/>
      </c>
      <c r="H549" s="3" t="b">
        <f t="shared" si="8"/>
        <v>0</v>
      </c>
      <c r="I549" s="3" t="b">
        <f>IF(VLOOKUP(A549&amp;" "&amp;B549,'HIDDEN import'!A:G,5,FALSE)="M",TRUE,IFERROR(VLOOKUP(E549,'Optional features'!B:D,3,FALSE)="Yes",IFERROR(VLOOKUP(E549,'HIDDEN calc sheet'!A:B,2,FALSE),IFERROR(VLOOKUP(E549,'Additional questions'!B:D,3,FALSE)="Yes",VLOOKUP(E549,'Hardware Feature set'!B:D,3,FALSE)="No"))))</f>
        <v>0</v>
      </c>
      <c r="J549" s="3" t="b">
        <f>IF(VLOOKUP(B549,'Profile selection'!B:C,2,FALSE)="Yes",TRUE,FALSE)</f>
        <v>0</v>
      </c>
      <c r="K549"/>
      <c r="L549"/>
    </row>
    <row r="550" spans="1:12" ht="15.75" customHeight="1" x14ac:dyDescent="0.25">
      <c r="A550" t="str">
        <f>'HIDDEN import'!B549</f>
        <v>TC_K_116_CS</v>
      </c>
      <c r="B550" t="str">
        <f>'HIDDEN import'!C549</f>
        <v>ISO 15118 Support</v>
      </c>
      <c r="C550" t="str">
        <f>'HIDDEN import'!D549</f>
        <v>Renegotiating a Charging Schedule ISO 15118-20 - Adjusting charging schedule when energy needs change</v>
      </c>
      <c r="D550" t="str">
        <f>IF(VLOOKUP(A550&amp;" "&amp;B550,'HIDDEN import'!A:G,5,FALSE)="M",MD!$A$1,(IF(AND(VLOOKUP(A550,'HIDDEN import'!B:E,4,FALSE)="C",OR(NOT(ISERROR(VLOOKUP(E550,'Optional features'!B:D,1,FALSE)=E550)),NOT(ISERROR(VLOOKUP(E550,'HIDDEN calc sheet'!A:C,1,FALSE)=E550)))),MD!$A$3,MD!$A$2)))</f>
        <v>Mandatory for optional feature</v>
      </c>
      <c r="E550" t="str">
        <f>IF('HIDDEN import'!F549=0,"",'HIDDEN import'!F549)</f>
        <v>ISO-1.2</v>
      </c>
      <c r="F550" t="str">
        <f>IF('HIDDEN import'!G549=0,"",'HIDDEN import'!G549)</f>
        <v>ISO 15118-20</v>
      </c>
      <c r="G550" s="19" t="str">
        <f>IFERROR(VLOOKUP($A550,'HIDDEN Testrun Results'!$A:$B,2,FALSE),"")</f>
        <v/>
      </c>
      <c r="H550" s="3" t="b">
        <f t="shared" si="8"/>
        <v>0</v>
      </c>
      <c r="I550" s="3" t="b">
        <f>IF(VLOOKUP(A550&amp;" "&amp;B550,'HIDDEN import'!A:G,5,FALSE)="M",TRUE,IFERROR(VLOOKUP(E550,'Optional features'!B:D,3,FALSE)="Yes",IFERROR(VLOOKUP(E550,'HIDDEN calc sheet'!A:B,2,FALSE),IFERROR(VLOOKUP(E550,'Additional questions'!B:D,3,FALSE)="Yes",VLOOKUP(E550,'Hardware Feature set'!B:D,3,FALSE)="No"))))</f>
        <v>0</v>
      </c>
      <c r="J550" s="3" t="b">
        <f>IF(VLOOKUP(B550,'Profile selection'!B:C,2,FALSE)="Yes",TRUE,FALSE)</f>
        <v>0</v>
      </c>
      <c r="K550"/>
      <c r="L550"/>
    </row>
    <row r="551" spans="1:12" ht="15.75" customHeight="1" x14ac:dyDescent="0.25">
      <c r="A551" t="str">
        <f>'HIDDEN import'!B550</f>
        <v>TC_K_115_CS</v>
      </c>
      <c r="B551" t="str">
        <f>'HIDDEN import'!C550</f>
        <v>ISO 15118 Support</v>
      </c>
      <c r="C551" t="str">
        <f>'HIDDEN import'!D550</f>
        <v>ISO 15118-20 Dynamic Control Mode - Success</v>
      </c>
      <c r="D551" t="str">
        <f>IF(VLOOKUP(A551&amp;" "&amp;B551,'HIDDEN import'!A:G,5,FALSE)="M",MD!$A$1,(IF(AND(VLOOKUP(A551,'HIDDEN import'!B:E,4,FALSE)="C",OR(NOT(ISERROR(VLOOKUP(E551,'Optional features'!B:D,1,FALSE)=E551)),NOT(ISERROR(VLOOKUP(E551,'HIDDEN calc sheet'!A:C,1,FALSE)=E551)))),MD!$A$3,MD!$A$2)))</f>
        <v>Mandatory for optional feature</v>
      </c>
      <c r="E551" t="str">
        <f>IF('HIDDEN import'!F550=0,"",'HIDDEN import'!F550)</f>
        <v>ISO-1.2</v>
      </c>
      <c r="F551" t="str">
        <f>IF('HIDDEN import'!G550=0,"",'HIDDEN import'!G550)</f>
        <v>ISO 15118-20</v>
      </c>
      <c r="G551" s="19" t="str">
        <f>IFERROR(VLOOKUP($A551,'HIDDEN Testrun Results'!$A:$B,2,FALSE),"")</f>
        <v/>
      </c>
      <c r="H551" s="3" t="b">
        <f t="shared" si="8"/>
        <v>0</v>
      </c>
      <c r="I551" s="3" t="b">
        <f>IF(VLOOKUP(A551&amp;" "&amp;B551,'HIDDEN import'!A:G,5,FALSE)="M",TRUE,IFERROR(VLOOKUP(E551,'Optional features'!B:D,3,FALSE)="Yes",IFERROR(VLOOKUP(E551,'HIDDEN calc sheet'!A:B,2,FALSE),IFERROR(VLOOKUP(E551,'Additional questions'!B:D,3,FALSE)="Yes",VLOOKUP(E551,'Hardware Feature set'!B:D,3,FALSE)="No"))))</f>
        <v>0</v>
      </c>
      <c r="J551" s="3" t="b">
        <f>IF(VLOOKUP(B551,'Profile selection'!B:C,2,FALSE)="Yes",TRUE,FALSE)</f>
        <v>0</v>
      </c>
      <c r="K551"/>
      <c r="L551"/>
    </row>
    <row r="552" spans="1:12" ht="15.75" customHeight="1" x14ac:dyDescent="0.25">
      <c r="A552" t="str">
        <f>'HIDDEN import'!B551</f>
        <v>TC_M_26_CS</v>
      </c>
      <c r="B552" t="str">
        <f>'HIDDEN import'!C551</f>
        <v>ISO 15118 Support</v>
      </c>
      <c r="C552" t="str">
        <f>'HIDDEN import'!D551</f>
        <v>Certificate Installation EV - Success</v>
      </c>
      <c r="D552" t="str">
        <f>IF(VLOOKUP(A552&amp;" "&amp;B552,'HIDDEN import'!A:G,5,FALSE)="M",MD!$A$1,(IF(AND(VLOOKUP(A552,'HIDDEN import'!B:E,4,FALSE)="C",OR(NOT(ISERROR(VLOOKUP(E552,'Optional features'!B:D,1,FALSE)=E552)),NOT(ISERROR(VLOOKUP(E552,'HIDDEN calc sheet'!A:C,1,FALSE)=E552)))),MD!$A$3,MD!$A$2)))</f>
        <v>Mandatory for optional feature</v>
      </c>
      <c r="E552" t="str">
        <f>IF('HIDDEN import'!F551=0,"",'HIDDEN import'!F551)</f>
        <v>ISO-1.1</v>
      </c>
      <c r="F552" t="str">
        <f>IF('HIDDEN import'!G551=0,"",'HIDDEN import'!G551)</f>
        <v>ISO 15118-2</v>
      </c>
      <c r="G552" s="19" t="str">
        <f>IFERROR(VLOOKUP($A552,'HIDDEN Testrun Results'!$A:$B,2,FALSE),"")</f>
        <v/>
      </c>
      <c r="H552" s="3" t="b">
        <f t="shared" si="8"/>
        <v>0</v>
      </c>
      <c r="I552" s="3" t="b">
        <f>IF(VLOOKUP(A552&amp;" "&amp;B552,'HIDDEN import'!A:G,5,FALSE)="M",TRUE,IFERROR(VLOOKUP(E552,'Optional features'!B:D,3,FALSE)="Yes",IFERROR(VLOOKUP(E552,'HIDDEN calc sheet'!A:B,2,FALSE),IFERROR(VLOOKUP(E552,'Additional questions'!B:D,3,FALSE)="Yes",VLOOKUP(E552,'Hardware Feature set'!B:D,3,FALSE)="No"))))</f>
        <v>0</v>
      </c>
      <c r="J552" s="3" t="b">
        <f>IF(VLOOKUP(B552,'Profile selection'!B:C,2,FALSE)="Yes",TRUE,FALSE)</f>
        <v>0</v>
      </c>
      <c r="K552"/>
      <c r="L552"/>
    </row>
    <row r="553" spans="1:12" ht="15.75" customHeight="1" x14ac:dyDescent="0.25">
      <c r="A553" t="str">
        <f>'HIDDEN import'!B552</f>
        <v>TC_M_100_CS</v>
      </c>
      <c r="B553" t="str">
        <f>'HIDDEN import'!C552</f>
        <v>ISO 15118 Support</v>
      </c>
      <c r="C553" t="str">
        <f>'HIDDEN import'!D552</f>
        <v>Certificate Installation EV - ISO 15118-20 - Success</v>
      </c>
      <c r="D553" t="str">
        <f>IF(VLOOKUP(A553&amp;" "&amp;B553,'HIDDEN import'!A:G,5,FALSE)="M",MD!$A$1,(IF(AND(VLOOKUP(A553,'HIDDEN import'!B:E,4,FALSE)="C",OR(NOT(ISERROR(VLOOKUP(E553,'Optional features'!B:D,1,FALSE)=E553)),NOT(ISERROR(VLOOKUP(E553,'HIDDEN calc sheet'!A:C,1,FALSE)=E553)))),MD!$A$3,MD!$A$2)))</f>
        <v>Mandatory for optional feature</v>
      </c>
      <c r="E553" t="str">
        <f>IF('HIDDEN import'!F552=0,"",'HIDDEN import'!F552)</f>
        <v>ISO-1.2</v>
      </c>
      <c r="F553" t="str">
        <f>IF('HIDDEN import'!G552=0,"",'HIDDEN import'!G552)</f>
        <v>ISO 15118-20</v>
      </c>
      <c r="G553" s="19" t="str">
        <f>IFERROR(VLOOKUP($A553,'HIDDEN Testrun Results'!$A:$B,2,FALSE),"")</f>
        <v/>
      </c>
      <c r="H553" s="3" t="b">
        <f t="shared" si="8"/>
        <v>0</v>
      </c>
      <c r="I553" s="3" t="b">
        <f>IF(VLOOKUP(A553&amp;" "&amp;B553,'HIDDEN import'!A:G,5,FALSE)="M",TRUE,IFERROR(VLOOKUP(E553,'Optional features'!B:D,3,FALSE)="Yes",IFERROR(VLOOKUP(E553,'HIDDEN calc sheet'!A:B,2,FALSE),IFERROR(VLOOKUP(E553,'Additional questions'!B:D,3,FALSE)="Yes",VLOOKUP(E553,'Hardware Feature set'!B:D,3,FALSE)="No"))))</f>
        <v>0</v>
      </c>
      <c r="J553" s="3" t="b">
        <f>IF(VLOOKUP(B553,'Profile selection'!B:C,2,FALSE)="Yes",TRUE,FALSE)</f>
        <v>0</v>
      </c>
      <c r="K553"/>
      <c r="L553"/>
    </row>
    <row r="554" spans="1:12" ht="15.75" customHeight="1" x14ac:dyDescent="0.25">
      <c r="A554" t="str">
        <f>'HIDDEN import'!B553</f>
        <v>TC_M_27_CS</v>
      </c>
      <c r="B554" t="str">
        <f>'HIDDEN import'!C553</f>
        <v>ISO 15118 Support</v>
      </c>
      <c r="C554" t="str">
        <f>'HIDDEN import'!D553</f>
        <v>Certificate Installation EV - Failed</v>
      </c>
      <c r="D554" t="str">
        <f>IF(VLOOKUP(A554&amp;" "&amp;B554,'HIDDEN import'!A:G,5,FALSE)="M",MD!$A$1,(IF(AND(VLOOKUP(A554,'HIDDEN import'!B:E,4,FALSE)="C",OR(NOT(ISERROR(VLOOKUP(E554,'Optional features'!B:D,1,FALSE)=E554)),NOT(ISERROR(VLOOKUP(E554,'HIDDEN calc sheet'!A:C,1,FALSE)=E554)))),MD!$A$3,MD!$A$2)))</f>
        <v>Mandatory test for a mandatory feature</v>
      </c>
      <c r="E554" t="str">
        <f>IF('HIDDEN import'!F553=0,"",'HIDDEN import'!F553)</f>
        <v/>
      </c>
      <c r="F554" t="str">
        <f>IF('HIDDEN import'!G553=0,"",'HIDDEN import'!G553)</f>
        <v/>
      </c>
      <c r="G554" s="19" t="str">
        <f>IFERROR(VLOOKUP($A554,'HIDDEN Testrun Results'!$A:$B,2,FALSE),"")</f>
        <v/>
      </c>
      <c r="H554" s="3" t="b">
        <f t="shared" si="8"/>
        <v>0</v>
      </c>
      <c r="I554" s="3" t="b">
        <f>IF(VLOOKUP(A554&amp;" "&amp;B554,'HIDDEN import'!A:G,5,FALSE)="M",TRUE,IFERROR(VLOOKUP(E554,'Optional features'!B:D,3,FALSE)="Yes",IFERROR(VLOOKUP(E554,'HIDDEN calc sheet'!A:B,2,FALSE),IFERROR(VLOOKUP(E554,'Additional questions'!B:D,3,FALSE)="Yes",VLOOKUP(E554,'Hardware Feature set'!B:D,3,FALSE)="No"))))</f>
        <v>1</v>
      </c>
      <c r="J554" s="3" t="b">
        <f>IF(VLOOKUP(B554,'Profile selection'!B:C,2,FALSE)="Yes",TRUE,FALSE)</f>
        <v>0</v>
      </c>
      <c r="K554"/>
      <c r="L554"/>
    </row>
    <row r="555" spans="1:12" ht="15.75" customHeight="1" x14ac:dyDescent="0.25">
      <c r="A555" t="str">
        <f>'HIDDEN import'!B554</f>
        <v>TC_M_28_CS</v>
      </c>
      <c r="B555" t="str">
        <f>'HIDDEN import'!C554</f>
        <v>ISO 15118 Support</v>
      </c>
      <c r="C555" t="str">
        <f>'HIDDEN import'!D554</f>
        <v>Certificate Update EV - Success</v>
      </c>
      <c r="D555" t="str">
        <f>IF(VLOOKUP(A555&amp;" "&amp;B555,'HIDDEN import'!A:G,5,FALSE)="M",MD!$A$1,(IF(AND(VLOOKUP(A555,'HIDDEN import'!B:E,4,FALSE)="C",OR(NOT(ISERROR(VLOOKUP(E555,'Optional features'!B:D,1,FALSE)=E555)),NOT(ISERROR(VLOOKUP(E555,'HIDDEN calc sheet'!A:C,1,FALSE)=E555)))),MD!$A$3,MD!$A$2)))</f>
        <v>Mandatory for optional feature</v>
      </c>
      <c r="E555" t="str">
        <f>IF('HIDDEN import'!F554=0,"",'HIDDEN import'!F554)</f>
        <v>ISO-1.1</v>
      </c>
      <c r="F555" t="str">
        <f>IF('HIDDEN import'!G554=0,"",'HIDDEN import'!G554)</f>
        <v>ISO 15118-2</v>
      </c>
      <c r="G555" s="19" t="str">
        <f>IFERROR(VLOOKUP($A555,'HIDDEN Testrun Results'!$A:$B,2,FALSE),"")</f>
        <v/>
      </c>
      <c r="H555" s="3" t="b">
        <f t="shared" si="8"/>
        <v>0</v>
      </c>
      <c r="I555" s="3" t="b">
        <f>IF(VLOOKUP(A555&amp;" "&amp;B555,'HIDDEN import'!A:G,5,FALSE)="M",TRUE,IFERROR(VLOOKUP(E555,'Optional features'!B:D,3,FALSE)="Yes",IFERROR(VLOOKUP(E555,'HIDDEN calc sheet'!A:B,2,FALSE),IFERROR(VLOOKUP(E555,'Additional questions'!B:D,3,FALSE)="Yes",VLOOKUP(E555,'Hardware Feature set'!B:D,3,FALSE)="No"))))</f>
        <v>0</v>
      </c>
      <c r="J555" s="3" t="b">
        <f>IF(VLOOKUP(B555,'Profile selection'!B:C,2,FALSE)="Yes",TRUE,FALSE)</f>
        <v>0</v>
      </c>
      <c r="K555"/>
      <c r="L555"/>
    </row>
    <row r="556" spans="1:12" ht="15.75" customHeight="1" x14ac:dyDescent="0.25">
      <c r="A556" t="str">
        <f>'HIDDEN import'!B555</f>
        <v>TC_M_29_CS</v>
      </c>
      <c r="B556" t="str">
        <f>'HIDDEN import'!C555</f>
        <v>ISO 15118 Support</v>
      </c>
      <c r="C556" t="str">
        <f>'HIDDEN import'!D555</f>
        <v>Certificate Update EV - Failed</v>
      </c>
      <c r="D556" t="str">
        <f>IF(VLOOKUP(A556&amp;" "&amp;B556,'HIDDEN import'!A:G,5,FALSE)="M",MD!$A$1,(IF(AND(VLOOKUP(A556,'HIDDEN import'!B:E,4,FALSE)="C",OR(NOT(ISERROR(VLOOKUP(E556,'Optional features'!B:D,1,FALSE)=E556)),NOT(ISERROR(VLOOKUP(E556,'HIDDEN calc sheet'!A:C,1,FALSE)=E556)))),MD!$A$3,MD!$A$2)))</f>
        <v>Mandatory for optional feature</v>
      </c>
      <c r="E556" t="str">
        <f>IF('HIDDEN import'!F555=0,"",'HIDDEN import'!F555)</f>
        <v>ISO-1.1</v>
      </c>
      <c r="F556" t="str">
        <f>IF('HIDDEN import'!G555=0,"",'HIDDEN import'!G555)</f>
        <v>ISO 15118-2</v>
      </c>
      <c r="G556" s="19" t="str">
        <f>IFERROR(VLOOKUP($A556,'HIDDEN Testrun Results'!$A:$B,2,FALSE),"")</f>
        <v/>
      </c>
      <c r="H556" s="3" t="b">
        <f t="shared" si="8"/>
        <v>0</v>
      </c>
      <c r="I556" s="3" t="b">
        <f>IF(VLOOKUP(A556&amp;" "&amp;B556,'HIDDEN import'!A:G,5,FALSE)="M",TRUE,IFERROR(VLOOKUP(E556,'Optional features'!B:D,3,FALSE)="Yes",IFERROR(VLOOKUP(E556,'HIDDEN calc sheet'!A:B,2,FALSE),IFERROR(VLOOKUP(E556,'Additional questions'!B:D,3,FALSE)="Yes",VLOOKUP(E556,'Hardware Feature set'!B:D,3,FALSE)="No"))))</f>
        <v>0</v>
      </c>
      <c r="J556" s="3" t="b">
        <f>IF(VLOOKUP(B556,'Profile selection'!B:C,2,FALSE)="Yes",TRUE,FALSE)</f>
        <v>0</v>
      </c>
      <c r="K556"/>
      <c r="L556"/>
    </row>
    <row r="557" spans="1:12" ht="15.75" customHeight="1" x14ac:dyDescent="0.25">
      <c r="A557" t="str">
        <f>'HIDDEN import'!B556</f>
        <v>TC_M_14_CS</v>
      </c>
      <c r="B557" t="str">
        <f>'HIDDEN import'!C556</f>
        <v>ISO 15118 Support</v>
      </c>
      <c r="C557" t="str">
        <f>'HIDDEN import'!D556</f>
        <v>Retrieve certificates from Charging Station - V2GRootCertificate</v>
      </c>
      <c r="D557" t="str">
        <f>IF(VLOOKUP(A557&amp;" "&amp;B557,'HIDDEN import'!A:G,5,FALSE)="M",MD!$A$1,(IF(AND(VLOOKUP(A557,'HIDDEN import'!B:E,4,FALSE)="C",OR(NOT(ISERROR(VLOOKUP(E557,'Optional features'!B:D,1,FALSE)=E557)),NOT(ISERROR(VLOOKUP(E557,'HIDDEN calc sheet'!A:C,1,FALSE)=E557)))),MD!$A$3,MD!$A$2)))</f>
        <v>Mandatory test for a mandatory feature</v>
      </c>
      <c r="E557" t="str">
        <f>IF('HIDDEN import'!F556=0,"",'HIDDEN import'!F556)</f>
        <v/>
      </c>
      <c r="F557" t="str">
        <f>IF('HIDDEN import'!G556=0,"",'HIDDEN import'!G556)</f>
        <v/>
      </c>
      <c r="G557" s="19" t="str">
        <f>IFERROR(VLOOKUP($A557,'HIDDEN Testrun Results'!$A:$B,2,FALSE),"")</f>
        <v/>
      </c>
      <c r="H557" s="3" t="b">
        <f t="shared" si="8"/>
        <v>0</v>
      </c>
      <c r="I557" s="3" t="b">
        <f>IF(VLOOKUP(A557&amp;" "&amp;B557,'HIDDEN import'!A:G,5,FALSE)="M",TRUE,IFERROR(VLOOKUP(E557,'Optional features'!B:D,3,FALSE)="Yes",IFERROR(VLOOKUP(E557,'HIDDEN calc sheet'!A:B,2,FALSE),IFERROR(VLOOKUP(E557,'Additional questions'!B:D,3,FALSE)="Yes",VLOOKUP(E557,'Hardware Feature set'!B:D,3,FALSE)="No"))))</f>
        <v>1</v>
      </c>
      <c r="J557" s="3" t="b">
        <f>IF(VLOOKUP(B557,'Profile selection'!B:C,2,FALSE)="Yes",TRUE,FALSE)</f>
        <v>0</v>
      </c>
      <c r="K557"/>
      <c r="L557"/>
    </row>
    <row r="558" spans="1:12" ht="15.75" customHeight="1" x14ac:dyDescent="0.25">
      <c r="A558" t="str">
        <f>'HIDDEN import'!B557</f>
        <v>TC_M_15_CS</v>
      </c>
      <c r="B558" t="str">
        <f>'HIDDEN import'!C557</f>
        <v>ISO 15118 Support</v>
      </c>
      <c r="C558" t="str">
        <f>'HIDDEN import'!D557</f>
        <v>Retrieve certificates from Charging Station - V2GCertificateChain</v>
      </c>
      <c r="D558" t="str">
        <f>IF(VLOOKUP(A558&amp;" "&amp;B558,'HIDDEN import'!A:G,5,FALSE)="M",MD!$A$1,(IF(AND(VLOOKUP(A558,'HIDDEN import'!B:E,4,FALSE)="C",OR(NOT(ISERROR(VLOOKUP(E558,'Optional features'!B:D,1,FALSE)=E558)),NOT(ISERROR(VLOOKUP(E558,'HIDDEN calc sheet'!A:C,1,FALSE)=E558)))),MD!$A$3,MD!$A$2)))</f>
        <v>Mandatory test for a mandatory feature</v>
      </c>
      <c r="E558" t="str">
        <f>IF('HIDDEN import'!F557=0,"",'HIDDEN import'!F557)</f>
        <v/>
      </c>
      <c r="F558" t="str">
        <f>IF('HIDDEN import'!G557=0,"",'HIDDEN import'!G557)</f>
        <v/>
      </c>
      <c r="G558" s="19" t="str">
        <f>IFERROR(VLOOKUP($A558,'HIDDEN Testrun Results'!$A:$B,2,FALSE),"")</f>
        <v/>
      </c>
      <c r="H558" s="3" t="b">
        <f t="shared" si="8"/>
        <v>0</v>
      </c>
      <c r="I558" s="3" t="b">
        <f>IF(VLOOKUP(A558&amp;" "&amp;B558,'HIDDEN import'!A:G,5,FALSE)="M",TRUE,IFERROR(VLOOKUP(E558,'Optional features'!B:D,3,FALSE)="Yes",IFERROR(VLOOKUP(E558,'HIDDEN calc sheet'!A:B,2,FALSE),IFERROR(VLOOKUP(E558,'Additional questions'!B:D,3,FALSE)="Yes",VLOOKUP(E558,'Hardware Feature set'!B:D,3,FALSE)="No"))))</f>
        <v>1</v>
      </c>
      <c r="J558" s="3" t="b">
        <f>IF(VLOOKUP(B558,'Profile selection'!B:C,2,FALSE)="Yes",TRUE,FALSE)</f>
        <v>0</v>
      </c>
      <c r="K558"/>
      <c r="L558"/>
    </row>
    <row r="559" spans="1:12" ht="15.75" customHeight="1" x14ac:dyDescent="0.25">
      <c r="A559" t="str">
        <f>'HIDDEN import'!B558</f>
        <v>TC_M_16_CS</v>
      </c>
      <c r="B559" t="str">
        <f>'HIDDEN import'!C558</f>
        <v>ISO 15118 Support</v>
      </c>
      <c r="C559" t="str">
        <f>'HIDDEN import'!D558</f>
        <v>Retrieve certificates from Charging Station - MORootCertificate</v>
      </c>
      <c r="D559" t="str">
        <f>IF(VLOOKUP(A559&amp;" "&amp;B559,'HIDDEN import'!A:G,5,FALSE)="M",MD!$A$1,(IF(AND(VLOOKUP(A559,'HIDDEN import'!B:E,4,FALSE)="C",OR(NOT(ISERROR(VLOOKUP(E559,'Optional features'!B:D,1,FALSE)=E559)),NOT(ISERROR(VLOOKUP(E559,'HIDDEN calc sheet'!A:C,1,FALSE)=E559)))),MD!$A$3,MD!$A$2)))</f>
        <v>Mandatory test for a mandatory feature</v>
      </c>
      <c r="E559" t="str">
        <f>IF('HIDDEN import'!F558=0,"",'HIDDEN import'!F558)</f>
        <v/>
      </c>
      <c r="F559" t="str">
        <f>IF('HIDDEN import'!G558=0,"",'HIDDEN import'!G558)</f>
        <v/>
      </c>
      <c r="G559" s="19" t="str">
        <f>IFERROR(VLOOKUP($A559,'HIDDEN Testrun Results'!$A:$B,2,FALSE),"")</f>
        <v/>
      </c>
      <c r="H559" s="3" t="b">
        <f t="shared" si="8"/>
        <v>0</v>
      </c>
      <c r="I559" s="3" t="b">
        <f>IF(VLOOKUP(A559&amp;" "&amp;B559,'HIDDEN import'!A:G,5,FALSE)="M",TRUE,IFERROR(VLOOKUP(E559,'Optional features'!B:D,3,FALSE)="Yes",IFERROR(VLOOKUP(E559,'HIDDEN calc sheet'!A:B,2,FALSE),IFERROR(VLOOKUP(E559,'Additional questions'!B:D,3,FALSE)="Yes",VLOOKUP(E559,'Hardware Feature set'!B:D,3,FALSE)="No"))))</f>
        <v>1</v>
      </c>
      <c r="J559" s="3" t="b">
        <f>IF(VLOOKUP(B559,'Profile selection'!B:C,2,FALSE)="Yes",TRUE,FALSE)</f>
        <v>0</v>
      </c>
      <c r="K559"/>
      <c r="L559"/>
    </row>
    <row r="560" spans="1:12" ht="15.75" customHeight="1" x14ac:dyDescent="0.25">
      <c r="A560" t="str">
        <f>'HIDDEN import'!B559</f>
        <v>TC_M_03_CS</v>
      </c>
      <c r="B560" t="str">
        <f>'HIDDEN import'!C559</f>
        <v>ISO 15118 Support</v>
      </c>
      <c r="C560" t="str">
        <f>'HIDDEN import'!D559</f>
        <v>Install CA certificate - V2GRootCertificate</v>
      </c>
      <c r="D560" t="str">
        <f>IF(VLOOKUP(A560&amp;" "&amp;B560,'HIDDEN import'!A:G,5,FALSE)="M",MD!$A$1,(IF(AND(VLOOKUP(A560,'HIDDEN import'!B:E,4,FALSE)="C",OR(NOT(ISERROR(VLOOKUP(E560,'Optional features'!B:D,1,FALSE)=E560)),NOT(ISERROR(VLOOKUP(E560,'HIDDEN calc sheet'!A:C,1,FALSE)=E560)))),MD!$A$3,MD!$A$2)))</f>
        <v>Mandatory test for a mandatory feature</v>
      </c>
      <c r="E560" t="str">
        <f>IF('HIDDEN import'!F559=0,"",'HIDDEN import'!F559)</f>
        <v/>
      </c>
      <c r="F560" t="str">
        <f>IF('HIDDEN import'!G559=0,"",'HIDDEN import'!G559)</f>
        <v/>
      </c>
      <c r="G560" s="19" t="str">
        <f>IFERROR(VLOOKUP($A560,'HIDDEN Testrun Results'!$A:$B,2,FALSE),"")</f>
        <v/>
      </c>
      <c r="H560" s="3" t="b">
        <f t="shared" si="8"/>
        <v>0</v>
      </c>
      <c r="I560" s="3" t="b">
        <f>IF(VLOOKUP(A560&amp;" "&amp;B560,'HIDDEN import'!A:G,5,FALSE)="M",TRUE,IFERROR(VLOOKUP(E560,'Optional features'!B:D,3,FALSE)="Yes",IFERROR(VLOOKUP(E560,'HIDDEN calc sheet'!A:B,2,FALSE),IFERROR(VLOOKUP(E560,'Additional questions'!B:D,3,FALSE)="Yes",VLOOKUP(E560,'Hardware Feature set'!B:D,3,FALSE)="No"))))</f>
        <v>1</v>
      </c>
      <c r="J560" s="3" t="b">
        <f>IF(VLOOKUP(B560,'Profile selection'!B:C,2,FALSE)="Yes",TRUE,FALSE)</f>
        <v>0</v>
      </c>
      <c r="K560"/>
      <c r="L560"/>
    </row>
    <row r="561" spans="1:12" ht="15.75" customHeight="1" x14ac:dyDescent="0.25">
      <c r="A561" t="str">
        <f>'HIDDEN import'!B560</f>
        <v>TC_M_04_CS</v>
      </c>
      <c r="B561" t="str">
        <f>'HIDDEN import'!C560</f>
        <v>ISO 15118 Support</v>
      </c>
      <c r="C561" t="str">
        <f>'HIDDEN import'!D560</f>
        <v>Install CA certificate - MORootCertificate</v>
      </c>
      <c r="D561" t="str">
        <f>IF(VLOOKUP(A561&amp;" "&amp;B561,'HIDDEN import'!A:G,5,FALSE)="M",MD!$A$1,(IF(AND(VLOOKUP(A561,'HIDDEN import'!B:E,4,FALSE)="C",OR(NOT(ISERROR(VLOOKUP(E561,'Optional features'!B:D,1,FALSE)=E561)),NOT(ISERROR(VLOOKUP(E561,'HIDDEN calc sheet'!A:C,1,FALSE)=E561)))),MD!$A$3,MD!$A$2)))</f>
        <v>Mandatory test for a mandatory feature</v>
      </c>
      <c r="E561" t="str">
        <f>IF('HIDDEN import'!F560=0,"",'HIDDEN import'!F560)</f>
        <v/>
      </c>
      <c r="F561" t="str">
        <f>IF('HIDDEN import'!G560=0,"",'HIDDEN import'!G560)</f>
        <v/>
      </c>
      <c r="G561" s="19" t="str">
        <f>IFERROR(VLOOKUP($A561,'HIDDEN Testrun Results'!$A:$B,2,FALSE),"")</f>
        <v/>
      </c>
      <c r="H561" s="3" t="b">
        <f t="shared" si="8"/>
        <v>0</v>
      </c>
      <c r="I561" s="3" t="b">
        <f>IF(VLOOKUP(A561&amp;" "&amp;B561,'HIDDEN import'!A:G,5,FALSE)="M",TRUE,IFERROR(VLOOKUP(E561,'Optional features'!B:D,3,FALSE)="Yes",IFERROR(VLOOKUP(E561,'HIDDEN calc sheet'!A:B,2,FALSE),IFERROR(VLOOKUP(E561,'Additional questions'!B:D,3,FALSE)="Yes",VLOOKUP(E561,'Hardware Feature set'!B:D,3,FALSE)="No"))))</f>
        <v>1</v>
      </c>
      <c r="J561" s="3" t="b">
        <f>IF(VLOOKUP(B561,'Profile selection'!B:C,2,FALSE)="Yes",TRUE,FALSE)</f>
        <v>0</v>
      </c>
      <c r="K561"/>
      <c r="L561"/>
    </row>
    <row r="562" spans="1:12" ht="15.75" customHeight="1" x14ac:dyDescent="0.25">
      <c r="A562" t="str">
        <f>'HIDDEN import'!B561</f>
        <v>TC_M_101_CS</v>
      </c>
      <c r="B562" t="str">
        <f>'HIDDEN import'!C561</f>
        <v>ISO 15118 Support</v>
      </c>
      <c r="C562" t="str">
        <f>'HIDDEN import'!D561</f>
        <v>Install CA certificate - OEMRootCertificate</v>
      </c>
      <c r="D562" t="str">
        <f>IF(VLOOKUP(A562&amp;" "&amp;B562,'HIDDEN import'!A:G,5,FALSE)="M",MD!$A$1,(IF(AND(VLOOKUP(A562,'HIDDEN import'!B:E,4,FALSE)="C",OR(NOT(ISERROR(VLOOKUP(E562,'Optional features'!B:D,1,FALSE)=E562)),NOT(ISERROR(VLOOKUP(E562,'HIDDEN calc sheet'!A:C,1,FALSE)=E562)))),MD!$A$3,MD!$A$2)))</f>
        <v>Mandatory for optional feature</v>
      </c>
      <c r="E562" t="str">
        <f>IF('HIDDEN import'!F561=0,"",'HIDDEN import'!F561)</f>
        <v>ISO-1.2</v>
      </c>
      <c r="F562" t="str">
        <f>IF('HIDDEN import'!G561=0,"",'HIDDEN import'!G561)</f>
        <v>ISO 15118-20</v>
      </c>
      <c r="G562" s="19" t="str">
        <f>IFERROR(VLOOKUP($A562,'HIDDEN Testrun Results'!$A:$B,2,FALSE),"")</f>
        <v/>
      </c>
      <c r="H562" s="3" t="b">
        <f t="shared" si="8"/>
        <v>0</v>
      </c>
      <c r="I562" s="3" t="b">
        <f>IF(VLOOKUP(A562&amp;" "&amp;B562,'HIDDEN import'!A:G,5,FALSE)="M",TRUE,IFERROR(VLOOKUP(E562,'Optional features'!B:D,3,FALSE)="Yes",IFERROR(VLOOKUP(E562,'HIDDEN calc sheet'!A:B,2,FALSE),IFERROR(VLOOKUP(E562,'Additional questions'!B:D,3,FALSE)="Yes",VLOOKUP(E562,'Hardware Feature set'!B:D,3,FALSE)="No"))))</f>
        <v>0</v>
      </c>
      <c r="J562" s="3" t="b">
        <f>IF(VLOOKUP(B562,'Profile selection'!B:C,2,FALSE)="Yes",TRUE,FALSE)</f>
        <v>0</v>
      </c>
      <c r="K562"/>
      <c r="L562"/>
    </row>
    <row r="563" spans="1:12" ht="15.75" customHeight="1" x14ac:dyDescent="0.25">
      <c r="A563" t="str">
        <f>'HIDDEN import'!B562</f>
        <v>TC_M_24_CS</v>
      </c>
      <c r="B563" t="str">
        <f>'HIDDEN import'!C562</f>
        <v>ISO 15118 Support</v>
      </c>
      <c r="C563" t="str">
        <f>'HIDDEN import'!D562</f>
        <v>Get Charging Station Certificate status - Success</v>
      </c>
      <c r="D563" t="str">
        <f>IF(VLOOKUP(A563&amp;" "&amp;B563,'HIDDEN import'!A:G,5,FALSE)="M",MD!$A$1,(IF(AND(VLOOKUP(A563,'HIDDEN import'!B:E,4,FALSE)="C",OR(NOT(ISERROR(VLOOKUP(E563,'Optional features'!B:D,1,FALSE)=E563)),NOT(ISERROR(VLOOKUP(E563,'HIDDEN calc sheet'!A:C,1,FALSE)=E563)))),MD!$A$3,MD!$A$2)))</f>
        <v>Mandatory test for a mandatory feature</v>
      </c>
      <c r="E563" t="str">
        <f>IF('HIDDEN import'!F562=0,"",'HIDDEN import'!F562)</f>
        <v/>
      </c>
      <c r="F563" t="str">
        <f>IF('HIDDEN import'!G562=0,"",'HIDDEN import'!G562)</f>
        <v/>
      </c>
      <c r="G563" s="19" t="str">
        <f>IFERROR(VLOOKUP($A563,'HIDDEN Testrun Results'!$A:$B,2,FALSE),"")</f>
        <v/>
      </c>
      <c r="H563" s="3" t="b">
        <f t="shared" si="8"/>
        <v>0</v>
      </c>
      <c r="I563" s="3" t="b">
        <f>IF(VLOOKUP(A563&amp;" "&amp;B563,'HIDDEN import'!A:G,5,FALSE)="M",TRUE,IFERROR(VLOOKUP(E563,'Optional features'!B:D,3,FALSE)="Yes",IFERROR(VLOOKUP(E563,'HIDDEN calc sheet'!A:B,2,FALSE),IFERROR(VLOOKUP(E563,'Additional questions'!B:D,3,FALSE)="Yes",VLOOKUP(E563,'Hardware Feature set'!B:D,3,FALSE)="No"))))</f>
        <v>1</v>
      </c>
      <c r="J563" s="3" t="b">
        <f>IF(VLOOKUP(B563,'Profile selection'!B:C,2,FALSE)="Yes",TRUE,FALSE)</f>
        <v>0</v>
      </c>
      <c r="K563"/>
      <c r="L563"/>
    </row>
    <row r="564" spans="1:12" ht="15.75" customHeight="1" x14ac:dyDescent="0.25">
      <c r="A564" t="str">
        <f>'HIDDEN import'!B563</f>
        <v>TC_M_25_CS</v>
      </c>
      <c r="B564" t="str">
        <f>'HIDDEN import'!C563</f>
        <v>ISO 15118 Support</v>
      </c>
      <c r="C564" t="str">
        <f>'HIDDEN import'!D563</f>
        <v>Get Charging Station Certificate status - Rejected</v>
      </c>
      <c r="D564" t="str">
        <f>IF(VLOOKUP(A564&amp;" "&amp;B564,'HIDDEN import'!A:G,5,FALSE)="M",MD!$A$1,(IF(AND(VLOOKUP(A564,'HIDDEN import'!B:E,4,FALSE)="C",OR(NOT(ISERROR(VLOOKUP(E564,'Optional features'!B:D,1,FALSE)=E564)),NOT(ISERROR(VLOOKUP(E564,'HIDDEN calc sheet'!A:C,1,FALSE)=E564)))),MD!$A$3,MD!$A$2)))</f>
        <v>Mandatory test for a mandatory feature</v>
      </c>
      <c r="E564" t="str">
        <f>IF('HIDDEN import'!F563=0,"",'HIDDEN import'!F563)</f>
        <v/>
      </c>
      <c r="F564" t="str">
        <f>IF('HIDDEN import'!G563=0,"",'HIDDEN import'!G563)</f>
        <v/>
      </c>
      <c r="G564" s="19" t="str">
        <f>IFERROR(VLOOKUP($A564,'HIDDEN Testrun Results'!$A:$B,2,FALSE),"")</f>
        <v/>
      </c>
      <c r="H564" s="3" t="b">
        <f t="shared" si="8"/>
        <v>0</v>
      </c>
      <c r="I564" s="3" t="b">
        <f>IF(VLOOKUP(A564&amp;" "&amp;B564,'HIDDEN import'!A:G,5,FALSE)="M",TRUE,IFERROR(VLOOKUP(E564,'Optional features'!B:D,3,FALSE)="Yes",IFERROR(VLOOKUP(E564,'HIDDEN calc sheet'!A:B,2,FALSE),IFERROR(VLOOKUP(E564,'Additional questions'!B:D,3,FALSE)="Yes",VLOOKUP(E564,'Hardware Feature set'!B:D,3,FALSE)="No"))))</f>
        <v>1</v>
      </c>
      <c r="J564" s="3" t="b">
        <f>IF(VLOOKUP(B564,'Profile selection'!B:C,2,FALSE)="Yes",TRUE,FALSE)</f>
        <v>0</v>
      </c>
      <c r="K564"/>
      <c r="L564"/>
    </row>
    <row r="565" spans="1:12" ht="15.75" customHeight="1" x14ac:dyDescent="0.25">
      <c r="A565" t="str">
        <f>'HIDDEN import'!B564</f>
        <v>TC_N_63_CS</v>
      </c>
      <c r="B565" t="str">
        <f>'HIDDEN import'!C564</f>
        <v>ISO 15118 Support</v>
      </c>
      <c r="C565" t="str">
        <f>'HIDDEN import'!D564</f>
        <v>Clear Customer Information - Clear and report - customerCertificate</v>
      </c>
      <c r="D565" t="str">
        <f>IF(VLOOKUP(A565&amp;" "&amp;B565,'HIDDEN import'!A:G,5,FALSE)="M",MD!$A$1,(IF(AND(VLOOKUP(A565,'HIDDEN import'!B:E,4,FALSE)="C",OR(NOT(ISERROR(VLOOKUP(E565,'Optional features'!B:D,1,FALSE)=E565)),NOT(ISERROR(VLOOKUP(E565,'HIDDEN calc sheet'!A:C,1,FALSE)=E565)))),MD!$A$3,MD!$A$2)))</f>
        <v>Mandatory for optional feature</v>
      </c>
      <c r="E565" t="str">
        <f>IF('HIDDEN import'!F564=0,"",'HIDDEN import'!F564)</f>
        <v>ISO-4</v>
      </c>
      <c r="F565" t="str">
        <f>IF('HIDDEN import'!G564=0,"",'HIDDEN import'!G564)</f>
        <v/>
      </c>
      <c r="G565" s="19" t="str">
        <f>IFERROR(VLOOKUP($A565,'HIDDEN Testrun Results'!$A:$B,2,FALSE),"")</f>
        <v/>
      </c>
      <c r="H565" s="3" t="b">
        <f t="shared" si="8"/>
        <v>0</v>
      </c>
      <c r="I565" s="3" t="b">
        <f>IF(VLOOKUP(A565&amp;" "&amp;B565,'HIDDEN import'!A:G,5,FALSE)="M",TRUE,IFERROR(VLOOKUP(E565,'Optional features'!B:D,3,FALSE)="Yes",IFERROR(VLOOKUP(E565,'HIDDEN calc sheet'!A:B,2,FALSE),IFERROR(VLOOKUP(E565,'Additional questions'!B:D,3,FALSE)="Yes",VLOOKUP(E565,'Hardware Feature set'!B:D,3,FALSE)="No"))))</f>
        <v>0</v>
      </c>
      <c r="J565" s="3" t="b">
        <f>IF(VLOOKUP(B565,'Profile selection'!B:C,2,FALSE)="Yes",TRUE,FALSE)</f>
        <v>0</v>
      </c>
      <c r="K565"/>
      <c r="L565"/>
    </row>
    <row r="566" spans="1:12" ht="15.75" customHeight="1" x14ac:dyDescent="0.25">
      <c r="A566" t="str">
        <f>'HIDDEN import'!B565</f>
        <v>TC_Q_109_CS</v>
      </c>
      <c r="B566" t="str">
        <f>'HIDDEN import'!C565</f>
        <v>Bidirectional Power Transfer</v>
      </c>
      <c r="C566" t="str">
        <f>'HIDDEN import'!D565</f>
        <v>Central V2X control with dynamic CSMS setpoint - push</v>
      </c>
      <c r="D566" t="str">
        <f>IF(VLOOKUP(A566&amp;" "&amp;B566,'HIDDEN import'!A:G,5,FALSE)="M",MD!$A$1,(IF(AND(VLOOKUP(A566,'HIDDEN import'!B:E,4,FALSE)="C",OR(NOT(ISERROR(VLOOKUP(E566,'Optional features'!B:D,1,FALSE)=E566)),NOT(ISERROR(VLOOKUP(E566,'HIDDEN calc sheet'!A:C,1,FALSE)=E566)))),MD!$A$3,MD!$A$2)))</f>
        <v>Mandatory test for a mandatory feature</v>
      </c>
      <c r="E566" t="str">
        <f>IF('HIDDEN import'!F565=0,"",'HIDDEN import'!F565)</f>
        <v/>
      </c>
      <c r="F566" t="str">
        <f>IF('HIDDEN import'!G565=0,"",'HIDDEN import'!G565)</f>
        <v/>
      </c>
      <c r="G566" s="19" t="str">
        <f>IFERROR(VLOOKUP($A566,'HIDDEN Testrun Results'!$A:$B,2,FALSE),"")</f>
        <v/>
      </c>
      <c r="H566" s="3" t="b">
        <f t="shared" si="8"/>
        <v>0</v>
      </c>
      <c r="I566" s="3" t="b">
        <f>IF(VLOOKUP(A566&amp;" "&amp;B566,'HIDDEN import'!A:G,5,FALSE)="M",TRUE,IFERROR(VLOOKUP(E566,'Optional features'!B:D,3,FALSE)="Yes",IFERROR(VLOOKUP(E566,'HIDDEN calc sheet'!A:B,2,FALSE),IFERROR(VLOOKUP(E566,'Additional questions'!B:D,3,FALSE)="Yes",VLOOKUP(E566,'Hardware Feature set'!B:D,3,FALSE)="No"))))</f>
        <v>1</v>
      </c>
      <c r="J566" s="3" t="b">
        <f>IF(VLOOKUP(B566,'Profile selection'!B:C,2,FALSE)="Yes",TRUE,FALSE)</f>
        <v>0</v>
      </c>
      <c r="K566"/>
      <c r="L566"/>
    </row>
    <row r="567" spans="1:12" ht="15.75" customHeight="1" x14ac:dyDescent="0.25">
      <c r="A567" t="str">
        <f>'HIDDEN import'!B566</f>
        <v>TC_Q_110_CS</v>
      </c>
      <c r="B567" t="str">
        <f>'HIDDEN import'!C566</f>
        <v>Bidirectional Power Transfer</v>
      </c>
      <c r="C567" t="str">
        <f>'HIDDEN import'!D566</f>
        <v>Central V2X control with dynamic CSMS setpoint - pull</v>
      </c>
      <c r="D567" t="str">
        <f>IF(VLOOKUP(A567&amp;" "&amp;B567,'HIDDEN import'!A:G,5,FALSE)="M",MD!$A$1,(IF(AND(VLOOKUP(A567,'HIDDEN import'!B:E,4,FALSE)="C",OR(NOT(ISERROR(VLOOKUP(E567,'Optional features'!B:D,1,FALSE)=E567)),NOT(ISERROR(VLOOKUP(E567,'HIDDEN calc sheet'!A:C,1,FALSE)=E567)))),MD!$A$3,MD!$A$2)))</f>
        <v>Mandatory test for a mandatory feature</v>
      </c>
      <c r="E567" t="str">
        <f>IF('HIDDEN import'!F566=0,"",'HIDDEN import'!F566)</f>
        <v/>
      </c>
      <c r="F567" t="str">
        <f>IF('HIDDEN import'!G566=0,"",'HIDDEN import'!G566)</f>
        <v/>
      </c>
      <c r="G567" s="19" t="str">
        <f>IFERROR(VLOOKUP($A567,'HIDDEN Testrun Results'!$A:$B,2,FALSE),"")</f>
        <v/>
      </c>
      <c r="H567" s="3" t="b">
        <f t="shared" si="8"/>
        <v>0</v>
      </c>
      <c r="I567" s="3" t="b">
        <f>IF(VLOOKUP(A567&amp;" "&amp;B567,'HIDDEN import'!A:G,5,FALSE)="M",TRUE,IFERROR(VLOOKUP(E567,'Optional features'!B:D,3,FALSE)="Yes",IFERROR(VLOOKUP(E567,'HIDDEN calc sheet'!A:B,2,FALSE),IFERROR(VLOOKUP(E567,'Additional questions'!B:D,3,FALSE)="Yes",VLOOKUP(E567,'Hardware Feature set'!B:D,3,FALSE)="No"))))</f>
        <v>1</v>
      </c>
      <c r="J567" s="3" t="b">
        <f>IF(VLOOKUP(B567,'Profile selection'!B:C,2,FALSE)="Yes",TRUE,FALSE)</f>
        <v>0</v>
      </c>
      <c r="K567"/>
      <c r="L567"/>
    </row>
    <row r="568" spans="1:12" ht="15.75" customHeight="1" x14ac:dyDescent="0.25">
      <c r="A568" t="str">
        <f>'HIDDEN import'!B567</f>
        <v>TC_Q_122_CS</v>
      </c>
      <c r="B568" t="str">
        <f>'HIDDEN import'!C567</f>
        <v>Bidirectional Power Transfer</v>
      </c>
      <c r="C568" t="str">
        <f>'HIDDEN import'!D567</f>
        <v>Local V2X control for load balancing - threshold validations</v>
      </c>
      <c r="D568" t="str">
        <f>IF(VLOOKUP(A568&amp;" "&amp;B568,'HIDDEN import'!A:G,5,FALSE)="M",MD!$A$1,(IF(AND(VLOOKUP(A568,'HIDDEN import'!B:E,4,FALSE)="C",OR(NOT(ISERROR(VLOOKUP(E568,'Optional features'!B:D,1,FALSE)=E568)),NOT(ISERROR(VLOOKUP(E568,'HIDDEN calc sheet'!A:C,1,FALSE)=E568)))),MD!$A$3,MD!$A$2)))</f>
        <v>Mandatory for optional feature</v>
      </c>
      <c r="E568" t="str">
        <f>IF('HIDDEN import'!F567=0,"",'HIDDEN import'!F567)</f>
        <v>BPT-2</v>
      </c>
      <c r="F568" t="str">
        <f>IF('HIDDEN import'!G567=0,"",'HIDDEN import'!G567)</f>
        <v>Support for local loadbalancing</v>
      </c>
      <c r="G568" s="19" t="str">
        <f>IFERROR(VLOOKUP($A568,'HIDDEN Testrun Results'!$A:$B,2,FALSE),"")</f>
        <v/>
      </c>
      <c r="H568" s="3" t="b">
        <f t="shared" si="8"/>
        <v>0</v>
      </c>
      <c r="I568" s="3" t="b">
        <f>IF(VLOOKUP(A568&amp;" "&amp;B568,'HIDDEN import'!A:G,5,FALSE)="M",TRUE,IFERROR(VLOOKUP(E568,'Optional features'!B:D,3,FALSE)="Yes",IFERROR(VLOOKUP(E568,'HIDDEN calc sheet'!A:B,2,FALSE),IFERROR(VLOOKUP(E568,'Additional questions'!B:D,3,FALSE)="Yes",VLOOKUP(E568,'Hardware Feature set'!B:D,3,FALSE)="No"))))</f>
        <v>0</v>
      </c>
      <c r="J568" s="3" t="b">
        <f>IF(VLOOKUP(B568,'Profile selection'!B:C,2,FALSE)="Yes",TRUE,FALSE)</f>
        <v>0</v>
      </c>
      <c r="K568"/>
      <c r="L568"/>
    </row>
    <row r="569" spans="1:12" ht="15.75" customHeight="1" x14ac:dyDescent="0.25">
      <c r="A569" t="str">
        <f>'HIDDEN import'!B568</f>
        <v>TC_Q_123_CS</v>
      </c>
      <c r="B569" t="str">
        <f>'HIDDEN import'!C568</f>
        <v>Bidirectional Power Transfer</v>
      </c>
      <c r="C569" t="str">
        <f>'HIDDEN import'!D568</f>
        <v>Local V2X control for load balancing - not supported</v>
      </c>
      <c r="D569" t="str">
        <f>IF(VLOOKUP(A569&amp;" "&amp;B569,'HIDDEN import'!A:G,5,FALSE)="M",MD!$A$1,(IF(AND(VLOOKUP(A569,'HIDDEN import'!B:E,4,FALSE)="C",OR(NOT(ISERROR(VLOOKUP(E569,'Optional features'!B:D,1,FALSE)=E569)),NOT(ISERROR(VLOOKUP(E569,'HIDDEN calc sheet'!A:C,1,FALSE)=E569)))),MD!$A$3,MD!$A$2)))</f>
        <v>Mandatory for optional feature</v>
      </c>
      <c r="E569" t="str">
        <f>IF('HIDDEN import'!F568=0,"",'HIDDEN import'!F568)</f>
        <v>NOT BPT-2</v>
      </c>
      <c r="F569" t="str">
        <f>IF('HIDDEN import'!G568=0,"",'HIDDEN import'!G568)</f>
        <v/>
      </c>
      <c r="G569" s="19" t="str">
        <f>IFERROR(VLOOKUP($A569,'HIDDEN Testrun Results'!$A:$B,2,FALSE),"")</f>
        <v/>
      </c>
      <c r="H569" s="3" t="b">
        <f t="shared" si="8"/>
        <v>0</v>
      </c>
      <c r="I569" s="3" t="b">
        <f>IF(VLOOKUP(A569&amp;" "&amp;B569,'HIDDEN import'!A:G,5,FALSE)="M",TRUE,IFERROR(VLOOKUP(E569,'Optional features'!B:D,3,FALSE)="Yes",IFERROR(VLOOKUP(E569,'HIDDEN calc sheet'!A:B,2,FALSE),IFERROR(VLOOKUP(E569,'Additional questions'!B:D,3,FALSE)="Yes",VLOOKUP(E569,'Hardware Feature set'!B:D,3,FALSE)="No"))))</f>
        <v>1</v>
      </c>
      <c r="J569" s="3" t="b">
        <f>IF(VLOOKUP(B569,'Profile selection'!B:C,2,FALSE)="Yes",TRUE,FALSE)</f>
        <v>0</v>
      </c>
      <c r="K569"/>
      <c r="L569"/>
    </row>
    <row r="570" spans="1:12" ht="15.75" customHeight="1" x14ac:dyDescent="0.25">
      <c r="A570" t="str">
        <f>'HIDDEN import'!B569</f>
        <v>TC_Q_128_CS</v>
      </c>
      <c r="B570" t="str">
        <f>'HIDDEN import'!C569</f>
        <v>Bidirectional Power Transfer</v>
      </c>
      <c r="C570" t="str">
        <f>'HIDDEN import'!D569</f>
        <v>Going offline during V2X operation - invalidAfterOfflineDuration = true</v>
      </c>
      <c r="D570" t="str">
        <f>IF(VLOOKUP(A570&amp;" "&amp;B570,'HIDDEN import'!A:G,5,FALSE)="M",MD!$A$1,(IF(AND(VLOOKUP(A570,'HIDDEN import'!B:E,4,FALSE)="C",OR(NOT(ISERROR(VLOOKUP(E570,'Optional features'!B:D,1,FALSE)=E570)),NOT(ISERROR(VLOOKUP(E570,'HIDDEN calc sheet'!A:C,1,FALSE)=E570)))),MD!$A$3,MD!$A$2)))</f>
        <v>Mandatory test for a mandatory feature</v>
      </c>
      <c r="E570" t="str">
        <f>IF('HIDDEN import'!F569=0,"",'HIDDEN import'!F569)</f>
        <v/>
      </c>
      <c r="F570" t="str">
        <f>IF('HIDDEN import'!G569=0,"",'HIDDEN import'!G569)</f>
        <v/>
      </c>
      <c r="G570" s="19" t="str">
        <f>IFERROR(VLOOKUP($A570,'HIDDEN Testrun Results'!$A:$B,2,FALSE),"")</f>
        <v/>
      </c>
      <c r="H570" s="3" t="b">
        <f t="shared" si="8"/>
        <v>0</v>
      </c>
      <c r="I570" s="3" t="b">
        <f>IF(VLOOKUP(A570&amp;" "&amp;B570,'HIDDEN import'!A:G,5,FALSE)="M",TRUE,IFERROR(VLOOKUP(E570,'Optional features'!B:D,3,FALSE)="Yes",IFERROR(VLOOKUP(E570,'HIDDEN calc sheet'!A:B,2,FALSE),IFERROR(VLOOKUP(E570,'Additional questions'!B:D,3,FALSE)="Yes",VLOOKUP(E570,'Hardware Feature set'!B:D,3,FALSE)="No"))))</f>
        <v>1</v>
      </c>
      <c r="J570" s="3" t="b">
        <f>IF(VLOOKUP(B570,'Profile selection'!B:C,2,FALSE)="Yes",TRUE,FALSE)</f>
        <v>0</v>
      </c>
      <c r="K570"/>
      <c r="L570"/>
    </row>
    <row r="571" spans="1:12" ht="15.75" customHeight="1" x14ac:dyDescent="0.25">
      <c r="A571" t="str">
        <f>'HIDDEN import'!B570</f>
        <v>TC_K_101_CS</v>
      </c>
      <c r="B571" t="str">
        <f>'HIDDEN import'!C570</f>
        <v>Bidirectional Power Transfer</v>
      </c>
      <c r="C571" t="str">
        <f>'HIDDEN import'!D570</f>
        <v>Set Charging Profile - Change operation mode</v>
      </c>
      <c r="D571" t="str">
        <f>IF(VLOOKUP(A571&amp;" "&amp;B571,'HIDDEN import'!A:G,5,FALSE)="M",MD!$A$1,(IF(AND(VLOOKUP(A571,'HIDDEN import'!B:E,4,FALSE)="C",OR(NOT(ISERROR(VLOOKUP(E571,'Optional features'!B:D,1,FALSE)=E571)),NOT(ISERROR(VLOOKUP(E571,'HIDDEN calc sheet'!A:C,1,FALSE)=E571)))),MD!$A$3,MD!$A$2)))</f>
        <v>Mandatory test for a mandatory feature</v>
      </c>
      <c r="E571" t="str">
        <f>IF('HIDDEN import'!F570=0,"",'HIDDEN import'!F570)</f>
        <v/>
      </c>
      <c r="F571" t="str">
        <f>IF('HIDDEN import'!G570=0,"",'HIDDEN import'!G570)</f>
        <v/>
      </c>
      <c r="G571" s="19" t="str">
        <f>IFERROR(VLOOKUP($A571,'HIDDEN Testrun Results'!$A:$B,2,FALSE),"")</f>
        <v/>
      </c>
      <c r="H571" s="3" t="b">
        <f t="shared" si="8"/>
        <v>0</v>
      </c>
      <c r="I571" s="3" t="b">
        <f>IF(VLOOKUP(A571&amp;" "&amp;B571,'HIDDEN import'!A:G,5,FALSE)="M",TRUE,IFERROR(VLOOKUP(E571,'Optional features'!B:D,3,FALSE)="Yes",IFERROR(VLOOKUP(E571,'HIDDEN calc sheet'!A:B,2,FALSE),IFERROR(VLOOKUP(E571,'Additional questions'!B:D,3,FALSE)="Yes",VLOOKUP(E571,'Hardware Feature set'!B:D,3,FALSE)="No"))))</f>
        <v>1</v>
      </c>
      <c r="J571" s="3" t="b">
        <f>IF(VLOOKUP(B571,'Profile selection'!B:C,2,FALSE)="Yes",TRUE,FALSE)</f>
        <v>0</v>
      </c>
      <c r="K571"/>
      <c r="L571"/>
    </row>
    <row r="572" spans="1:12" ht="15.75" customHeight="1" x14ac:dyDescent="0.25">
      <c r="A572" t="str">
        <f>'HIDDEN import'!B571</f>
        <v>TC_Q_100_CS</v>
      </c>
      <c r="B572" t="str">
        <f>'HIDDEN import'!C571</f>
        <v>Bidirectional Power Transfer</v>
      </c>
      <c r="C572" t="str">
        <f>'HIDDEN import'!D571</f>
        <v>V2X Authorisation - V2X Tx Measurands defined</v>
      </c>
      <c r="D572" t="str">
        <f>IF(VLOOKUP(A572&amp;" "&amp;B572,'HIDDEN import'!A:G,5,FALSE)="M",MD!$A$1,(IF(AND(VLOOKUP(A572,'HIDDEN import'!B:E,4,FALSE)="C",OR(NOT(ISERROR(VLOOKUP(E572,'Optional features'!B:D,1,FALSE)=E572)),NOT(ISERROR(VLOOKUP(E572,'HIDDEN calc sheet'!A:C,1,FALSE)=E572)))),MD!$A$3,MD!$A$2)))</f>
        <v>Mandatory test for a mandatory feature</v>
      </c>
      <c r="E572" t="str">
        <f>IF('HIDDEN import'!F571=0,"",'HIDDEN import'!F571)</f>
        <v/>
      </c>
      <c r="F572" t="str">
        <f>IF('HIDDEN import'!G571=0,"",'HIDDEN import'!G571)</f>
        <v/>
      </c>
      <c r="G572" s="19" t="str">
        <f>IFERROR(VLOOKUP($A572,'HIDDEN Testrun Results'!$A:$B,2,FALSE),"")</f>
        <v/>
      </c>
      <c r="H572" s="3" t="b">
        <f t="shared" si="8"/>
        <v>0</v>
      </c>
      <c r="I572" s="3" t="b">
        <f>IF(VLOOKUP(A572&amp;" "&amp;B572,'HIDDEN import'!A:G,5,FALSE)="M",TRUE,IFERROR(VLOOKUP(E572,'Optional features'!B:D,3,FALSE)="Yes",IFERROR(VLOOKUP(E572,'HIDDEN calc sheet'!A:B,2,FALSE),IFERROR(VLOOKUP(E572,'Additional questions'!B:D,3,FALSE)="Yes",VLOOKUP(E572,'Hardware Feature set'!B:D,3,FALSE)="No"))))</f>
        <v>1</v>
      </c>
      <c r="J572" s="3" t="b">
        <f>IF(VLOOKUP(B572,'Profile selection'!B:C,2,FALSE)="Yes",TRUE,FALSE)</f>
        <v>0</v>
      </c>
      <c r="K572"/>
      <c r="L572"/>
    </row>
    <row r="573" spans="1:12" ht="15.75" customHeight="1" x14ac:dyDescent="0.25">
      <c r="A573" t="str">
        <f>'HIDDEN import'!B572</f>
        <v>TC_Q_101_CS</v>
      </c>
      <c r="B573" t="str">
        <f>'HIDDEN import'!C572</f>
        <v>Bidirectional Power Transfer</v>
      </c>
      <c r="C573" t="str">
        <f>'HIDDEN import'!D572</f>
        <v>V2X Authorisation - ISO15118-20 - Processing charging needs</v>
      </c>
      <c r="D573" t="str">
        <f>IF(VLOOKUP(A573&amp;" "&amp;B573,'HIDDEN import'!A:G,5,FALSE)="M",MD!$A$1,(IF(AND(VLOOKUP(A573,'HIDDEN import'!B:E,4,FALSE)="C",OR(NOT(ISERROR(VLOOKUP(E573,'Optional features'!B:D,1,FALSE)=E573)),NOT(ISERROR(VLOOKUP(E573,'HIDDEN calc sheet'!A:C,1,FALSE)=E573)))),MD!$A$3,MD!$A$2)))</f>
        <v>Mandatory for optional feature</v>
      </c>
      <c r="E573" t="str">
        <f>IF('HIDDEN import'!F572=0,"",'HIDDEN import'!F572)</f>
        <v>ISO-1.2</v>
      </c>
      <c r="F573" t="str">
        <f>IF('HIDDEN import'!G572=0,"",'HIDDEN import'!G572)</f>
        <v>ISO 15118-20</v>
      </c>
      <c r="G573" s="19" t="str">
        <f>IFERROR(VLOOKUP($A573,'HIDDEN Testrun Results'!$A:$B,2,FALSE),"")</f>
        <v/>
      </c>
      <c r="H573" s="3" t="b">
        <f t="shared" si="8"/>
        <v>0</v>
      </c>
      <c r="I573" s="3" t="b">
        <f>IF(VLOOKUP(A573&amp;" "&amp;B573,'HIDDEN import'!A:G,5,FALSE)="M",TRUE,IFERROR(VLOOKUP(E573,'Optional features'!B:D,3,FALSE)="Yes",IFERROR(VLOOKUP(E573,'HIDDEN calc sheet'!A:B,2,FALSE),IFERROR(VLOOKUP(E573,'Additional questions'!B:D,3,FALSE)="Yes",VLOOKUP(E573,'Hardware Feature set'!B:D,3,FALSE)="No"))))</f>
        <v>0</v>
      </c>
      <c r="J573" s="3" t="b">
        <f>IF(VLOOKUP(B573,'Profile selection'!B:C,2,FALSE)="Yes",TRUE,FALSE)</f>
        <v>0</v>
      </c>
      <c r="K573"/>
      <c r="L573"/>
    </row>
    <row r="574" spans="1:12" ht="15.75" customHeight="1" x14ac:dyDescent="0.25">
      <c r="A574" t="str">
        <f>'HIDDEN import'!B573</f>
        <v>TC_Q_102_CS</v>
      </c>
      <c r="B574" t="str">
        <f>'HIDDEN import'!C573</f>
        <v>Bidirectional Power Transfer</v>
      </c>
      <c r="C574" t="str">
        <f>'HIDDEN import'!D573</f>
        <v>V2X Authorisation - ISO15118-20 - Charging only (V2X control) before starting V2X - Allowed Energy Transfer modes omitted</v>
      </c>
      <c r="D574" t="str">
        <f>IF(VLOOKUP(A574&amp;" "&amp;B574,'HIDDEN import'!A:G,5,FALSE)="M",MD!$A$1,(IF(AND(VLOOKUP(A574,'HIDDEN import'!B:E,4,FALSE)="C",OR(NOT(ISERROR(VLOOKUP(E574,'Optional features'!B:D,1,FALSE)=E574)),NOT(ISERROR(VLOOKUP(E574,'HIDDEN calc sheet'!A:C,1,FALSE)=E574)))),MD!$A$3,MD!$A$2)))</f>
        <v>Mandatory for optional feature</v>
      </c>
      <c r="E574" t="str">
        <f>IF('HIDDEN import'!F573=0,"",'HIDDEN import'!F573)</f>
        <v>ISO-1.2</v>
      </c>
      <c r="F574" t="str">
        <f>IF('HIDDEN import'!G573=0,"",'HIDDEN import'!G573)</f>
        <v>ISO 15118-20</v>
      </c>
      <c r="G574" s="19" t="str">
        <f>IFERROR(VLOOKUP($A574,'HIDDEN Testrun Results'!$A:$B,2,FALSE),"")</f>
        <v/>
      </c>
      <c r="H574" s="3" t="b">
        <f t="shared" si="8"/>
        <v>0</v>
      </c>
      <c r="I574" s="3" t="b">
        <f>IF(VLOOKUP(A574&amp;" "&amp;B574,'HIDDEN import'!A:G,5,FALSE)="M",TRUE,IFERROR(VLOOKUP(E574,'Optional features'!B:D,3,FALSE)="Yes",IFERROR(VLOOKUP(E574,'HIDDEN calc sheet'!A:B,2,FALSE),IFERROR(VLOOKUP(E574,'Additional questions'!B:D,3,FALSE)="Yes",VLOOKUP(E574,'Hardware Feature set'!B:D,3,FALSE)="No"))))</f>
        <v>0</v>
      </c>
      <c r="J574" s="3" t="b">
        <f>IF(VLOOKUP(B574,'Profile selection'!B:C,2,FALSE)="Yes",TRUE,FALSE)</f>
        <v>0</v>
      </c>
      <c r="K574"/>
      <c r="L574"/>
    </row>
    <row r="575" spans="1:12" ht="15.75" customHeight="1" x14ac:dyDescent="0.25">
      <c r="A575" t="str">
        <f>'HIDDEN import'!B574</f>
        <v>TC_Q_103_CS</v>
      </c>
      <c r="B575" t="str">
        <f>'HIDDEN import'!C574</f>
        <v>Bidirectional Power Transfer</v>
      </c>
      <c r="C575" t="str">
        <f>'HIDDEN import'!D574</f>
        <v>V2X Authorisation - ISO15118-20 - Charging needs rejected</v>
      </c>
      <c r="D575" t="str">
        <f>IF(VLOOKUP(A575&amp;" "&amp;B575,'HIDDEN import'!A:G,5,FALSE)="M",MD!$A$1,(IF(AND(VLOOKUP(A575,'HIDDEN import'!B:E,4,FALSE)="C",OR(NOT(ISERROR(VLOOKUP(E575,'Optional features'!B:D,1,FALSE)=E575)),NOT(ISERROR(VLOOKUP(E575,'HIDDEN calc sheet'!A:C,1,FALSE)=E575)))),MD!$A$3,MD!$A$2)))</f>
        <v>Mandatory for optional feature</v>
      </c>
      <c r="E575" t="str">
        <f>IF('HIDDEN import'!F574=0,"",'HIDDEN import'!F574)</f>
        <v>ISO-1.2 AND NOT ISO-6</v>
      </c>
      <c r="F575" t="str">
        <f>IF('HIDDEN import'!G574=0,"",'HIDDEN import'!G574)</f>
        <v>ISO 15118-20</v>
      </c>
      <c r="G575" s="19" t="str">
        <f>IFERROR(VLOOKUP($A575,'HIDDEN Testrun Results'!$A:$B,2,FALSE),"")</f>
        <v/>
      </c>
      <c r="H575" s="3" t="b">
        <f t="shared" si="8"/>
        <v>0</v>
      </c>
      <c r="I575" s="3" t="b">
        <f>IF(VLOOKUP(A575&amp;" "&amp;B575,'HIDDEN import'!A:G,5,FALSE)="M",TRUE,IFERROR(VLOOKUP(E575,'Optional features'!B:D,3,FALSE)="Yes",IFERROR(VLOOKUP(E575,'HIDDEN calc sheet'!A:B,2,FALSE),IFERROR(VLOOKUP(E575,'Additional questions'!B:D,3,FALSE)="Yes",VLOOKUP(E575,'Hardware Feature set'!B:D,3,FALSE)="No"))))</f>
        <v>0</v>
      </c>
      <c r="J575" s="3" t="b">
        <f>IF(VLOOKUP(B575,'Profile selection'!B:C,2,FALSE)="Yes",TRUE,FALSE)</f>
        <v>0</v>
      </c>
      <c r="K575"/>
      <c r="L575"/>
    </row>
    <row r="576" spans="1:12" ht="15.75" customHeight="1" x14ac:dyDescent="0.25">
      <c r="A576" t="str">
        <f>'HIDDEN import'!B575</f>
        <v>TC_Q_130_CS</v>
      </c>
      <c r="B576" t="str">
        <f>'HIDDEN import'!C575</f>
        <v>Bidirectional Power Transfer</v>
      </c>
      <c r="C576" t="str">
        <f>'HIDDEN import'!D575</f>
        <v>V2X Authorisation - ISO15118-20 - has ISO15118ServiceRenegotiationSupport - Charging needs rejected</v>
      </c>
      <c r="D576" t="str">
        <f>IF(VLOOKUP(A576&amp;" "&amp;B576,'HIDDEN import'!A:G,5,FALSE)="M",MD!$A$1,(IF(AND(VLOOKUP(A576,'HIDDEN import'!B:E,4,FALSE)="C",OR(NOT(ISERROR(VLOOKUP(E576,'Optional features'!B:D,1,FALSE)=E576)),NOT(ISERROR(VLOOKUP(E576,'HIDDEN calc sheet'!A:C,1,FALSE)=E576)))),MD!$A$3,MD!$A$2)))</f>
        <v>Mandatory for optional feature</v>
      </c>
      <c r="E576" t="str">
        <f>IF('HIDDEN import'!F575=0,"",'HIDDEN import'!F575)</f>
        <v>ISO-1.2 AND ISO-6</v>
      </c>
      <c r="F576" t="str">
        <f>IF('HIDDEN import'!G575=0,"",'HIDDEN import'!G575)</f>
        <v>ISO 15118-20</v>
      </c>
      <c r="G576" s="19" t="str">
        <f>IFERROR(VLOOKUP($A576,'HIDDEN Testrun Results'!$A:$B,2,FALSE),"")</f>
        <v/>
      </c>
      <c r="H576" s="3" t="b">
        <f t="shared" si="8"/>
        <v>0</v>
      </c>
      <c r="I576" s="3" t="b">
        <f>IF(VLOOKUP(A576&amp;" "&amp;B576,'HIDDEN import'!A:G,5,FALSE)="M",TRUE,IFERROR(VLOOKUP(E576,'Optional features'!B:D,3,FALSE)="Yes",IFERROR(VLOOKUP(E576,'HIDDEN calc sheet'!A:B,2,FALSE),IFERROR(VLOOKUP(E576,'Additional questions'!B:D,3,FALSE)="Yes",VLOOKUP(E576,'Hardware Feature set'!B:D,3,FALSE)="No"))))</f>
        <v>0</v>
      </c>
      <c r="J576" s="3" t="b">
        <f>IF(VLOOKUP(B576,'Profile selection'!B:C,2,FALSE)="Yes",TRUE,FALSE)</f>
        <v>0</v>
      </c>
      <c r="K576"/>
      <c r="L576"/>
    </row>
    <row r="577" spans="1:12" ht="15.75" customHeight="1" x14ac:dyDescent="0.25">
      <c r="A577" t="str">
        <f>'HIDDEN import'!B576</f>
        <v>TC_Q_104_CS</v>
      </c>
      <c r="B577" t="str">
        <f>'HIDDEN import'!C576</f>
        <v>Bidirectional Power Transfer</v>
      </c>
      <c r="C577" t="str">
        <f>'HIDDEN import'!D576</f>
        <v>V2X Authorisation - ISO15118-20 - Scheduled Control</v>
      </c>
      <c r="D577" t="str">
        <f>IF(VLOOKUP(A577&amp;" "&amp;B577,'HIDDEN import'!A:G,5,FALSE)="M",MD!$A$1,(IF(AND(VLOOKUP(A577,'HIDDEN import'!B:E,4,FALSE)="C",OR(NOT(ISERROR(VLOOKUP(E577,'Optional features'!B:D,1,FALSE)=E577)),NOT(ISERROR(VLOOKUP(E577,'HIDDEN calc sheet'!A:C,1,FALSE)=E577)))),MD!$A$3,MD!$A$2)))</f>
        <v>Mandatory for optional feature</v>
      </c>
      <c r="E577" t="str">
        <f>IF('HIDDEN import'!F576=0,"",'HIDDEN import'!F576)</f>
        <v>ISO-1.2</v>
      </c>
      <c r="F577" t="str">
        <f>IF('HIDDEN import'!G576=0,"",'HIDDEN import'!G576)</f>
        <v>ISO 15118-20</v>
      </c>
      <c r="G577" s="19" t="str">
        <f>IFERROR(VLOOKUP($A577,'HIDDEN Testrun Results'!$A:$B,2,FALSE),"")</f>
        <v/>
      </c>
      <c r="H577" s="3" t="b">
        <f t="shared" si="8"/>
        <v>0</v>
      </c>
      <c r="I577" s="3" t="b">
        <f>IF(VLOOKUP(A577&amp;" "&amp;B577,'HIDDEN import'!A:G,5,FALSE)="M",TRUE,IFERROR(VLOOKUP(E577,'Optional features'!B:D,3,FALSE)="Yes",IFERROR(VLOOKUP(E577,'HIDDEN calc sheet'!A:B,2,FALSE),IFERROR(VLOOKUP(E577,'Additional questions'!B:D,3,FALSE)="Yes",VLOOKUP(E577,'Hardware Feature set'!B:D,3,FALSE)="No"))))</f>
        <v>0</v>
      </c>
      <c r="J577" s="3" t="b">
        <f>IF(VLOOKUP(B577,'Profile selection'!B:C,2,FALSE)="Yes",TRUE,FALSE)</f>
        <v>0</v>
      </c>
      <c r="K577"/>
      <c r="L577"/>
    </row>
    <row r="578" spans="1:12" ht="15.75" customHeight="1" x14ac:dyDescent="0.25">
      <c r="A578" t="str">
        <f>'HIDDEN import'!B577</f>
        <v>TC_Q_107_CS</v>
      </c>
      <c r="B578" t="str">
        <f>'HIDDEN import'!C577</f>
        <v>Bidirectional Power Transfer</v>
      </c>
      <c r="C578" t="str">
        <f>'HIDDEN import'!D577</f>
        <v>V2X Authorisation - ISO15118-20 - Charging only (V2X control) before starting V2X</v>
      </c>
      <c r="D578" t="str">
        <f>IF(VLOOKUP(A578&amp;" "&amp;B578,'HIDDEN import'!A:G,5,FALSE)="M",MD!$A$1,(IF(AND(VLOOKUP(A578,'HIDDEN import'!B:E,4,FALSE)="C",OR(NOT(ISERROR(VLOOKUP(E578,'Optional features'!B:D,1,FALSE)=E578)),NOT(ISERROR(VLOOKUP(E578,'HIDDEN calc sheet'!A:C,1,FALSE)=E578)))),MD!$A$3,MD!$A$2)))</f>
        <v>Mandatory for optional feature</v>
      </c>
      <c r="E578" t="str">
        <f>IF('HIDDEN import'!F577=0,"",'HIDDEN import'!F577)</f>
        <v>ISO-1.2</v>
      </c>
      <c r="F578" t="str">
        <f>IF('HIDDEN import'!G577=0,"",'HIDDEN import'!G577)</f>
        <v>ISO 15118-20</v>
      </c>
      <c r="G578" s="19" t="str">
        <f>IFERROR(VLOOKUP($A578,'HIDDEN Testrun Results'!$A:$B,2,FALSE),"")</f>
        <v/>
      </c>
      <c r="H578" s="3" t="b">
        <f t="shared" si="8"/>
        <v>0</v>
      </c>
      <c r="I578" s="3" t="b">
        <f>IF(VLOOKUP(A578&amp;" "&amp;B578,'HIDDEN import'!A:G,5,FALSE)="M",TRUE,IFERROR(VLOOKUP(E578,'Optional features'!B:D,3,FALSE)="Yes",IFERROR(VLOOKUP(E578,'HIDDEN calc sheet'!A:B,2,FALSE),IFERROR(VLOOKUP(E578,'Additional questions'!B:D,3,FALSE)="Yes",VLOOKUP(E578,'Hardware Feature set'!B:D,3,FALSE)="No"))))</f>
        <v>0</v>
      </c>
      <c r="J578" s="3" t="b">
        <f>IF(VLOOKUP(B578,'Profile selection'!B:C,2,FALSE)="Yes",TRUE,FALSE)</f>
        <v>0</v>
      </c>
      <c r="K578"/>
      <c r="L578"/>
    </row>
    <row r="579" spans="1:12" ht="15.75" customHeight="1" x14ac:dyDescent="0.25">
      <c r="A579" t="str">
        <f>'HIDDEN import'!B578</f>
        <v>TC_Q_117_CS</v>
      </c>
      <c r="B579" t="str">
        <f>'HIDDEN import'!C578</f>
        <v>Bidirectional Power Transfer</v>
      </c>
      <c r="C579" t="str">
        <f>'HIDDEN import'!D578</f>
        <v>Frequency support - Central V2X control - push</v>
      </c>
      <c r="D579" t="str">
        <f>IF(VLOOKUP(A579&amp;" "&amp;B579,'HIDDEN import'!A:G,5,FALSE)="M",MD!$A$1,(IF(AND(VLOOKUP(A579,'HIDDEN import'!B:E,4,FALSE)="C",OR(NOT(ISERROR(VLOOKUP(E579,'Optional features'!B:D,1,FALSE)=E579)),NOT(ISERROR(VLOOKUP(E579,'HIDDEN calc sheet'!A:C,1,FALSE)=E579)))),MD!$A$3,MD!$A$2)))</f>
        <v>Mandatory for optional feature</v>
      </c>
      <c r="E579" t="str">
        <f>IF('HIDDEN import'!F578=0,"",'HIDDEN import'!F578)</f>
        <v>BPT-1</v>
      </c>
      <c r="F579" t="str">
        <f>IF('HIDDEN import'!G578=0,"",'HIDDEN import'!G578)</f>
        <v>Frequency support</v>
      </c>
      <c r="G579" s="19" t="str">
        <f>IFERROR(VLOOKUP($A579,'HIDDEN Testrun Results'!$A:$B,2,FALSE),"")</f>
        <v/>
      </c>
      <c r="H579" s="3" t="b">
        <f t="shared" ref="H579:H597" si="9">IF(NOT(J579),FALSE,IF(NOT(ISLOGICAL(I579)),I579,AND(I579,J579)))</f>
        <v>0</v>
      </c>
      <c r="I579" s="3" t="b">
        <f>IF(VLOOKUP(A579&amp;" "&amp;B579,'HIDDEN import'!A:G,5,FALSE)="M",TRUE,IFERROR(VLOOKUP(E579,'Optional features'!B:D,3,FALSE)="Yes",IFERROR(VLOOKUP(E579,'HIDDEN calc sheet'!A:B,2,FALSE),IFERROR(VLOOKUP(E579,'Additional questions'!B:D,3,FALSE)="Yes",VLOOKUP(E579,'Hardware Feature set'!B:D,3,FALSE)="No"))))</f>
        <v>0</v>
      </c>
      <c r="J579" s="3" t="b">
        <f>IF(VLOOKUP(B579,'Profile selection'!B:C,2,FALSE)="Yes",TRUE,FALSE)</f>
        <v>0</v>
      </c>
      <c r="K579"/>
      <c r="L579"/>
    </row>
    <row r="580" spans="1:12" ht="15.75" customHeight="1" x14ac:dyDescent="0.25">
      <c r="A580" t="str">
        <f>'HIDDEN import'!B579</f>
        <v>TC_Q_118_CS</v>
      </c>
      <c r="B580" t="str">
        <f>'HIDDEN import'!C579</f>
        <v>Bidirectional Power Transfer</v>
      </c>
      <c r="C580" t="str">
        <f>'HIDDEN import'!D579</f>
        <v>Frequency support - Central V2X control - Duration expired</v>
      </c>
      <c r="D580" t="str">
        <f>IF(VLOOKUP(A580&amp;" "&amp;B580,'HIDDEN import'!A:G,5,FALSE)="M",MD!$A$1,(IF(AND(VLOOKUP(A580,'HIDDEN import'!B:E,4,FALSE)="C",OR(NOT(ISERROR(VLOOKUP(E580,'Optional features'!B:D,1,FALSE)=E580)),NOT(ISERROR(VLOOKUP(E580,'HIDDEN calc sheet'!A:C,1,FALSE)=E580)))),MD!$A$3,MD!$A$2)))</f>
        <v>Mandatory for optional feature</v>
      </c>
      <c r="E580" t="str">
        <f>IF('HIDDEN import'!F579=0,"",'HIDDEN import'!F579)</f>
        <v>BPT-1</v>
      </c>
      <c r="F580" t="str">
        <f>IF('HIDDEN import'!G579=0,"",'HIDDEN import'!G579)</f>
        <v>Frequency support</v>
      </c>
      <c r="G580" s="19" t="str">
        <f>IFERROR(VLOOKUP($A580,'HIDDEN Testrun Results'!$A:$B,2,FALSE),"")</f>
        <v/>
      </c>
      <c r="H580" s="3" t="b">
        <f t="shared" si="9"/>
        <v>0</v>
      </c>
      <c r="I580" s="3" t="b">
        <f>IF(VLOOKUP(A580&amp;" "&amp;B580,'HIDDEN import'!A:G,5,FALSE)="M",TRUE,IFERROR(VLOOKUP(E580,'Optional features'!B:D,3,FALSE)="Yes",IFERROR(VLOOKUP(E580,'HIDDEN calc sheet'!A:B,2,FALSE),IFERROR(VLOOKUP(E580,'Additional questions'!B:D,3,FALSE)="Yes",VLOOKUP(E580,'Hardware Feature set'!B:D,3,FALSE)="No"))))</f>
        <v>0</v>
      </c>
      <c r="J580" s="3" t="b">
        <f>IF(VLOOKUP(B580,'Profile selection'!B:C,2,FALSE)="Yes",TRUE,FALSE)</f>
        <v>0</v>
      </c>
      <c r="K580"/>
      <c r="L580"/>
    </row>
    <row r="581" spans="1:12" ht="15.75" customHeight="1" x14ac:dyDescent="0.25">
      <c r="A581" t="str">
        <f>'HIDDEN import'!B580</f>
        <v>TC_Q_119_CS</v>
      </c>
      <c r="B581" t="str">
        <f>'HIDDEN import'!C580</f>
        <v>Bidirectional Power Transfer</v>
      </c>
      <c r="C581" t="str">
        <f>'HIDDEN import'!D580</f>
        <v>Frequency support - Local V2X control - Charging profile validations</v>
      </c>
      <c r="D581" t="str">
        <f>IF(VLOOKUP(A581&amp;" "&amp;B581,'HIDDEN import'!A:G,5,FALSE)="M",MD!$A$1,(IF(AND(VLOOKUP(A581,'HIDDEN import'!B:E,4,FALSE)="C",OR(NOT(ISERROR(VLOOKUP(E581,'Optional features'!B:D,1,FALSE)=E581)),NOT(ISERROR(VLOOKUP(E581,'HIDDEN calc sheet'!A:C,1,FALSE)=E581)))),MD!$A$3,MD!$A$2)))</f>
        <v>Mandatory for optional feature</v>
      </c>
      <c r="E581" t="str">
        <f>IF('HIDDEN import'!F580=0,"",'HIDDEN import'!F580)</f>
        <v>BPT-1</v>
      </c>
      <c r="F581" t="str">
        <f>IF('HIDDEN import'!G580=0,"",'HIDDEN import'!G580)</f>
        <v>Frequency support</v>
      </c>
      <c r="G581" s="19" t="str">
        <f>IFERROR(VLOOKUP($A581,'HIDDEN Testrun Results'!$A:$B,2,FALSE),"")</f>
        <v/>
      </c>
      <c r="H581" s="3" t="b">
        <f t="shared" si="9"/>
        <v>0</v>
      </c>
      <c r="I581" s="3" t="b">
        <f>IF(VLOOKUP(A581&amp;" "&amp;B581,'HIDDEN import'!A:G,5,FALSE)="M",TRUE,IFERROR(VLOOKUP(E581,'Optional features'!B:D,3,FALSE)="Yes",IFERROR(VLOOKUP(E581,'HIDDEN calc sheet'!A:B,2,FALSE),IFERROR(VLOOKUP(E581,'Additional questions'!B:D,3,FALSE)="Yes",VLOOKUP(E581,'Hardware Feature set'!B:D,3,FALSE)="No"))))</f>
        <v>0</v>
      </c>
      <c r="J581" s="3" t="b">
        <f>IF(VLOOKUP(B581,'Profile selection'!B:C,2,FALSE)="Yes",TRUE,FALSE)</f>
        <v>0</v>
      </c>
      <c r="K581"/>
      <c r="L581"/>
    </row>
    <row r="582" spans="1:12" ht="15.75" customHeight="1" x14ac:dyDescent="0.25">
      <c r="A582" t="str">
        <f>'HIDDEN import'!B581</f>
        <v>TC_Q_120_CS</v>
      </c>
      <c r="B582" t="str">
        <f>'HIDDEN import'!C581</f>
        <v>Bidirectional Power Transfer</v>
      </c>
      <c r="C582" t="str">
        <f>'HIDDEN import'!D581</f>
        <v>Frequency support - Local V2X control - AFRR support</v>
      </c>
      <c r="D582" t="str">
        <f>IF(VLOOKUP(A582&amp;" "&amp;B582,'HIDDEN import'!A:G,5,FALSE)="M",MD!$A$1,(IF(AND(VLOOKUP(A582,'HIDDEN import'!B:E,4,FALSE)="C",OR(NOT(ISERROR(VLOOKUP(E582,'Optional features'!B:D,1,FALSE)=E582)),NOT(ISERROR(VLOOKUP(E582,'HIDDEN calc sheet'!A:C,1,FALSE)=E582)))),MD!$A$3,MD!$A$2)))</f>
        <v>Mandatory for optional feature</v>
      </c>
      <c r="E582" t="str">
        <f>IF('HIDDEN import'!F581=0,"",'HIDDEN import'!F581)</f>
        <v>BPT-1</v>
      </c>
      <c r="F582" t="str">
        <f>IF('HIDDEN import'!G581=0,"",'HIDDEN import'!G581)</f>
        <v>Frequency support</v>
      </c>
      <c r="G582" s="19" t="str">
        <f>IFERROR(VLOOKUP($A582,'HIDDEN Testrun Results'!$A:$B,2,FALSE),"")</f>
        <v/>
      </c>
      <c r="H582" s="3" t="b">
        <f t="shared" si="9"/>
        <v>0</v>
      </c>
      <c r="I582" s="3" t="b">
        <f>IF(VLOOKUP(A582&amp;" "&amp;B582,'HIDDEN import'!A:G,5,FALSE)="M",TRUE,IFERROR(VLOOKUP(E582,'Optional features'!B:D,3,FALSE)="Yes",IFERROR(VLOOKUP(E582,'HIDDEN calc sheet'!A:B,2,FALSE),IFERROR(VLOOKUP(E582,'Additional questions'!B:D,3,FALSE)="Yes",VLOOKUP(E582,'Hardware Feature set'!B:D,3,FALSE)="No"))))</f>
        <v>0</v>
      </c>
      <c r="J582" s="3" t="b">
        <f>IF(VLOOKUP(B582,'Profile selection'!B:C,2,FALSE)="Yes",TRUE,FALSE)</f>
        <v>0</v>
      </c>
      <c r="K582"/>
      <c r="L582"/>
    </row>
    <row r="583" spans="1:12" ht="15.75" customHeight="1" x14ac:dyDescent="0.25">
      <c r="A583" t="str">
        <f>'HIDDEN import'!B582</f>
        <v>TC_Q_125_CS</v>
      </c>
      <c r="B583" t="str">
        <f>'HIDDEN import'!C582</f>
        <v>Bidirectional Power Transfer</v>
      </c>
      <c r="C583" t="str">
        <f>'HIDDEN import'!D582</f>
        <v>Idle operationMode - Idle, minimizing energy consumption - Idle with EvseSleep</v>
      </c>
      <c r="D583" t="str">
        <f>IF(VLOOKUP(A583&amp;" "&amp;B583,'HIDDEN import'!A:G,5,FALSE)="M",MD!$A$1,(IF(AND(VLOOKUP(A583,'HIDDEN import'!B:E,4,FALSE)="C",OR(NOT(ISERROR(VLOOKUP(E583,'Optional features'!B:D,1,FALSE)=E583)),NOT(ISERROR(VLOOKUP(E583,'HIDDEN calc sheet'!A:C,1,FALSE)=E583)))),MD!$A$3,MD!$A$2)))</f>
        <v>Mandatory for optional feature</v>
      </c>
      <c r="E583" t="str">
        <f>IF('HIDDEN import'!F582=0,"",'HIDDEN import'!F582)</f>
        <v>BPT-3.1</v>
      </c>
      <c r="F583" t="str">
        <f>IF('HIDDEN import'!G582=0,"",'HIDDEN import'!G582)</f>
        <v>Support for Idle operationMode with EvseSleep</v>
      </c>
      <c r="G583" s="19" t="str">
        <f>IFERROR(VLOOKUP($A583,'HIDDEN Testrun Results'!$A:$B,2,FALSE),"")</f>
        <v/>
      </c>
      <c r="H583" s="3" t="b">
        <f t="shared" si="9"/>
        <v>0</v>
      </c>
      <c r="I583" s="3" t="b">
        <f>IF(VLOOKUP(A583&amp;" "&amp;B583,'HIDDEN import'!A:G,5,FALSE)="M",TRUE,IFERROR(VLOOKUP(E583,'Optional features'!B:D,3,FALSE)="Yes",IFERROR(VLOOKUP(E583,'HIDDEN calc sheet'!A:B,2,FALSE),IFERROR(VLOOKUP(E583,'Additional questions'!B:D,3,FALSE)="Yes",VLOOKUP(E583,'Hardware Feature set'!B:D,3,FALSE)="No"))))</f>
        <v>0</v>
      </c>
      <c r="J583" s="3" t="b">
        <f>IF(VLOOKUP(B583,'Profile selection'!B:C,2,FALSE)="Yes",TRUE,FALSE)</f>
        <v>0</v>
      </c>
      <c r="K583"/>
      <c r="L583"/>
    </row>
    <row r="584" spans="1:12" ht="15.75" customHeight="1" x14ac:dyDescent="0.25">
      <c r="A584" t="str">
        <f>'HIDDEN import'!B583</f>
        <v>TC_Q_126_CS</v>
      </c>
      <c r="B584" t="str">
        <f>'HIDDEN import'!C583</f>
        <v>Bidirectional Power Transfer</v>
      </c>
      <c r="C584" t="str">
        <f>'HIDDEN import'!D583</f>
        <v>Idle operationMode - Idle, minimizing energy consumption - Idle with EvseSleep unsupported</v>
      </c>
      <c r="D584" t="str">
        <f>IF(VLOOKUP(A584&amp;" "&amp;B584,'HIDDEN import'!A:G,5,FALSE)="M",MD!$A$1,(IF(AND(VLOOKUP(A584,'HIDDEN import'!B:E,4,FALSE)="C",OR(NOT(ISERROR(VLOOKUP(E584,'Optional features'!B:D,1,FALSE)=E584)),NOT(ISERROR(VLOOKUP(E584,'HIDDEN calc sheet'!A:C,1,FALSE)=E584)))),MD!$A$3,MD!$A$2)))</f>
        <v>Mandatory for optional feature</v>
      </c>
      <c r="E584" t="str">
        <f>IF('HIDDEN import'!F583=0,"",'HIDDEN import'!F583)</f>
        <v>BPT-3 AND NOT BPT-3.1</v>
      </c>
      <c r="F584" t="str">
        <f>IF('HIDDEN import'!G583=0,"",'HIDDEN import'!G583)</f>
        <v>Support for Idle operationMode</v>
      </c>
      <c r="G584" s="19" t="str">
        <f>IFERROR(VLOOKUP($A584,'HIDDEN Testrun Results'!$A:$B,2,FALSE),"")</f>
        <v/>
      </c>
      <c r="H584" s="3" t="b">
        <f t="shared" si="9"/>
        <v>0</v>
      </c>
      <c r="I584" s="3" t="b">
        <f>IF(VLOOKUP(A584&amp;" "&amp;B584,'HIDDEN import'!A:G,5,FALSE)="M",TRUE,IFERROR(VLOOKUP(E584,'Optional features'!B:D,3,FALSE)="Yes",IFERROR(VLOOKUP(E584,'HIDDEN calc sheet'!A:B,2,FALSE),IFERROR(VLOOKUP(E584,'Additional questions'!B:D,3,FALSE)="Yes",VLOOKUP(E584,'Hardware Feature set'!B:D,3,FALSE)="No"))))</f>
        <v>0</v>
      </c>
      <c r="J584" s="3" t="b">
        <f>IF(VLOOKUP(B584,'Profile selection'!B:C,2,FALSE)="Yes",TRUE,FALSE)</f>
        <v>0</v>
      </c>
      <c r="K584"/>
      <c r="L584"/>
    </row>
    <row r="585" spans="1:12" ht="15.75" customHeight="1" x14ac:dyDescent="0.25">
      <c r="A585" t="str">
        <f>'HIDDEN import'!B584</f>
        <v>TC_Q_127_CS</v>
      </c>
      <c r="B585" t="str">
        <f>'HIDDEN import'!C584</f>
        <v>Bidirectional Power Transfer</v>
      </c>
      <c r="C585" t="str">
        <f>'HIDDEN import'!D584</f>
        <v>Idle operationMode - Idle, minimizing energy consumption - Charging profile validations</v>
      </c>
      <c r="D585" t="str">
        <f>IF(VLOOKUP(A585&amp;" "&amp;B585,'HIDDEN import'!A:G,5,FALSE)="M",MD!$A$1,(IF(AND(VLOOKUP(A585,'HIDDEN import'!B:E,4,FALSE)="C",OR(NOT(ISERROR(VLOOKUP(E585,'Optional features'!B:D,1,FALSE)=E585)),NOT(ISERROR(VLOOKUP(E585,'HIDDEN calc sheet'!A:C,1,FALSE)=E585)))),MD!$A$3,MD!$A$2)))</f>
        <v>Mandatory for optional feature</v>
      </c>
      <c r="E585" t="str">
        <f>IF('HIDDEN import'!F584=0,"",'HIDDEN import'!F584)</f>
        <v>BPT-3</v>
      </c>
      <c r="F585" t="str">
        <f>IF('HIDDEN import'!G584=0,"",'HIDDEN import'!G584)</f>
        <v>Support for Idle operationMode</v>
      </c>
      <c r="G585" s="19" t="str">
        <f>IFERROR(VLOOKUP($A585,'HIDDEN Testrun Results'!$A:$B,2,FALSE),"")</f>
        <v/>
      </c>
      <c r="H585" s="3" t="b">
        <f t="shared" si="9"/>
        <v>0</v>
      </c>
      <c r="I585" s="3" t="b">
        <f>IF(VLOOKUP(A585&amp;" "&amp;B585,'HIDDEN import'!A:G,5,FALSE)="M",TRUE,IFERROR(VLOOKUP(E585,'Optional features'!B:D,3,FALSE)="Yes",IFERROR(VLOOKUP(E585,'HIDDEN calc sheet'!A:B,2,FALSE),IFERROR(VLOOKUP(E585,'Additional questions'!B:D,3,FALSE)="Yes",VLOOKUP(E585,'Hardware Feature set'!B:D,3,FALSE)="No"))))</f>
        <v>0</v>
      </c>
      <c r="J585" s="3" t="b">
        <f>IF(VLOOKUP(B585,'Profile selection'!B:C,2,FALSE)="Yes",TRUE,FALSE)</f>
        <v>0</v>
      </c>
      <c r="K585"/>
      <c r="L585"/>
    </row>
    <row r="586" spans="1:12" ht="15.75" customHeight="1" x14ac:dyDescent="0.25">
      <c r="A586" t="str">
        <f>'HIDDEN import'!B585</f>
        <v>TC_Q_111_CS</v>
      </c>
      <c r="B586" t="str">
        <f>'HIDDEN import'!C585</f>
        <v>Bidirectional Power Transfer</v>
      </c>
      <c r="C586" t="str">
        <f>'HIDDEN import'!D585</f>
        <v>External V2X control - With a charging profile from CSMS - setpoint</v>
      </c>
      <c r="D586" t="str">
        <f>IF(VLOOKUP(A586&amp;" "&amp;B586,'HIDDEN import'!A:G,5,FALSE)="M",MD!$A$1,(IF(AND(VLOOKUP(A586,'HIDDEN import'!B:E,4,FALSE)="C",OR(NOT(ISERROR(VLOOKUP(E586,'Optional features'!B:D,1,FALSE)=E586)),NOT(ISERROR(VLOOKUP(E586,'HIDDEN calc sheet'!A:C,1,FALSE)=E586)))),MD!$A$3,MD!$A$2)))</f>
        <v>Mandatory for optional feature</v>
      </c>
      <c r="E586" t="str">
        <f>IF('HIDDEN import'!F585=0,"",'HIDDEN import'!F585)</f>
        <v>SC-10</v>
      </c>
      <c r="F586" t="str">
        <f>IF('HIDDEN import'!G585=0,"",'HIDDEN import'!G585)</f>
        <v>EMS Control</v>
      </c>
      <c r="G586" s="19" t="str">
        <f>IFERROR(VLOOKUP($A586,'HIDDEN Testrun Results'!$A:$B,2,FALSE),"")</f>
        <v/>
      </c>
      <c r="H586" s="3" t="b">
        <f t="shared" si="9"/>
        <v>0</v>
      </c>
      <c r="I586" s="3" t="b">
        <f>IF(VLOOKUP(A586&amp;" "&amp;B586,'HIDDEN import'!A:G,5,FALSE)="M",TRUE,IFERROR(VLOOKUP(E586,'Optional features'!B:D,3,FALSE)="Yes",IFERROR(VLOOKUP(E586,'HIDDEN calc sheet'!A:B,2,FALSE),IFERROR(VLOOKUP(E586,'Additional questions'!B:D,3,FALSE)="Yes",VLOOKUP(E586,'Hardware Feature set'!B:D,3,FALSE)="No"))))</f>
        <v>0</v>
      </c>
      <c r="J586" s="3" t="b">
        <f>IF(VLOOKUP(B586,'Profile selection'!B:C,2,FALSE)="Yes",TRUE,FALSE)</f>
        <v>0</v>
      </c>
      <c r="K586"/>
      <c r="L586"/>
    </row>
    <row r="587" spans="1:12" ht="15.75" customHeight="1" x14ac:dyDescent="0.25">
      <c r="A587" t="str">
        <f>'HIDDEN import'!B586</f>
        <v>TC_Q_112_CS</v>
      </c>
      <c r="B587" t="str">
        <f>'HIDDEN import'!C586</f>
        <v>Bidirectional Power Transfer</v>
      </c>
      <c r="C587" t="str">
        <f>'HIDDEN import'!D586</f>
        <v>External V2X control - With a charging profile from CSMS - limit</v>
      </c>
      <c r="D587" t="str">
        <f>IF(VLOOKUP(A587&amp;" "&amp;B587,'HIDDEN import'!A:G,5,FALSE)="M",MD!$A$1,(IF(AND(VLOOKUP(A587,'HIDDEN import'!B:E,4,FALSE)="C",OR(NOT(ISERROR(VLOOKUP(E587,'Optional features'!B:D,1,FALSE)=E587)),NOT(ISERROR(VLOOKUP(E587,'HIDDEN calc sheet'!A:C,1,FALSE)=E587)))),MD!$A$3,MD!$A$2)))</f>
        <v>Mandatory for optional feature</v>
      </c>
      <c r="E587" t="str">
        <f>IF('HIDDEN import'!F586=0,"",'HIDDEN import'!F586)</f>
        <v>SC-10</v>
      </c>
      <c r="F587" t="str">
        <f>IF('HIDDEN import'!G586=0,"",'HIDDEN import'!G586)</f>
        <v>EMS Control</v>
      </c>
      <c r="G587" s="19" t="str">
        <f>IFERROR(VLOOKUP($A587,'HIDDEN Testrun Results'!$A:$B,2,FALSE),"")</f>
        <v/>
      </c>
      <c r="H587" s="3" t="b">
        <f t="shared" si="9"/>
        <v>0</v>
      </c>
      <c r="I587" s="3" t="b">
        <f>IF(VLOOKUP(A587&amp;" "&amp;B587,'HIDDEN import'!A:G,5,FALSE)="M",TRUE,IFERROR(VLOOKUP(E587,'Optional features'!B:D,3,FALSE)="Yes",IFERROR(VLOOKUP(E587,'HIDDEN calc sheet'!A:B,2,FALSE),IFERROR(VLOOKUP(E587,'Additional questions'!B:D,3,FALSE)="Yes",VLOOKUP(E587,'Hardware Feature set'!B:D,3,FALSE)="No"))))</f>
        <v>0</v>
      </c>
      <c r="J587" s="3" t="b">
        <f>IF(VLOOKUP(B587,'Profile selection'!B:C,2,FALSE)="Yes",TRUE,FALSE)</f>
        <v>0</v>
      </c>
      <c r="K587"/>
      <c r="L587"/>
    </row>
    <row r="588" spans="1:12" ht="15.75" customHeight="1" x14ac:dyDescent="0.25">
      <c r="A588" t="str">
        <f>'HIDDEN import'!B587</f>
        <v>TC_Q_113_CS</v>
      </c>
      <c r="B588" t="str">
        <f>'HIDDEN import'!C587</f>
        <v>Bidirectional Power Transfer</v>
      </c>
      <c r="C588" t="str">
        <f>'HIDDEN import'!D587</f>
        <v>External V2X control - With a charging profile from CSMS - Duration expired</v>
      </c>
      <c r="D588" t="str">
        <f>IF(VLOOKUP(A588&amp;" "&amp;B588,'HIDDEN import'!A:G,5,FALSE)="M",MD!$A$1,(IF(AND(VLOOKUP(A588,'HIDDEN import'!B:E,4,FALSE)="C",OR(NOT(ISERROR(VLOOKUP(E588,'Optional features'!B:D,1,FALSE)=E588)),NOT(ISERROR(VLOOKUP(E588,'HIDDEN calc sheet'!A:C,1,FALSE)=E588)))),MD!$A$3,MD!$A$2)))</f>
        <v>Mandatory for optional feature</v>
      </c>
      <c r="E588" t="str">
        <f>IF('HIDDEN import'!F587=0,"",'HIDDEN import'!F587)</f>
        <v>SC-10</v>
      </c>
      <c r="F588" t="str">
        <f>IF('HIDDEN import'!G587=0,"",'HIDDEN import'!G587)</f>
        <v>EMS Control</v>
      </c>
      <c r="G588" s="19" t="str">
        <f>IFERROR(VLOOKUP($A588,'HIDDEN Testrun Results'!$A:$B,2,FALSE),"")</f>
        <v/>
      </c>
      <c r="H588" s="3" t="b">
        <f t="shared" si="9"/>
        <v>0</v>
      </c>
      <c r="I588" s="3" t="b">
        <f>IF(VLOOKUP(A588&amp;" "&amp;B588,'HIDDEN import'!A:G,5,FALSE)="M",TRUE,IFERROR(VLOOKUP(E588,'Optional features'!B:D,3,FALSE)="Yes",IFERROR(VLOOKUP(E588,'HIDDEN calc sheet'!A:B,2,FALSE),IFERROR(VLOOKUP(E588,'Additional questions'!B:D,3,FALSE)="Yes",VLOOKUP(E588,'Hardware Feature set'!B:D,3,FALSE)="No"))))</f>
        <v>0</v>
      </c>
      <c r="J588" s="3" t="b">
        <f>IF(VLOOKUP(B588,'Profile selection'!B:C,2,FALSE)="Yes",TRUE,FALSE)</f>
        <v>0</v>
      </c>
      <c r="K588"/>
      <c r="L588"/>
    </row>
    <row r="589" spans="1:12" ht="15.75" customHeight="1" x14ac:dyDescent="0.25">
      <c r="A589" t="str">
        <f>'HIDDEN import'!B588</f>
        <v>TC_Q_114_CS</v>
      </c>
      <c r="B589" t="str">
        <f>'HIDDEN import'!C588</f>
        <v>Bidirectional Power Transfer</v>
      </c>
      <c r="C589" t="str">
        <f>'HIDDEN import'!D588</f>
        <v>External V2X control - With a charging profile from an External System - Dynamic external limits control</v>
      </c>
      <c r="D589" t="str">
        <f>IF(VLOOKUP(A589&amp;" "&amp;B589,'HIDDEN import'!A:G,5,FALSE)="M",MD!$A$1,(IF(AND(VLOOKUP(A589,'HIDDEN import'!B:E,4,FALSE)="C",OR(NOT(ISERROR(VLOOKUP(E589,'Optional features'!B:D,1,FALSE)=E589)),NOT(ISERROR(VLOOKUP(E589,'HIDDEN calc sheet'!A:C,1,FALSE)=E589)))),MD!$A$3,MD!$A$2)))</f>
        <v>Mandatory for optional feature</v>
      </c>
      <c r="E589" t="str">
        <f>IF('HIDDEN import'!F588=0,"",'HIDDEN import'!F588)</f>
        <v>SC-10</v>
      </c>
      <c r="F589" t="str">
        <f>IF('HIDDEN import'!G588=0,"",'HIDDEN import'!G588)</f>
        <v>EMS Control</v>
      </c>
      <c r="G589" s="19" t="str">
        <f>IFERROR(VLOOKUP($A589,'HIDDEN Testrun Results'!$A:$B,2,FALSE),"")</f>
        <v/>
      </c>
      <c r="H589" s="3" t="b">
        <f t="shared" si="9"/>
        <v>0</v>
      </c>
      <c r="I589" s="3" t="b">
        <f>IF(VLOOKUP(A589&amp;" "&amp;B589,'HIDDEN import'!A:G,5,FALSE)="M",TRUE,IFERROR(VLOOKUP(E589,'Optional features'!B:D,3,FALSE)="Yes",IFERROR(VLOOKUP(E589,'HIDDEN calc sheet'!A:B,2,FALSE),IFERROR(VLOOKUP(E589,'Additional questions'!B:D,3,FALSE)="Yes",VLOOKUP(E589,'Hardware Feature set'!B:D,3,FALSE)="No"))))</f>
        <v>0</v>
      </c>
      <c r="J589" s="3" t="b">
        <f>IF(VLOOKUP(B589,'Profile selection'!B:C,2,FALSE)="Yes",TRUE,FALSE)</f>
        <v>0</v>
      </c>
      <c r="K589"/>
      <c r="L589"/>
    </row>
    <row r="590" spans="1:12" ht="15.75" customHeight="1" x14ac:dyDescent="0.25">
      <c r="A590" t="str">
        <f>'HIDDEN import'!B589</f>
        <v>TC_Q_115_CS</v>
      </c>
      <c r="B590" t="str">
        <f>'HIDDEN import'!C589</f>
        <v>Bidirectional Power Transfer</v>
      </c>
      <c r="C590" t="str">
        <f>'HIDDEN import'!D589</f>
        <v>External V2X control - With a charging profile from an External System - Dynamic setpoint control</v>
      </c>
      <c r="D590" t="str">
        <f>IF(VLOOKUP(A590&amp;" "&amp;B590,'HIDDEN import'!A:G,5,FALSE)="M",MD!$A$1,(IF(AND(VLOOKUP(A590,'HIDDEN import'!B:E,4,FALSE)="C",OR(NOT(ISERROR(VLOOKUP(E590,'Optional features'!B:D,1,FALSE)=E590)),NOT(ISERROR(VLOOKUP(E590,'HIDDEN calc sheet'!A:C,1,FALSE)=E590)))),MD!$A$3,MD!$A$2)))</f>
        <v>Mandatory for optional feature</v>
      </c>
      <c r="E590" t="str">
        <f>IF('HIDDEN import'!F589=0,"",'HIDDEN import'!F589)</f>
        <v>SC-10</v>
      </c>
      <c r="F590" t="str">
        <f>IF('HIDDEN import'!G589=0,"",'HIDDEN import'!G589)</f>
        <v>EMS Control</v>
      </c>
      <c r="G590" s="19" t="str">
        <f>IFERROR(VLOOKUP($A590,'HIDDEN Testrun Results'!$A:$B,2,FALSE),"")</f>
        <v/>
      </c>
      <c r="H590" s="3" t="b">
        <f t="shared" si="9"/>
        <v>0</v>
      </c>
      <c r="I590" s="3" t="b">
        <f>IF(VLOOKUP(A590&amp;" "&amp;B590,'HIDDEN import'!A:G,5,FALSE)="M",TRUE,IFERROR(VLOOKUP(E590,'Optional features'!B:D,3,FALSE)="Yes",IFERROR(VLOOKUP(E590,'HIDDEN calc sheet'!A:B,2,FALSE),IFERROR(VLOOKUP(E590,'Additional questions'!B:D,3,FALSE)="Yes",VLOOKUP(E590,'Hardware Feature set'!B:D,3,FALSE)="No"))))</f>
        <v>0</v>
      </c>
      <c r="J590" s="3" t="b">
        <f>IF(VLOOKUP(B590,'Profile selection'!B:C,2,FALSE)="Yes",TRUE,FALSE)</f>
        <v>0</v>
      </c>
      <c r="K590"/>
      <c r="L590"/>
    </row>
    <row r="591" spans="1:12" ht="15.75" customHeight="1" x14ac:dyDescent="0.25">
      <c r="A591" t="str">
        <f>'HIDDEN import'!B590</f>
        <v>TC_Q_116_CS</v>
      </c>
      <c r="B591" t="str">
        <f>'HIDDEN import'!C590</f>
        <v>Bidirectional Power Transfer</v>
      </c>
      <c r="C591" t="str">
        <f>'HIDDEN import'!D590</f>
        <v>External V2X control - With a charging profile from an External System - Scheduled external limits control</v>
      </c>
      <c r="D591" t="str">
        <f>IF(VLOOKUP(A591&amp;" "&amp;B591,'HIDDEN import'!A:G,5,FALSE)="M",MD!$A$1,(IF(AND(VLOOKUP(A591,'HIDDEN import'!B:E,4,FALSE)="C",OR(NOT(ISERROR(VLOOKUP(E591,'Optional features'!B:D,1,FALSE)=E591)),NOT(ISERROR(VLOOKUP(E591,'HIDDEN calc sheet'!A:C,1,FALSE)=E591)))),MD!$A$3,MD!$A$2)))</f>
        <v>Mandatory for optional feature</v>
      </c>
      <c r="E591" t="str">
        <f>IF('HIDDEN import'!F590=0,"",'HIDDEN import'!F590)</f>
        <v>SC-10</v>
      </c>
      <c r="F591" t="str">
        <f>IF('HIDDEN import'!G590=0,"",'HIDDEN import'!G590)</f>
        <v>EMS Control</v>
      </c>
      <c r="G591" s="19" t="str">
        <f>IFERROR(VLOOKUP($A591,'HIDDEN Testrun Results'!$A:$B,2,FALSE),"")</f>
        <v/>
      </c>
      <c r="H591" s="3" t="b">
        <f t="shared" si="9"/>
        <v>0</v>
      </c>
      <c r="I591" s="3" t="b">
        <f>IF(VLOOKUP(A591&amp;" "&amp;B591,'HIDDEN import'!A:G,5,FALSE)="M",TRUE,IFERROR(VLOOKUP(E591,'Optional features'!B:D,3,FALSE)="Yes",IFERROR(VLOOKUP(E591,'HIDDEN calc sheet'!A:B,2,FALSE),IFERROR(VLOOKUP(E591,'Additional questions'!B:D,3,FALSE)="Yes",VLOOKUP(E591,'Hardware Feature set'!B:D,3,FALSE)="No"))))</f>
        <v>0</v>
      </c>
      <c r="J591" s="3" t="b">
        <f>IF(VLOOKUP(B591,'Profile selection'!B:C,2,FALSE)="Yes",TRUE,FALSE)</f>
        <v>0</v>
      </c>
      <c r="K591"/>
      <c r="L591"/>
    </row>
    <row r="592" spans="1:12" ht="15.75" customHeight="1" x14ac:dyDescent="0.25">
      <c r="A592" t="str">
        <f>'HIDDEN import'!B591</f>
        <v>TC_R_100_CS</v>
      </c>
      <c r="B592" t="str">
        <f>'HIDDEN import'!C591</f>
        <v>DER Control</v>
      </c>
      <c r="C592" t="str">
        <f>'HIDDEN import'!D591</f>
        <v>Starting a V2X session with DER control in EVSE - Persistent DERControls</v>
      </c>
      <c r="D592" t="str">
        <f>IF(VLOOKUP(A592&amp;" "&amp;B592,'HIDDEN import'!A:G,5,FALSE)="M",MD!$A$1,(IF(AND(VLOOKUP(A592,'HIDDEN import'!B:E,4,FALSE)="C",OR(NOT(ISERROR(VLOOKUP(E592,'Optional features'!B:D,1,FALSE)=E592)),NOT(ISERROR(VLOOKUP(E592,'HIDDEN calc sheet'!A:C,1,FALSE)=E592)))),MD!$A$3,MD!$A$2)))</f>
        <v>Mandatory test for a mandatory feature</v>
      </c>
      <c r="E592" t="str">
        <f>IF('HIDDEN import'!F591=0,"",'HIDDEN import'!F591)</f>
        <v/>
      </c>
      <c r="F592" t="str">
        <f>IF('HIDDEN import'!G591=0,"",'HIDDEN import'!G591)</f>
        <v/>
      </c>
      <c r="G592" s="19" t="str">
        <f>IFERROR(VLOOKUP($A592,'HIDDEN Testrun Results'!$A:$B,2,FALSE),"")</f>
        <v/>
      </c>
      <c r="H592" s="3" t="b">
        <f t="shared" si="9"/>
        <v>0</v>
      </c>
      <c r="I592" s="3" t="b">
        <f>IF(VLOOKUP(A592&amp;" "&amp;B592,'HIDDEN import'!A:G,5,FALSE)="M",TRUE,IFERROR(VLOOKUP(E592,'Optional features'!B:D,3,FALSE)="Yes",IFERROR(VLOOKUP(E592,'HIDDEN calc sheet'!A:B,2,FALSE),IFERROR(VLOOKUP(E592,'Additional questions'!B:D,3,FALSE)="Yes",VLOOKUP(E592,'Hardware Feature set'!B:D,3,FALSE)="No"))))</f>
        <v>1</v>
      </c>
      <c r="J592" s="3" t="b">
        <f>IF(VLOOKUP(B592,'Profile selection'!B:C,2,FALSE)="Yes",TRUE,FALSE)</f>
        <v>0</v>
      </c>
      <c r="K592"/>
      <c r="L592"/>
    </row>
    <row r="593" spans="1:12" ht="15.75" customHeight="1" x14ac:dyDescent="0.25">
      <c r="A593" t="str">
        <f>'HIDDEN import'!B592</f>
        <v>TC_R_102_CS</v>
      </c>
      <c r="B593" t="str">
        <f>'HIDDEN import'!C592</f>
        <v>DER Control</v>
      </c>
      <c r="C593" t="str">
        <f>'HIDDEN import'!D592</f>
        <v>Configure DER control settings at CS - clearing controlTypes</v>
      </c>
      <c r="D593" t="str">
        <f>IF(VLOOKUP(A593&amp;" "&amp;B593,'HIDDEN import'!A:G,5,FALSE)="M",MD!$A$1,(IF(AND(VLOOKUP(A593,'HIDDEN import'!B:E,4,FALSE)="C",OR(NOT(ISERROR(VLOOKUP(E593,'Optional features'!B:D,1,FALSE)=E593)),NOT(ISERROR(VLOOKUP(E593,'HIDDEN calc sheet'!A:C,1,FALSE)=E593)))),MD!$A$3,MD!$A$2)))</f>
        <v>Mandatory test for a mandatory feature</v>
      </c>
      <c r="E593" t="str">
        <f>IF('HIDDEN import'!F592=0,"",'HIDDEN import'!F592)</f>
        <v/>
      </c>
      <c r="F593" t="str">
        <f>IF('HIDDEN import'!G592=0,"",'HIDDEN import'!G592)</f>
        <v/>
      </c>
      <c r="G593" s="19" t="str">
        <f>IFERROR(VLOOKUP($A593,'HIDDEN Testrun Results'!$A:$B,2,FALSE),"")</f>
        <v/>
      </c>
      <c r="H593" s="3" t="b">
        <f t="shared" si="9"/>
        <v>0</v>
      </c>
      <c r="I593" s="3" t="b">
        <f>IF(VLOOKUP(A593&amp;" "&amp;B593,'HIDDEN import'!A:G,5,FALSE)="M",TRUE,IFERROR(VLOOKUP(E593,'Optional features'!B:D,3,FALSE)="Yes",IFERROR(VLOOKUP(E593,'HIDDEN calc sheet'!A:B,2,FALSE),IFERROR(VLOOKUP(E593,'Additional questions'!B:D,3,FALSE)="Yes",VLOOKUP(E593,'Hardware Feature set'!B:D,3,FALSE)="No"))))</f>
        <v>1</v>
      </c>
      <c r="J593" s="3" t="b">
        <f>IF(VLOOKUP(B593,'Profile selection'!B:C,2,FALSE)="Yes",TRUE,FALSE)</f>
        <v>0</v>
      </c>
      <c r="K593"/>
      <c r="L593"/>
    </row>
    <row r="594" spans="1:12" ht="15.75" customHeight="1" x14ac:dyDescent="0.25">
      <c r="A594" t="str">
        <f>'HIDDEN import'!B593</f>
        <v>TC_R_103_CS</v>
      </c>
      <c r="B594" t="str">
        <f>'HIDDEN import'!C593</f>
        <v>DER Control</v>
      </c>
      <c r="C594" t="str">
        <f>'HIDDEN import'!D593</f>
        <v>Configure DER control settings at CS - validations</v>
      </c>
      <c r="D594" t="str">
        <f>IF(VLOOKUP(A594&amp;" "&amp;B594,'HIDDEN import'!A:G,5,FALSE)="M",MD!$A$1,(IF(AND(VLOOKUP(A594,'HIDDEN import'!B:E,4,FALSE)="C",OR(NOT(ISERROR(VLOOKUP(E594,'Optional features'!B:D,1,FALSE)=E594)),NOT(ISERROR(VLOOKUP(E594,'HIDDEN calc sheet'!A:C,1,FALSE)=E594)))),MD!$A$3,MD!$A$2)))</f>
        <v>Mandatory test for a mandatory feature</v>
      </c>
      <c r="E594" t="str">
        <f>IF('HIDDEN import'!F593=0,"",'HIDDEN import'!F593)</f>
        <v/>
      </c>
      <c r="F594" t="str">
        <f>IF('HIDDEN import'!G593=0,"",'HIDDEN import'!G593)</f>
        <v/>
      </c>
      <c r="G594" s="19" t="str">
        <f>IFERROR(VLOOKUP($A594,'HIDDEN Testrun Results'!$A:$B,2,FALSE),"")</f>
        <v/>
      </c>
      <c r="H594" s="3" t="b">
        <f t="shared" si="9"/>
        <v>0</v>
      </c>
      <c r="I594" s="3" t="b">
        <f>IF(VLOOKUP(A594&amp;" "&amp;B594,'HIDDEN import'!A:G,5,FALSE)="M",TRUE,IFERROR(VLOOKUP(E594,'Optional features'!B:D,3,FALSE)="Yes",IFERROR(VLOOKUP(E594,'HIDDEN calc sheet'!A:B,2,FALSE),IFERROR(VLOOKUP(E594,'Additional questions'!B:D,3,FALSE)="Yes",VLOOKUP(E594,'Hardware Feature set'!B:D,3,FALSE)="No"))))</f>
        <v>1</v>
      </c>
      <c r="J594" s="3" t="b">
        <f>IF(VLOOKUP(B594,'Profile selection'!B:C,2,FALSE)="Yes",TRUE,FALSE)</f>
        <v>0</v>
      </c>
      <c r="K594"/>
      <c r="L594"/>
    </row>
    <row r="595" spans="1:12" ht="15.75" customHeight="1" x14ac:dyDescent="0.25">
      <c r="A595" t="str">
        <f>'HIDDEN import'!B594</f>
        <v>TC_R_104_CS</v>
      </c>
      <c r="B595" t="str">
        <f>'HIDDEN import'!C594</f>
        <v>DER Control</v>
      </c>
      <c r="C595" t="str">
        <f>'HIDDEN import'!D594</f>
        <v>Configure DER control settings at CS - superseding future DER control</v>
      </c>
      <c r="D595" t="str">
        <f>IF(VLOOKUP(A595&amp;" "&amp;B595,'HIDDEN import'!A:G,5,FALSE)="M",MD!$A$1,(IF(AND(VLOOKUP(A595,'HIDDEN import'!B:E,4,FALSE)="C",OR(NOT(ISERROR(VLOOKUP(E595,'Optional features'!B:D,1,FALSE)=E595)),NOT(ISERROR(VLOOKUP(E595,'HIDDEN calc sheet'!A:C,1,FALSE)=E595)))),MD!$A$3,MD!$A$2)))</f>
        <v>Mandatory test for a mandatory feature</v>
      </c>
      <c r="E595" t="str">
        <f>IF('HIDDEN import'!F594=0,"",'HIDDEN import'!F594)</f>
        <v/>
      </c>
      <c r="F595" t="str">
        <f>IF('HIDDEN import'!G594=0,"",'HIDDEN import'!G594)</f>
        <v/>
      </c>
      <c r="G595" s="19" t="str">
        <f>IFERROR(VLOOKUP($A595,'HIDDEN Testrun Results'!$A:$B,2,FALSE),"")</f>
        <v/>
      </c>
      <c r="H595" s="3" t="b">
        <f t="shared" si="9"/>
        <v>0</v>
      </c>
      <c r="I595" s="3" t="b">
        <f>IF(VLOOKUP(A595&amp;" "&amp;B595,'HIDDEN import'!A:G,5,FALSE)="M",TRUE,IFERROR(VLOOKUP(E595,'Optional features'!B:D,3,FALSE)="Yes",IFERROR(VLOOKUP(E595,'HIDDEN calc sheet'!A:B,2,FALSE),IFERROR(VLOOKUP(E595,'Additional questions'!B:D,3,FALSE)="Yes",VLOOKUP(E595,'Hardware Feature set'!B:D,3,FALSE)="No"))))</f>
        <v>1</v>
      </c>
      <c r="J595" s="3" t="b">
        <f>IF(VLOOKUP(B595,'Profile selection'!B:C,2,FALSE)="Yes",TRUE,FALSE)</f>
        <v>0</v>
      </c>
      <c r="K595"/>
      <c r="L595"/>
    </row>
    <row r="596" spans="1:12" ht="15.75" customHeight="1" x14ac:dyDescent="0.25">
      <c r="A596" t="str">
        <f>'HIDDEN import'!B595</f>
        <v>TC_R_105_CS</v>
      </c>
      <c r="B596" t="str">
        <f>'HIDDEN import'!C595</f>
        <v>DER Control</v>
      </c>
      <c r="C596" t="str">
        <f>'HIDDEN import'!D595</f>
        <v>Configure DER control settings at CS - superseding active DER control</v>
      </c>
      <c r="D596" t="str">
        <f>IF(VLOOKUP(A596&amp;" "&amp;B596,'HIDDEN import'!A:G,5,FALSE)="M",MD!$A$1,(IF(AND(VLOOKUP(A596,'HIDDEN import'!B:E,4,FALSE)="C",OR(NOT(ISERROR(VLOOKUP(E596,'Optional features'!B:D,1,FALSE)=E596)),NOT(ISERROR(VLOOKUP(E596,'HIDDEN calc sheet'!A:C,1,FALSE)=E596)))),MD!$A$3,MD!$A$2)))</f>
        <v>Mandatory test for a mandatory feature</v>
      </c>
      <c r="E596" t="str">
        <f>IF('HIDDEN import'!F595=0,"",'HIDDEN import'!F595)</f>
        <v/>
      </c>
      <c r="F596" t="str">
        <f>IF('HIDDEN import'!G595=0,"",'HIDDEN import'!G595)</f>
        <v/>
      </c>
      <c r="G596" s="19" t="str">
        <f>IFERROR(VLOOKUP($A596,'HIDDEN Testrun Results'!$A:$B,2,FALSE),"")</f>
        <v/>
      </c>
      <c r="H596" s="3" t="b">
        <f t="shared" si="9"/>
        <v>0</v>
      </c>
      <c r="I596" s="3" t="b">
        <f>IF(VLOOKUP(A596&amp;" "&amp;B596,'HIDDEN import'!A:G,5,FALSE)="M",TRUE,IFERROR(VLOOKUP(E596,'Optional features'!B:D,3,FALSE)="Yes",IFERROR(VLOOKUP(E596,'HIDDEN calc sheet'!A:B,2,FALSE),IFERROR(VLOOKUP(E596,'Additional questions'!B:D,3,FALSE)="Yes",VLOOKUP(E596,'Hardware Feature set'!B:D,3,FALSE)="No"))))</f>
        <v>1</v>
      </c>
      <c r="J596" s="3" t="b">
        <f>IF(VLOOKUP(B596,'Profile selection'!B:C,2,FALSE)="Yes",TRUE,FALSE)</f>
        <v>0</v>
      </c>
      <c r="K596"/>
      <c r="L596"/>
    </row>
    <row r="597" spans="1:12" ht="15.75" customHeight="1" x14ac:dyDescent="0.25">
      <c r="A597" t="str">
        <f>'HIDDEN import'!B596</f>
        <v>TC_R_106_CS</v>
      </c>
      <c r="B597" t="str">
        <f>'HIDDEN import'!C596</f>
        <v>DER Control</v>
      </c>
      <c r="C597" t="str">
        <f>'HIDDEN import'!D596</f>
        <v>Configure DER control settings at CS - Active DER control supersedes new DER control</v>
      </c>
      <c r="D597" t="str">
        <f>IF(VLOOKUP(A597&amp;" "&amp;B597,'HIDDEN import'!A:G,5,FALSE)="M",MD!$A$1,(IF(AND(VLOOKUP(A597,'HIDDEN import'!B:E,4,FALSE)="C",OR(NOT(ISERROR(VLOOKUP(E597,'Optional features'!B:D,1,FALSE)=E597)),NOT(ISERROR(VLOOKUP(E597,'HIDDEN calc sheet'!A:C,1,FALSE)=E597)))),MD!$A$3,MD!$A$2)))</f>
        <v>Mandatory test for a mandatory feature</v>
      </c>
      <c r="E597" t="str">
        <f>IF('HIDDEN import'!F596=0,"",'HIDDEN import'!F596)</f>
        <v/>
      </c>
      <c r="F597" t="str">
        <f>IF('HIDDEN import'!G596=0,"",'HIDDEN import'!G596)</f>
        <v/>
      </c>
      <c r="G597" s="19" t="str">
        <f>IFERROR(VLOOKUP($A597,'HIDDEN Testrun Results'!$A:$B,2,FALSE),"")</f>
        <v/>
      </c>
      <c r="H597" s="3" t="b">
        <f t="shared" si="9"/>
        <v>0</v>
      </c>
      <c r="I597" s="3" t="b">
        <f>IF(VLOOKUP(A597&amp;" "&amp;B597,'HIDDEN import'!A:G,5,FALSE)="M",TRUE,IFERROR(VLOOKUP(E597,'Optional features'!B:D,3,FALSE)="Yes",IFERROR(VLOOKUP(E597,'HIDDEN calc sheet'!A:B,2,FALSE),IFERROR(VLOOKUP(E597,'Additional questions'!B:D,3,FALSE)="Yes",VLOOKUP(E597,'Hardware Feature set'!B:D,3,FALSE)="No"))))</f>
        <v>1</v>
      </c>
      <c r="J597" s="3" t="b">
        <f>IF(VLOOKUP(B597,'Profile selection'!B:C,2,FALSE)="Yes",TRUE,FALSE)</f>
        <v>0</v>
      </c>
      <c r="K597"/>
      <c r="L597"/>
    </row>
    <row r="598" spans="1:12" ht="15.75" customHeight="1" x14ac:dyDescent="0.25">
      <c r="A598" t="str">
        <f>'HIDDEN import'!B597</f>
        <v>TC_R_108_CS</v>
      </c>
      <c r="B598" t="str">
        <f>'HIDDEN import'!C597</f>
        <v>DER Control</v>
      </c>
      <c r="C598" t="str">
        <f>'HIDDEN import'!D597</f>
        <v>Charging station reporting a DER event</v>
      </c>
      <c r="D598" t="str">
        <f>IF(VLOOKUP(A598&amp;" "&amp;B598,'HIDDEN import'!A:G,5,FALSE)="M",MD!$A$1,(IF(AND(VLOOKUP(A598,'HIDDEN import'!B:E,4,FALSE)="C",OR(NOT(ISERROR(VLOOKUP(E598,'Optional features'!B:D,1,FALSE)=E598)),NOT(ISERROR(VLOOKUP(E598,'HIDDEN calc sheet'!A:C,1,FALSE)=E598)))),MD!$A$3,MD!$A$2)))</f>
        <v>Mandatory for optional feature</v>
      </c>
      <c r="E598" t="str">
        <f>IF('HIDDEN import'!F597=0,"",'HIDDEN import'!F597)</f>
        <v>ISO-1.2 AND HFS-4</v>
      </c>
      <c r="F598" t="str">
        <f>IF('HIDDEN import'!G597=0,"",'HIDDEN import'!G597)</f>
        <v>ISO 15118-20</v>
      </c>
      <c r="G598" s="19" t="str">
        <f>IFERROR(VLOOKUP($A598,'HIDDEN Testrun Results'!$A:$B,2,FALSE),"")</f>
        <v/>
      </c>
      <c r="H598" s="3" t="b">
        <f t="shared" ref="H598" si="10">IF(NOT(J598),FALSE,IF(NOT(ISLOGICAL(I598)),I598,AND(I598,J598)))</f>
        <v>0</v>
      </c>
      <c r="I598" s="3" t="b">
        <f>IF(VLOOKUP(A598&amp;" "&amp;B598,'HIDDEN import'!A:G,5,FALSE)="M",TRUE,IFERROR(VLOOKUP(E598,'Optional features'!B:D,3,FALSE)="Yes",IFERROR(VLOOKUP(E598,'HIDDEN calc sheet'!A:B,2,FALSE),IFERROR(VLOOKUP(E598,'Additional questions'!B:D,3,FALSE)="Yes",VLOOKUP(E598,'Hardware Feature set'!B:D,3,FALSE)="No"))))</f>
        <v>0</v>
      </c>
      <c r="J598" s="3" t="b">
        <f>IF(VLOOKUP(B598,'Profile selection'!B:C,2,FALSE)="Yes",TRUE,FALSE)</f>
        <v>0</v>
      </c>
      <c r="K598"/>
      <c r="L598"/>
    </row>
    <row r="599" spans="1:12" ht="15.75" customHeight="1" x14ac:dyDescent="0.25">
      <c r="G599" s="19"/>
    </row>
    <row r="600" spans="1:12" ht="15.75" customHeight="1" x14ac:dyDescent="0.25">
      <c r="G600" s="19"/>
    </row>
    <row r="601" spans="1:12" ht="15.75" customHeight="1" x14ac:dyDescent="0.25">
      <c r="G601" s="19"/>
    </row>
    <row r="602" spans="1:12" ht="15.75" customHeight="1" x14ac:dyDescent="0.25">
      <c r="G602" s="19"/>
    </row>
    <row r="603" spans="1:12" ht="15.75" customHeight="1" x14ac:dyDescent="0.25">
      <c r="G603" s="19"/>
    </row>
    <row r="604" spans="1:12" ht="15.75" customHeight="1" x14ac:dyDescent="0.25">
      <c r="G604" s="19"/>
    </row>
    <row r="605" spans="1:12" ht="15.75" customHeight="1" x14ac:dyDescent="0.25">
      <c r="G605" s="19"/>
    </row>
    <row r="606" spans="1:12" ht="15.75" customHeight="1" x14ac:dyDescent="0.25">
      <c r="G606" s="19"/>
    </row>
    <row r="607" spans="1:12" ht="15.75" customHeight="1" x14ac:dyDescent="0.25">
      <c r="G607" s="19"/>
    </row>
    <row r="608" spans="1:12" ht="15.75" customHeight="1" x14ac:dyDescent="0.25">
      <c r="G608" s="19"/>
    </row>
    <row r="609" spans="7:7" ht="15.75" customHeight="1" x14ac:dyDescent="0.25">
      <c r="G609" s="19"/>
    </row>
    <row r="610" spans="7:7" ht="15.75" customHeight="1" x14ac:dyDescent="0.25">
      <c r="G610" s="19"/>
    </row>
    <row r="611" spans="7:7" ht="15.75" customHeight="1" x14ac:dyDescent="0.25">
      <c r="G611" s="19"/>
    </row>
    <row r="612" spans="7:7" ht="15.75" customHeight="1" x14ac:dyDescent="0.25">
      <c r="G612" s="19"/>
    </row>
    <row r="613" spans="7:7" ht="15.75" customHeight="1" x14ac:dyDescent="0.25">
      <c r="G613" s="19"/>
    </row>
    <row r="614" spans="7:7" ht="15.75" customHeight="1" x14ac:dyDescent="0.25">
      <c r="G614" s="19"/>
    </row>
    <row r="615" spans="7:7" ht="15.75" customHeight="1" x14ac:dyDescent="0.25">
      <c r="G615" s="19"/>
    </row>
    <row r="616" spans="7:7" ht="15.75" customHeight="1" x14ac:dyDescent="0.25">
      <c r="G616" s="19"/>
    </row>
    <row r="617" spans="7:7" ht="15.75" customHeight="1" x14ac:dyDescent="0.25">
      <c r="G617" s="19"/>
    </row>
    <row r="618" spans="7:7" ht="15.75" customHeight="1" x14ac:dyDescent="0.25">
      <c r="G618" s="19"/>
    </row>
    <row r="619" spans="7:7" ht="15.75" customHeight="1" x14ac:dyDescent="0.25">
      <c r="G619" s="19"/>
    </row>
    <row r="620" spans="7:7" ht="15.75" customHeight="1" x14ac:dyDescent="0.25">
      <c r="G620" s="19"/>
    </row>
    <row r="621" spans="7:7" ht="15.75" customHeight="1" x14ac:dyDescent="0.25">
      <c r="G621" s="19"/>
    </row>
    <row r="622" spans="7:7" ht="15.75" customHeight="1" x14ac:dyDescent="0.25">
      <c r="G622" s="19"/>
    </row>
    <row r="623" spans="7:7" ht="15.75" customHeight="1" x14ac:dyDescent="0.25">
      <c r="G623" s="19"/>
    </row>
    <row r="624" spans="7:7" ht="15.75" customHeight="1" x14ac:dyDescent="0.25">
      <c r="G624" s="19"/>
    </row>
    <row r="625" spans="7:7" ht="15.75" customHeight="1" x14ac:dyDescent="0.25">
      <c r="G625" s="19"/>
    </row>
    <row r="626" spans="7:7" ht="15.75" customHeight="1" x14ac:dyDescent="0.25">
      <c r="G626" s="19"/>
    </row>
    <row r="627" spans="7:7" ht="15.75" customHeight="1" x14ac:dyDescent="0.25">
      <c r="G627" s="19"/>
    </row>
    <row r="628" spans="7:7" ht="15.75" customHeight="1" x14ac:dyDescent="0.25">
      <c r="G628" s="19"/>
    </row>
    <row r="629" spans="7:7" ht="15.75" customHeight="1" x14ac:dyDescent="0.25">
      <c r="G629" s="19"/>
    </row>
    <row r="630" spans="7:7" ht="15.75" customHeight="1" x14ac:dyDescent="0.25">
      <c r="G630" s="19"/>
    </row>
    <row r="631" spans="7:7" ht="15.75" customHeight="1" x14ac:dyDescent="0.25">
      <c r="G631" s="19"/>
    </row>
    <row r="632" spans="7:7" ht="15.75" customHeight="1" x14ac:dyDescent="0.25">
      <c r="G632" s="19"/>
    </row>
    <row r="633" spans="7:7" ht="15.75" customHeight="1" x14ac:dyDescent="0.25">
      <c r="G633" s="19"/>
    </row>
    <row r="634" spans="7:7" ht="15.75" customHeight="1" x14ac:dyDescent="0.25">
      <c r="G634" s="19"/>
    </row>
    <row r="635" spans="7:7" ht="15.75" customHeight="1" x14ac:dyDescent="0.25">
      <c r="G635" s="19"/>
    </row>
    <row r="636" spans="7:7" ht="15.75" customHeight="1" x14ac:dyDescent="0.25">
      <c r="G636" s="19"/>
    </row>
    <row r="637" spans="7:7" ht="15.75" customHeight="1" x14ac:dyDescent="0.25">
      <c r="G637" s="19"/>
    </row>
    <row r="638" spans="7:7" ht="15.75" customHeight="1" x14ac:dyDescent="0.25">
      <c r="G638" s="19"/>
    </row>
    <row r="639" spans="7:7" ht="15.75" customHeight="1" x14ac:dyDescent="0.25">
      <c r="G639" s="19"/>
    </row>
    <row r="640" spans="7:7" ht="15.75" customHeight="1" x14ac:dyDescent="0.25">
      <c r="G640" s="19"/>
    </row>
    <row r="641" spans="7:7" ht="15.75" customHeight="1" x14ac:dyDescent="0.25">
      <c r="G641" s="19"/>
    </row>
    <row r="642" spans="7:7" ht="15.75" customHeight="1" x14ac:dyDescent="0.25">
      <c r="G642" s="19"/>
    </row>
    <row r="643" spans="7:7" ht="15.75" customHeight="1" x14ac:dyDescent="0.25">
      <c r="G643" s="19"/>
    </row>
    <row r="644" spans="7:7" ht="15.75" customHeight="1" x14ac:dyDescent="0.25">
      <c r="G644" s="19"/>
    </row>
    <row r="645" spans="7:7" ht="15.75" customHeight="1" x14ac:dyDescent="0.25">
      <c r="G645" s="19"/>
    </row>
    <row r="646" spans="7:7" ht="15.75" customHeight="1" x14ac:dyDescent="0.25">
      <c r="G646" s="19"/>
    </row>
    <row r="647" spans="7:7" ht="15.75" customHeight="1" x14ac:dyDescent="0.25">
      <c r="G647" s="19"/>
    </row>
    <row r="648" spans="7:7" ht="15.75" customHeight="1" x14ac:dyDescent="0.25">
      <c r="G648" s="19"/>
    </row>
    <row r="649" spans="7:7" ht="15.75" customHeight="1" x14ac:dyDescent="0.25">
      <c r="G649" s="19"/>
    </row>
    <row r="650" spans="7:7" ht="15.75" customHeight="1" x14ac:dyDescent="0.25">
      <c r="G650" s="19"/>
    </row>
    <row r="651" spans="7:7" ht="15.75" customHeight="1" x14ac:dyDescent="0.25">
      <c r="G651" s="19"/>
    </row>
    <row r="652" spans="7:7" ht="15.75" customHeight="1" x14ac:dyDescent="0.25">
      <c r="G652" s="19"/>
    </row>
    <row r="653" spans="7:7" ht="15.75" customHeight="1" x14ac:dyDescent="0.25">
      <c r="G653" s="19"/>
    </row>
    <row r="654" spans="7:7" ht="15.75" customHeight="1" x14ac:dyDescent="0.25">
      <c r="G654" s="19"/>
    </row>
    <row r="655" spans="7:7" ht="15.75" customHeight="1" x14ac:dyDescent="0.25">
      <c r="G655" s="19"/>
    </row>
    <row r="656" spans="7:7" ht="15.75" customHeight="1" x14ac:dyDescent="0.25">
      <c r="G656" s="19"/>
    </row>
    <row r="657" spans="7:7" ht="15.75" customHeight="1" x14ac:dyDescent="0.25">
      <c r="G657" s="19"/>
    </row>
    <row r="658" spans="7:7" ht="15.75" customHeight="1" x14ac:dyDescent="0.25">
      <c r="G658" s="19"/>
    </row>
    <row r="659" spans="7:7" ht="15.75" customHeight="1" x14ac:dyDescent="0.25">
      <c r="G659" s="19"/>
    </row>
    <row r="660" spans="7:7" ht="15.75" customHeight="1" x14ac:dyDescent="0.25">
      <c r="G660" s="19"/>
    </row>
    <row r="661" spans="7:7" ht="15.75" customHeight="1" x14ac:dyDescent="0.25">
      <c r="G661" s="19"/>
    </row>
    <row r="662" spans="7:7" ht="15.75" customHeight="1" x14ac:dyDescent="0.25">
      <c r="G662" s="19"/>
    </row>
    <row r="663" spans="7:7" ht="15.75" customHeight="1" x14ac:dyDescent="0.25">
      <c r="G663" s="19"/>
    </row>
    <row r="664" spans="7:7" ht="15.75" customHeight="1" x14ac:dyDescent="0.25">
      <c r="G664" s="19"/>
    </row>
    <row r="665" spans="7:7" ht="15.75" customHeight="1" x14ac:dyDescent="0.25">
      <c r="G665" s="19"/>
    </row>
    <row r="666" spans="7:7" ht="15.75" customHeight="1" x14ac:dyDescent="0.25">
      <c r="G666" s="19"/>
    </row>
    <row r="667" spans="7:7" ht="15.75" customHeight="1" x14ac:dyDescent="0.25">
      <c r="G667" s="19"/>
    </row>
    <row r="668" spans="7:7" ht="15.75" customHeight="1" x14ac:dyDescent="0.25">
      <c r="G668" s="19"/>
    </row>
    <row r="669" spans="7:7" ht="15.75" customHeight="1" x14ac:dyDescent="0.25">
      <c r="G669" s="19"/>
    </row>
    <row r="670" spans="7:7" ht="15.75" customHeight="1" x14ac:dyDescent="0.25">
      <c r="G670" s="19"/>
    </row>
    <row r="671" spans="7:7" ht="15.75" customHeight="1" x14ac:dyDescent="0.25">
      <c r="G671" s="19"/>
    </row>
    <row r="672" spans="7:7" ht="15.75" customHeight="1" x14ac:dyDescent="0.25">
      <c r="G672" s="19"/>
    </row>
    <row r="673" spans="7:7" ht="15.75" customHeight="1" x14ac:dyDescent="0.25">
      <c r="G673" s="19"/>
    </row>
    <row r="674" spans="7:7" ht="15.75" customHeight="1" x14ac:dyDescent="0.25">
      <c r="G674" s="19"/>
    </row>
    <row r="675" spans="7:7" ht="15.75" customHeight="1" x14ac:dyDescent="0.25">
      <c r="G675" s="19"/>
    </row>
    <row r="676" spans="7:7" ht="15.75" customHeight="1" x14ac:dyDescent="0.25">
      <c r="G676" s="19"/>
    </row>
    <row r="677" spans="7:7" ht="15.75" customHeight="1" x14ac:dyDescent="0.25">
      <c r="G677" s="19"/>
    </row>
    <row r="678" spans="7:7" ht="15.75" customHeight="1" x14ac:dyDescent="0.25">
      <c r="G678" s="19"/>
    </row>
    <row r="679" spans="7:7" ht="15.75" customHeight="1" x14ac:dyDescent="0.25">
      <c r="G679" s="19"/>
    </row>
    <row r="680" spans="7:7" ht="15.75" customHeight="1" x14ac:dyDescent="0.25">
      <c r="G680" s="19"/>
    </row>
    <row r="681" spans="7:7" ht="15.75" customHeight="1" x14ac:dyDescent="0.25">
      <c r="G681" s="19"/>
    </row>
    <row r="682" spans="7:7" ht="15.75" customHeight="1" x14ac:dyDescent="0.25">
      <c r="G682" s="19"/>
    </row>
    <row r="683" spans="7:7" ht="15.75" customHeight="1" x14ac:dyDescent="0.25">
      <c r="G683" s="19"/>
    </row>
    <row r="684" spans="7:7" ht="15.75" customHeight="1" x14ac:dyDescent="0.25">
      <c r="G684" s="19"/>
    </row>
    <row r="685" spans="7:7" ht="15.75" customHeight="1" x14ac:dyDescent="0.25">
      <c r="G685" s="19"/>
    </row>
    <row r="686" spans="7:7" ht="15.75" customHeight="1" x14ac:dyDescent="0.25">
      <c r="G686" s="19"/>
    </row>
    <row r="687" spans="7:7" ht="15.75" customHeight="1" x14ac:dyDescent="0.25">
      <c r="G687" s="19"/>
    </row>
    <row r="688" spans="7:7" ht="15.75" customHeight="1" x14ac:dyDescent="0.25">
      <c r="G688" s="19"/>
    </row>
    <row r="689" spans="7:7" ht="15.75" customHeight="1" x14ac:dyDescent="0.25">
      <c r="G689" s="19"/>
    </row>
    <row r="690" spans="7:7" ht="15.75" customHeight="1" x14ac:dyDescent="0.25">
      <c r="G690" s="19"/>
    </row>
    <row r="691" spans="7:7" ht="15.75" customHeight="1" x14ac:dyDescent="0.25">
      <c r="G691" s="19"/>
    </row>
    <row r="692" spans="7:7" ht="15.75" customHeight="1" x14ac:dyDescent="0.25">
      <c r="G692" s="19"/>
    </row>
    <row r="693" spans="7:7" ht="15.75" customHeight="1" x14ac:dyDescent="0.25">
      <c r="G693" s="19"/>
    </row>
    <row r="694" spans="7:7" ht="15.75" customHeight="1" x14ac:dyDescent="0.25">
      <c r="G694" s="19"/>
    </row>
    <row r="695" spans="7:7" ht="15.75" customHeight="1" x14ac:dyDescent="0.25">
      <c r="G695" s="19"/>
    </row>
    <row r="696" spans="7:7" ht="15.75" customHeight="1" x14ac:dyDescent="0.25">
      <c r="G696" s="19"/>
    </row>
    <row r="697" spans="7:7" ht="15.75" customHeight="1" x14ac:dyDescent="0.25">
      <c r="G697" s="19"/>
    </row>
    <row r="698" spans="7:7" ht="15.75" customHeight="1" x14ac:dyDescent="0.25">
      <c r="G698" s="19"/>
    </row>
    <row r="699" spans="7:7" ht="15.75" customHeight="1" x14ac:dyDescent="0.25">
      <c r="G699" s="19"/>
    </row>
    <row r="700" spans="7:7" ht="15.75" customHeight="1" x14ac:dyDescent="0.25">
      <c r="G700" s="19"/>
    </row>
    <row r="701" spans="7:7" ht="15.75" customHeight="1" x14ac:dyDescent="0.25">
      <c r="G701" s="19"/>
    </row>
    <row r="702" spans="7:7" ht="15.75" customHeight="1" x14ac:dyDescent="0.25">
      <c r="G702" s="19"/>
    </row>
    <row r="703" spans="7:7" ht="15.75" customHeight="1" x14ac:dyDescent="0.25">
      <c r="G703" s="19"/>
    </row>
    <row r="704" spans="7:7" ht="15.75" customHeight="1" x14ac:dyDescent="0.25">
      <c r="G704" s="19"/>
    </row>
    <row r="705" spans="7:7" ht="15.75" customHeight="1" x14ac:dyDescent="0.25">
      <c r="G705" s="19"/>
    </row>
    <row r="706" spans="7:7" ht="15.75" customHeight="1" x14ac:dyDescent="0.25">
      <c r="G706" s="19"/>
    </row>
    <row r="707" spans="7:7" ht="15.75" customHeight="1" x14ac:dyDescent="0.25">
      <c r="G707" s="19"/>
    </row>
    <row r="708" spans="7:7" ht="15.75" customHeight="1" x14ac:dyDescent="0.25">
      <c r="G708" s="19"/>
    </row>
    <row r="709" spans="7:7" ht="15.75" customHeight="1" x14ac:dyDescent="0.25">
      <c r="G709" s="19"/>
    </row>
    <row r="710" spans="7:7" ht="15.75" customHeight="1" x14ac:dyDescent="0.25">
      <c r="G710" s="19"/>
    </row>
    <row r="711" spans="7:7" ht="15.75" customHeight="1" x14ac:dyDescent="0.25">
      <c r="G711" s="19"/>
    </row>
    <row r="712" spans="7:7" ht="15.75" customHeight="1" x14ac:dyDescent="0.25">
      <c r="G712" s="19"/>
    </row>
    <row r="713" spans="7:7" ht="15.75" customHeight="1" x14ac:dyDescent="0.25">
      <c r="G713" s="19"/>
    </row>
    <row r="714" spans="7:7" ht="15.75" customHeight="1" x14ac:dyDescent="0.25">
      <c r="G714" s="19"/>
    </row>
    <row r="715" spans="7:7" ht="15.75" customHeight="1" x14ac:dyDescent="0.25">
      <c r="G715" s="19"/>
    </row>
    <row r="716" spans="7:7" ht="15.75" customHeight="1" x14ac:dyDescent="0.25">
      <c r="G716" s="19"/>
    </row>
    <row r="717" spans="7:7" ht="15.75" customHeight="1" x14ac:dyDescent="0.25">
      <c r="G717" s="19"/>
    </row>
    <row r="718" spans="7:7" ht="15.75" customHeight="1" x14ac:dyDescent="0.25">
      <c r="G718" s="19"/>
    </row>
    <row r="719" spans="7:7" ht="15.75" customHeight="1" x14ac:dyDescent="0.25">
      <c r="G719" s="19"/>
    </row>
    <row r="720" spans="7:7" ht="15.75" customHeight="1" x14ac:dyDescent="0.25">
      <c r="G720" s="19"/>
    </row>
    <row r="721" spans="7:7" ht="15.75" customHeight="1" x14ac:dyDescent="0.25">
      <c r="G721" s="19"/>
    </row>
    <row r="722" spans="7:7" ht="15.75" customHeight="1" x14ac:dyDescent="0.25">
      <c r="G722" s="19"/>
    </row>
    <row r="723" spans="7:7" ht="15.75" customHeight="1" x14ac:dyDescent="0.25">
      <c r="G723" s="19"/>
    </row>
    <row r="724" spans="7:7" ht="15.75" customHeight="1" x14ac:dyDescent="0.25">
      <c r="G724" s="19"/>
    </row>
    <row r="725" spans="7:7" ht="15.75" customHeight="1" x14ac:dyDescent="0.25">
      <c r="G725" s="19"/>
    </row>
    <row r="726" spans="7:7" ht="15.75" customHeight="1" x14ac:dyDescent="0.25">
      <c r="G726" s="19"/>
    </row>
    <row r="727" spans="7:7" ht="15.75" customHeight="1" x14ac:dyDescent="0.25">
      <c r="G727" s="19"/>
    </row>
    <row r="728" spans="7:7" ht="15.75" customHeight="1" x14ac:dyDescent="0.25">
      <c r="G728" s="19"/>
    </row>
    <row r="729" spans="7:7" ht="15.75" customHeight="1" x14ac:dyDescent="0.25">
      <c r="G729" s="19"/>
    </row>
    <row r="730" spans="7:7" ht="15.75" customHeight="1" x14ac:dyDescent="0.25">
      <c r="G730" s="19"/>
    </row>
    <row r="731" spans="7:7" ht="15.75" customHeight="1" x14ac:dyDescent="0.25">
      <c r="G731" s="19"/>
    </row>
    <row r="732" spans="7:7" ht="15.75" customHeight="1" x14ac:dyDescent="0.25">
      <c r="G732" s="19"/>
    </row>
    <row r="733" spans="7:7" ht="15.75" customHeight="1" x14ac:dyDescent="0.25">
      <c r="G733" s="19"/>
    </row>
    <row r="734" spans="7:7" ht="15.75" customHeight="1" x14ac:dyDescent="0.25">
      <c r="G734" s="19"/>
    </row>
    <row r="735" spans="7:7" ht="15.75" customHeight="1" x14ac:dyDescent="0.25">
      <c r="G735" s="19"/>
    </row>
    <row r="736" spans="7:7" ht="15.75" customHeight="1" x14ac:dyDescent="0.25">
      <c r="G736" s="19"/>
    </row>
    <row r="737" spans="7:7" ht="15.75" customHeight="1" x14ac:dyDescent="0.25">
      <c r="G737" s="19"/>
    </row>
    <row r="738" spans="7:7" ht="15.75" customHeight="1" x14ac:dyDescent="0.25">
      <c r="G738" s="19"/>
    </row>
    <row r="739" spans="7:7" ht="15.75" customHeight="1" x14ac:dyDescent="0.25">
      <c r="G739" s="19"/>
    </row>
    <row r="740" spans="7:7" ht="15.75" customHeight="1" x14ac:dyDescent="0.25">
      <c r="G740" s="19"/>
    </row>
    <row r="741" spans="7:7" ht="15.75" customHeight="1" x14ac:dyDescent="0.25">
      <c r="G741" s="19"/>
    </row>
    <row r="742" spans="7:7" ht="15.75" customHeight="1" x14ac:dyDescent="0.25">
      <c r="G742" s="19"/>
    </row>
    <row r="743" spans="7:7" ht="15.75" customHeight="1" x14ac:dyDescent="0.25">
      <c r="G743" s="19"/>
    </row>
    <row r="744" spans="7:7" ht="15.75" customHeight="1" x14ac:dyDescent="0.25">
      <c r="G744" s="19"/>
    </row>
    <row r="745" spans="7:7" ht="15.75" customHeight="1" x14ac:dyDescent="0.25">
      <c r="G745" s="19"/>
    </row>
    <row r="746" spans="7:7" ht="15.75" customHeight="1" x14ac:dyDescent="0.25">
      <c r="G746" s="19"/>
    </row>
    <row r="747" spans="7:7" ht="15.75" customHeight="1" x14ac:dyDescent="0.25">
      <c r="G747" s="19"/>
    </row>
    <row r="748" spans="7:7" ht="15.75" customHeight="1" x14ac:dyDescent="0.25">
      <c r="G748" s="19"/>
    </row>
    <row r="749" spans="7:7" ht="15.75" customHeight="1" x14ac:dyDescent="0.25">
      <c r="G749" s="19"/>
    </row>
    <row r="750" spans="7:7" ht="15.75" customHeight="1" x14ac:dyDescent="0.25">
      <c r="G750" s="19"/>
    </row>
    <row r="751" spans="7:7" ht="15.75" customHeight="1" x14ac:dyDescent="0.25">
      <c r="G751" s="19"/>
    </row>
    <row r="752" spans="7:7" ht="15.75" customHeight="1" x14ac:dyDescent="0.25">
      <c r="G752" s="19"/>
    </row>
    <row r="753" spans="7:7" ht="15.75" customHeight="1" x14ac:dyDescent="0.25">
      <c r="G753" s="19"/>
    </row>
    <row r="754" spans="7:7" ht="15.75" customHeight="1" x14ac:dyDescent="0.25">
      <c r="G754" s="19"/>
    </row>
    <row r="755" spans="7:7" ht="15.75" customHeight="1" x14ac:dyDescent="0.25">
      <c r="G755" s="19"/>
    </row>
    <row r="756" spans="7:7" ht="15.75" customHeight="1" x14ac:dyDescent="0.25">
      <c r="G756" s="19"/>
    </row>
    <row r="757" spans="7:7" ht="15.75" customHeight="1" x14ac:dyDescent="0.25">
      <c r="G757" s="19"/>
    </row>
    <row r="758" spans="7:7" ht="15.75" customHeight="1" x14ac:dyDescent="0.25">
      <c r="G758" s="19"/>
    </row>
    <row r="759" spans="7:7" ht="15.75" customHeight="1" x14ac:dyDescent="0.25">
      <c r="G759" s="19"/>
    </row>
    <row r="760" spans="7:7" ht="15.75" customHeight="1" x14ac:dyDescent="0.25">
      <c r="G760" s="19"/>
    </row>
    <row r="761" spans="7:7" ht="15.75" customHeight="1" x14ac:dyDescent="0.25">
      <c r="G761" s="19"/>
    </row>
    <row r="762" spans="7:7" ht="15.75" customHeight="1" x14ac:dyDescent="0.25">
      <c r="G762" s="19"/>
    </row>
    <row r="763" spans="7:7" ht="15.75" customHeight="1" x14ac:dyDescent="0.25">
      <c r="G763" s="19"/>
    </row>
    <row r="764" spans="7:7" ht="15.75" customHeight="1" x14ac:dyDescent="0.25">
      <c r="G764" s="19"/>
    </row>
    <row r="765" spans="7:7" ht="15.75" customHeight="1" x14ac:dyDescent="0.25">
      <c r="G765" s="19"/>
    </row>
    <row r="766" spans="7:7" ht="15.75" customHeight="1" x14ac:dyDescent="0.25">
      <c r="G766" s="19"/>
    </row>
    <row r="767" spans="7:7" ht="15.75" customHeight="1" x14ac:dyDescent="0.25">
      <c r="G767" s="19"/>
    </row>
    <row r="768" spans="7:7" ht="15.75" customHeight="1" x14ac:dyDescent="0.25">
      <c r="G768" s="19"/>
    </row>
    <row r="769" spans="7:7" ht="15.75" customHeight="1" x14ac:dyDescent="0.25">
      <c r="G769" s="19"/>
    </row>
    <row r="770" spans="7:7" ht="15.75" customHeight="1" x14ac:dyDescent="0.25">
      <c r="G770" s="19"/>
    </row>
    <row r="771" spans="7:7" ht="15.75" customHeight="1" x14ac:dyDescent="0.25">
      <c r="G771" s="19"/>
    </row>
    <row r="772" spans="7:7" ht="15.75" customHeight="1" x14ac:dyDescent="0.25">
      <c r="G772" s="19"/>
    </row>
    <row r="773" spans="7:7" ht="15.75" customHeight="1" x14ac:dyDescent="0.25">
      <c r="G773" s="19"/>
    </row>
    <row r="774" spans="7:7" ht="15.75" customHeight="1" x14ac:dyDescent="0.25">
      <c r="G774" s="19"/>
    </row>
    <row r="775" spans="7:7" ht="15.75" customHeight="1" x14ac:dyDescent="0.25">
      <c r="G775" s="19"/>
    </row>
    <row r="776" spans="7:7" ht="15.75" customHeight="1" x14ac:dyDescent="0.25">
      <c r="G776" s="19"/>
    </row>
    <row r="777" spans="7:7" ht="15.75" customHeight="1" x14ac:dyDescent="0.25">
      <c r="G777" s="19"/>
    </row>
    <row r="778" spans="7:7" ht="15.75" customHeight="1" x14ac:dyDescent="0.25">
      <c r="G778" s="19"/>
    </row>
    <row r="779" spans="7:7" ht="15.75" customHeight="1" x14ac:dyDescent="0.25">
      <c r="G779" s="19"/>
    </row>
    <row r="780" spans="7:7" ht="15.75" customHeight="1" x14ac:dyDescent="0.25">
      <c r="G780" s="19"/>
    </row>
    <row r="781" spans="7:7" ht="15.75" customHeight="1" x14ac:dyDescent="0.25">
      <c r="G781" s="19"/>
    </row>
    <row r="782" spans="7:7" ht="15.75" customHeight="1" x14ac:dyDescent="0.25">
      <c r="G782" s="19"/>
    </row>
    <row r="783" spans="7:7" ht="15.75" customHeight="1" x14ac:dyDescent="0.25">
      <c r="G783" s="19"/>
    </row>
    <row r="784" spans="7:7" ht="15.75" customHeight="1" x14ac:dyDescent="0.25">
      <c r="G784" s="19"/>
    </row>
    <row r="785" spans="7:7" ht="15.75" customHeight="1" x14ac:dyDescent="0.25">
      <c r="G785" s="19"/>
    </row>
    <row r="786" spans="7:7" ht="15.75" customHeight="1" x14ac:dyDescent="0.25">
      <c r="G786" s="19"/>
    </row>
    <row r="787" spans="7:7" ht="15.75" customHeight="1" x14ac:dyDescent="0.25">
      <c r="G787" s="19"/>
    </row>
    <row r="788" spans="7:7" ht="15.75" customHeight="1" x14ac:dyDescent="0.25">
      <c r="G788" s="19"/>
    </row>
    <row r="789" spans="7:7" ht="15.75" customHeight="1" x14ac:dyDescent="0.25">
      <c r="G789" s="19"/>
    </row>
    <row r="790" spans="7:7" ht="15.75" customHeight="1" x14ac:dyDescent="0.25">
      <c r="G790" s="19"/>
    </row>
    <row r="791" spans="7:7" ht="15.75" customHeight="1" x14ac:dyDescent="0.25">
      <c r="G791" s="19"/>
    </row>
    <row r="792" spans="7:7" ht="15.75" customHeight="1" x14ac:dyDescent="0.25">
      <c r="G792" s="19"/>
    </row>
    <row r="793" spans="7:7" ht="15.75" customHeight="1" x14ac:dyDescent="0.25">
      <c r="G793" s="19"/>
    </row>
    <row r="794" spans="7:7" ht="15.75" customHeight="1" x14ac:dyDescent="0.25">
      <c r="G794" s="19"/>
    </row>
    <row r="795" spans="7:7" ht="15.75" customHeight="1" x14ac:dyDescent="0.25">
      <c r="G795" s="19"/>
    </row>
    <row r="796" spans="7:7" ht="15.75" customHeight="1" x14ac:dyDescent="0.25">
      <c r="G796" s="19"/>
    </row>
    <row r="797" spans="7:7" ht="15.75" customHeight="1" x14ac:dyDescent="0.25">
      <c r="G797" s="19"/>
    </row>
    <row r="798" spans="7:7" ht="15.75" customHeight="1" x14ac:dyDescent="0.25">
      <c r="G798" s="19"/>
    </row>
    <row r="799" spans="7:7" ht="15.75" customHeight="1" x14ac:dyDescent="0.25">
      <c r="G799" s="19"/>
    </row>
    <row r="800" spans="7:7" ht="15.75" customHeight="1" x14ac:dyDescent="0.25">
      <c r="G800" s="19"/>
    </row>
    <row r="801" spans="7:7" ht="15.75" customHeight="1" x14ac:dyDescent="0.25">
      <c r="G801" s="19"/>
    </row>
    <row r="802" spans="7:7" ht="15.75" customHeight="1" x14ac:dyDescent="0.25">
      <c r="G802" s="19"/>
    </row>
    <row r="803" spans="7:7" ht="15.75" customHeight="1" x14ac:dyDescent="0.25">
      <c r="G803" s="19"/>
    </row>
    <row r="804" spans="7:7" ht="15.75" customHeight="1" x14ac:dyDescent="0.25">
      <c r="G804" s="19"/>
    </row>
    <row r="805" spans="7:7" ht="15.75" customHeight="1" x14ac:dyDescent="0.25">
      <c r="G805" s="19"/>
    </row>
    <row r="806" spans="7:7" ht="15.75" customHeight="1" x14ac:dyDescent="0.25">
      <c r="G806" s="19"/>
    </row>
    <row r="807" spans="7:7" ht="15.75" customHeight="1" x14ac:dyDescent="0.25">
      <c r="G807" s="19"/>
    </row>
    <row r="808" spans="7:7" ht="15.75" customHeight="1" x14ac:dyDescent="0.25">
      <c r="G808" s="19"/>
    </row>
    <row r="809" spans="7:7" ht="15.75" customHeight="1" x14ac:dyDescent="0.25">
      <c r="G809" s="19"/>
    </row>
    <row r="810" spans="7:7" ht="15.75" customHeight="1" x14ac:dyDescent="0.25">
      <c r="G810" s="19"/>
    </row>
    <row r="811" spans="7:7" ht="15.75" customHeight="1" x14ac:dyDescent="0.25">
      <c r="G811" s="19"/>
    </row>
    <row r="812" spans="7:7" ht="15.75" customHeight="1" x14ac:dyDescent="0.25">
      <c r="G812" s="19"/>
    </row>
    <row r="813" spans="7:7" ht="15.75" customHeight="1" x14ac:dyDescent="0.25">
      <c r="G813" s="19"/>
    </row>
    <row r="814" spans="7:7" ht="15.75" customHeight="1" x14ac:dyDescent="0.25">
      <c r="G814" s="19"/>
    </row>
    <row r="815" spans="7:7" ht="15.75" customHeight="1" x14ac:dyDescent="0.25">
      <c r="G815" s="19"/>
    </row>
    <row r="816" spans="7:7" ht="15.75" customHeight="1" x14ac:dyDescent="0.25">
      <c r="G816" s="19"/>
    </row>
    <row r="817" spans="7:7" ht="15.75" customHeight="1" x14ac:dyDescent="0.25">
      <c r="G817" s="19"/>
    </row>
    <row r="818" spans="7:7" ht="15.75" customHeight="1" x14ac:dyDescent="0.25">
      <c r="G818" s="19"/>
    </row>
    <row r="819" spans="7:7" ht="15.75" customHeight="1" x14ac:dyDescent="0.25">
      <c r="G819" s="19"/>
    </row>
    <row r="820" spans="7:7" ht="15.75" customHeight="1" x14ac:dyDescent="0.25">
      <c r="G820" s="19"/>
    </row>
    <row r="821" spans="7:7" ht="15.75" customHeight="1" x14ac:dyDescent="0.25">
      <c r="G821" s="19"/>
    </row>
    <row r="822" spans="7:7" ht="15.75" customHeight="1" x14ac:dyDescent="0.25">
      <c r="G822" s="19"/>
    </row>
    <row r="823" spans="7:7" ht="15.75" customHeight="1" x14ac:dyDescent="0.25">
      <c r="G823" s="19"/>
    </row>
    <row r="824" spans="7:7" ht="15.75" customHeight="1" x14ac:dyDescent="0.25">
      <c r="G824" s="19"/>
    </row>
    <row r="825" spans="7:7" ht="15.75" customHeight="1" x14ac:dyDescent="0.25">
      <c r="G825" s="19"/>
    </row>
    <row r="826" spans="7:7" ht="15.75" customHeight="1" x14ac:dyDescent="0.25">
      <c r="G826" s="19"/>
    </row>
    <row r="827" spans="7:7" ht="15.75" customHeight="1" x14ac:dyDescent="0.25">
      <c r="G827" s="19"/>
    </row>
    <row r="828" spans="7:7" ht="15.75" customHeight="1" x14ac:dyDescent="0.25">
      <c r="G828" s="19"/>
    </row>
    <row r="829" spans="7:7" ht="15.75" customHeight="1" x14ac:dyDescent="0.25">
      <c r="G829" s="19"/>
    </row>
    <row r="830" spans="7:7" ht="15.75" customHeight="1" x14ac:dyDescent="0.25">
      <c r="G830" s="19"/>
    </row>
    <row r="831" spans="7:7" ht="15.75" customHeight="1" x14ac:dyDescent="0.25">
      <c r="G831" s="19"/>
    </row>
    <row r="832" spans="7:7" ht="15.75" customHeight="1" x14ac:dyDescent="0.25">
      <c r="G832" s="19"/>
    </row>
    <row r="833" spans="7:7" ht="15.75" customHeight="1" x14ac:dyDescent="0.25">
      <c r="G833" s="19"/>
    </row>
    <row r="834" spans="7:7" ht="15.75" customHeight="1" x14ac:dyDescent="0.25">
      <c r="G834" s="19"/>
    </row>
    <row r="835" spans="7:7" ht="15.75" customHeight="1" x14ac:dyDescent="0.25">
      <c r="G835" s="19"/>
    </row>
    <row r="836" spans="7:7" ht="15.75" customHeight="1" x14ac:dyDescent="0.25">
      <c r="G836" s="19"/>
    </row>
    <row r="837" spans="7:7" ht="15.75" customHeight="1" x14ac:dyDescent="0.25">
      <c r="G837" s="19"/>
    </row>
    <row r="838" spans="7:7" ht="15.75" customHeight="1" x14ac:dyDescent="0.25">
      <c r="G838" s="19"/>
    </row>
    <row r="839" spans="7:7" ht="15.75" customHeight="1" x14ac:dyDescent="0.25">
      <c r="G839" s="19"/>
    </row>
    <row r="840" spans="7:7" ht="15.75" customHeight="1" x14ac:dyDescent="0.25">
      <c r="G840" s="19"/>
    </row>
    <row r="841" spans="7:7" ht="15.75" customHeight="1" x14ac:dyDescent="0.25">
      <c r="G841" s="19"/>
    </row>
    <row r="842" spans="7:7" ht="15.75" customHeight="1" x14ac:dyDescent="0.25">
      <c r="G842" s="19"/>
    </row>
    <row r="843" spans="7:7" ht="15.75" customHeight="1" x14ac:dyDescent="0.25">
      <c r="G843" s="19"/>
    </row>
    <row r="844" spans="7:7" ht="15.75" customHeight="1" x14ac:dyDescent="0.25">
      <c r="G844" s="19"/>
    </row>
    <row r="845" spans="7:7" ht="15.75" customHeight="1" x14ac:dyDescent="0.25">
      <c r="G845" s="19"/>
    </row>
    <row r="846" spans="7:7" ht="15.75" customHeight="1" x14ac:dyDescent="0.25">
      <c r="G846" s="19"/>
    </row>
    <row r="847" spans="7:7" ht="15.75" customHeight="1" x14ac:dyDescent="0.25">
      <c r="G847" s="19"/>
    </row>
    <row r="848" spans="7:7" ht="15.75" customHeight="1" x14ac:dyDescent="0.25">
      <c r="G848" s="19"/>
    </row>
    <row r="849" spans="7:7" ht="15.75" customHeight="1" x14ac:dyDescent="0.25">
      <c r="G849" s="19"/>
    </row>
    <row r="850" spans="7:7" ht="15.75" customHeight="1" x14ac:dyDescent="0.25">
      <c r="G850" s="19"/>
    </row>
    <row r="851" spans="7:7" ht="15.75" customHeight="1" x14ac:dyDescent="0.25">
      <c r="G851" s="19"/>
    </row>
    <row r="852" spans="7:7" ht="15.75" customHeight="1" x14ac:dyDescent="0.25">
      <c r="G852" s="19"/>
    </row>
    <row r="853" spans="7:7" ht="15.75" customHeight="1" x14ac:dyDescent="0.25">
      <c r="G853" s="19"/>
    </row>
    <row r="854" spans="7:7" ht="15.75" customHeight="1" x14ac:dyDescent="0.25">
      <c r="G854" s="19"/>
    </row>
    <row r="855" spans="7:7" ht="15.75" customHeight="1" x14ac:dyDescent="0.25">
      <c r="G855" s="19"/>
    </row>
    <row r="856" spans="7:7" ht="15.75" customHeight="1" x14ac:dyDescent="0.25">
      <c r="G856" s="19"/>
    </row>
    <row r="857" spans="7:7" ht="15.75" customHeight="1" x14ac:dyDescent="0.25">
      <c r="G857" s="19"/>
    </row>
    <row r="858" spans="7:7" ht="15.75" customHeight="1" x14ac:dyDescent="0.25">
      <c r="G858" s="19"/>
    </row>
    <row r="859" spans="7:7" ht="15.75" customHeight="1" x14ac:dyDescent="0.25">
      <c r="G859" s="19"/>
    </row>
    <row r="860" spans="7:7" ht="15.75" customHeight="1" x14ac:dyDescent="0.25">
      <c r="G860" s="19"/>
    </row>
    <row r="861" spans="7:7" ht="15.75" customHeight="1" x14ac:dyDescent="0.25">
      <c r="G861" s="19"/>
    </row>
    <row r="862" spans="7:7" ht="15.75" customHeight="1" x14ac:dyDescent="0.25">
      <c r="G862" s="19"/>
    </row>
    <row r="863" spans="7:7" ht="15.75" customHeight="1" x14ac:dyDescent="0.25">
      <c r="G863" s="19"/>
    </row>
    <row r="864" spans="7:7" ht="15.75" customHeight="1" x14ac:dyDescent="0.25">
      <c r="G864" s="19"/>
    </row>
    <row r="865" spans="7:7" ht="15.75" customHeight="1" x14ac:dyDescent="0.25">
      <c r="G865" s="19"/>
    </row>
    <row r="866" spans="7:7" ht="15.75" customHeight="1" x14ac:dyDescent="0.25">
      <c r="G866" s="19"/>
    </row>
    <row r="867" spans="7:7" ht="15.75" customHeight="1" x14ac:dyDescent="0.25">
      <c r="G867" s="19"/>
    </row>
    <row r="868" spans="7:7" ht="15.75" customHeight="1" x14ac:dyDescent="0.25">
      <c r="G868" s="19"/>
    </row>
    <row r="869" spans="7:7" ht="15.75" customHeight="1" x14ac:dyDescent="0.25">
      <c r="G869" s="19"/>
    </row>
    <row r="870" spans="7:7" ht="15.75" customHeight="1" x14ac:dyDescent="0.25">
      <c r="G870" s="19"/>
    </row>
    <row r="871" spans="7:7" ht="15.75" customHeight="1" x14ac:dyDescent="0.25">
      <c r="G871" s="19"/>
    </row>
    <row r="872" spans="7:7" ht="15.75" customHeight="1" x14ac:dyDescent="0.25">
      <c r="G872" s="19"/>
    </row>
    <row r="873" spans="7:7" ht="15.75" customHeight="1" x14ac:dyDescent="0.25">
      <c r="G873" s="19"/>
    </row>
    <row r="874" spans="7:7" ht="15.75" customHeight="1" x14ac:dyDescent="0.25">
      <c r="G874" s="19"/>
    </row>
    <row r="875" spans="7:7" ht="15.75" customHeight="1" x14ac:dyDescent="0.25">
      <c r="G875" s="19"/>
    </row>
    <row r="876" spans="7:7" ht="15.75" customHeight="1" x14ac:dyDescent="0.25">
      <c r="G876" s="19"/>
    </row>
    <row r="877" spans="7:7" ht="15.75" customHeight="1" x14ac:dyDescent="0.25">
      <c r="G877" s="19"/>
    </row>
    <row r="878" spans="7:7" ht="15.75" customHeight="1" x14ac:dyDescent="0.25">
      <c r="G878" s="19"/>
    </row>
    <row r="879" spans="7:7" ht="15.75" customHeight="1" x14ac:dyDescent="0.25">
      <c r="G879" s="19"/>
    </row>
    <row r="880" spans="7:7" ht="15.75" customHeight="1" x14ac:dyDescent="0.25">
      <c r="G880" s="19"/>
    </row>
    <row r="881" spans="7:7" ht="15.75" customHeight="1" x14ac:dyDescent="0.25">
      <c r="G881" s="19"/>
    </row>
    <row r="882" spans="7:7" ht="15.75" customHeight="1" x14ac:dyDescent="0.25">
      <c r="G882" s="19"/>
    </row>
    <row r="883" spans="7:7" ht="15.75" customHeight="1" x14ac:dyDescent="0.25">
      <c r="G883" s="19"/>
    </row>
    <row r="884" spans="7:7" ht="15.75" customHeight="1" x14ac:dyDescent="0.25">
      <c r="G884" s="19"/>
    </row>
    <row r="885" spans="7:7" ht="15.75" customHeight="1" x14ac:dyDescent="0.25">
      <c r="G885" s="19"/>
    </row>
    <row r="886" spans="7:7" ht="15.75" customHeight="1" x14ac:dyDescent="0.25">
      <c r="G886" s="19"/>
    </row>
    <row r="887" spans="7:7" ht="15.75" customHeight="1" x14ac:dyDescent="0.25">
      <c r="G887" s="19"/>
    </row>
    <row r="888" spans="7:7" ht="15.75" customHeight="1" x14ac:dyDescent="0.25">
      <c r="G888" s="19"/>
    </row>
    <row r="889" spans="7:7" ht="15.75" customHeight="1" x14ac:dyDescent="0.25">
      <c r="G889" s="19"/>
    </row>
    <row r="890" spans="7:7" ht="15.75" customHeight="1" x14ac:dyDescent="0.25">
      <c r="G890" s="19"/>
    </row>
    <row r="891" spans="7:7" ht="15.75" customHeight="1" x14ac:dyDescent="0.25">
      <c r="G891" s="19"/>
    </row>
  </sheetData>
  <sheetProtection algorithmName="SHA-512" hashValue="AP8xijN3F73c9RFHYaHiJzXwZ+1Ys1ztLtbEnyJu0I1M5TwSH2FrVwBBbFQn5C7IyQspAqWfSb+Ge4g884mJmg==" saltValue="Qof/jOCkkk7QzDX+nTUirw==" spinCount="100000" sheet="1" objects="1" scenarios="1"/>
  <autoFilter ref="A2:J890" xr:uid="{00000000-0009-0000-0000-000008000000}"/>
  <mergeCells count="1">
    <mergeCell ref="A1:C1"/>
  </mergeCells>
  <pageMargins left="0.7" right="0.7" top="0.75" bottom="0.75" header="0.3" footer="0.3"/>
  <pageSetup paperSize="9" orientation="portrait"/>
  <headerFooter>
    <oddHeader>&amp;L&amp;"Aptos"&amp;10&amp;K000000 TLP: GREEN&amp;1#_x000D_&amp;"Calibri"&amp;12&amp;K000000&amp;"Calibri"&amp;12&amp;K000000&amp;"Calibri"&amp;12&amp;K000000&amp;"Aptos"&amp;1 &amp;K000000 TLP: GREEN#_x000D_</oddHeader>
    <oddFooter>&amp;C&amp;"Arial"&amp;9 &amp;K000000_x000D_#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pageSetUpPr fitToPage="1"/>
  </sheetPr>
  <dimension ref="B1:O85"/>
  <sheetViews>
    <sheetView showGridLines="0" zoomScaleNormal="100" workbookViewId="0">
      <selection activeCell="B11" sqref="B11"/>
    </sheetView>
  </sheetViews>
  <sheetFormatPr defaultColWidth="9" defaultRowHeight="15" x14ac:dyDescent="0.25"/>
  <cols>
    <col min="1" max="1" width="2.125" style="243" customWidth="1"/>
    <col min="2" max="2" width="26.125" style="243" customWidth="1"/>
    <col min="3" max="3" width="32.125" style="243" customWidth="1"/>
    <col min="4" max="4" width="2" style="243" customWidth="1"/>
    <col min="5" max="5" width="10.5" style="243" customWidth="1"/>
    <col min="6" max="6" width="13.125" style="243" customWidth="1"/>
    <col min="7" max="8" width="9" style="243" customWidth="1"/>
    <col min="9" max="9" width="10.875" style="243" customWidth="1"/>
    <col min="10" max="12" width="9" style="243" customWidth="1"/>
    <col min="13" max="13" width="21.5" style="243" customWidth="1"/>
    <col min="14" max="16384" width="9" style="243"/>
  </cols>
  <sheetData>
    <row r="1" spans="2:15" ht="61.5" customHeight="1" x14ac:dyDescent="0.25">
      <c r="C1" s="398" t="s">
        <v>570</v>
      </c>
      <c r="D1" s="472"/>
      <c r="E1" s="472"/>
      <c r="F1" s="472"/>
      <c r="N1" s="244" t="s">
        <v>571</v>
      </c>
      <c r="O1" s="17" t="str">
        <f>IF(AND(ISERROR(FIND("&lt;",_xlfn.CONCAT(SoA_Vendor_FieldValidation,SoA_TestLab_FieldValidation))),_xlfn.CONCAT(SoA_Vendor_DateValidation,SoA_TestLab_DateValidation)=""),"VALID for Certification",IF(AND(ISERROR(FIND("&lt;",_xlfn.CONCAT(SoA_Vendor_FieldValidation))),_xlfn.CONCAT(SoA_Vendor_DateValidation)=""),"VALID for a VDoC","INVALID"))</f>
        <v>INVALID</v>
      </c>
    </row>
    <row r="2" spans="2:15" ht="37.5" customHeight="1" x14ac:dyDescent="0.25">
      <c r="C2" s="478" t="s">
        <v>2109</v>
      </c>
      <c r="D2" s="472"/>
      <c r="E2" s="472"/>
      <c r="F2" s="472"/>
      <c r="N2" s="244" t="s">
        <v>303</v>
      </c>
      <c r="O2" s="17" t="str">
        <f>IF(AND('Hardware Feature set'!N1="VALID",'Optional features'!F1="VALID",'Additional questions'!F1="VALID",'Other relevant settings'!F1="VALID",'Profile selection'!F1="VALID",OR('Performance Measurement'!I1="VALID",NOT(ISERROR(FIND("VDoC",O1))))),O1,"INVALID")</f>
        <v>INVALID</v>
      </c>
    </row>
    <row r="4" spans="2:15" ht="15.95" customHeight="1" thickBot="1" x14ac:dyDescent="0.3"/>
    <row r="5" spans="2:15" ht="18.95" customHeight="1" thickBot="1" x14ac:dyDescent="0.3">
      <c r="B5" s="469" t="s">
        <v>572</v>
      </c>
      <c r="C5" s="470"/>
      <c r="D5" s="470"/>
      <c r="E5" s="470"/>
      <c r="F5" s="470"/>
      <c r="G5" s="471"/>
      <c r="H5"/>
      <c r="I5" s="463" t="s">
        <v>2056</v>
      </c>
      <c r="J5" s="464"/>
      <c r="K5" s="464"/>
      <c r="L5" s="464"/>
      <c r="M5" s="465"/>
      <c r="N5"/>
    </row>
    <row r="6" spans="2:15" ht="18.75" customHeight="1" x14ac:dyDescent="0.25">
      <c r="B6" s="245" t="str">
        <f>'Hardware Feature set'!C9</f>
        <v>OCPP Software Version</v>
      </c>
      <c r="C6" s="479" t="str">
        <f>IF(ISERROR(VLOOKUP("firmwareVersion",'HIDDEN Testrun Results'!A:B,2,FALSE)),"&lt;will be filled in by testlab&gt;",VLOOKUP("firmwareVersion",'HIDDEN Testrun Results'!A:B,2,FALSE))</f>
        <v>&lt;will be filled in by testlab&gt;</v>
      </c>
      <c r="D6" s="480"/>
      <c r="E6" s="480"/>
      <c r="F6" s="480"/>
      <c r="G6" s="481"/>
      <c r="H6" s="18" t="str">
        <f>IF(ISBLANK(C6),"&lt;---- This field cannot be left empty!",IF(ISERROR(VLOOKUP("firmwareVersion",'HIDDEN Testrun Results'!A:B,2,FALSE)),"",IF(VLOOKUP("firmwareVersion",'HIDDEN Testrun Results'!A:B,2,FALSE)='Hardware Feature set'!D9,"","&lt;---- Version not matching vendor information!")))</f>
        <v/>
      </c>
      <c r="I6" s="466"/>
      <c r="J6" s="467"/>
      <c r="K6" s="467"/>
      <c r="L6" s="467"/>
      <c r="M6" s="468"/>
      <c r="N6"/>
    </row>
    <row r="7" spans="2:15" ht="18.75" customHeight="1" thickBot="1" x14ac:dyDescent="0.3">
      <c r="B7" s="246" t="s">
        <v>573</v>
      </c>
      <c r="C7" s="475" t="str">
        <f>IFERROR(VLOOKUP(SUBSTITUTE(B7," ",""),'HIDDEN Testrun Results'!$A:$B,2,FALSE),"&lt;will be filled in by testlab&gt;")</f>
        <v>&lt;will be filled in by testlab&gt;</v>
      </c>
      <c r="D7" s="476"/>
      <c r="E7" s="476"/>
      <c r="F7" s="476"/>
      <c r="G7" s="477"/>
      <c r="I7" s="420"/>
      <c r="J7" s="421"/>
      <c r="K7" s="421"/>
      <c r="L7" s="421"/>
      <c r="M7" s="422"/>
      <c r="N7"/>
    </row>
    <row r="8" spans="2:15" ht="18" customHeight="1" thickBot="1" x14ac:dyDescent="0.3">
      <c r="I8" s="423"/>
      <c r="J8" s="424"/>
      <c r="K8" s="424"/>
      <c r="L8" s="424"/>
      <c r="M8" s="425"/>
      <c r="N8"/>
    </row>
    <row r="9" spans="2:15" ht="54" customHeight="1" thickBot="1" x14ac:dyDescent="0.3">
      <c r="B9" s="455" t="s">
        <v>2053</v>
      </c>
      <c r="C9" s="456"/>
      <c r="D9" s="456"/>
      <c r="E9" s="456"/>
      <c r="F9" s="456"/>
      <c r="G9" s="457"/>
      <c r="H9" s="3"/>
      <c r="I9" s="423"/>
      <c r="J9" s="424"/>
      <c r="K9" s="424"/>
      <c r="L9" s="424"/>
      <c r="M9" s="425"/>
      <c r="N9"/>
    </row>
    <row r="10" spans="2:15" ht="16.5" customHeight="1" thickBot="1" x14ac:dyDescent="0.3">
      <c r="B10" s="247" t="s">
        <v>363</v>
      </c>
      <c r="C10" s="248" t="s">
        <v>574</v>
      </c>
      <c r="D10" s="434" t="s">
        <v>575</v>
      </c>
      <c r="E10" s="435"/>
      <c r="F10" s="248" t="s">
        <v>576</v>
      </c>
      <c r="G10" s="249" t="s">
        <v>577</v>
      </c>
      <c r="H10" s="250"/>
      <c r="I10" s="423"/>
      <c r="J10" s="424"/>
      <c r="K10" s="424"/>
      <c r="L10" s="424"/>
      <c r="M10" s="425"/>
      <c r="N10"/>
    </row>
    <row r="11" spans="2:15" ht="18" customHeight="1" x14ac:dyDescent="0.25">
      <c r="B11" s="73"/>
      <c r="C11" s="74"/>
      <c r="D11" s="453"/>
      <c r="E11" s="454"/>
      <c r="F11" s="75"/>
      <c r="G11" s="76"/>
      <c r="H11" s="252"/>
      <c r="I11" s="423"/>
      <c r="J11" s="424"/>
      <c r="K11" s="424"/>
      <c r="L11" s="424"/>
      <c r="M11" s="425"/>
      <c r="N11"/>
    </row>
    <row r="12" spans="2:15" ht="18" customHeight="1" x14ac:dyDescent="0.25">
      <c r="B12" s="23"/>
      <c r="C12" s="24"/>
      <c r="D12" s="473"/>
      <c r="E12" s="474"/>
      <c r="F12" s="25"/>
      <c r="G12" s="26"/>
      <c r="H12" s="252"/>
      <c r="I12" s="423"/>
      <c r="J12" s="424"/>
      <c r="K12" s="424"/>
      <c r="L12" s="424"/>
      <c r="M12" s="425"/>
      <c r="N12"/>
    </row>
    <row r="13" spans="2:15" ht="18" customHeight="1" x14ac:dyDescent="0.25">
      <c r="B13" s="77"/>
      <c r="C13" s="78"/>
      <c r="D13" s="451"/>
      <c r="E13" s="452"/>
      <c r="F13" s="79"/>
      <c r="G13" s="80"/>
      <c r="H13" s="252"/>
      <c r="I13" s="423"/>
      <c r="J13" s="424"/>
      <c r="K13" s="424"/>
      <c r="L13" s="424"/>
      <c r="M13" s="425"/>
      <c r="N13"/>
    </row>
    <row r="14" spans="2:15" ht="18" customHeight="1" thickBot="1" x14ac:dyDescent="0.3">
      <c r="B14" s="27"/>
      <c r="C14" s="28"/>
      <c r="D14" s="440"/>
      <c r="E14" s="441"/>
      <c r="F14" s="29"/>
      <c r="G14" s="30"/>
      <c r="H14" s="252"/>
      <c r="I14" s="426"/>
      <c r="J14" s="427"/>
      <c r="K14" s="427"/>
      <c r="L14" s="427"/>
      <c r="M14" s="428"/>
      <c r="N14"/>
    </row>
    <row r="15" spans="2:15" ht="16.5" customHeight="1" x14ac:dyDescent="0.25">
      <c r="B15" s="254"/>
      <c r="C15" s="255"/>
      <c r="D15" s="252"/>
      <c r="E15"/>
      <c r="F15" s="252"/>
      <c r="G15" s="252"/>
      <c r="H15" s="252"/>
      <c r="J15"/>
      <c r="K15"/>
      <c r="L15"/>
      <c r="M15"/>
      <c r="N15"/>
    </row>
    <row r="16" spans="2:15" ht="16.5" thickBot="1" x14ac:dyDescent="0.3">
      <c r="J16"/>
      <c r="K16"/>
      <c r="L16"/>
      <c r="M16"/>
      <c r="N16"/>
    </row>
    <row r="17" spans="2:14" ht="15.95" customHeight="1" thickBot="1" x14ac:dyDescent="0.3">
      <c r="B17" s="432" t="s">
        <v>578</v>
      </c>
      <c r="C17" s="433"/>
      <c r="I17" s="429" t="s">
        <v>2055</v>
      </c>
      <c r="J17" s="430"/>
      <c r="K17" s="430"/>
      <c r="L17" s="430"/>
      <c r="M17" s="431"/>
    </row>
    <row r="18" spans="2:14" ht="23.25" customHeight="1" x14ac:dyDescent="0.25">
      <c r="B18" s="256" t="s">
        <v>560</v>
      </c>
      <c r="C18" s="81" t="s">
        <v>580</v>
      </c>
      <c r="D18" s="18" t="str">
        <f>IF(ISBLANK(C18),"&lt;---- This field cannot be left empty!",IF(NOT(ISERROR(FIND("&lt;",C18))),"&lt;---- Please enter a valid value",""))</f>
        <v>&lt;---- Please enter a valid value</v>
      </c>
      <c r="I18" s="257" t="s">
        <v>281</v>
      </c>
      <c r="J18" s="436" t="s">
        <v>579</v>
      </c>
      <c r="K18" s="436"/>
      <c r="L18" s="436"/>
      <c r="M18" s="437"/>
      <c r="N18" s="18" t="str">
        <f>IF(ISBLANK(J18),"&lt;---- This field cannot be left empty!",IF(NOT(ISERROR(FIND("&lt;",J18))),"&lt;---- Please enter a valid date",IF(J18-IFERROR(VLOOKUP("Last test start",'HIDDEN Testrun Results'!$A:$B,2,FALSE),"0")&lt;0,"&lt;---- This date cannot be before the date of the last log file","")))</f>
        <v>&lt;---- Please enter a valid date</v>
      </c>
    </row>
    <row r="19" spans="2:14" ht="23.25" customHeight="1" x14ac:dyDescent="0.25">
      <c r="B19" s="258" t="s">
        <v>582</v>
      </c>
      <c r="C19" s="330" t="str">
        <f>'Hardware Feature set'!D4</f>
        <v>&lt;vendor company name&gt; </v>
      </c>
      <c r="D19" s="18" t="str">
        <f>IF(ISBLANK(C19),"&lt;---- This field cannot be left empty!",IF(NOT(ISERROR(FIND("&lt;",C19))),"&lt;---- Please enter a valid value",""))</f>
        <v>&lt;---- Please enter a valid value</v>
      </c>
      <c r="I19" s="411" t="s">
        <v>581</v>
      </c>
      <c r="J19" s="412"/>
      <c r="K19" s="412"/>
      <c r="L19" s="412"/>
      <c r="M19" s="413"/>
    </row>
    <row r="20" spans="2:14" ht="23.25" customHeight="1" x14ac:dyDescent="0.25">
      <c r="B20" s="259" t="s">
        <v>583</v>
      </c>
      <c r="C20" s="82" t="s">
        <v>584</v>
      </c>
      <c r="D20" s="18" t="str">
        <f>IF(ISBLANK(C20),"&lt;---- This field cannot be left empty!",IF(NOT(ISERROR(FIND("&lt;",C20))),"&lt;---- Please enter a valid value",""))</f>
        <v>&lt;---- Please enter a valid value</v>
      </c>
      <c r="I20" s="414"/>
      <c r="J20" s="415"/>
      <c r="K20" s="415"/>
      <c r="L20" s="415"/>
      <c r="M20" s="416"/>
    </row>
    <row r="21" spans="2:14" ht="23.25" customHeight="1" x14ac:dyDescent="0.25">
      <c r="B21" s="258" t="s">
        <v>585</v>
      </c>
      <c r="C21" s="16" t="s">
        <v>586</v>
      </c>
      <c r="D21" s="18" t="str">
        <f>IF(ISBLANK(C21),"&lt;---- This field cannot be left empty!",IF(NOT(ISERROR(FIND("&lt;",C21))),"&lt;---- Please enter a valid value",""))</f>
        <v>&lt;---- Please enter a valid value</v>
      </c>
      <c r="I21" s="414"/>
      <c r="J21" s="415"/>
      <c r="K21" s="415"/>
      <c r="L21" s="415"/>
      <c r="M21" s="416"/>
    </row>
    <row r="22" spans="2:14" ht="23.25" customHeight="1" thickBot="1" x14ac:dyDescent="0.3">
      <c r="B22" s="260" t="s">
        <v>587</v>
      </c>
      <c r="C22" s="83" t="s">
        <v>588</v>
      </c>
      <c r="D22" s="18" t="str">
        <f>IF(ISBLANK(C22),"&lt;---- This field cannot be left empty!",IF(NOT(ISERROR(FIND("&lt;",C22))),"&lt;---- Please enter a valid value",""))</f>
        <v>&lt;---- Please enter a valid value</v>
      </c>
      <c r="I22" s="417"/>
      <c r="J22" s="418"/>
      <c r="K22" s="418"/>
      <c r="L22" s="418"/>
      <c r="M22" s="419"/>
    </row>
    <row r="23" spans="2:14" ht="23.25" customHeight="1" x14ac:dyDescent="0.25">
      <c r="I23"/>
      <c r="J23"/>
    </row>
    <row r="24" spans="2:14" ht="23.25" customHeight="1" thickBot="1" x14ac:dyDescent="0.3"/>
    <row r="25" spans="2:14" ht="23.25" customHeight="1" thickBot="1" x14ac:dyDescent="0.3">
      <c r="B25" s="438" t="s">
        <v>589</v>
      </c>
      <c r="C25" s="439"/>
      <c r="I25" s="429" t="s">
        <v>2054</v>
      </c>
      <c r="J25" s="430"/>
      <c r="K25" s="430"/>
      <c r="L25" s="430"/>
      <c r="M25" s="431"/>
    </row>
    <row r="26" spans="2:14" ht="15.75" x14ac:dyDescent="0.25">
      <c r="B26" s="251" t="s">
        <v>590</v>
      </c>
      <c r="C26" s="266" t="s">
        <v>591</v>
      </c>
      <c r="D26" s="18" t="str">
        <f>IF(ISBLANK(C26),"&lt;---- This field cannot be left empty!",IF(NOT(ISERROR(FIND("&lt;",C26))),"&lt;---- Please enter a valid date",IF(J26-IFERROR(VLOOKUP("Last test start",'HIDDEN Testrun Results'!$A:$B,2,FALSE),"0")&lt;0,"&lt;---- This date cannot be before the date of the last log file", IF(J26&lt;C26,"&lt;---- The test performed on date cannot be earlier than the vendor signature date",""))))</f>
        <v>&lt;---- Please enter a valid date</v>
      </c>
      <c r="I26" s="261" t="s">
        <v>281</v>
      </c>
      <c r="J26" s="436" t="s">
        <v>579</v>
      </c>
      <c r="K26" s="436"/>
      <c r="L26" s="436"/>
      <c r="M26" s="437"/>
      <c r="N26" s="18" t="str">
        <f>IF(ISBLANK(J26),"&lt;---- This field cannot be left empty!",IF(NOT(ISERROR(FIND("&lt;",J26))),"&lt;---- Please enter a valid date",IF(J26-IFERROR(VLOOKUP("Last test start",'HIDDEN Testrun Results'!$A:$B,2,FALSE),"0")&lt;0,"&lt;---- This date cannot be before the date of the last log file",IF(J26&lt;J18,"&lt;---- The test lab signature date cannot be earlier than the vendor signature date",IF(J26&lt;C26,"&lt;---- The test lab signature date cannot be earlier than the test performed on date","")))))</f>
        <v>&lt;---- Please enter a valid date</v>
      </c>
    </row>
    <row r="27" spans="2:14" ht="15.75" x14ac:dyDescent="0.25">
      <c r="B27" s="262" t="s">
        <v>592</v>
      </c>
      <c r="C27" s="267" t="s">
        <v>593</v>
      </c>
      <c r="D27" s="18" t="str">
        <f>IF(ISBLANK(C27),"&lt;---- This field cannot be left empty!",IF(NOT(ISERROR(FIND("&lt;",C27))),"&lt;---- Please enter a valid value",""))</f>
        <v>&lt;---- Please enter a valid value</v>
      </c>
      <c r="I27" s="411" t="s">
        <v>581</v>
      </c>
      <c r="J27" s="412"/>
      <c r="K27" s="412"/>
      <c r="L27" s="412"/>
      <c r="M27" s="413"/>
    </row>
    <row r="28" spans="2:14" ht="15.95" customHeight="1" x14ac:dyDescent="0.25">
      <c r="B28" s="263" t="s">
        <v>594</v>
      </c>
      <c r="C28" s="268" t="s">
        <v>595</v>
      </c>
      <c r="D28" s="18" t="str">
        <f>IF(ISBLANK(C28),"&lt;---- This field cannot be left empty!",IF(NOT(ISERROR(FIND("&lt;",C28))),"&lt;---- Please enter a valid value",""))</f>
        <v>&lt;---- Please enter a valid value</v>
      </c>
      <c r="I28" s="414"/>
      <c r="J28" s="415"/>
      <c r="K28" s="415"/>
      <c r="L28" s="415"/>
      <c r="M28" s="416"/>
    </row>
    <row r="29" spans="2:14" ht="15.75" x14ac:dyDescent="0.25">
      <c r="B29" s="264" t="s">
        <v>560</v>
      </c>
      <c r="C29" s="269" t="s">
        <v>596</v>
      </c>
      <c r="D29" s="18" t="str">
        <f>IF(ISBLANK(C29),"&lt;---- This field cannot be left empty!",IF(NOT(ISERROR(FIND("&lt;",C29))),"&lt;---- Please enter a valid value",""))</f>
        <v>&lt;---- Please enter a valid value</v>
      </c>
      <c r="I29" s="414"/>
      <c r="J29" s="415"/>
      <c r="K29" s="415"/>
      <c r="L29" s="415"/>
      <c r="M29" s="416"/>
    </row>
    <row r="30" spans="2:14" ht="18" customHeight="1" x14ac:dyDescent="0.25">
      <c r="B30" s="256" t="s">
        <v>597</v>
      </c>
      <c r="C30" s="270" t="s">
        <v>598</v>
      </c>
      <c r="D30" s="18" t="str">
        <f>IF(NOT(ISERROR(FIND("&lt;",C30))),"&lt;---- Please enter a valid value or leave empty when not applicable",IF(C29=C30,"&lt;---- Reviewer cannot be the same as the lab representative, please leave empty if not applicable.",""))</f>
        <v>&lt;---- Please enter a valid value or leave empty when not applicable</v>
      </c>
      <c r="I30" s="414"/>
      <c r="J30" s="415"/>
      <c r="K30" s="415"/>
      <c r="L30" s="415"/>
      <c r="M30" s="416"/>
    </row>
    <row r="31" spans="2:14" ht="18" customHeight="1" x14ac:dyDescent="0.25">
      <c r="B31" s="258" t="s">
        <v>582</v>
      </c>
      <c r="C31" s="271" t="s">
        <v>599</v>
      </c>
      <c r="D31" s="18" t="str">
        <f>IF(ISBLANK(C31),"&lt;---- This field cannot be left empty!",IF(NOT(ISERROR(FIND("&lt;",C31))),"&lt;---- Please enter a valid value",""))</f>
        <v>&lt;---- Please enter a valid value</v>
      </c>
      <c r="I31" s="414"/>
      <c r="J31" s="415"/>
      <c r="K31" s="415"/>
      <c r="L31" s="415"/>
      <c r="M31" s="416"/>
    </row>
    <row r="32" spans="2:14" ht="18" customHeight="1" x14ac:dyDescent="0.25">
      <c r="B32" s="259" t="s">
        <v>583</v>
      </c>
      <c r="C32" s="272" t="s">
        <v>600</v>
      </c>
      <c r="D32" s="18" t="str">
        <f>IF(ISBLANK(C32),"&lt;---- This field cannot be left empty!",IF(NOT(ISERROR(FIND("&lt;",C32))),"&lt;---- Please enter a valid value",""))</f>
        <v>&lt;---- Please enter a valid value</v>
      </c>
      <c r="I32" s="414"/>
      <c r="J32" s="415"/>
      <c r="K32" s="415"/>
      <c r="L32" s="415"/>
      <c r="M32" s="416"/>
    </row>
    <row r="33" spans="2:13" ht="18" customHeight="1" x14ac:dyDescent="0.25">
      <c r="B33" s="258" t="s">
        <v>585</v>
      </c>
      <c r="C33" s="271" t="s">
        <v>601</v>
      </c>
      <c r="D33" s="18" t="str">
        <f>IF(ISBLANK(C33),"&lt;---- This field cannot be left empty!",IF(NOT(ISERROR(FIND("&lt;",C33))),"&lt;---- Please enter a valid value",""))</f>
        <v>&lt;---- Please enter a valid value</v>
      </c>
      <c r="I33" s="414"/>
      <c r="J33" s="415"/>
      <c r="K33" s="415"/>
      <c r="L33" s="415"/>
      <c r="M33" s="416"/>
    </row>
    <row r="34" spans="2:13" ht="15.95" customHeight="1" thickBot="1" x14ac:dyDescent="0.3">
      <c r="B34" s="260" t="s">
        <v>587</v>
      </c>
      <c r="C34" s="273" t="s">
        <v>602</v>
      </c>
      <c r="D34" s="18" t="str">
        <f>IF(ISBLANK(C34),"&lt;---- This field cannot be left empty!",IF(NOT(ISERROR(FIND("&lt;",C34))),"&lt;---- Please enter a valid value",""))</f>
        <v>&lt;---- Please enter a valid value</v>
      </c>
      <c r="I34" s="417"/>
      <c r="J34" s="418"/>
      <c r="K34" s="418"/>
      <c r="L34" s="418"/>
      <c r="M34" s="419"/>
    </row>
    <row r="35" spans="2:13" ht="36" customHeight="1" thickBot="1" x14ac:dyDescent="0.3">
      <c r="I35"/>
      <c r="J35"/>
    </row>
    <row r="36" spans="2:13" ht="19.5" thickBot="1" x14ac:dyDescent="0.3">
      <c r="B36" s="458" t="s">
        <v>603</v>
      </c>
      <c r="C36" s="459"/>
    </row>
    <row r="37" spans="2:13" ht="15.95" customHeight="1" x14ac:dyDescent="0.25">
      <c r="B37" s="251" t="s">
        <v>604</v>
      </c>
      <c r="C37" s="274" t="str">
        <f>IF(IFERROR(VLOOKUP(SUBSTITUTE(B37," ",""),'HIDDEN Testrun Results'!$A:$B,2,FALSE),"&lt;will be filled in by testlab&gt;")="&lt;will be filled in by testlab&gt;","&lt;will be filled in by testlab&gt;",SUBSTITUTE(VLOOKUP(SUBSTITUTE(B37," ",""),'HIDDEN Testrun Results'!$A:$B,2,FALSE)," ",", "))</f>
        <v>&lt;will be filled in by testlab&gt;</v>
      </c>
    </row>
    <row r="38" spans="2:13" ht="15.95" customHeight="1" x14ac:dyDescent="0.25">
      <c r="B38" s="253" t="s">
        <v>605</v>
      </c>
      <c r="C38" s="275" t="str">
        <f>IFERROR(VLOOKUP(SUBSTITUTE(B38," ",""),'HIDDEN Testrun Results'!$A:$B,2,FALSE),"&lt;will be filled in by testlab&gt;")</f>
        <v>&lt;will be filled in by testlab&gt;</v>
      </c>
    </row>
    <row r="39" spans="2:13" ht="15.95" customHeight="1" thickBot="1" x14ac:dyDescent="0.3">
      <c r="B39" s="265" t="s">
        <v>606</v>
      </c>
      <c r="C39" s="276" t="str">
        <f>ConfigID_value</f>
        <v>8DB8D72D-7020D66C</v>
      </c>
    </row>
    <row r="40" spans="2:13" ht="15.95" customHeight="1" x14ac:dyDescent="0.25"/>
    <row r="41" spans="2:13" ht="15.95" customHeight="1" thickBot="1" x14ac:dyDescent="0.3"/>
    <row r="42" spans="2:13" ht="19.5" thickBot="1" x14ac:dyDescent="0.35">
      <c r="B42" s="460" t="s">
        <v>607</v>
      </c>
      <c r="C42" s="461"/>
      <c r="D42" s="461"/>
      <c r="E42" s="461"/>
      <c r="F42" s="462"/>
    </row>
    <row r="43" spans="2:13" ht="15.95" customHeight="1" thickBot="1" x14ac:dyDescent="0.3">
      <c r="B43" s="442"/>
      <c r="C43" s="443"/>
      <c r="D43" s="443"/>
      <c r="E43" s="443"/>
      <c r="F43" s="444"/>
    </row>
    <row r="44" spans="2:13" ht="15.95" customHeight="1" x14ac:dyDescent="0.25">
      <c r="B44" s="445"/>
      <c r="C44" s="446"/>
      <c r="D44" s="446"/>
      <c r="E44" s="446"/>
      <c r="F44" s="447"/>
    </row>
    <row r="45" spans="2:13" ht="15.95" customHeight="1" x14ac:dyDescent="0.25">
      <c r="B45" s="445"/>
      <c r="C45" s="446"/>
      <c r="D45" s="446"/>
      <c r="E45" s="446"/>
      <c r="F45" s="447"/>
    </row>
    <row r="46" spans="2:13" ht="15.95" customHeight="1" x14ac:dyDescent="0.25">
      <c r="B46" s="445"/>
      <c r="C46" s="446"/>
      <c r="D46" s="446"/>
      <c r="E46" s="446"/>
      <c r="F46" s="447"/>
    </row>
    <row r="47" spans="2:13" ht="15.95" customHeight="1" x14ac:dyDescent="0.25">
      <c r="B47" s="445"/>
      <c r="C47" s="446"/>
      <c r="D47" s="446"/>
      <c r="E47" s="446"/>
      <c r="F47" s="447"/>
    </row>
    <row r="48" spans="2:13" ht="15.95" customHeight="1" x14ac:dyDescent="0.25">
      <c r="B48" s="445"/>
      <c r="C48" s="446"/>
      <c r="D48" s="446"/>
      <c r="E48" s="446"/>
      <c r="F48" s="447"/>
    </row>
    <row r="49" spans="2:6" ht="15.95" customHeight="1" x14ac:dyDescent="0.25">
      <c r="B49" s="445"/>
      <c r="C49" s="446"/>
      <c r="D49" s="446"/>
      <c r="E49" s="446"/>
      <c r="F49" s="447"/>
    </row>
    <row r="50" spans="2:6" ht="15.95" customHeight="1" x14ac:dyDescent="0.25">
      <c r="B50" s="445"/>
      <c r="C50" s="446"/>
      <c r="D50" s="446"/>
      <c r="E50" s="446"/>
      <c r="F50" s="447"/>
    </row>
    <row r="51" spans="2:6" ht="15.95" customHeight="1" x14ac:dyDescent="0.25">
      <c r="B51" s="445"/>
      <c r="C51" s="446"/>
      <c r="D51" s="446"/>
      <c r="E51" s="446"/>
      <c r="F51" s="447"/>
    </row>
    <row r="52" spans="2:6" ht="15.95" customHeight="1" x14ac:dyDescent="0.25">
      <c r="B52" s="445"/>
      <c r="C52" s="446"/>
      <c r="D52" s="446"/>
      <c r="E52" s="446"/>
      <c r="F52" s="447"/>
    </row>
    <row r="53" spans="2:6" ht="15.95" customHeight="1" x14ac:dyDescent="0.25">
      <c r="B53" s="445"/>
      <c r="C53" s="446"/>
      <c r="D53" s="446"/>
      <c r="E53" s="446"/>
      <c r="F53" s="447"/>
    </row>
    <row r="54" spans="2:6" ht="15.95" customHeight="1" x14ac:dyDescent="0.25">
      <c r="B54" s="445"/>
      <c r="C54" s="446"/>
      <c r="D54" s="446"/>
      <c r="E54" s="446"/>
      <c r="F54" s="447"/>
    </row>
    <row r="55" spans="2:6" ht="15.95" customHeight="1" x14ac:dyDescent="0.25">
      <c r="B55" s="445"/>
      <c r="C55" s="446"/>
      <c r="D55" s="446"/>
      <c r="E55" s="446"/>
      <c r="F55" s="447"/>
    </row>
    <row r="56" spans="2:6" ht="15.95" customHeight="1" x14ac:dyDescent="0.25">
      <c r="B56" s="445"/>
      <c r="C56" s="446"/>
      <c r="D56" s="446"/>
      <c r="E56" s="446"/>
      <c r="F56" s="447"/>
    </row>
    <row r="57" spans="2:6" ht="15.95" customHeight="1" x14ac:dyDescent="0.25">
      <c r="B57" s="445"/>
      <c r="C57" s="446"/>
      <c r="D57" s="446"/>
      <c r="E57" s="446"/>
      <c r="F57" s="447"/>
    </row>
    <row r="58" spans="2:6" ht="15.95" customHeight="1" x14ac:dyDescent="0.25">
      <c r="B58" s="445"/>
      <c r="C58" s="446"/>
      <c r="D58" s="446"/>
      <c r="E58" s="446"/>
      <c r="F58" s="447"/>
    </row>
    <row r="59" spans="2:6" ht="15.95" customHeight="1" x14ac:dyDescent="0.25">
      <c r="B59" s="445"/>
      <c r="C59" s="446"/>
      <c r="D59" s="446"/>
      <c r="E59" s="446"/>
      <c r="F59" s="447"/>
    </row>
    <row r="60" spans="2:6" ht="15.95" customHeight="1" x14ac:dyDescent="0.25">
      <c r="B60" s="445"/>
      <c r="C60" s="446"/>
      <c r="D60" s="446"/>
      <c r="E60" s="446"/>
      <c r="F60" s="447"/>
    </row>
    <row r="61" spans="2:6" ht="15.95" customHeight="1" x14ac:dyDescent="0.25">
      <c r="B61" s="445"/>
      <c r="C61" s="446"/>
      <c r="D61" s="446"/>
      <c r="E61" s="446"/>
      <c r="F61" s="447"/>
    </row>
    <row r="62" spans="2:6" ht="15.95" customHeight="1" x14ac:dyDescent="0.25">
      <c r="B62" s="445"/>
      <c r="C62" s="446"/>
      <c r="D62" s="446"/>
      <c r="E62" s="446"/>
      <c r="F62" s="447"/>
    </row>
    <row r="63" spans="2:6" ht="15.95" customHeight="1" x14ac:dyDescent="0.25">
      <c r="B63" s="445"/>
      <c r="C63" s="446"/>
      <c r="D63" s="446"/>
      <c r="E63" s="446"/>
      <c r="F63" s="447"/>
    </row>
    <row r="64" spans="2:6" ht="15.95" customHeight="1" x14ac:dyDescent="0.25">
      <c r="B64" s="445"/>
      <c r="C64" s="446"/>
      <c r="D64" s="446"/>
      <c r="E64" s="446"/>
      <c r="F64" s="447"/>
    </row>
    <row r="65" spans="2:6" ht="15.95" customHeight="1" x14ac:dyDescent="0.25">
      <c r="B65" s="445"/>
      <c r="C65" s="446"/>
      <c r="D65" s="446"/>
      <c r="E65" s="446"/>
      <c r="F65" s="447"/>
    </row>
    <row r="66" spans="2:6" ht="15.95" customHeight="1" x14ac:dyDescent="0.25">
      <c r="B66" s="445"/>
      <c r="C66" s="446"/>
      <c r="D66" s="446"/>
      <c r="E66" s="446"/>
      <c r="F66" s="447"/>
    </row>
    <row r="67" spans="2:6" ht="15.95" customHeight="1" x14ac:dyDescent="0.25">
      <c r="B67" s="445"/>
      <c r="C67" s="446"/>
      <c r="D67" s="446"/>
      <c r="E67" s="446"/>
      <c r="F67" s="447"/>
    </row>
    <row r="68" spans="2:6" ht="15.95" customHeight="1" x14ac:dyDescent="0.25">
      <c r="B68" s="445"/>
      <c r="C68" s="446"/>
      <c r="D68" s="446"/>
      <c r="E68" s="446"/>
      <c r="F68" s="447"/>
    </row>
    <row r="69" spans="2:6" ht="15.95" customHeight="1" x14ac:dyDescent="0.25">
      <c r="B69" s="445"/>
      <c r="C69" s="446"/>
      <c r="D69" s="446"/>
      <c r="E69" s="446"/>
      <c r="F69" s="447"/>
    </row>
    <row r="70" spans="2:6" ht="15.95" customHeight="1" x14ac:dyDescent="0.25">
      <c r="B70" s="445"/>
      <c r="C70" s="446"/>
      <c r="D70" s="446"/>
      <c r="E70" s="446"/>
      <c r="F70" s="447"/>
    </row>
    <row r="71" spans="2:6" ht="15.95" customHeight="1" x14ac:dyDescent="0.25">
      <c r="B71" s="445"/>
      <c r="C71" s="446"/>
      <c r="D71" s="446"/>
      <c r="E71" s="446"/>
      <c r="F71" s="447"/>
    </row>
    <row r="72" spans="2:6" ht="15.95" customHeight="1" x14ac:dyDescent="0.25">
      <c r="B72" s="445"/>
      <c r="C72" s="446"/>
      <c r="D72" s="446"/>
      <c r="E72" s="446"/>
      <c r="F72" s="447"/>
    </row>
    <row r="73" spans="2:6" ht="15.95" customHeight="1" x14ac:dyDescent="0.25">
      <c r="B73" s="445"/>
      <c r="C73" s="446"/>
      <c r="D73" s="446"/>
      <c r="E73" s="446"/>
      <c r="F73" s="447"/>
    </row>
    <row r="74" spans="2:6" ht="15.95" customHeight="1" x14ac:dyDescent="0.25">
      <c r="B74" s="445"/>
      <c r="C74" s="446"/>
      <c r="D74" s="446"/>
      <c r="E74" s="446"/>
      <c r="F74" s="447"/>
    </row>
    <row r="75" spans="2:6" ht="15.95" customHeight="1" x14ac:dyDescent="0.25">
      <c r="B75" s="445"/>
      <c r="C75" s="446"/>
      <c r="D75" s="446"/>
      <c r="E75" s="446"/>
      <c r="F75" s="447"/>
    </row>
    <row r="76" spans="2:6" ht="15.95" customHeight="1" x14ac:dyDescent="0.25">
      <c r="B76" s="445"/>
      <c r="C76" s="446"/>
      <c r="D76" s="446"/>
      <c r="E76" s="446"/>
      <c r="F76" s="447"/>
    </row>
    <row r="77" spans="2:6" ht="15.95" customHeight="1" x14ac:dyDescent="0.25">
      <c r="B77" s="445"/>
      <c r="C77" s="446"/>
      <c r="D77" s="446"/>
      <c r="E77" s="446"/>
      <c r="F77" s="447"/>
    </row>
    <row r="78" spans="2:6" ht="15.95" customHeight="1" x14ac:dyDescent="0.25">
      <c r="B78" s="445"/>
      <c r="C78" s="446"/>
      <c r="D78" s="446"/>
      <c r="E78" s="446"/>
      <c r="F78" s="447"/>
    </row>
    <row r="79" spans="2:6" x14ac:dyDescent="0.25">
      <c r="B79" s="445"/>
      <c r="C79" s="446"/>
      <c r="D79" s="446"/>
      <c r="E79" s="446"/>
      <c r="F79" s="447"/>
    </row>
    <row r="80" spans="2:6" x14ac:dyDescent="0.25">
      <c r="B80" s="445"/>
      <c r="C80" s="446"/>
      <c r="D80" s="446"/>
      <c r="E80" s="446"/>
      <c r="F80" s="447"/>
    </row>
    <row r="81" spans="2:6" x14ac:dyDescent="0.25">
      <c r="B81" s="445"/>
      <c r="C81" s="446"/>
      <c r="D81" s="446"/>
      <c r="E81" s="446"/>
      <c r="F81" s="447"/>
    </row>
    <row r="82" spans="2:6" x14ac:dyDescent="0.25">
      <c r="B82" s="445"/>
      <c r="C82" s="446"/>
      <c r="D82" s="446"/>
      <c r="E82" s="446"/>
      <c r="F82" s="447"/>
    </row>
    <row r="83" spans="2:6" x14ac:dyDescent="0.25">
      <c r="B83" s="445"/>
      <c r="C83" s="446"/>
      <c r="D83" s="446"/>
      <c r="E83" s="446"/>
      <c r="F83" s="447"/>
    </row>
    <row r="84" spans="2:6" x14ac:dyDescent="0.25">
      <c r="B84" s="445"/>
      <c r="C84" s="446"/>
      <c r="D84" s="446"/>
      <c r="E84" s="446"/>
      <c r="F84" s="447"/>
    </row>
    <row r="85" spans="2:6" ht="15.75" thickBot="1" x14ac:dyDescent="0.3">
      <c r="B85" s="448"/>
      <c r="C85" s="449"/>
      <c r="D85" s="449"/>
      <c r="E85" s="449"/>
      <c r="F85" s="450"/>
    </row>
  </sheetData>
  <sheetProtection algorithmName="SHA-512" hashValue="5oBlu2bgqMoUohDJDnBC8/bQ4Z9t8dUvmv/O+jIZg+loaGPWAGyqFCnlZuXYt2yl0iT+8OGqDoWrrWy7OWgzAQ==" saltValue="pMkbcu5TdF3NpITR2lc+jA==" spinCount="100000" sheet="1" objects="1" scenarios="1"/>
  <mergeCells count="24">
    <mergeCell ref="I5:M6"/>
    <mergeCell ref="B5:G5"/>
    <mergeCell ref="I17:M17"/>
    <mergeCell ref="C1:F1"/>
    <mergeCell ref="D12:E12"/>
    <mergeCell ref="C7:G7"/>
    <mergeCell ref="C2:F2"/>
    <mergeCell ref="C6:G6"/>
    <mergeCell ref="B43:F85"/>
    <mergeCell ref="D13:E13"/>
    <mergeCell ref="D11:E11"/>
    <mergeCell ref="B9:G9"/>
    <mergeCell ref="B36:C36"/>
    <mergeCell ref="B42:F42"/>
    <mergeCell ref="I27:M34"/>
    <mergeCell ref="I19:M22"/>
    <mergeCell ref="I7:M14"/>
    <mergeCell ref="I25:M25"/>
    <mergeCell ref="B17:C17"/>
    <mergeCell ref="D10:E10"/>
    <mergeCell ref="J26:M26"/>
    <mergeCell ref="J18:M18"/>
    <mergeCell ref="B25:C25"/>
    <mergeCell ref="D14:E14"/>
  </mergeCells>
  <conditionalFormatting sqref="O1:O2">
    <cfRule type="cellIs" dxfId="5" priority="1" operator="equal">
      <formula>"VALID for a VDoC"</formula>
    </cfRule>
    <cfRule type="cellIs" dxfId="4" priority="2" operator="equal">
      <formula>"INVALID"</formula>
    </cfRule>
    <cfRule type="cellIs" dxfId="3" priority="3" operator="equal">
      <formula>"VALID for Certification"</formula>
    </cfRule>
  </conditionalFormatting>
  <dataValidations count="4">
    <dataValidation type="date" operator="greaterThan" allowBlank="1" showInputMessage="1" showErrorMessage="1" sqref="C26 J18 J26" xr:uid="{00000000-0002-0000-0900-000000000000}">
      <formula1>45108</formula1>
    </dataValidation>
    <dataValidation type="list" allowBlank="1" showInputMessage="1" showErrorMessage="1" sqref="F11:F15" xr:uid="{00000000-0002-0000-0900-000001000000}">
      <formula1>"Inbound,Outbound"</formula1>
    </dataValidation>
    <dataValidation type="list" allowBlank="1" showInputMessage="1" showErrorMessage="1" sqref="G11:H15" xr:uid="{00000000-0002-0000-0900-000002000000}">
      <formula1>"Yes,No"</formula1>
    </dataValidation>
    <dataValidation type="whole" allowBlank="1" showInputMessage="1" showErrorMessage="1" sqref="D11:E15" xr:uid="{00000000-0002-0000-0900-000003000000}">
      <formula1>1</formula1>
      <formula2>65535</formula2>
    </dataValidation>
  </dataValidations>
  <pageMargins left="0.7" right="0.7" top="0.75" bottom="0.75" header="0.3" footer="0.3"/>
  <pageSetup scale="77" orientation="portrait"/>
  <headerFooter>
    <oddHeader>&amp;L&amp;"Aptos"&amp;10&amp;K000000 TLP: GREEN&amp;1#_x000D_&amp;"Calibri"&amp;12&amp;K000000&amp;"Calibri"&amp;12&amp;K000000&amp;"Calibri"&amp;12&amp;K000000&amp;"Aptos"&amp;1 &amp;K000000 TLP: GREEN#_x000D_</oddHeader>
    <oddFooter>&amp;C&amp;"Arial"&amp;9 &amp;K000000_x000D_# Internal</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5A775-E305-944B-A9F1-EA428090A479}">
  <dimension ref="B3:M51"/>
  <sheetViews>
    <sheetView workbookViewId="0">
      <selection activeCell="C4" sqref="C4"/>
    </sheetView>
  </sheetViews>
  <sheetFormatPr defaultColWidth="11" defaultRowHeight="15.75" x14ac:dyDescent="0.25"/>
  <cols>
    <col min="2" max="2" width="41" bestFit="1" customWidth="1"/>
    <col min="3" max="3" width="44.125" bestFit="1" customWidth="1"/>
  </cols>
  <sheetData>
    <row r="3" spans="2:13" ht="15.95" customHeight="1" x14ac:dyDescent="0.25">
      <c r="B3" s="484" t="s">
        <v>1</v>
      </c>
      <c r="C3" s="485"/>
      <c r="F3" s="486" t="s">
        <v>307</v>
      </c>
      <c r="G3" s="487"/>
      <c r="H3" s="487"/>
      <c r="I3" s="487"/>
      <c r="J3" s="487"/>
      <c r="K3" s="488"/>
    </row>
    <row r="4" spans="2:13" ht="15.95" customHeight="1" x14ac:dyDescent="0.25">
      <c r="B4" s="335" t="s">
        <v>5</v>
      </c>
      <c r="C4" s="336" t="str">
        <f>'Profile selection'!C4</f>
        <v>Yes</v>
      </c>
      <c r="F4" s="355" t="s">
        <v>316</v>
      </c>
      <c r="G4" s="356" t="s">
        <v>317</v>
      </c>
      <c r="H4" s="356" t="s">
        <v>318</v>
      </c>
      <c r="I4" s="356" t="s">
        <v>319</v>
      </c>
      <c r="J4" s="356" t="s">
        <v>320</v>
      </c>
      <c r="K4" s="357" t="s">
        <v>321</v>
      </c>
    </row>
    <row r="5" spans="2:13" x14ac:dyDescent="0.25">
      <c r="B5" s="337" t="s">
        <v>217</v>
      </c>
      <c r="C5" s="338" t="str">
        <f>'Profile selection'!C5</f>
        <v>Yes</v>
      </c>
      <c r="F5" s="343">
        <f>IF('Hardware Feature set'!G6="", "", 'Hardware Feature set'!G6)</f>
        <v>1</v>
      </c>
      <c r="G5" s="344" t="str">
        <f>IF('Hardware Feature set'!H6="", "", 'Hardware Feature set'!H6)</f>
        <v/>
      </c>
      <c r="H5" s="344" t="str">
        <f>IF('Hardware Feature set'!I6="", "", 'Hardware Feature set'!I6)</f>
        <v/>
      </c>
      <c r="I5" s="344" t="str">
        <f>IF('Hardware Feature set'!J6="", "", 'Hardware Feature set'!J6)</f>
        <v/>
      </c>
      <c r="J5" s="344" t="str">
        <f>IF('Hardware Feature set'!K6="", "", 'Hardware Feature set'!K6)</f>
        <v/>
      </c>
      <c r="K5" s="345" t="str">
        <f>IF('Hardware Feature set'!L6="", "", 'Hardware Feature set'!L6)</f>
        <v/>
      </c>
    </row>
    <row r="6" spans="2:13" x14ac:dyDescent="0.25">
      <c r="B6" s="341" t="s">
        <v>228</v>
      </c>
      <c r="C6" s="342" t="str">
        <f>'Profile selection'!C6</f>
        <v>No</v>
      </c>
      <c r="F6" s="349" t="str">
        <f>IF('Hardware Feature set'!G7="", "", 'Hardware Feature set'!G7)</f>
        <v/>
      </c>
      <c r="G6" s="350" t="str">
        <f>IF('Hardware Feature set'!H7="", "", 'Hardware Feature set'!H7)</f>
        <v/>
      </c>
      <c r="H6" s="350" t="str">
        <f>IF('Hardware Feature set'!I7="", "", 'Hardware Feature set'!I7)</f>
        <v/>
      </c>
      <c r="I6" s="350" t="str">
        <f>IF('Hardware Feature set'!J7="", "", 'Hardware Feature set'!J7)</f>
        <v/>
      </c>
      <c r="J6" s="350" t="str">
        <f>IF('Hardware Feature set'!K7="", "", 'Hardware Feature set'!K7)</f>
        <v/>
      </c>
      <c r="K6" s="351" t="str">
        <f>IF('Hardware Feature set'!L7="", "", 'Hardware Feature set'!L7)</f>
        <v/>
      </c>
    </row>
    <row r="7" spans="2:13" x14ac:dyDescent="0.25">
      <c r="B7" s="337" t="s">
        <v>369</v>
      </c>
      <c r="C7" s="338" t="str">
        <f>'Profile selection'!C7</f>
        <v>No</v>
      </c>
      <c r="F7" s="346" t="str">
        <f>IF('Hardware Feature set'!G8="", "", 'Hardware Feature set'!G8)</f>
        <v/>
      </c>
      <c r="G7" s="347" t="str">
        <f>IF('Hardware Feature set'!H8="", "", 'Hardware Feature set'!H8)</f>
        <v/>
      </c>
      <c r="H7" s="347" t="str">
        <f>IF('Hardware Feature set'!I8="", "", 'Hardware Feature set'!I8)</f>
        <v/>
      </c>
      <c r="I7" s="347" t="str">
        <f>IF('Hardware Feature set'!J8="", "", 'Hardware Feature set'!J8)</f>
        <v/>
      </c>
      <c r="J7" s="347" t="str">
        <f>IF('Hardware Feature set'!K8="", "", 'Hardware Feature set'!K8)</f>
        <v/>
      </c>
      <c r="K7" s="348" t="str">
        <f>IF('Hardware Feature set'!L8="", "", 'Hardware Feature set'!L8)</f>
        <v/>
      </c>
    </row>
    <row r="8" spans="2:13" ht="15.95" customHeight="1" x14ac:dyDescent="0.25">
      <c r="B8" s="341" t="s">
        <v>275</v>
      </c>
      <c r="C8" s="342" t="str">
        <f>'Profile selection'!C8</f>
        <v>No</v>
      </c>
      <c r="F8" s="349" t="str">
        <f>IF('Hardware Feature set'!G9="", "", 'Hardware Feature set'!G9)</f>
        <v/>
      </c>
      <c r="G8" s="350" t="str">
        <f>IF('Hardware Feature set'!H9="", "", 'Hardware Feature set'!H9)</f>
        <v/>
      </c>
      <c r="H8" s="350" t="str">
        <f>IF('Hardware Feature set'!I9="", "", 'Hardware Feature set'!I9)</f>
        <v/>
      </c>
      <c r="I8" s="350" t="str">
        <f>IF('Hardware Feature set'!J9="", "", 'Hardware Feature set'!J9)</f>
        <v/>
      </c>
      <c r="J8" s="350" t="str">
        <f>IF('Hardware Feature set'!K9="", "", 'Hardware Feature set'!K9)</f>
        <v/>
      </c>
      <c r="K8" s="351" t="str">
        <f>IF('Hardware Feature set'!L9="", "", 'Hardware Feature set'!L9)</f>
        <v/>
      </c>
    </row>
    <row r="9" spans="2:13" x14ac:dyDescent="0.25">
      <c r="B9" s="339" t="s">
        <v>372</v>
      </c>
      <c r="C9" s="340" t="str">
        <f>'Profile selection'!C9</f>
        <v>No</v>
      </c>
      <c r="F9" s="346" t="str">
        <f>IF('Hardware Feature set'!G10="", "", 'Hardware Feature set'!G10)</f>
        <v/>
      </c>
      <c r="G9" s="347" t="str">
        <f>IF('Hardware Feature set'!H10="", "", 'Hardware Feature set'!H10)</f>
        <v/>
      </c>
      <c r="H9" s="347" t="str">
        <f>IF('Hardware Feature set'!I10="", "", 'Hardware Feature set'!I10)</f>
        <v/>
      </c>
      <c r="I9" s="347" t="str">
        <f>IF('Hardware Feature set'!J10="", "", 'Hardware Feature set'!J10)</f>
        <v/>
      </c>
      <c r="J9" s="347" t="str">
        <f>IF('Hardware Feature set'!K10="", "", 'Hardware Feature set'!K10)</f>
        <v/>
      </c>
      <c r="K9" s="348" t="str">
        <f>IF('Hardware Feature set'!L10="", "", 'Hardware Feature set'!L10)</f>
        <v/>
      </c>
    </row>
    <row r="10" spans="2:13" x14ac:dyDescent="0.25">
      <c r="F10" s="349" t="str">
        <f>IF('Hardware Feature set'!G11="", "", 'Hardware Feature set'!G11)</f>
        <v/>
      </c>
      <c r="G10" s="350" t="str">
        <f>IF('Hardware Feature set'!H11="", "", 'Hardware Feature set'!H11)</f>
        <v/>
      </c>
      <c r="H10" s="350" t="str">
        <f>IF('Hardware Feature set'!I11="", "", 'Hardware Feature set'!I11)</f>
        <v/>
      </c>
      <c r="I10" s="350" t="str">
        <f>IF('Hardware Feature set'!J11="", "", 'Hardware Feature set'!J11)</f>
        <v/>
      </c>
      <c r="J10" s="350" t="str">
        <f>IF('Hardware Feature set'!K11="", "", 'Hardware Feature set'!K11)</f>
        <v/>
      </c>
      <c r="K10" s="351" t="str">
        <f>IF('Hardware Feature set'!L11="", "", 'Hardware Feature set'!L11)</f>
        <v/>
      </c>
    </row>
    <row r="11" spans="2:13" ht="15.95" customHeight="1" x14ac:dyDescent="0.25">
      <c r="F11" s="346" t="str">
        <f>IF('Hardware Feature set'!G12="", "", 'Hardware Feature set'!G12)</f>
        <v/>
      </c>
      <c r="G11" s="347" t="str">
        <f>IF('Hardware Feature set'!H12="", "", 'Hardware Feature set'!H12)</f>
        <v/>
      </c>
      <c r="H11" s="347" t="str">
        <f>IF('Hardware Feature set'!I12="", "", 'Hardware Feature set'!I12)</f>
        <v/>
      </c>
      <c r="I11" s="347" t="str">
        <f>IF('Hardware Feature set'!J12="", "", 'Hardware Feature set'!J12)</f>
        <v/>
      </c>
      <c r="J11" s="347" t="str">
        <f>IF('Hardware Feature set'!K12="", "", 'Hardware Feature set'!K12)</f>
        <v/>
      </c>
      <c r="K11" s="348" t="str">
        <f>IF('Hardware Feature set'!L12="", "", 'Hardware Feature set'!L12)</f>
        <v/>
      </c>
      <c r="L11" s="334"/>
      <c r="M11" s="334"/>
    </row>
    <row r="12" spans="2:13" ht="15.95" customHeight="1" x14ac:dyDescent="0.25">
      <c r="B12" s="489" t="s">
        <v>2186</v>
      </c>
      <c r="C12" s="490"/>
      <c r="F12" s="349" t="str">
        <f>IF('Hardware Feature set'!G13="", "", 'Hardware Feature set'!G13)</f>
        <v/>
      </c>
      <c r="G12" s="350" t="str">
        <f>IF('Hardware Feature set'!H13="", "", 'Hardware Feature set'!H13)</f>
        <v/>
      </c>
      <c r="H12" s="350" t="str">
        <f>IF('Hardware Feature set'!I13="", "", 'Hardware Feature set'!I13)</f>
        <v/>
      </c>
      <c r="I12" s="350" t="str">
        <f>IF('Hardware Feature set'!J13="", "", 'Hardware Feature set'!J13)</f>
        <v/>
      </c>
      <c r="J12" s="350" t="str">
        <f>IF('Hardware Feature set'!K13="", "", 'Hardware Feature set'!K13)</f>
        <v/>
      </c>
      <c r="K12" s="351" t="str">
        <f>IF('Hardware Feature set'!L13="", "", 'Hardware Feature set'!L13)</f>
        <v/>
      </c>
      <c r="M12" s="334"/>
    </row>
    <row r="13" spans="2:13" x14ac:dyDescent="0.25">
      <c r="B13" s="358" t="s">
        <v>2187</v>
      </c>
      <c r="C13" s="359" t="str">
        <f>IF(AND('Hardware Feature set'!D13="Yes",'Hardware Feature set'!D14="Yes"),"Fixed &amp;  detachable",IF('Hardware Feature set'!D13="Yes","Detachable",IF('Hardware Feature set'!D14="Yes","Fixed","")))</f>
        <v/>
      </c>
      <c r="F13" s="346" t="str">
        <f>IF('Hardware Feature set'!G14="", "", 'Hardware Feature set'!G14)</f>
        <v/>
      </c>
      <c r="G13" s="347" t="str">
        <f>IF('Hardware Feature set'!H14="", "", 'Hardware Feature set'!H14)</f>
        <v/>
      </c>
      <c r="H13" s="347" t="str">
        <f>IF('Hardware Feature set'!I14="", "", 'Hardware Feature set'!I14)</f>
        <v/>
      </c>
      <c r="I13" s="347" t="str">
        <f>IF('Hardware Feature set'!J14="", "", 'Hardware Feature set'!J14)</f>
        <v/>
      </c>
      <c r="J13" s="347" t="str">
        <f>IF('Hardware Feature set'!K14="", "", 'Hardware Feature set'!K14)</f>
        <v/>
      </c>
      <c r="K13" s="348" t="str">
        <f>IF('Hardware Feature set'!L14="", "", 'Hardware Feature set'!L14)</f>
        <v/>
      </c>
      <c r="L13" s="333"/>
      <c r="M13" s="333"/>
    </row>
    <row r="14" spans="2:13" x14ac:dyDescent="0.25">
      <c r="B14" s="364" t="s">
        <v>2092</v>
      </c>
      <c r="C14" s="365" t="str">
        <f>IF('Hardware Feature set'!D21="","",'Hardware Feature set'!D21)</f>
        <v>&lt;specify supported communication technology/ies&gt;</v>
      </c>
      <c r="F14" s="349" t="str">
        <f>IF('Hardware Feature set'!G15="", "", 'Hardware Feature set'!G15)</f>
        <v/>
      </c>
      <c r="G14" s="350" t="str">
        <f>IF('Hardware Feature set'!H15="", "", 'Hardware Feature set'!H15)</f>
        <v/>
      </c>
      <c r="H14" s="350" t="str">
        <f>IF('Hardware Feature set'!I15="", "", 'Hardware Feature set'!I15)</f>
        <v/>
      </c>
      <c r="I14" s="350" t="str">
        <f>IF('Hardware Feature set'!J15="", "", 'Hardware Feature set'!J15)</f>
        <v/>
      </c>
      <c r="J14" s="350" t="str">
        <f>IF('Hardware Feature set'!K15="", "", 'Hardware Feature set'!K15)</f>
        <v/>
      </c>
      <c r="K14" s="351" t="str">
        <f>IF('Hardware Feature set'!L15="", "", 'Hardware Feature set'!L15)</f>
        <v/>
      </c>
      <c r="L14" s="333"/>
      <c r="M14" s="333"/>
    </row>
    <row r="15" spans="2:13" x14ac:dyDescent="0.25">
      <c r="B15" s="360" t="s">
        <v>2188</v>
      </c>
      <c r="C15" s="361" t="str">
        <f>IF(COUNTIF('Optional features'!D49:D54,"Yes")+COUNTIF('Optional features'!D58:D61,"Yes")&gt;0,"Remote &amp; local","Remote  only")</f>
        <v>Remote  only</v>
      </c>
      <c r="F15" s="346" t="str">
        <f>IF('Hardware Feature set'!G16="", "", 'Hardware Feature set'!G16)</f>
        <v/>
      </c>
      <c r="G15" s="347" t="str">
        <f>IF('Hardware Feature set'!H16="", "", 'Hardware Feature set'!H16)</f>
        <v/>
      </c>
      <c r="H15" s="347" t="str">
        <f>IF('Hardware Feature set'!I16="", "", 'Hardware Feature set'!I16)</f>
        <v/>
      </c>
      <c r="I15" s="347" t="str">
        <f>IF('Hardware Feature set'!J16="", "", 'Hardware Feature set'!J16)</f>
        <v/>
      </c>
      <c r="J15" s="347" t="str">
        <f>IF('Hardware Feature set'!K16="", "", 'Hardware Feature set'!K16)</f>
        <v/>
      </c>
      <c r="K15" s="348" t="str">
        <f>IF('Hardware Feature set'!L16="", "", 'Hardware Feature set'!L16)</f>
        <v/>
      </c>
      <c r="L15" s="333"/>
      <c r="M15" s="333"/>
    </row>
    <row r="16" spans="2:13" x14ac:dyDescent="0.25">
      <c r="B16" s="364" t="s">
        <v>2189</v>
      </c>
      <c r="C16" s="365" t="str">
        <f>IF('Hardware Feature set'!D23="","",'Hardware Feature set'!D23)</f>
        <v>&lt;specify DC power level&gt;</v>
      </c>
      <c r="F16" s="349" t="str">
        <f>IF('Hardware Feature set'!G17="", "", 'Hardware Feature set'!G17)</f>
        <v/>
      </c>
      <c r="G16" s="350" t="str">
        <f>IF('Hardware Feature set'!H17="", "", 'Hardware Feature set'!H17)</f>
        <v/>
      </c>
      <c r="H16" s="350" t="str">
        <f>IF('Hardware Feature set'!I17="", "", 'Hardware Feature set'!I17)</f>
        <v/>
      </c>
      <c r="I16" s="350" t="str">
        <f>IF('Hardware Feature set'!J17="", "", 'Hardware Feature set'!J17)</f>
        <v/>
      </c>
      <c r="J16" s="350" t="str">
        <f>IF('Hardware Feature set'!K17="", "", 'Hardware Feature set'!K17)</f>
        <v/>
      </c>
      <c r="K16" s="351" t="str">
        <f>IF('Hardware Feature set'!L17="", "", 'Hardware Feature set'!L17)</f>
        <v/>
      </c>
      <c r="L16" s="333"/>
      <c r="M16" s="333"/>
    </row>
    <row r="17" spans="2:13" x14ac:dyDescent="0.25">
      <c r="B17" s="360" t="s">
        <v>6</v>
      </c>
      <c r="C17" s="361" t="str">
        <f>IF('Optional features'!D5="","",'Optional features'!D5)</f>
        <v>No</v>
      </c>
      <c r="F17" s="346" t="str">
        <f>IF('Hardware Feature set'!G18="", "", 'Hardware Feature set'!G18)</f>
        <v/>
      </c>
      <c r="G17" s="347" t="str">
        <f>IF('Hardware Feature set'!H18="", "", 'Hardware Feature set'!H18)</f>
        <v/>
      </c>
      <c r="H17" s="347" t="str">
        <f>IF('Hardware Feature set'!I18="", "", 'Hardware Feature set'!I18)</f>
        <v/>
      </c>
      <c r="I17" s="347" t="str">
        <f>IF('Hardware Feature set'!J18="", "", 'Hardware Feature set'!J18)</f>
        <v/>
      </c>
      <c r="J17" s="347" t="str">
        <f>IF('Hardware Feature set'!K18="", "", 'Hardware Feature set'!K18)</f>
        <v/>
      </c>
      <c r="K17" s="348" t="str">
        <f>IF('Hardware Feature set'!L18="", "", 'Hardware Feature set'!L18)</f>
        <v/>
      </c>
      <c r="L17" s="333"/>
      <c r="M17" s="333"/>
    </row>
    <row r="18" spans="2:13" x14ac:dyDescent="0.25">
      <c r="B18" s="364" t="s">
        <v>2190</v>
      </c>
      <c r="C18" s="365" t="str">
        <f>IF('Profile selection'!C5="Yes","3 (of 3)","2 (of  3)")</f>
        <v>3 (of 3)</v>
      </c>
      <c r="F18" s="349" t="str">
        <f>IF('Hardware Feature set'!G19="", "", 'Hardware Feature set'!G19)</f>
        <v/>
      </c>
      <c r="G18" s="350" t="str">
        <f>IF('Hardware Feature set'!H19="", "", 'Hardware Feature set'!H19)</f>
        <v/>
      </c>
      <c r="H18" s="350" t="str">
        <f>IF('Hardware Feature set'!I19="", "", 'Hardware Feature set'!I19)</f>
        <v/>
      </c>
      <c r="I18" s="350" t="str">
        <f>IF('Hardware Feature set'!J19="", "", 'Hardware Feature set'!J19)</f>
        <v/>
      </c>
      <c r="J18" s="350" t="str">
        <f>IF('Hardware Feature set'!K19="", "", 'Hardware Feature set'!K19)</f>
        <v/>
      </c>
      <c r="K18" s="351" t="str">
        <f>IF('Hardware Feature set'!L19="", "", 'Hardware Feature set'!L19)</f>
        <v/>
      </c>
      <c r="L18" s="333"/>
      <c r="M18" s="333"/>
    </row>
    <row r="19" spans="2:13" x14ac:dyDescent="0.25">
      <c r="B19" s="360" t="s">
        <v>2191</v>
      </c>
      <c r="C19" s="361" t="str">
        <f>IF('Other relevant settings'!D40="","",IF(OR(ISNUMBER(SEARCH("HTTPS",'Other relevant settings'!D40)),ISNUMBER(SEARCH("FTPS",'Other relevant settings'!D40)),ISNUMBER(SEARCH("SFTP",'Other relevant settings'!D40))),"Yes","No"))</f>
        <v>No</v>
      </c>
      <c r="F19" s="346" t="str">
        <f>IF('Hardware Feature set'!G20="", "", 'Hardware Feature set'!G20)</f>
        <v/>
      </c>
      <c r="G19" s="347" t="str">
        <f>IF('Hardware Feature set'!H20="", "", 'Hardware Feature set'!H20)</f>
        <v/>
      </c>
      <c r="H19" s="347" t="str">
        <f>IF('Hardware Feature set'!I20="", "", 'Hardware Feature set'!I20)</f>
        <v/>
      </c>
      <c r="I19" s="347" t="str">
        <f>IF('Hardware Feature set'!J20="", "", 'Hardware Feature set'!J20)</f>
        <v/>
      </c>
      <c r="J19" s="347" t="str">
        <f>IF('Hardware Feature set'!K20="", "", 'Hardware Feature set'!K20)</f>
        <v/>
      </c>
      <c r="K19" s="348" t="str">
        <f>IF('Hardware Feature set'!L20="", "", 'Hardware Feature set'!L20)</f>
        <v/>
      </c>
      <c r="L19" s="333"/>
      <c r="M19" s="333"/>
    </row>
    <row r="20" spans="2:13" x14ac:dyDescent="0.25">
      <c r="B20" s="364" t="s">
        <v>2192</v>
      </c>
      <c r="C20" s="365" t="str">
        <f>IF('Profile selection'!C8="Yes","Yes","No")</f>
        <v>No</v>
      </c>
      <c r="F20" s="349" t="str">
        <f>IF('Hardware Feature set'!G21="", "", 'Hardware Feature set'!G21)</f>
        <v/>
      </c>
      <c r="G20" s="350" t="str">
        <f>IF('Hardware Feature set'!H21="", "", 'Hardware Feature set'!H21)</f>
        <v/>
      </c>
      <c r="H20" s="350" t="str">
        <f>IF('Hardware Feature set'!I21="", "", 'Hardware Feature set'!I21)</f>
        <v/>
      </c>
      <c r="I20" s="350" t="str">
        <f>IF('Hardware Feature set'!J21="", "", 'Hardware Feature set'!J21)</f>
        <v/>
      </c>
      <c r="J20" s="350" t="str">
        <f>IF('Hardware Feature set'!K21="", "", 'Hardware Feature set'!K21)</f>
        <v/>
      </c>
      <c r="K20" s="351" t="str">
        <f>IF('Hardware Feature set'!L21="", "", 'Hardware Feature set'!L21)</f>
        <v/>
      </c>
      <c r="L20" s="333"/>
      <c r="M20" s="333"/>
    </row>
    <row r="21" spans="2:13" x14ac:dyDescent="0.25">
      <c r="B21" s="360" t="s">
        <v>2193</v>
      </c>
      <c r="C21" s="361" t="str">
        <f>IF(AND('Optional features'!D146="Yes",'Optional features'!D147="Yes"),"ISO 15118-2 &amp; ISO  15118-20",IF('Optional features'!D146="Yes","ISO  15118-2",IF('Optional features'!D147="Yes","ISO  15118-20","None")))</f>
        <v>None</v>
      </c>
      <c r="F21" s="346" t="str">
        <f>IF('Hardware Feature set'!G22="", "", 'Hardware Feature set'!G22)</f>
        <v/>
      </c>
      <c r="G21" s="347" t="str">
        <f>IF('Hardware Feature set'!H22="", "", 'Hardware Feature set'!H22)</f>
        <v/>
      </c>
      <c r="H21" s="347" t="str">
        <f>IF('Hardware Feature set'!I22="", "", 'Hardware Feature set'!I22)</f>
        <v/>
      </c>
      <c r="I21" s="347" t="str">
        <f>IF('Hardware Feature set'!J22="", "", 'Hardware Feature set'!J22)</f>
        <v/>
      </c>
      <c r="J21" s="347" t="str">
        <f>IF('Hardware Feature set'!K22="", "", 'Hardware Feature set'!K22)</f>
        <v/>
      </c>
      <c r="K21" s="348" t="str">
        <f>IF('Hardware Feature set'!L22="", "", 'Hardware Feature set'!L22)</f>
        <v/>
      </c>
    </row>
    <row r="22" spans="2:13" x14ac:dyDescent="0.25">
      <c r="B22" s="364" t="s">
        <v>2194</v>
      </c>
      <c r="C22" s="365" t="str">
        <f>IF(COUNTIF('Optional features'!D177:D180,"Yes")=0,"None",_xlfn.TEXTJOIN(", ",TRUE,IF('Optional features'!D177="Yes",'Optional features'!C177,""),IF('Optional features'!D178="Yes",'Optional features'!C178,""),IF('Optional features'!D179="Yes",'Optional features'!C179,""),IF('Optional features'!D180="Yes",'Optional features'!C180,"")))</f>
        <v>None</v>
      </c>
      <c r="F22" s="349" t="str">
        <f>IF('Hardware Feature set'!G23="", "", 'Hardware Feature set'!G23)</f>
        <v/>
      </c>
      <c r="G22" s="350" t="str">
        <f>IF('Hardware Feature set'!H23="", "", 'Hardware Feature set'!H23)</f>
        <v/>
      </c>
      <c r="H22" s="350" t="str">
        <f>IF('Hardware Feature set'!I23="", "", 'Hardware Feature set'!I23)</f>
        <v/>
      </c>
      <c r="I22" s="350" t="str">
        <f>IF('Hardware Feature set'!J23="", "", 'Hardware Feature set'!J23)</f>
        <v/>
      </c>
      <c r="J22" s="350" t="str">
        <f>IF('Hardware Feature set'!K23="", "", 'Hardware Feature set'!K23)</f>
        <v/>
      </c>
      <c r="K22" s="351" t="str">
        <f>IF('Hardware Feature set'!L23="", "", 'Hardware Feature set'!L23)</f>
        <v/>
      </c>
    </row>
    <row r="23" spans="2:13" x14ac:dyDescent="0.25">
      <c r="B23" s="362" t="s">
        <v>2195</v>
      </c>
      <c r="C23" s="363" t="str">
        <f>IF('Optional features'!D121="","",'Optional features'!D121)</f>
        <v>No</v>
      </c>
      <c r="F23" s="346" t="str">
        <f>IF('Hardware Feature set'!G24="", "", 'Hardware Feature set'!G24)</f>
        <v/>
      </c>
      <c r="G23" s="347" t="str">
        <f>IF('Hardware Feature set'!H24="", "", 'Hardware Feature set'!H24)</f>
        <v/>
      </c>
      <c r="H23" s="347" t="str">
        <f>IF('Hardware Feature set'!I24="", "", 'Hardware Feature set'!I24)</f>
        <v/>
      </c>
      <c r="I23" s="347" t="str">
        <f>IF('Hardware Feature set'!J24="", "", 'Hardware Feature set'!J24)</f>
        <v/>
      </c>
      <c r="J23" s="347" t="str">
        <f>IF('Hardware Feature set'!K24="", "", 'Hardware Feature set'!K24)</f>
        <v/>
      </c>
      <c r="K23" s="348" t="str">
        <f>IF('Hardware Feature set'!L24="", "", 'Hardware Feature set'!L24)</f>
        <v/>
      </c>
    </row>
    <row r="24" spans="2:13" x14ac:dyDescent="0.25">
      <c r="F24" s="349" t="str">
        <f>IF('Hardware Feature set'!G25="", "", 'Hardware Feature set'!G25)</f>
        <v/>
      </c>
      <c r="G24" s="350" t="str">
        <f>IF('Hardware Feature set'!H25="", "", 'Hardware Feature set'!H25)</f>
        <v/>
      </c>
      <c r="H24" s="350" t="str">
        <f>IF('Hardware Feature set'!I25="", "", 'Hardware Feature set'!I25)</f>
        <v/>
      </c>
      <c r="I24" s="350" t="str">
        <f>IF('Hardware Feature set'!J25="", "", 'Hardware Feature set'!J25)</f>
        <v/>
      </c>
      <c r="J24" s="350" t="str">
        <f>IF('Hardware Feature set'!K25="", "", 'Hardware Feature set'!K25)</f>
        <v/>
      </c>
      <c r="K24" s="351" t="str">
        <f>IF('Hardware Feature set'!L25="", "", 'Hardware Feature set'!L25)</f>
        <v/>
      </c>
    </row>
    <row r="25" spans="2:13" x14ac:dyDescent="0.25">
      <c r="F25" s="346" t="str">
        <f>IF('Hardware Feature set'!G26="", "", 'Hardware Feature set'!G26)</f>
        <v/>
      </c>
      <c r="G25" s="347" t="str">
        <f>IF('Hardware Feature set'!H26="", "", 'Hardware Feature set'!H26)</f>
        <v/>
      </c>
      <c r="H25" s="347" t="str">
        <f>IF('Hardware Feature set'!I26="", "", 'Hardware Feature set'!I26)</f>
        <v/>
      </c>
      <c r="I25" s="347" t="str">
        <f>IF('Hardware Feature set'!J26="", "", 'Hardware Feature set'!J26)</f>
        <v/>
      </c>
      <c r="J25" s="347" t="str">
        <f>IF('Hardware Feature set'!K26="", "", 'Hardware Feature set'!K26)</f>
        <v/>
      </c>
      <c r="K25" s="348" t="str">
        <f>IF('Hardware Feature set'!L26="", "", 'Hardware Feature set'!L26)</f>
        <v/>
      </c>
    </row>
    <row r="26" spans="2:13" ht="15.95" customHeight="1" x14ac:dyDescent="0.25">
      <c r="B26" s="482" t="s">
        <v>2185</v>
      </c>
      <c r="C26" s="483"/>
      <c r="F26" s="349" t="str">
        <f>IF('Hardware Feature set'!G27="", "", 'Hardware Feature set'!G27)</f>
        <v/>
      </c>
      <c r="G26" s="350" t="str">
        <f>IF('Hardware Feature set'!H27="", "", 'Hardware Feature set'!H27)</f>
        <v/>
      </c>
      <c r="H26" s="350" t="str">
        <f>IF('Hardware Feature set'!I27="", "", 'Hardware Feature set'!I27)</f>
        <v/>
      </c>
      <c r="I26" s="350" t="str">
        <f>IF('Hardware Feature set'!J27="", "", 'Hardware Feature set'!J27)</f>
        <v/>
      </c>
      <c r="J26" s="350" t="str">
        <f>IF('Hardware Feature set'!K27="", "", 'Hardware Feature set'!K27)</f>
        <v/>
      </c>
      <c r="K26" s="351" t="str">
        <f>IF('Hardware Feature set'!L27="", "", 'Hardware Feature set'!L27)</f>
        <v/>
      </c>
    </row>
    <row r="27" spans="2:13" x14ac:dyDescent="0.25">
      <c r="B27" s="366"/>
      <c r="C27" s="366"/>
      <c r="F27" s="346" t="str">
        <f>IF('Hardware Feature set'!G28="", "", 'Hardware Feature set'!G28)</f>
        <v/>
      </c>
      <c r="G27" s="347" t="str">
        <f>IF('Hardware Feature set'!H28="", "", 'Hardware Feature set'!H28)</f>
        <v/>
      </c>
      <c r="H27" s="347" t="str">
        <f>IF('Hardware Feature set'!I28="", "", 'Hardware Feature set'!I28)</f>
        <v/>
      </c>
      <c r="I27" s="347" t="str">
        <f>IF('Hardware Feature set'!J28="", "", 'Hardware Feature set'!J28)</f>
        <v/>
      </c>
      <c r="J27" s="347" t="str">
        <f>IF('Hardware Feature set'!K28="", "", 'Hardware Feature set'!K28)</f>
        <v/>
      </c>
      <c r="K27" s="348" t="str">
        <f>IF('Hardware Feature set'!L28="", "", 'Hardware Feature set'!L28)</f>
        <v/>
      </c>
    </row>
    <row r="28" spans="2:13" x14ac:dyDescent="0.25">
      <c r="B28" s="366"/>
      <c r="C28" s="366"/>
      <c r="F28" s="349" t="str">
        <f>IF('Hardware Feature set'!G29="", "", 'Hardware Feature set'!G29)</f>
        <v/>
      </c>
      <c r="G28" s="350" t="str">
        <f>IF('Hardware Feature set'!H29="", "", 'Hardware Feature set'!H29)</f>
        <v/>
      </c>
      <c r="H28" s="350" t="str">
        <f>IF('Hardware Feature set'!I29="", "", 'Hardware Feature set'!I29)</f>
        <v/>
      </c>
      <c r="I28" s="350" t="str">
        <f>IF('Hardware Feature set'!J29="", "", 'Hardware Feature set'!J29)</f>
        <v/>
      </c>
      <c r="J28" s="350" t="str">
        <f>IF('Hardware Feature set'!K29="", "", 'Hardware Feature set'!K29)</f>
        <v/>
      </c>
      <c r="K28" s="351" t="str">
        <f>IF('Hardware Feature set'!L29="", "", 'Hardware Feature set'!L29)</f>
        <v/>
      </c>
    </row>
    <row r="29" spans="2:13" x14ac:dyDescent="0.25">
      <c r="B29" s="366"/>
      <c r="C29" s="366"/>
      <c r="F29" s="346" t="str">
        <f>IF('Hardware Feature set'!G30="", "", 'Hardware Feature set'!G30)</f>
        <v/>
      </c>
      <c r="G29" s="347" t="str">
        <f>IF('Hardware Feature set'!H30="", "", 'Hardware Feature set'!H30)</f>
        <v/>
      </c>
      <c r="H29" s="347" t="str">
        <f>IF('Hardware Feature set'!I30="", "", 'Hardware Feature set'!I30)</f>
        <v/>
      </c>
      <c r="I29" s="347" t="str">
        <f>IF('Hardware Feature set'!J30="", "", 'Hardware Feature set'!J30)</f>
        <v/>
      </c>
      <c r="J29" s="347" t="str">
        <f>IF('Hardware Feature set'!K30="", "", 'Hardware Feature set'!K30)</f>
        <v/>
      </c>
      <c r="K29" s="348" t="str">
        <f>IF('Hardware Feature set'!L30="", "", 'Hardware Feature set'!L30)</f>
        <v/>
      </c>
    </row>
    <row r="30" spans="2:13" x14ac:dyDescent="0.25">
      <c r="B30" s="366"/>
      <c r="C30" s="366"/>
      <c r="F30" s="349" t="str">
        <f>IF('Hardware Feature set'!G31="", "", 'Hardware Feature set'!G31)</f>
        <v/>
      </c>
      <c r="G30" s="350" t="str">
        <f>IF('Hardware Feature set'!H31="", "", 'Hardware Feature set'!H31)</f>
        <v/>
      </c>
      <c r="H30" s="350" t="str">
        <f>IF('Hardware Feature set'!I31="", "", 'Hardware Feature set'!I31)</f>
        <v/>
      </c>
      <c r="I30" s="350" t="str">
        <f>IF('Hardware Feature set'!J31="", "", 'Hardware Feature set'!J31)</f>
        <v/>
      </c>
      <c r="J30" s="350" t="str">
        <f>IF('Hardware Feature set'!K31="", "", 'Hardware Feature set'!K31)</f>
        <v/>
      </c>
      <c r="K30" s="351" t="str">
        <f>IF('Hardware Feature set'!L31="", "", 'Hardware Feature set'!L31)</f>
        <v/>
      </c>
    </row>
    <row r="31" spans="2:13" x14ac:dyDescent="0.25">
      <c r="B31" s="366"/>
      <c r="C31" s="366"/>
      <c r="F31" s="346" t="str">
        <f>IF('Hardware Feature set'!G32="", "", 'Hardware Feature set'!G32)</f>
        <v/>
      </c>
      <c r="G31" s="347" t="str">
        <f>IF('Hardware Feature set'!H32="", "", 'Hardware Feature set'!H32)</f>
        <v/>
      </c>
      <c r="H31" s="347" t="str">
        <f>IF('Hardware Feature set'!I32="", "", 'Hardware Feature set'!I32)</f>
        <v/>
      </c>
      <c r="I31" s="347" t="str">
        <f>IF('Hardware Feature set'!J32="", "", 'Hardware Feature set'!J32)</f>
        <v/>
      </c>
      <c r="J31" s="347" t="str">
        <f>IF('Hardware Feature set'!K32="", "", 'Hardware Feature set'!K32)</f>
        <v/>
      </c>
      <c r="K31" s="348" t="str">
        <f>IF('Hardware Feature set'!L32="", "", 'Hardware Feature set'!L32)</f>
        <v/>
      </c>
    </row>
    <row r="32" spans="2:13" x14ac:dyDescent="0.25">
      <c r="B32" s="366"/>
      <c r="C32" s="366"/>
      <c r="F32" s="349" t="str">
        <f>IF('Hardware Feature set'!G33="", "", 'Hardware Feature set'!G33)</f>
        <v/>
      </c>
      <c r="G32" s="350" t="str">
        <f>IF('Hardware Feature set'!H33="", "", 'Hardware Feature set'!H33)</f>
        <v/>
      </c>
      <c r="H32" s="350" t="str">
        <f>IF('Hardware Feature set'!I33="", "", 'Hardware Feature set'!I33)</f>
        <v/>
      </c>
      <c r="I32" s="350" t="str">
        <f>IF('Hardware Feature set'!J33="", "", 'Hardware Feature set'!J33)</f>
        <v/>
      </c>
      <c r="J32" s="350" t="str">
        <f>IF('Hardware Feature set'!K33="", "", 'Hardware Feature set'!K33)</f>
        <v/>
      </c>
      <c r="K32" s="351" t="str">
        <f>IF('Hardware Feature set'!L33="", "", 'Hardware Feature set'!L33)</f>
        <v/>
      </c>
    </row>
    <row r="33" spans="2:11" x14ac:dyDescent="0.25">
      <c r="B33" s="366"/>
      <c r="C33" s="366"/>
      <c r="F33" s="346" t="str">
        <f>IF('Hardware Feature set'!G34="", "", 'Hardware Feature set'!G34)</f>
        <v/>
      </c>
      <c r="G33" s="347" t="str">
        <f>IF('Hardware Feature set'!H34="", "", 'Hardware Feature set'!H34)</f>
        <v/>
      </c>
      <c r="H33" s="347" t="str">
        <f>IF('Hardware Feature set'!I34="", "", 'Hardware Feature set'!I34)</f>
        <v/>
      </c>
      <c r="I33" s="347" t="str">
        <f>IF('Hardware Feature set'!J34="", "", 'Hardware Feature set'!J34)</f>
        <v/>
      </c>
      <c r="J33" s="347" t="str">
        <f>IF('Hardware Feature set'!K34="", "", 'Hardware Feature set'!K34)</f>
        <v/>
      </c>
      <c r="K33" s="348" t="str">
        <f>IF('Hardware Feature set'!L34="", "", 'Hardware Feature set'!L34)</f>
        <v/>
      </c>
    </row>
    <row r="34" spans="2:11" x14ac:dyDescent="0.25">
      <c r="B34" s="366"/>
      <c r="C34" s="366"/>
      <c r="F34" s="349" t="str">
        <f>IF('Hardware Feature set'!G35="", "", 'Hardware Feature set'!G35)</f>
        <v/>
      </c>
      <c r="G34" s="350" t="str">
        <f>IF('Hardware Feature set'!H35="", "", 'Hardware Feature set'!H35)</f>
        <v/>
      </c>
      <c r="H34" s="350" t="str">
        <f>IF('Hardware Feature set'!I35="", "", 'Hardware Feature set'!I35)</f>
        <v/>
      </c>
      <c r="I34" s="350" t="str">
        <f>IF('Hardware Feature set'!J35="", "", 'Hardware Feature set'!J35)</f>
        <v/>
      </c>
      <c r="J34" s="350" t="str">
        <f>IF('Hardware Feature set'!K35="", "", 'Hardware Feature set'!K35)</f>
        <v/>
      </c>
      <c r="K34" s="351" t="str">
        <f>IF('Hardware Feature set'!L35="", "", 'Hardware Feature set'!L35)</f>
        <v/>
      </c>
    </row>
    <row r="35" spans="2:11" x14ac:dyDescent="0.25">
      <c r="B35" s="366"/>
      <c r="C35" s="366"/>
      <c r="F35" s="346" t="str">
        <f>IF('Hardware Feature set'!G36="", "", 'Hardware Feature set'!G36)</f>
        <v/>
      </c>
      <c r="G35" s="347" t="str">
        <f>IF('Hardware Feature set'!H36="", "", 'Hardware Feature set'!H36)</f>
        <v/>
      </c>
      <c r="H35" s="347" t="str">
        <f>IF('Hardware Feature set'!I36="", "", 'Hardware Feature set'!I36)</f>
        <v/>
      </c>
      <c r="I35" s="347" t="str">
        <f>IF('Hardware Feature set'!J36="", "", 'Hardware Feature set'!J36)</f>
        <v/>
      </c>
      <c r="J35" s="347" t="str">
        <f>IF('Hardware Feature set'!K36="", "", 'Hardware Feature set'!K36)</f>
        <v/>
      </c>
      <c r="K35" s="348" t="str">
        <f>IF('Hardware Feature set'!L36="", "", 'Hardware Feature set'!L36)</f>
        <v/>
      </c>
    </row>
    <row r="36" spans="2:11" x14ac:dyDescent="0.25">
      <c r="B36" s="366"/>
      <c r="C36" s="366"/>
      <c r="F36" s="349" t="str">
        <f>IF('Hardware Feature set'!G37="", "", 'Hardware Feature set'!G37)</f>
        <v/>
      </c>
      <c r="G36" s="350" t="str">
        <f>IF('Hardware Feature set'!H37="", "", 'Hardware Feature set'!H37)</f>
        <v/>
      </c>
      <c r="H36" s="350" t="str">
        <f>IF('Hardware Feature set'!I37="", "", 'Hardware Feature set'!I37)</f>
        <v/>
      </c>
      <c r="I36" s="350" t="str">
        <f>IF('Hardware Feature set'!J37="", "", 'Hardware Feature set'!J37)</f>
        <v/>
      </c>
      <c r="J36" s="350" t="str">
        <f>IF('Hardware Feature set'!K37="", "", 'Hardware Feature set'!K37)</f>
        <v/>
      </c>
      <c r="K36" s="351" t="str">
        <f>IF('Hardware Feature set'!L37="", "", 'Hardware Feature set'!L37)</f>
        <v/>
      </c>
    </row>
    <row r="37" spans="2:11" x14ac:dyDescent="0.25">
      <c r="B37" s="366"/>
      <c r="C37" s="366"/>
      <c r="F37" s="346" t="str">
        <f>IF('Hardware Feature set'!G38="", "", 'Hardware Feature set'!G38)</f>
        <v/>
      </c>
      <c r="G37" s="347" t="str">
        <f>IF('Hardware Feature set'!H38="", "", 'Hardware Feature set'!H38)</f>
        <v/>
      </c>
      <c r="H37" s="347" t="str">
        <f>IF('Hardware Feature set'!I38="", "", 'Hardware Feature set'!I38)</f>
        <v/>
      </c>
      <c r="I37" s="347" t="str">
        <f>IF('Hardware Feature set'!J38="", "", 'Hardware Feature set'!J38)</f>
        <v/>
      </c>
      <c r="J37" s="347" t="str">
        <f>IF('Hardware Feature set'!K38="", "", 'Hardware Feature set'!K38)</f>
        <v/>
      </c>
      <c r="K37" s="348" t="str">
        <f>IF('Hardware Feature set'!L38="", "", 'Hardware Feature set'!L38)</f>
        <v/>
      </c>
    </row>
    <row r="38" spans="2:11" x14ac:dyDescent="0.25">
      <c r="B38" s="366"/>
      <c r="C38" s="366"/>
      <c r="F38" s="349" t="str">
        <f>IF('Hardware Feature set'!G39="", "", 'Hardware Feature set'!G39)</f>
        <v/>
      </c>
      <c r="G38" s="350" t="str">
        <f>IF('Hardware Feature set'!H39="", "", 'Hardware Feature set'!H39)</f>
        <v/>
      </c>
      <c r="H38" s="350" t="str">
        <f>IF('Hardware Feature set'!I39="", "", 'Hardware Feature set'!I39)</f>
        <v/>
      </c>
      <c r="I38" s="350" t="str">
        <f>IF('Hardware Feature set'!J39="", "", 'Hardware Feature set'!J39)</f>
        <v/>
      </c>
      <c r="J38" s="350" t="str">
        <f>IF('Hardware Feature set'!K39="", "", 'Hardware Feature set'!K39)</f>
        <v/>
      </c>
      <c r="K38" s="351" t="str">
        <f>IF('Hardware Feature set'!L39="", "", 'Hardware Feature set'!L39)</f>
        <v/>
      </c>
    </row>
    <row r="39" spans="2:11" x14ac:dyDescent="0.25">
      <c r="B39" s="366"/>
      <c r="C39" s="366"/>
      <c r="F39" s="346" t="str">
        <f>IF('Hardware Feature set'!G40="", "", 'Hardware Feature set'!G40)</f>
        <v/>
      </c>
      <c r="G39" s="347" t="str">
        <f>IF('Hardware Feature set'!H40="", "", 'Hardware Feature set'!H40)</f>
        <v/>
      </c>
      <c r="H39" s="347" t="str">
        <f>IF('Hardware Feature set'!I40="", "", 'Hardware Feature set'!I40)</f>
        <v/>
      </c>
      <c r="I39" s="347" t="str">
        <f>IF('Hardware Feature set'!J40="", "", 'Hardware Feature set'!J40)</f>
        <v/>
      </c>
      <c r="J39" s="347" t="str">
        <f>IF('Hardware Feature set'!K40="", "", 'Hardware Feature set'!K40)</f>
        <v/>
      </c>
      <c r="K39" s="348" t="str">
        <f>IF('Hardware Feature set'!L40="", "", 'Hardware Feature set'!L40)</f>
        <v/>
      </c>
    </row>
    <row r="40" spans="2:11" x14ac:dyDescent="0.25">
      <c r="B40" s="366"/>
      <c r="C40" s="366"/>
      <c r="F40" s="352" t="str">
        <f>IF('Hardware Feature set'!G41="", "", 'Hardware Feature set'!G41)</f>
        <v/>
      </c>
      <c r="G40" s="353" t="str">
        <f>IF('Hardware Feature set'!H41="", "", 'Hardware Feature set'!H41)</f>
        <v/>
      </c>
      <c r="H40" s="353" t="str">
        <f>IF('Hardware Feature set'!I41="", "", 'Hardware Feature set'!I41)</f>
        <v/>
      </c>
      <c r="I40" s="353" t="str">
        <f>IF('Hardware Feature set'!J41="", "", 'Hardware Feature set'!J41)</f>
        <v/>
      </c>
      <c r="J40" s="353" t="str">
        <f>IF('Hardware Feature set'!K41="", "", 'Hardware Feature set'!K41)</f>
        <v/>
      </c>
      <c r="K40" s="354" t="str">
        <f>IF('Hardware Feature set'!L41="", "", 'Hardware Feature set'!L41)</f>
        <v/>
      </c>
    </row>
    <row r="41" spans="2:11" x14ac:dyDescent="0.25">
      <c r="B41" s="366"/>
      <c r="C41" s="366"/>
    </row>
    <row r="42" spans="2:11" x14ac:dyDescent="0.25">
      <c r="B42" s="366"/>
      <c r="C42" s="366"/>
    </row>
    <row r="49" spans="2:6" x14ac:dyDescent="0.25">
      <c r="B49" s="317"/>
      <c r="C49" s="317"/>
      <c r="D49" s="317"/>
      <c r="E49" s="317"/>
      <c r="F49" s="317"/>
    </row>
    <row r="50" spans="2:6" ht="15.95" customHeight="1" x14ac:dyDescent="0.25"/>
    <row r="51" spans="2:6" ht="18.95" customHeight="1" x14ac:dyDescent="0.25">
      <c r="C51" s="334"/>
      <c r="D51" s="334"/>
      <c r="E51" s="334"/>
    </row>
  </sheetData>
  <sheetProtection algorithmName="SHA-512" hashValue="GdrTtKcHyZPDHeb+l9q4yEBoeqOAp00dNFYIwfGLA2kAvDreVT1bYxv1YUvxW4eXsRYy8FSe5aS9IkSqGc60Kw==" saltValue="7eDWqDimY+to52q2ERYEYA==" spinCount="100000" sheet="1" objects="1" scenarios="1"/>
  <mergeCells count="4">
    <mergeCell ref="B26:C26"/>
    <mergeCell ref="B3:C3"/>
    <mergeCell ref="F3:K3"/>
    <mergeCell ref="B12:C12"/>
  </mergeCells>
  <dataValidations count="1">
    <dataValidation type="whole" operator="greaterThanOrEqual" allowBlank="1" showInputMessage="1" showErrorMessage="1" sqref="F3 B49 F5:K40" xr:uid="{A573113B-509F-B147-905E-36E11A2B9AF6}">
      <formula1>1</formula1>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19C0332-C0F4-4442-9679-82D2FAEE87E0}">
          <x14:formula1>
            <xm:f>MD!$Q$1:$Q$34</xm:f>
          </x14:formula1>
          <xm:sqref>E49</xm:sqref>
        </x14:dataValidation>
        <x14:dataValidation type="list" allowBlank="1" showInputMessage="1" showErrorMessage="1" xr:uid="{28C176AC-75C7-C845-B054-12AA67A07AEE}">
          <x14:formula1>
            <xm:f>MD!$F$1:$F$4</xm:f>
          </x14:formula1>
          <xm:sqref>D49</xm:sqref>
        </x14:dataValidation>
        <x14:dataValidation type="list" allowBlank="1" showInputMessage="1" showErrorMessage="1" xr:uid="{A5B7F719-EBC6-ED4C-9ABF-DBE9EBF52661}">
          <x14:formula1>
            <xm:f>IF(AND($D$5="Charging Station Software Stack",COUNTA($J$41:$K$42)=0),MD!$E$1:$E$3,MD!$E$1:$E$2)</xm:f>
          </x14:formula1>
          <xm:sqref>C49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N54"/>
  <sheetViews>
    <sheetView showGridLines="0" zoomScaleNormal="100" workbookViewId="0">
      <selection activeCell="F7" sqref="F7"/>
    </sheetView>
  </sheetViews>
  <sheetFormatPr defaultColWidth="8.625" defaultRowHeight="15.75" x14ac:dyDescent="0.25"/>
  <cols>
    <col min="1" max="1" width="9.625" customWidth="1"/>
    <col min="2" max="2" width="14" customWidth="1"/>
    <col min="3" max="3" width="38.125" bestFit="1" customWidth="1"/>
    <col min="4" max="4" width="47.625" customWidth="1"/>
    <col min="5" max="5" width="3.125" customWidth="1"/>
    <col min="6" max="12" width="25.625" customWidth="1"/>
    <col min="13" max="13" width="16.125" customWidth="1"/>
    <col min="14" max="14" width="2.125" customWidth="1"/>
    <col min="15" max="15" width="28.125" customWidth="1"/>
    <col min="16" max="16" width="1.625" customWidth="1"/>
    <col min="17" max="17" width="20.625" bestFit="1" customWidth="1"/>
    <col min="18" max="18" width="21.125" bestFit="1" customWidth="1"/>
    <col min="19" max="19" width="20.125" bestFit="1" customWidth="1"/>
    <col min="20" max="20" width="21.125" customWidth="1"/>
    <col min="21" max="21" width="21.125" bestFit="1" customWidth="1"/>
    <col min="22" max="22" width="2.125" customWidth="1"/>
    <col min="23" max="24" width="22.125" customWidth="1"/>
  </cols>
  <sheetData>
    <row r="1" spans="2:13" ht="39" customHeight="1" x14ac:dyDescent="0.35">
      <c r="B1" s="391" t="s">
        <v>608</v>
      </c>
      <c r="C1" s="390"/>
      <c r="I1" s="277"/>
      <c r="J1" s="277"/>
      <c r="L1" s="278" t="str">
        <f>IF(AND('Hardware Feature set'!D15="Yes",'Hardware Feature set'!D16="Yes"),"INVALID", IF(OR(AND(OR(AND('Hardware Feature set'!D16="Yes", COUNTA(F7:F41) &lt;&gt; 20), AND('Hardware Feature set'!D15="Yes", COUNTA(F7:F41) &lt;&gt; 19)), COUNTA(F7:F41) &lt;&gt; 1), AND(OR(AND('Hardware Feature set'!D16="Yes", COUNTA(G7:G41) &lt;&gt; 20), AND('Hardware Feature set'!D15="Yes", COUNTA(G7:G41) &lt;&gt; 19)), COUNTA(G7:G41) &lt;&gt; 1), AND(OR(AND('Hardware Feature set'!D16="Yes", COUNTA(H7:H41) &lt;&gt; 20), AND('Hardware Feature set'!D15="Yes", COUNTA(H7:H41) &lt;&gt; 19)), COUNTA(H7:H41) &lt;&gt; 1), AND(OR(AND('Hardware Feature set'!D16="Yes", COUNTA(I7:I41) &lt;&gt; 20), AND('Hardware Feature set'!D15="Yes", COUNTA(I7:I41) &lt;&gt; 19)), COUNTA(I7:I41) &lt;&gt; 1), AND(OR(AND('Hardware Feature set'!D16="Yes", COUNTA(J7:J41) &lt;&gt; 20), AND('Hardware Feature set'!D15="Yes", COUNTA(J7:J41) &lt;&gt; 19)), COUNTA(J7:J41) &lt;&gt; 1), AND(OR(AND('Hardware Feature set'!D16="Yes", COUNTA(K7:K41) &lt;&gt; 20), AND('Hardware Feature set'!D15="Yes", COUNTA(K7:K41) &lt;&gt; 19)), COUNTA(K7:K41) &lt;&gt; 1), AND(OR(AND('Hardware Feature set'!D16="Yes", COUNTA(L7:L41) &lt;&gt; 20), AND('Hardware Feature set'!D15="Yes", COUNTA(L7:L41) &lt;&gt; 19)), COUNTA(L7:L41) &lt;&gt; 1)), "INVALID", IF('Hardware Feature set'!D5&lt;&gt;"Charging Station","INVALID",IF(OR(_xlfn.CONCAT(M5:M41)&lt;&gt;"", _xlfn.CONCAT(H49:H54)&lt;&gt;""),"INVALID",IF(OR(ISBLANK(D10), IF(ISERROR(FIND("&lt;", D10, 1)=1), FALSE, TRUE) ), "INVALID", "VALID")))))</f>
        <v>INVALID</v>
      </c>
    </row>
    <row r="3" spans="2:13" x14ac:dyDescent="0.25">
      <c r="B3" t="s">
        <v>609</v>
      </c>
    </row>
    <row r="5" spans="2:13" ht="15.75" customHeight="1" x14ac:dyDescent="0.25">
      <c r="B5" s="500" t="s">
        <v>610</v>
      </c>
      <c r="C5" s="407"/>
      <c r="D5" s="408"/>
      <c r="F5" s="500" t="s">
        <v>611</v>
      </c>
      <c r="G5" s="407"/>
      <c r="H5" s="407"/>
      <c r="I5" s="407"/>
      <c r="J5" s="407"/>
      <c r="K5" s="407"/>
      <c r="L5" s="408"/>
      <c r="M5" s="279"/>
    </row>
    <row r="6" spans="2:13" ht="15.75" customHeight="1" x14ac:dyDescent="0.25">
      <c r="B6" s="280"/>
      <c r="C6" s="281"/>
    </row>
    <row r="7" spans="2:13" x14ac:dyDescent="0.25">
      <c r="B7" s="282" t="s">
        <v>560</v>
      </c>
      <c r="C7" s="283" t="s">
        <v>612</v>
      </c>
      <c r="D7" s="284" t="str">
        <f>'Hardware Feature set'!D7</f>
        <v>&lt;type name and / or model number&gt; </v>
      </c>
      <c r="F7" s="375" t="s">
        <v>613</v>
      </c>
      <c r="G7" s="375"/>
      <c r="H7" s="375"/>
      <c r="I7" s="375"/>
      <c r="J7" s="375"/>
      <c r="K7" s="375"/>
      <c r="L7" s="375"/>
    </row>
    <row r="8" spans="2:13" x14ac:dyDescent="0.25">
      <c r="D8" s="3"/>
      <c r="E8" s="3"/>
      <c r="F8" s="20"/>
      <c r="G8" s="3"/>
      <c r="H8" s="3"/>
      <c r="I8" s="3"/>
      <c r="J8" s="3"/>
      <c r="K8" s="3"/>
      <c r="L8" s="31"/>
    </row>
    <row r="9" spans="2:13" x14ac:dyDescent="0.25">
      <c r="B9" s="285" t="s">
        <v>614</v>
      </c>
      <c r="C9" s="283" t="s">
        <v>615</v>
      </c>
      <c r="D9" s="305" t="str">
        <f>ConfigID_value</f>
        <v>8DB8D72D-7020D66C</v>
      </c>
      <c r="E9" s="286"/>
      <c r="F9" s="376" t="str">
        <f>IF(_xlfn.CONCAT(F13:F41)="","",VLOOKUP("FamilyMember_1_ConfigID",'HIDDEN calc sheet'!A:B,2,FALSE))</f>
        <v/>
      </c>
      <c r="G9" s="376" t="str">
        <f>IF(_xlfn.CONCAT(G13:G41)="","",VLOOKUP("FamilyMember_1_ConfigID",'HIDDEN calc sheet'!B:C,2,FALSE))</f>
        <v/>
      </c>
      <c r="H9" s="376" t="str">
        <f>IF(_xlfn.CONCAT(H13:H41)="","",VLOOKUP("FamilyMember_1_ConfigID",'HIDDEN calc sheet'!C:D,2,FALSE))</f>
        <v/>
      </c>
      <c r="I9" s="376" t="str">
        <f>IF(_xlfn.CONCAT(I13:I41)="","",VLOOKUP("FamilyMember_1_ConfigID",'HIDDEN calc sheet'!D:E,2,FALSE))</f>
        <v/>
      </c>
      <c r="J9" s="376" t="str">
        <f>IF(_xlfn.CONCAT(J13:J41)="","",VLOOKUP("FamilyMember_1_ConfigID",'HIDDEN calc sheet'!E:F,2,FALSE))</f>
        <v/>
      </c>
      <c r="K9" s="376" t="str">
        <f>IF(_xlfn.CONCAT(K13:K41)="","",VLOOKUP("FamilyMember_1_ConfigID",'HIDDEN calc sheet'!F:G,2,FALSE))</f>
        <v/>
      </c>
      <c r="L9" s="376" t="str">
        <f>IF(_xlfn.CONCAT(L13:L41)="","",VLOOKUP("FamilyMember_1_ConfigID",'HIDDEN calc sheet'!G:H,2,FALSE))</f>
        <v/>
      </c>
    </row>
    <row r="10" spans="2:13" ht="57.75" customHeight="1" x14ac:dyDescent="0.25">
      <c r="B10" s="287" t="s">
        <v>363</v>
      </c>
      <c r="C10" s="283" t="s">
        <v>616</v>
      </c>
      <c r="D10" s="307" t="s">
        <v>617</v>
      </c>
      <c r="E10" s="286"/>
      <c r="F10" s="377" t="s">
        <v>618</v>
      </c>
      <c r="G10" s="379"/>
      <c r="H10" s="379"/>
      <c r="I10" s="379"/>
      <c r="J10" s="379"/>
      <c r="K10" s="381"/>
      <c r="L10" s="381"/>
    </row>
    <row r="11" spans="2:13" x14ac:dyDescent="0.25">
      <c r="F11" s="378"/>
      <c r="G11" s="378"/>
      <c r="H11" s="378"/>
      <c r="I11" s="378"/>
      <c r="J11" s="378"/>
      <c r="K11" s="382"/>
      <c r="L11" s="382"/>
      <c r="M11" s="18"/>
    </row>
    <row r="12" spans="2:13" x14ac:dyDescent="0.25">
      <c r="B12" s="288" t="s">
        <v>329</v>
      </c>
      <c r="C12" s="289" t="s">
        <v>300</v>
      </c>
      <c r="D12" s="226"/>
      <c r="F12" s="379"/>
      <c r="G12" s="379"/>
      <c r="H12" s="379"/>
      <c r="I12" s="379"/>
      <c r="J12" s="379"/>
      <c r="K12" s="381"/>
      <c r="L12" s="381"/>
      <c r="M12" s="18"/>
    </row>
    <row r="13" spans="2:13" x14ac:dyDescent="0.25">
      <c r="B13" s="290" t="str">
        <f>'Hardware Feature set'!B20</f>
        <v>HFS-8</v>
      </c>
      <c r="C13" s="284" t="str">
        <f>VLOOKUP(B13,Hardware_feature_set,2,FALSE)</f>
        <v>No. EVSEs</v>
      </c>
      <c r="D13" s="306">
        <f>VLOOKUP(B13,Hardware_feature_set,3,FALSE)</f>
        <v>1</v>
      </c>
      <c r="E13" s="286"/>
      <c r="F13" s="378"/>
      <c r="G13" s="378"/>
      <c r="H13" s="378"/>
      <c r="I13" s="378"/>
      <c r="J13" s="378"/>
      <c r="K13" s="382"/>
      <c r="L13" s="382"/>
      <c r="M13" s="18" t="str">
        <f>IF(AND(D13=1,COUNTIF(F13:L13,"&gt;1")&gt;0),"&lt;-- Family member cannot have &gt;1 EVSEs if representative product only has 1","")</f>
        <v/>
      </c>
    </row>
    <row r="14" spans="2:13" ht="30" customHeight="1" x14ac:dyDescent="0.25">
      <c r="B14" s="291" t="str">
        <f>'Hardware Feature set'!B21</f>
        <v>HFS-9</v>
      </c>
      <c r="C14" s="284" t="str">
        <f>VLOOKUP(B14,Hardware_feature_set,2,FALSE)</f>
        <v>Communication technology  </v>
      </c>
      <c r="D14" s="306" t="str">
        <f>VLOOKUP(B14,Hardware_feature_set,3,FALSE)</f>
        <v>&lt;specify supported communication technology/ies&gt;</v>
      </c>
      <c r="E14" s="286"/>
      <c r="F14" s="380"/>
      <c r="G14" s="379"/>
      <c r="H14" s="379"/>
      <c r="I14" s="379"/>
      <c r="J14" s="379"/>
      <c r="K14" s="381"/>
      <c r="L14" s="381"/>
      <c r="M14" s="18"/>
    </row>
    <row r="15" spans="2:13" x14ac:dyDescent="0.25">
      <c r="B15" s="291" t="str">
        <f>'Hardware Feature set'!B22</f>
        <v>HFS-10</v>
      </c>
      <c r="C15" s="284" t="str">
        <f>VLOOKUP(B15,Hardware_feature_set,2,FALSE)</f>
        <v>RFID readers </v>
      </c>
      <c r="D15" s="306" t="str">
        <f>VLOOKUP(B15,Hardware_feature_set,3,FALSE)</f>
        <v>&lt;select RFID Reader configuration&gt;</v>
      </c>
      <c r="E15" s="286"/>
      <c r="F15" s="378"/>
      <c r="G15" s="378"/>
      <c r="H15" s="378"/>
      <c r="I15" s="378"/>
      <c r="J15" s="378"/>
      <c r="K15" s="382"/>
      <c r="L15" s="382"/>
      <c r="M15" s="18" t="str">
        <f>IF(NOT(OR(COUNTIF(F15:L15,D15)=COUNTA(F7:L7),  COUNTIF(F15:L15, "None")=COUNTA(F7:L7))),"&lt;-- Family members must have the same no. RFID readers or None",IF(OR(AND(AND(ISERROR(MATCH(F15, MD!$T$1:$T$2, 0)), ISERROR(MATCH(F15, MD!$S$1:$S$2, 0))), NOT(ISBLANK(F7))), AND(AND(ISERROR(MATCH(G15, MD!$T$1:$T$2, 0)), ISERROR(MATCH(G15, MD!$S$1:$S$2, 0))), NOT(ISBLANK(G7)), AND(AND(ISERROR(MATCH(H15, MD!$T$1:$T$2, 0)), ISERROR(MATCH(H15, MD!$S$1:$S$2, 0))), NOT(ISBLANK(H7))), AND(AND(ISERROR(MATCH(I15, MD!$T$1:$T$2, 0)), ISERROR(MATCH(I15, MD!$S$1:$S$2, 0))), NOT(ISBLANK(I7))), AND(AND(ISERROR(MATCH(J15, MD!$T$1:$T$2, 0)), ISERROR(MATCH(J15, MD!$S$1:$S$2, 0))), NOT(ISBLANK(J7))), AND(AND(ISERROR(MATCH(K15, MD!$T$1:$T$2, 0)), ISERROR(MATCH(K15, MD!$S$1:$S$2, 0))), NOT(ISBLANK(K7))), AND(AND(ISERROR(MATCH(L15, MD!$T$1:$T$2, 0)), ISERROR(MATCH(L15, MD!$S$1:$S$2, 0))), NOT(ISBLANK(L7))))), "&lt;---- This field must be filled from the drop-down menu", ""))</f>
        <v>&lt;-- Family members must have the same no. RFID readers or None</v>
      </c>
    </row>
    <row r="16" spans="2:13" x14ac:dyDescent="0.25">
      <c r="B16" s="291" t="str">
        <f>'Hardware Feature set'!B24</f>
        <v>HFS-12</v>
      </c>
      <c r="C16" s="284" t="str">
        <f>VLOOKUP(B16,Hardware_feature_set,2,FALSE)</f>
        <v>Number of displays</v>
      </c>
      <c r="D16" s="306" t="str">
        <f>VLOOKUP(B16,Hardware_feature_set,3,FALSE)</f>
        <v>&lt;specify the number of displays on your product&gt;</v>
      </c>
      <c r="E16" s="286"/>
      <c r="F16" s="379"/>
      <c r="G16" s="379"/>
      <c r="H16" s="379"/>
      <c r="I16" s="379"/>
      <c r="J16" s="379"/>
      <c r="K16" s="381"/>
      <c r="L16" s="381"/>
      <c r="M16" s="18" t="str">
        <f>IF(AND(D16=1,COUNTIF(F16:L16,"&gt;1")&gt;0),"&lt;-- Family member cannot have &gt;1 displays if representative product only has 1","")</f>
        <v/>
      </c>
    </row>
    <row r="17" spans="2:13" x14ac:dyDescent="0.25">
      <c r="B17" s="291" t="str">
        <f>'Hardware Feature set'!B23</f>
        <v>HFS-11</v>
      </c>
      <c r="C17" s="284" t="str">
        <f>VLOOKUP(B17,Hardware_feature_set,2,FALSE)</f>
        <v>DC power level (kW)</v>
      </c>
      <c r="D17" s="306" t="str">
        <f>VLOOKUP(B17,Hardware_feature_set,3,FALSE)&amp;""</f>
        <v>&lt;specify DC power level&gt;</v>
      </c>
      <c r="E17" s="286"/>
      <c r="F17" s="378"/>
      <c r="G17" s="378"/>
      <c r="H17" s="378"/>
      <c r="I17" s="378"/>
      <c r="J17" s="378"/>
      <c r="K17" s="382"/>
      <c r="L17" s="382"/>
      <c r="M17" s="18" t="str">
        <f>IF(AND('Hardware Feature set'!D16="Yes", D17&gt;=50,COUNTIF(F17:L17,"&lt;50")&gt;0),"&lt;-- Family member cannot have power level below 50 kW if representative product is above 50 kW",IF(AND('Hardware Feature set'!D16="Yes", D17&lt;50,COUNTIF(F17:L17,"&gt;=50")&gt;0),"&lt;-- Family member cannot have power level above 50 kW if representative product is below 50 kW",""))</f>
        <v/>
      </c>
    </row>
    <row r="18" spans="2:13" x14ac:dyDescent="0.25">
      <c r="B18" s="209"/>
      <c r="D18" s="286"/>
      <c r="E18" s="286"/>
      <c r="F18" s="379"/>
      <c r="G18" s="379"/>
      <c r="H18" s="379"/>
      <c r="I18" s="379"/>
      <c r="J18" s="379"/>
      <c r="K18" s="381"/>
      <c r="L18" s="381"/>
      <c r="M18" s="18"/>
    </row>
    <row r="19" spans="2:13" x14ac:dyDescent="0.25">
      <c r="B19" s="288" t="s">
        <v>329</v>
      </c>
      <c r="C19" s="289" t="s">
        <v>619</v>
      </c>
      <c r="D19" s="292"/>
      <c r="F19" s="378"/>
      <c r="G19" s="378"/>
      <c r="H19" s="378"/>
      <c r="I19" s="378"/>
      <c r="J19" s="378"/>
      <c r="K19" s="382"/>
      <c r="L19" s="382"/>
      <c r="M19" s="18"/>
    </row>
    <row r="20" spans="2:13" ht="45" customHeight="1" x14ac:dyDescent="0.25">
      <c r="B20" s="291" t="s">
        <v>420</v>
      </c>
      <c r="C20" s="284" t="str">
        <f>VLOOKUP(B20,'Additional questions'!$B$4:$D$18,2,FALSE)</f>
        <v>Does your Charging Station enforce a selection of EVSE (by design) prior to authorization?</v>
      </c>
      <c r="D20" s="306" t="str">
        <f>VLOOKUP(B20,'Additional questions'!$B$4:$D$18,3,FALSE)</f>
        <v>No</v>
      </c>
      <c r="E20" s="286"/>
      <c r="F20" s="379"/>
      <c r="G20" s="379"/>
      <c r="H20" s="379"/>
      <c r="I20" s="379"/>
      <c r="J20" s="379"/>
      <c r="K20" s="381"/>
      <c r="L20" s="381"/>
      <c r="M20" s="18" t="str">
        <f>IF(AND(D20="Yes",COUNTIF(F20:L20,"No")&gt;0),"&lt;-- Family member cannot have AQ-8 set to No if representative product has it set to Yes", IF(AND(COUNTIF(F20:L20, "No") = 0, COUNTIF(F20:L20, "Yes") = 0, COUNTA(F20:L20) &lt;&gt; 0), "&lt;---- This field must be filled from the drop-down menu", ""))</f>
        <v/>
      </c>
    </row>
    <row r="21" spans="2:13" x14ac:dyDescent="0.25">
      <c r="B21" s="209"/>
      <c r="D21" s="286"/>
      <c r="E21" s="286"/>
      <c r="F21" s="378"/>
      <c r="G21" s="378"/>
      <c r="H21" s="378"/>
      <c r="I21" s="378"/>
      <c r="J21" s="378"/>
      <c r="K21" s="382"/>
      <c r="L21" s="382"/>
      <c r="M21" s="18"/>
    </row>
    <row r="22" spans="2:13" x14ac:dyDescent="0.25">
      <c r="B22" s="288" t="s">
        <v>329</v>
      </c>
      <c r="C22" s="289" t="s">
        <v>2198</v>
      </c>
      <c r="D22" s="226"/>
      <c r="E22" s="286"/>
      <c r="F22" s="379"/>
      <c r="G22" s="379"/>
      <c r="H22" s="379"/>
      <c r="I22" s="379"/>
      <c r="J22" s="379"/>
      <c r="K22" s="379"/>
      <c r="L22" s="379"/>
      <c r="M22" s="18"/>
    </row>
    <row r="23" spans="2:13" ht="57.95" customHeight="1" x14ac:dyDescent="0.25">
      <c r="B23" s="291" t="s">
        <v>428</v>
      </c>
      <c r="C23" s="284" t="str">
        <f>VLOOKUP(B23,'Additional questions'!$B$4:$D$18,2,FALSE)</f>
        <v>Does your Charging Station have at least one connector with an (automatic) mechanized locking mechanism on Charging Station side?</v>
      </c>
      <c r="D23" s="306" t="str">
        <f>VLOOKUP(B23,'Additional questions'!$B$4:$D$18,3,FALSE)</f>
        <v>No</v>
      </c>
      <c r="E23" s="286"/>
      <c r="F23" s="378"/>
      <c r="G23" s="378"/>
      <c r="H23" s="378"/>
      <c r="I23" s="378"/>
      <c r="J23" s="378"/>
      <c r="K23" s="378"/>
      <c r="L23" s="378"/>
      <c r="M23" s="18"/>
    </row>
    <row r="24" spans="2:13" x14ac:dyDescent="0.25">
      <c r="B24" s="387"/>
      <c r="C24" s="388"/>
      <c r="D24" s="386"/>
      <c r="E24" s="286"/>
      <c r="F24" s="379"/>
      <c r="G24" s="379"/>
      <c r="H24" s="379"/>
      <c r="I24" s="379"/>
      <c r="J24" s="379"/>
      <c r="K24" s="379"/>
      <c r="L24" s="379"/>
      <c r="M24" s="18"/>
    </row>
    <row r="25" spans="2:13" x14ac:dyDescent="0.25">
      <c r="B25" s="367" t="s">
        <v>329</v>
      </c>
      <c r="C25" s="368" t="s">
        <v>396</v>
      </c>
      <c r="D25" s="369"/>
      <c r="F25" s="378"/>
      <c r="G25" s="378"/>
      <c r="H25" s="378"/>
      <c r="I25" s="378"/>
      <c r="J25" s="378"/>
      <c r="K25" s="378"/>
      <c r="L25" s="378"/>
    </row>
    <row r="26" spans="2:13" ht="35.1" customHeight="1" x14ac:dyDescent="0.25">
      <c r="B26" s="370" t="s">
        <v>174</v>
      </c>
      <c r="C26" s="284" t="str">
        <f>VLOOKUP(B26,Reservations,2,FALSE)</f>
        <v>Support for reservations of connectorType</v>
      </c>
      <c r="D26" s="371" t="str">
        <f>VLOOKUP(B26,Reservations,3,FALSE)</f>
        <v>No</v>
      </c>
      <c r="F26" s="379"/>
      <c r="G26" s="379"/>
      <c r="H26" s="379"/>
      <c r="I26" s="379"/>
      <c r="J26" s="379"/>
      <c r="K26" s="379"/>
      <c r="L26" s="379"/>
    </row>
    <row r="27" spans="2:13" x14ac:dyDescent="0.25">
      <c r="B27" s="209"/>
      <c r="D27" s="286"/>
      <c r="E27" s="286"/>
      <c r="F27" s="378"/>
      <c r="G27" s="378"/>
      <c r="H27" s="378"/>
      <c r="I27" s="378"/>
      <c r="J27" s="378"/>
      <c r="K27" s="378"/>
      <c r="L27" s="378"/>
      <c r="M27" s="18"/>
    </row>
    <row r="28" spans="2:13" x14ac:dyDescent="0.25">
      <c r="B28" s="288" t="s">
        <v>329</v>
      </c>
      <c r="C28" s="289" t="s">
        <v>620</v>
      </c>
      <c r="D28" s="226"/>
      <c r="F28" s="379"/>
      <c r="G28" s="379"/>
      <c r="H28" s="379"/>
      <c r="I28" s="379"/>
      <c r="J28" s="379"/>
      <c r="K28" s="379"/>
      <c r="L28" s="379"/>
      <c r="M28" s="18"/>
    </row>
    <row r="29" spans="2:13" x14ac:dyDescent="0.25">
      <c r="B29" s="291" t="s">
        <v>114</v>
      </c>
      <c r="C29" s="284" t="str">
        <f>VLOOKUP(B29,OF_Measurands,2,FALSE)</f>
        <v>SampledTxStarted Measurands</v>
      </c>
      <c r="D29" s="308" t="str">
        <f>VLOOKUP(B29,OF_Measurands,3,FALSE)</f>
        <v>&lt;list of supported values, at least one&gt;</v>
      </c>
      <c r="E29" s="293"/>
      <c r="F29" s="378"/>
      <c r="G29" s="378"/>
      <c r="H29" s="378"/>
      <c r="I29" s="378"/>
      <c r="J29" s="378"/>
      <c r="K29" s="378"/>
      <c r="L29" s="378"/>
      <c r="M29" s="18"/>
    </row>
    <row r="30" spans="2:13" x14ac:dyDescent="0.25">
      <c r="B30" s="291" t="s">
        <v>117</v>
      </c>
      <c r="C30" s="284" t="str">
        <f>VLOOKUP(B30,OF_Measurands,2,FALSE)</f>
        <v>SampledTxUpdated Measurands</v>
      </c>
      <c r="D30" s="308" t="str">
        <f>VLOOKUP(B30,OF_Measurands,3,FALSE)</f>
        <v>&lt;list of supported values, at least one&gt;</v>
      </c>
      <c r="E30" s="293"/>
      <c r="F30" s="379"/>
      <c r="G30" s="379"/>
      <c r="H30" s="379"/>
      <c r="I30" s="379"/>
      <c r="J30" s="379"/>
      <c r="K30" s="379"/>
      <c r="L30" s="379"/>
      <c r="M30" s="18"/>
    </row>
    <row r="31" spans="2:13" x14ac:dyDescent="0.25">
      <c r="B31" s="291" t="s">
        <v>119</v>
      </c>
      <c r="C31" s="284" t="str">
        <f>VLOOKUP(B31,OF_Measurands,2,FALSE)</f>
        <v>SampledTxEnded Measurands</v>
      </c>
      <c r="D31" s="308" t="str">
        <f>VLOOKUP(B31,OF_Measurands,3,FALSE)</f>
        <v>&lt;list of supported values, at least one&gt;</v>
      </c>
      <c r="E31" s="293"/>
      <c r="F31" s="378"/>
      <c r="G31" s="378"/>
      <c r="H31" s="378"/>
      <c r="I31" s="378"/>
      <c r="J31" s="378"/>
      <c r="K31" s="378"/>
      <c r="L31" s="378"/>
      <c r="M31" s="18"/>
    </row>
    <row r="32" spans="2:13" x14ac:dyDescent="0.25">
      <c r="B32" s="291" t="s">
        <v>121</v>
      </c>
      <c r="C32" s="284" t="str">
        <f>VLOOKUP(B32,OF_Measurands,2,FALSE)</f>
        <v>AlignedData Measurands</v>
      </c>
      <c r="D32" s="308" t="str">
        <f>VLOOKUP(B32,OF_Measurands,3,FALSE)</f>
        <v>&lt;list of supported values, at least one&gt;</v>
      </c>
      <c r="E32" s="293"/>
      <c r="F32" s="379"/>
      <c r="G32" s="379"/>
      <c r="H32" s="379"/>
      <c r="I32" s="379"/>
      <c r="J32" s="379"/>
      <c r="K32" s="379"/>
      <c r="L32" s="379"/>
      <c r="M32" s="18"/>
    </row>
    <row r="33" spans="2:14" x14ac:dyDescent="0.25">
      <c r="B33" s="291" t="s">
        <v>123</v>
      </c>
      <c r="C33" s="284" t="str">
        <f>VLOOKUP(B33,OF_Measurands,2,FALSE)</f>
        <v>AlignedDataTxEnded Measurands</v>
      </c>
      <c r="D33" s="308" t="str">
        <f>VLOOKUP(B33,OF_Measurands,3,FALSE)</f>
        <v>&lt;list of supported values, at least one&gt;</v>
      </c>
      <c r="E33" s="293"/>
      <c r="F33" s="378"/>
      <c r="G33" s="378"/>
      <c r="H33" s="378"/>
      <c r="I33" s="378"/>
      <c r="J33" s="378"/>
      <c r="K33" s="378"/>
      <c r="L33" s="378"/>
      <c r="M33" s="18"/>
    </row>
    <row r="34" spans="2:14" x14ac:dyDescent="0.25">
      <c r="B34" s="209"/>
      <c r="D34" s="309"/>
      <c r="E34" s="293"/>
      <c r="F34" s="379"/>
      <c r="G34" s="379"/>
      <c r="H34" s="379"/>
      <c r="I34" s="379"/>
      <c r="J34" s="379"/>
      <c r="K34" s="379"/>
      <c r="L34" s="379"/>
      <c r="M34" s="18"/>
    </row>
    <row r="35" spans="2:14" x14ac:dyDescent="0.25">
      <c r="B35" s="367" t="s">
        <v>329</v>
      </c>
      <c r="C35" s="368" t="s">
        <v>2196</v>
      </c>
      <c r="D35" s="369"/>
      <c r="F35" s="378"/>
      <c r="G35" s="378"/>
      <c r="H35" s="378"/>
      <c r="I35" s="378"/>
      <c r="J35" s="378"/>
      <c r="K35" s="378"/>
      <c r="L35" s="378"/>
      <c r="M35" s="18"/>
    </row>
    <row r="36" spans="2:14" x14ac:dyDescent="0.25">
      <c r="B36" s="370" t="s">
        <v>93</v>
      </c>
      <c r="C36" s="284" t="str">
        <f>VLOOKUP(B36,OF_TimeAndLocalStart,2,FALSE)</f>
        <v>Authorization - using RFID ISO14443</v>
      </c>
      <c r="D36" s="371" t="str">
        <f>VLOOKUP(B36,OF_TimeAndLocalStart,3,FALSE)</f>
        <v>No</v>
      </c>
      <c r="E36" s="286"/>
      <c r="F36" s="379"/>
      <c r="G36" s="379"/>
      <c r="H36" s="379"/>
      <c r="I36" s="379"/>
      <c r="J36" s="379"/>
      <c r="K36" s="379"/>
      <c r="L36" s="379"/>
      <c r="M36" s="18" t="str">
        <f>IF(AND(COUNTIF(F36:L36, "No") = 0, COUNTIF(F36:L36, "Yes") = 0, COUNTA(F36:L36) &lt;&gt; 0), "&lt;---- This field must be filled from the drop-down menu", "")</f>
        <v/>
      </c>
    </row>
    <row r="37" spans="2:14" x14ac:dyDescent="0.25">
      <c r="B37" s="372" t="s">
        <v>96</v>
      </c>
      <c r="C37" s="373" t="str">
        <f>VLOOKUP(B37,OF_TimeAndLocalStart,2,FALSE)</f>
        <v>Authorization - using RFID ISO15693</v>
      </c>
      <c r="D37" s="374" t="str">
        <f>VLOOKUP(B37,OF_TimeAndLocalStart,3,FALSE)</f>
        <v>No</v>
      </c>
      <c r="E37" s="286"/>
      <c r="F37" s="378"/>
      <c r="G37" s="378"/>
      <c r="H37" s="378"/>
      <c r="I37" s="378"/>
      <c r="J37" s="378"/>
      <c r="K37" s="378"/>
      <c r="L37" s="378"/>
      <c r="M37" s="18" t="str">
        <f>IF(AND(COUNTIF(F37:L37, "No") = 0, COUNTIF(F37:L37, "Yes") = 0, COUNTA(F37:L37) &lt;&gt; 0), "&lt;---- This field must be filled from the drop-down menu", "")</f>
        <v/>
      </c>
    </row>
    <row r="38" spans="2:14" x14ac:dyDescent="0.25">
      <c r="B38" s="209"/>
      <c r="C38" s="383"/>
      <c r="D38" s="384"/>
      <c r="E38" s="286"/>
      <c r="F38" s="379"/>
      <c r="G38" s="379"/>
      <c r="H38" s="379"/>
      <c r="I38" s="379"/>
      <c r="J38" s="379"/>
      <c r="K38" s="379"/>
      <c r="L38" s="379"/>
      <c r="M38" s="18"/>
    </row>
    <row r="39" spans="2:14" x14ac:dyDescent="0.25">
      <c r="B39" s="367" t="s">
        <v>329</v>
      </c>
      <c r="C39" s="368" t="s">
        <v>2197</v>
      </c>
      <c r="D39" s="369"/>
      <c r="E39" s="286"/>
      <c r="F39" s="378"/>
      <c r="G39" s="378"/>
      <c r="H39" s="378"/>
      <c r="I39" s="378"/>
      <c r="J39" s="378"/>
      <c r="K39" s="378"/>
      <c r="L39" s="378"/>
      <c r="M39" s="18"/>
    </row>
    <row r="40" spans="2:14" x14ac:dyDescent="0.25">
      <c r="B40" s="370" t="s">
        <v>166</v>
      </c>
      <c r="C40" s="284" t="str">
        <f>VLOOKUP(B40,OF_AuthLocalStop,2,FALSE)</f>
        <v>Authorization - using RFID ISO14443</v>
      </c>
      <c r="D40" s="371" t="str">
        <f>VLOOKUP(B40,OF_AuthLocalStop,3,FALSE)</f>
        <v>No</v>
      </c>
      <c r="F40" s="379"/>
      <c r="G40" s="379"/>
      <c r="H40" s="379"/>
      <c r="I40" s="379"/>
      <c r="J40" s="379"/>
      <c r="K40" s="379"/>
      <c r="L40" s="379"/>
      <c r="M40" s="18" t="str">
        <f>IF(AND(COUNTIF(F40:L40, "No") = 0, COUNTIF(F40:L40, "Yes") = 0, COUNTA(F40:L40) &lt;&gt; 0), "&lt;---- This field must be filled from the drop-down menu", "")</f>
        <v/>
      </c>
    </row>
    <row r="41" spans="2:14" x14ac:dyDescent="0.25">
      <c r="B41" s="372" t="s">
        <v>168</v>
      </c>
      <c r="C41" s="373" t="str">
        <f>VLOOKUP(B41,OF_AuthLocalStop,2,FALSE)</f>
        <v>Authorization - using RFID ISO15693</v>
      </c>
      <c r="D41" s="374" t="str">
        <f>VLOOKUP(B41,OF_AuthLocalStop,3,FALSE)</f>
        <v>No</v>
      </c>
      <c r="F41" s="385"/>
      <c r="G41" s="385"/>
      <c r="H41" s="385"/>
      <c r="I41" s="385"/>
      <c r="J41" s="385"/>
      <c r="K41" s="385"/>
      <c r="L41" s="385"/>
      <c r="M41" s="18" t="str">
        <f>IF(AND(COUNTIF(F41:L41, "No") = 0, COUNTIF(F41:L41, "Yes") = 0, COUNTA(F41:L41) &lt;&gt; 0), "&lt;---- This field must be filled from the drop-down menu", "")</f>
        <v/>
      </c>
    </row>
    <row r="42" spans="2:14" x14ac:dyDescent="0.25">
      <c r="B42" s="209"/>
      <c r="C42" s="383"/>
      <c r="D42" s="384"/>
      <c r="F42" s="7"/>
      <c r="G42" s="7"/>
      <c r="H42" s="7"/>
      <c r="I42" s="7"/>
      <c r="J42" s="7"/>
      <c r="K42" s="7"/>
      <c r="L42" s="7"/>
      <c r="M42" s="18"/>
    </row>
    <row r="44" spans="2:14" ht="147" customHeight="1" x14ac:dyDescent="0.25">
      <c r="B44" s="294" t="s">
        <v>621</v>
      </c>
      <c r="C44" s="225"/>
      <c r="D44" s="226"/>
      <c r="F44" s="32"/>
      <c r="G44" s="33"/>
      <c r="H44" s="33"/>
      <c r="I44" s="33"/>
      <c r="J44" s="33"/>
      <c r="K44" s="33"/>
      <c r="L44" s="33"/>
    </row>
    <row r="47" spans="2:14" ht="41.25" customHeight="1" x14ac:dyDescent="0.25">
      <c r="B47" s="501" t="s">
        <v>622</v>
      </c>
      <c r="C47" s="390"/>
      <c r="D47" s="222"/>
      <c r="E47" s="222"/>
      <c r="F47" s="222"/>
      <c r="G47" s="222"/>
      <c r="H47" s="222"/>
      <c r="I47" s="222"/>
      <c r="J47" s="222"/>
      <c r="K47" s="222"/>
      <c r="L47" s="222"/>
      <c r="M47" s="222"/>
      <c r="N47" s="45"/>
    </row>
    <row r="48" spans="2:14" ht="17.100000000000001" customHeight="1" thickBot="1" x14ac:dyDescent="0.3">
      <c r="B48" s="295"/>
      <c r="C48" s="295"/>
      <c r="D48" s="295"/>
      <c r="E48" s="295"/>
      <c r="F48" s="295"/>
      <c r="G48" s="295"/>
      <c r="H48" s="295"/>
      <c r="I48" s="295"/>
      <c r="J48" s="295"/>
      <c r="K48" s="295"/>
      <c r="L48" s="295"/>
      <c r="M48" s="295"/>
      <c r="N48" s="295"/>
    </row>
    <row r="49" spans="2:8" ht="20.100000000000001" customHeight="1" thickBot="1" x14ac:dyDescent="0.3">
      <c r="B49" s="502" t="s">
        <v>578</v>
      </c>
      <c r="C49" s="503"/>
      <c r="D49" s="300" t="s">
        <v>281</v>
      </c>
      <c r="E49" s="504" t="s">
        <v>579</v>
      </c>
      <c r="F49" s="504"/>
      <c r="G49" s="505"/>
      <c r="H49" s="18" t="str">
        <f>IF(ISBLANK(E49),"&lt;---- This field cannot be left empty!",IF(NOT(ISERROR(FIND("&lt;",E49))),"&lt;---- Please enter a valid date",""))</f>
        <v>&lt;---- Please enter a valid date</v>
      </c>
    </row>
    <row r="50" spans="2:8" ht="24.75" customHeight="1" x14ac:dyDescent="0.25">
      <c r="B50" s="296" t="s">
        <v>560</v>
      </c>
      <c r="C50" s="301" t="s">
        <v>580</v>
      </c>
      <c r="D50" s="491" t="s">
        <v>581</v>
      </c>
      <c r="E50" s="492"/>
      <c r="F50" s="492"/>
      <c r="G50" s="493"/>
      <c r="H50" s="18" t="str">
        <f>IF(ISBLANK(C50),"&lt;---- This field cannot be left empty!",IF(NOT(ISERROR(FIND("&lt;",C50))),"&lt;---- Please enter a valid value",""))</f>
        <v>&lt;---- Please enter a valid value</v>
      </c>
    </row>
    <row r="51" spans="2:8" ht="24.75" customHeight="1" x14ac:dyDescent="0.25">
      <c r="B51" s="297" t="s">
        <v>582</v>
      </c>
      <c r="C51" s="302" t="str">
        <f>'Statement of Approval'!C19</f>
        <v>&lt;vendor company name&gt; </v>
      </c>
      <c r="D51" s="494"/>
      <c r="E51" s="495"/>
      <c r="F51" s="495"/>
      <c r="G51" s="496"/>
      <c r="H51" s="18" t="str">
        <f>IF(ISBLANK(C51),"&lt;---- This field cannot be left empty!",IF(NOT(ISERROR(FIND("&lt;",C51))),"&lt;---- Please enter a valid value",""))</f>
        <v>&lt;---- Please enter a valid value</v>
      </c>
    </row>
    <row r="52" spans="2:8" ht="24.75" customHeight="1" x14ac:dyDescent="0.25">
      <c r="B52" s="298" t="s">
        <v>583</v>
      </c>
      <c r="C52" s="303" t="s">
        <v>584</v>
      </c>
      <c r="D52" s="494"/>
      <c r="E52" s="495"/>
      <c r="F52" s="495"/>
      <c r="G52" s="496"/>
      <c r="H52" s="18" t="str">
        <f>IF(ISBLANK(C52),"&lt;---- This field cannot be left empty!",IF(NOT(ISERROR(FIND("&lt;",C52))),"&lt;---- Please enter a valid value",""))</f>
        <v>&lt;---- Please enter a valid value</v>
      </c>
    </row>
    <row r="53" spans="2:8" ht="24.75" customHeight="1" x14ac:dyDescent="0.25">
      <c r="B53" s="297" t="s">
        <v>585</v>
      </c>
      <c r="C53" s="302" t="s">
        <v>586</v>
      </c>
      <c r="D53" s="494"/>
      <c r="E53" s="495"/>
      <c r="F53" s="495"/>
      <c r="G53" s="496"/>
      <c r="H53" s="18" t="str">
        <f>IF(ISBLANK(C53),"&lt;---- This field cannot be left empty!",IF(NOT(ISERROR(FIND("&lt;",C53))),"&lt;---- Please enter a valid value",""))</f>
        <v>&lt;---- Please enter a valid value</v>
      </c>
    </row>
    <row r="54" spans="2:8" ht="24.75" customHeight="1" thickBot="1" x14ac:dyDescent="0.3">
      <c r="B54" s="299" t="s">
        <v>587</v>
      </c>
      <c r="C54" s="304" t="s">
        <v>588</v>
      </c>
      <c r="D54" s="497"/>
      <c r="E54" s="498"/>
      <c r="F54" s="498"/>
      <c r="G54" s="499"/>
      <c r="H54" s="18" t="str">
        <f>IF(ISBLANK(C54),"&lt;---- This field cannot be left empty!",IF(NOT(ISERROR(FIND("&lt;",C54))),"&lt;---- Please enter a valid value",""))</f>
        <v>&lt;---- Please enter a valid value</v>
      </c>
    </row>
  </sheetData>
  <sheetProtection algorithmName="SHA-512" hashValue="y4raE45vCuvtej5tEkSnUSWzT4+zdpYw2RKutag/snrYih/65uHD0pov4oM0qGFxgNCOD9ChT/abLC6nG/VOoA==" saltValue="XXvbS0rSkxMuUGsTo7wCYw==" spinCount="100000" sheet="1" scenarios="1"/>
  <mergeCells count="7">
    <mergeCell ref="D50:G54"/>
    <mergeCell ref="F5:L5"/>
    <mergeCell ref="B1:C1"/>
    <mergeCell ref="B47:C47"/>
    <mergeCell ref="B5:D5"/>
    <mergeCell ref="B49:C49"/>
    <mergeCell ref="E49:G49"/>
  </mergeCells>
  <conditionalFormatting sqref="L1">
    <cfRule type="cellIs" dxfId="2" priority="1" operator="equal">
      <formula>"USER INPUT VALID"</formula>
    </cfRule>
    <cfRule type="cellIs" dxfId="1" priority="2" operator="equal">
      <formula>"INVALID"</formula>
    </cfRule>
    <cfRule type="cellIs" dxfId="0" priority="3" operator="equal">
      <formula>"VALID"</formula>
    </cfRule>
  </conditionalFormatting>
  <dataValidations count="5">
    <dataValidation type="date" operator="greaterThan" allowBlank="1" showInputMessage="1" showErrorMessage="1" sqref="E49" xr:uid="{00000000-0002-0000-0A00-000000000000}">
      <formula1>45108</formula1>
    </dataValidation>
    <dataValidation type="list" allowBlank="1" showInputMessage="1" showErrorMessage="1" sqref="F20:L20" xr:uid="{00000000-0002-0000-0A00-000001000000}">
      <formula1>"Yes,No"</formula1>
    </dataValidation>
    <dataValidation type="whole" allowBlank="1" showInputMessage="1" showErrorMessage="1" sqref="F13:L13" xr:uid="{00000000-0002-0000-0A00-000002000000}">
      <formula1>1</formula1>
      <formula2>$D13</formula2>
    </dataValidation>
    <dataValidation type="list" allowBlank="1" showInputMessage="1" showErrorMessage="1" sqref="F40:L42 F26:L26 F36:L37 F23:L23 F25:L26" xr:uid="{00000000-0002-0000-0A00-000003000000}">
      <formula1>"Yes, No"</formula1>
    </dataValidation>
    <dataValidation type="whole" operator="greaterThanOrEqual" allowBlank="1" showInputMessage="1" showErrorMessage="1" sqref="F16:L16" xr:uid="{00000000-0002-0000-0A00-000004000000}">
      <formula1>0</formula1>
    </dataValidation>
  </dataValidations>
  <pageMargins left="0.7" right="0.7" top="0.75" bottom="0.75" header="0.3" footer="0.3"/>
  <pageSetup orientation="portrait"/>
  <headerFooter>
    <oddHeader>&amp;L&amp;"Aptos"&amp;10&amp;K000000 TLP: GREEN&amp;1#_x000D_&amp;"Calibri"&amp;12&amp;K000000&amp;"Calibri"&amp;12&amp;K000000&amp;"Calibri"&amp;12&amp;K000000&amp;"Aptos"&amp;1 &amp;K000000 TLP: GREEN#_x000D_</oddHead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1"/>
  <sheetViews>
    <sheetView workbookViewId="0">
      <selection activeCell="A2" sqref="A2"/>
    </sheetView>
  </sheetViews>
  <sheetFormatPr defaultColWidth="11" defaultRowHeight="15.75" x14ac:dyDescent="0.25"/>
  <cols>
    <col min="1" max="1" width="2.625" bestFit="1" customWidth="1"/>
    <col min="2" max="2" width="5.625" bestFit="1" customWidth="1"/>
  </cols>
  <sheetData>
    <row r="1" spans="1:2" x14ac:dyDescent="0.25">
      <c r="A1" t="s">
        <v>329</v>
      </c>
      <c r="B1" t="s">
        <v>472</v>
      </c>
    </row>
  </sheetData>
  <pageMargins left="0.7" right="0.7" top="0.75" bottom="0.75" header="0.3" footer="0.3"/>
  <headerFooter>
    <oddHeader>&amp;L&amp;"Aptos"&amp;10&amp;K000000 TLP: GREEN&amp;1#_x000D_&amp;"Calibri"&amp;12&amp;K000000&amp;"Calibri"&amp;12&amp;K000000&amp;"Calibri"&amp;12&amp;K000000&amp;"Aptos"&amp;1 &amp;K000000 TLP: GREEN#_x000D_</oddHeader>
    <oddFooter>&amp;C&amp;"Arial"&amp;9 &amp;K000000_x000D_#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04"/>
  <sheetViews>
    <sheetView topLeftCell="A151" zoomScale="85" zoomScaleNormal="85" workbookViewId="0">
      <selection activeCell="A2" sqref="A2"/>
    </sheetView>
  </sheetViews>
  <sheetFormatPr defaultColWidth="8.625" defaultRowHeight="15.75" x14ac:dyDescent="0.25"/>
  <cols>
    <col min="1" max="1" width="78" customWidth="1"/>
    <col min="2" max="2" width="29.125" style="3" customWidth="1"/>
    <col min="3" max="3" width="29.125" customWidth="1"/>
    <col min="4" max="5" width="10.125" customWidth="1"/>
    <col min="6" max="6" width="25.5" bestFit="1" customWidth="1"/>
    <col min="7" max="7" width="24.625" customWidth="1"/>
    <col min="8" max="8" width="11.375" customWidth="1"/>
    <col min="9" max="9" width="12" bestFit="1" customWidth="1"/>
  </cols>
  <sheetData>
    <row r="1" spans="1:9" x14ac:dyDescent="0.25">
      <c r="A1" s="1" t="s">
        <v>623</v>
      </c>
      <c r="B1" s="4" t="s">
        <v>624</v>
      </c>
      <c r="C1" s="1" t="s">
        <v>625</v>
      </c>
      <c r="D1" s="1" t="s">
        <v>626</v>
      </c>
      <c r="E1" s="1"/>
      <c r="F1" t="s">
        <v>2116</v>
      </c>
      <c r="G1" s="36" cm="1">
        <f t="array" ref="G1">CalculateConfigID(H1)</f>
        <v>2377701165</v>
      </c>
      <c r="H1" t="str" cm="1">
        <f t="array" ref="H1">SUBSTITUTE(_xlfn.CONCAT(TRIM(_xlfn.REGEXREPLACE(I11:I18, "\n", " ", 0) &amp; "")), " ", "")</f>
        <v>&lt;vendorcompanyname&gt; &lt;selecttypeofDeviceUnderTest&gt;&lt;selectsubtypeorNotApplicable&gt;&lt;typenameand/ormodelnumber&gt; &lt;productfamilydescriptor(ifapplicable)&gt;&lt;typesoftwareversionoftheproduct&gt;00Supported/Present NoNoNoNoNoNoNoNoYesYesNoNoNoNoSupported/Present NoNoNoNo(Atleastoneofthesuboptionsbelowisrequired)NoYesYesNo(Atleastoneofthesuboptionsbelowisrequired)NoNoNoYesNoNo(Atleastoneofthesuboptionsbelowisrequired)YesYesNoNoNo(Atleastoneofthesuboptionsbelowisrequired)YesYesNoNoYesNo&lt;listofvalues,atleastHeartbeat&gt;NoNoNo(Selectallsupportedsuboptions)NoNoNoNoNoNoNo00Supported accordingtoVendorNoNoNoNo00Supported accordingtoVendorNoNo00Supported accordingtoVendorNoNoNoNo00SupportedaccordingtoVendor***0000Supported/Present {listofciphersuites}-&gt;atleastoneofTLS_ECDHE_ECDSA_WITH_AES_128_GCM_SHA256TLS_ECDHE_ECDSA_WITH_AES_256_GCM_SHA384ORTLS_RSA_WITH_AES_128_GCM_SHA256TLS_RSA_WITH_AES_256_GCM_SHA38400Supported/Present NoNoNo(Atleastoneofthesuboptionsbelowisrequired)NoYesNoNoNoNoNoNoNoNoNoNoNoNoNoNoNo00Supported/Present(Selectallsupportedsuboptions)NoNoNo(Atleastoneofthesuboptionsbelowisrequired)NoNoNoNoNoNo00Supported/PresentNoNo(Atleastoneofthesuboptionsbelowisrequired)NoNo00Supported/PresentNoNoNo00Supported/PresentNoNo00Supported/Present(Atleastoneofthesuboptionsbelowisrequired)NoNoNoNoNo00Supported/PresentNoNoNo00Supported/PresentNo(Atleastoneofthesuboptionsbelowisrequired,ifUI-0issupported)NoNoNo(Atleastoneofthesuboptionsbelowisrequired,ifUI-0issupported)NoNoNoNoNo00Supported/PresentNoNo(Atleastoneofthesuboptionsbelowisrequired,ifP-0issupported)NoNoNoNo00Supported/PresentNoNoNoNo000000000000000000000000000000000000000000000000000000000000000000000000000000NoNoNoNoNo0No0NoNoNoNoNoNo… … … … … … … … … … … … … … &lt;pleaseprovidethepreconfiguredvalue(max.120seconds)&gt;00Value… … 00Value… … … 00Value… … … 00Value&lt;pleaseselectthesupportedprotocols&gt;00Value… … … … … … … … … … … … … … 00Value… …&lt;vendormaximum&gt;&lt;vendormaximum&gt;&lt;vendormaximum&gt;&lt;vendormaximum&gt;</v>
      </c>
    </row>
    <row r="2" spans="1:9" x14ac:dyDescent="0.25">
      <c r="A2" t="s">
        <v>627</v>
      </c>
      <c r="B2" s="3" t="b">
        <f>VLOOKUP("C-56",'Optional features'!B:D,3,FALSE)="No"</f>
        <v>1</v>
      </c>
      <c r="C2" t="b">
        <v>1</v>
      </c>
      <c r="D2" t="b">
        <f>NOT(ISERROR(VLOOKUP(A2,'Charging Station Testcases'!E:E,1,FALSE)=A2))</f>
        <v>1</v>
      </c>
      <c r="F2" t="s">
        <v>2117</v>
      </c>
      <c r="G2" cm="1">
        <f t="array" ref="G2">CalculateConfigID(H2)</f>
        <v>1881200236</v>
      </c>
      <c r="H2" t="str" cm="1">
        <f t="array" ref="H2">SUBSTITUTE(_xlfn.CONCAT(TRIM(_xlfn.REGEXREPLACE(H11:H18, "\n", " ", 0) &amp; "")), " ", "")</f>
        <v>1&lt;specifysupportedcommunicationtechnology/ies&gt;&lt;selectRFIDReaderconfiguration&gt;&lt;specifyDCpowerlevel&gt;&lt;specifythenumberofdisplaysonyourproduct&gt;NoNoNoNoNo&lt;listofsupportedvalues,atleastone&gt;&lt;listofsupportedvalues,atleastone&gt;&lt;listofsupportedvalues,atleastone&gt;&lt;listofsupportedvalues,atleastone&gt;&lt;listofsupportedvalues,atleastone&gt;NoNo</v>
      </c>
    </row>
    <row r="3" spans="1:9" x14ac:dyDescent="0.25">
      <c r="A3" t="s">
        <v>628</v>
      </c>
      <c r="B3" s="3" t="b">
        <f>VLOOKUP("C-42",'Optional features'!B:D,3,FALSE)="Yes"</f>
        <v>0</v>
      </c>
      <c r="C3" t="b">
        <v>1</v>
      </c>
      <c r="D3" t="b">
        <f>NOT(ISERROR(VLOOKUP(A3,'Charging Station Testcases'!E:E,1,FALSE)=A3))</f>
        <v>0</v>
      </c>
      <c r="F3" t="s">
        <v>743</v>
      </c>
      <c r="G3" s="3" t="str">
        <f>DEC2HEX(G1)&amp;"-"&amp;DEC2HEX(G2)</f>
        <v>8DB8D72D-7020D66C</v>
      </c>
    </row>
    <row r="4" spans="1:9" x14ac:dyDescent="0.25">
      <c r="A4" t="s">
        <v>629</v>
      </c>
      <c r="B4" s="3" t="b">
        <f>AND(VLOOKUP("AS-2",'Optional features'!B:D,3,FALSE)="Yes",VLOOKUP("C-47",'Optional features'!B:D,3,FALSE)="Yes")</f>
        <v>0</v>
      </c>
      <c r="C4" t="b">
        <v>1</v>
      </c>
      <c r="D4" t="b">
        <f>NOT(ISERROR(VLOOKUP(A4,'Charging Station Testcases'!E:E,1,FALSE)=A4))</f>
        <v>1</v>
      </c>
    </row>
    <row r="5" spans="1:9" x14ac:dyDescent="0.25">
      <c r="A5" t="s">
        <v>448</v>
      </c>
      <c r="B5" s="3" t="b">
        <f>ISNUMBER(VLOOKUP("ORS-5",'Other relevant settings'!B:D,3,FALSE))</f>
        <v>0</v>
      </c>
      <c r="C5" t="b">
        <v>0</v>
      </c>
      <c r="D5" t="b">
        <f>NOT(ISERROR(VLOOKUP(A5,'Charging Station Testcases'!E:E,1,FALSE)=A5))</f>
        <v>0</v>
      </c>
    </row>
    <row r="6" spans="1:9" x14ac:dyDescent="0.25">
      <c r="A6" t="s">
        <v>630</v>
      </c>
      <c r="B6" s="3" t="b">
        <f>VLOOKUP("C-13",'Optional features'!B:D,3,FALSE)="No"</f>
        <v>1</v>
      </c>
      <c r="C6" t="b">
        <v>1</v>
      </c>
      <c r="D6" t="b">
        <f>NOT(ISERROR(VLOOKUP(A6,'Charging Station Testcases'!E:E,1,FALSE)=A6))</f>
        <v>1</v>
      </c>
      <c r="G6" s="3"/>
    </row>
    <row r="7" spans="1:9" x14ac:dyDescent="0.25">
      <c r="A7" t="s">
        <v>631</v>
      </c>
      <c r="B7" s="3" t="b">
        <f>AND(OR(VLOOKUP("C-30",'Optional features'!B:D,3,FALSE)="Yes",VLOOKUP("C-31",'Optional features'!B:D,3,FALSE)="Yes",VLOOKUP("C-32",'Optional features'!B:D,3,FALSE)="Yes",VLOOKUP("C-35",'Optional features'!B:D,3,FALSE)="Yes"),VLOOKUP("AQ-2",'Additional questions'!B:D,3,FALSE)="No")</f>
        <v>0</v>
      </c>
      <c r="C7" t="b">
        <v>1</v>
      </c>
      <c r="D7" t="b">
        <f>NOT(ISERROR(VLOOKUP(A7,'Charging Station Testcases'!E:E,1,FALSE)=A7))</f>
        <v>0</v>
      </c>
      <c r="G7" s="3"/>
    </row>
    <row r="8" spans="1:9" x14ac:dyDescent="0.25">
      <c r="A8" t="s">
        <v>632</v>
      </c>
      <c r="B8" s="3" t="b">
        <f>OR(VLOOKUP("C-30",'Optional features'!B:D,3,FALSE)="Yes",VLOOKUP("C-31",'Optional features'!B:D,3,FALSE)="Yes",VLOOKUP("C-32",'Optional features'!B:D,3,FALSE)="Yes")</f>
        <v>0</v>
      </c>
      <c r="C8" t="b">
        <v>1</v>
      </c>
      <c r="D8" t="b">
        <f>NOT(ISERROR(VLOOKUP(A8,'Charging Station Testcases'!E:E,1,FALSE)=A8))</f>
        <v>0</v>
      </c>
      <c r="G8" s="3"/>
    </row>
    <row r="9" spans="1:9" x14ac:dyDescent="0.25">
      <c r="A9" t="s">
        <v>633</v>
      </c>
      <c r="B9" s="3" t="b">
        <f>AND(OR(VLOOKUP("C-30",'Optional features'!B:D,3,FALSE)="Yes",VLOOKUP("C-31",'Optional features'!B:D,3,FALSE)="Yes",VLOOKUP("C-32",'Optional features'!B:D,3,FALSE)="Yes",VLOOKUP("C-35",'Optional features'!B:D,3,FALSE)="Yes"),VLOOKUP("AQ-2",'Additional questions'!B:D,3,FALSE)="Yes")</f>
        <v>0</v>
      </c>
      <c r="C9" t="b">
        <v>1</v>
      </c>
      <c r="D9" t="b">
        <f>NOT(ISERROR(VLOOKUP(A9,'Charging Station Testcases'!E:E,1,FALSE)=A9))</f>
        <v>0</v>
      </c>
      <c r="G9" s="3"/>
    </row>
    <row r="10" spans="1:9" x14ac:dyDescent="0.25">
      <c r="A10" t="s">
        <v>634</v>
      </c>
      <c r="B10" s="3" t="b">
        <f>AND(OR(VLOOKUP("C-30",'Optional features'!B:D,3,FALSE)="Yes",VLOOKUP("C-31",'Optional features'!B:D,3,FALSE)="Yes",VLOOKUP("C-32",'Optional features'!B:D,3,FALSE)="Yes"),VLOOKUP("AQ-2",'Additional questions'!B:D,3,FALSE)="No")</f>
        <v>0</v>
      </c>
      <c r="C10" t="b">
        <v>1</v>
      </c>
      <c r="D10" t="b">
        <f>NOT(ISERROR(VLOOKUP(A10,'Charging Station Testcases'!E:E,1,FALSE)=A10))</f>
        <v>1</v>
      </c>
      <c r="G10" s="86" t="s">
        <v>2115</v>
      </c>
      <c r="H10" s="86" t="s">
        <v>2117</v>
      </c>
      <c r="I10" s="86" t="s">
        <v>2116</v>
      </c>
    </row>
    <row r="11" spans="1:9" x14ac:dyDescent="0.25">
      <c r="A11" t="s">
        <v>635</v>
      </c>
      <c r="B11" s="3" t="b">
        <f>OR(VLOOKUP("C-30",'Optional features'!B:D,3,FALSE)="Yes",VLOOKUP("C-31",'Optional features'!B:D,3,FALSE)="Yes",VLOOKUP("C-32",'Optional features'!B:D,3,FALSE)="Yes",AND(VLOOKUP("C-48.1",'Optional features'!B:D,3,FALSE)="Yes",OR(VLOOKUP("C-36",'Optional features'!B:D,3,FALSE)="Yes",VLOOKUP("C-37",'Optional features'!B:D,3,FALSE)="Yes")))</f>
        <v>0</v>
      </c>
      <c r="C11" t="b">
        <v>1</v>
      </c>
      <c r="D11" t="b">
        <f>NOT(ISERROR(VLOOKUP(A11,'Charging Station Testcases'!E:E,1,FALSE)=A11))</f>
        <v>0</v>
      </c>
      <c r="G11" s="86" t="s">
        <v>300</v>
      </c>
      <c r="H11" s="86" t="str" cm="1">
        <f t="array" ref="H11">_xlfn.TEXTJOIN("", TRUE, IF(Hash_HardwareFeatureSet_Scope="Member", Hash_HardwareFeatureSet, ""))</f>
        <v>1&lt;specify supported communication technology/ies&gt;&lt;select RFID Reader configuration&gt;&lt;specify DC power level&gt;&lt;specify the number of displays on your product&gt;</v>
      </c>
      <c r="I11" s="86" t="str" cm="1">
        <f t="array" ref="I11">_xlfn.TEXTJOIN("", TRUE, IF(Hash_HardwareFeatureSet_Scope="Member", "", Hash_HardwareFeatureSet))</f>
        <v>&lt;vendor company name&gt; &lt;select type of Device Under Test&gt;&lt;select subtype or Not Applicable&gt;&lt;type name and / or model number&gt; &lt;product family descriptor (if applicable)&gt;&lt;type software version of the product&gt;00Supported / Present NoNoNoNoNoNoNoNo</v>
      </c>
    </row>
    <row r="12" spans="1:9" x14ac:dyDescent="0.25">
      <c r="A12" t="s">
        <v>636</v>
      </c>
      <c r="B12" s="3" t="b">
        <f>AND(VLOOKUP("C-49",'Optional features'!B:D,3,FALSE)="Yes",OR(VLOOKUP("C-07",'Optional features'!B:D,3,FALSE)="Yes",VLOOKUP("C-08",'Optional features'!B:D,3,FALSE)="Yes"))</f>
        <v>0</v>
      </c>
      <c r="C12" t="b">
        <v>1</v>
      </c>
      <c r="D12" t="b">
        <f>NOT(ISERROR(VLOOKUP(A12,'Charging Station Testcases'!E:E,1,FALSE)=A12))</f>
        <v>0</v>
      </c>
      <c r="G12" s="86" t="s">
        <v>361</v>
      </c>
      <c r="H12" s="86" t="str" cm="1">
        <f t="array" ref="H12">_xlfn.TEXTJOIN("", TRUE, IF(Hash_ProfileSelection_Scope="Member", Hash_ProfileSelection, ""))</f>
        <v/>
      </c>
      <c r="I12" s="86" t="str" cm="1">
        <f t="array" ref="I12">_xlfn.TEXTJOIN("", TRUE, IF(Hash_ProfileSelection_Scope="Member", "", Hash_ProfileSelection))</f>
        <v>YesYesNoNoNoNo</v>
      </c>
    </row>
    <row r="13" spans="1:9" x14ac:dyDescent="0.25">
      <c r="A13" t="s">
        <v>637</v>
      </c>
      <c r="B13" s="3" t="b">
        <f>AND(VLOOKUP("C-49",'Optional features'!B:D,3,FALSE)="Yes",VLOOKUP("C-03",'Optional features'!B:D,3,FALSE)="Yes")</f>
        <v>0</v>
      </c>
      <c r="C13" t="b">
        <v>1</v>
      </c>
      <c r="D13" t="b">
        <f>NOT(ISERROR(VLOOKUP(A13,'Charging Station Testcases'!E:E,1,FALSE)=A13))</f>
        <v>0</v>
      </c>
      <c r="G13" s="86" t="s">
        <v>2118</v>
      </c>
      <c r="H13" s="86" t="str" cm="1">
        <f t="array" ref="H13">_xlfn.TEXTJOIN("", TRUE, IF(Hash_OptionalFeatures_Main_A_Scope="Member", Hash_OptionalFeatures_Main_A, ""))</f>
        <v>NoNoNoNo</v>
      </c>
      <c r="I13" s="86" t="str" cm="1">
        <f t="array" ref="I13">_xlfn.TEXTJOIN("", TRUE, IF(Hash_OptionalFeatures_Main_A_Scope="Member", "", Hash_OptionalFeatures_Main_A))</f>
        <v>Supported / Present NoNoNoNo(At least one of the suboptions below is required)NoYesYesNo(At least one of the suboptions below is required)NoNoNoYesNoNo(At least one of the suboptions below is required)YesYesNoNoNo(At least one of the suboptions below is required)YesYesNoNoYesNo&lt;list of values, at least Heartbeat&gt;NoNoNo(Select all supported suboptions)NoNoNoNoNoNoNo00Supported 
according to VendorNoNoNoNo00Supported 
according to VendorNoNo00Supported 
according to VendorNoNoNoNo00Supported
according to Vendor***</v>
      </c>
    </row>
    <row r="14" spans="1:9" x14ac:dyDescent="0.25">
      <c r="A14" t="s">
        <v>638</v>
      </c>
      <c r="B14" s="3" t="b">
        <f>AND(OR(VLOOKUP("C-30",'Optional features'!B:D,3,FALSE)="Yes",VLOOKUP("C-31",'Optional features'!B:D,3,FALSE)="Yes",VLOOKUP("C-32",'Optional features'!B:D,3,FALSE)="Yes",VLOOKUP("C-33",'Optional features'!B:D,3,FALSE)="Yes",VLOOKUP("C-34",'Optional features'!B:D,3,FALSE)="Yes",VLOOKUP("C-35",'Optional features'!B:D,3,FALSE)="Yes",VLOOKUP("ISO 15118 Support",'Profile selection'!B:C,2,FALSE)="Yes"),VLOOKUP("AQ-2",'Additional questions'!B:D,3,FALSE)="No")</f>
        <v>0</v>
      </c>
      <c r="C14" t="b">
        <v>1</v>
      </c>
      <c r="D14" t="b">
        <f>NOT(ISERROR(VLOOKUP(A14,'Charging Station Testcases'!E:E,1,FALSE)=A14))</f>
        <v>0</v>
      </c>
      <c r="G14" s="86" t="s">
        <v>2119</v>
      </c>
      <c r="H14" s="86" t="str" cm="1">
        <f t="array" ref="H14">_xlfn.TEXTJOIN("", TRUE, IF(Hash_OptionalFeatures_Main_B_Scope="Member", Hash_OptionalFeatures_Main_B, ""))</f>
        <v>No</v>
      </c>
      <c r="I14" s="86" t="str" cm="1">
        <f t="array" ref="I14">_xlfn.TEXTJOIN("", TRUE, IF(Hash_OptionalFeatures_Main_B_Scope="Member", "", Hash_OptionalFeatures_Main_B))</f>
        <v>0000Supported / Present { list of cipher suites } -&gt; at least one of TLS_ECDHE_ECDSA_WITH_AES_128_GCM_SHA256 TLS_ECDHE_ECDSA_WITH_AES_256_GCM_SHA384 OR TLS_RSA_WITH_AES_128_GCM_SHA256 TLS_RSA_WITH_AES_256_GCM_SHA38400Supported / Present NoNoNo(At least one of the suboptions below is required)NoYesNoNoNoNoNoNoNoNoNoNoNoNoNoNoNo00Supported / Present(Select all supported suboptions)NoNoNo(At least one of the suboptions below is required)NoNoNoNoNoNo00Supported / PresentNoNo(At least one of the suboptions below is required)NoNo00Supported / PresentNoNoNo00Supported / PresentNoNo00Supported / Present(At least one of the suboptions below is required)NoNoNoNoNo00Supported / PresentNoNoNo00Supported / PresentNo(At least one of the suboptions below is required, if UI-0 is supported)NoNoNo(At least one of the suboptions below is required, if UI-0 is supported)NoNoNoNoNo00Supported / PresentNoNo(At least one of the suboptions below is required, if P-0 is supported)NoNoNoNo00Supported / PresentNoNoNoNo000000000000000000000000000000000000000000000000000000000000000000000000000000</v>
      </c>
    </row>
    <row r="15" spans="1:9" x14ac:dyDescent="0.25">
      <c r="A15" t="s">
        <v>639</v>
      </c>
      <c r="B15" s="3" t="b">
        <f>OR(VLOOKUP("C-30",'Optional features'!B:D,3,FALSE)="Yes",VLOOKUP("C-31",'Optional features'!B:D,3,FALSE)="Yes",VLOOKUP("C-32",'Optional features'!B:D,3,FALSE)="Yes",VLOOKUP("C-33",'Optional features'!B:D,3,FALSE)="Yes",VLOOKUP("C-34",'Optional features'!B:D,3,FALSE)="Yes",VLOOKUP("C-35",'Optional features'!B:D,3,FALSE)="Yes",VLOOKUP("ISO 15118 Support",'Profile selection'!B:C,2,FALSE)="Yes")</f>
        <v>0</v>
      </c>
      <c r="C15" t="b">
        <v>1</v>
      </c>
      <c r="D15" t="b">
        <f>NOT(ISERROR(VLOOKUP(A15,'Charging Station Testcases'!E:E,1,FALSE)=A15))</f>
        <v>0</v>
      </c>
      <c r="G15" s="86" t="s">
        <v>2122</v>
      </c>
      <c r="H15" s="86" t="str" cm="1">
        <f t="array" ref="H15">_xlfn.TEXTJOIN("", TRUE, IF(Hash_OptionalFeatures_Measurands_Scope="Member", Hash_OptionalFeatures_Measurands, ""))</f>
        <v>&lt;list of supported values, at least one&gt;&lt;list of supported values, at least one&gt;&lt;list of supported values, at least one&gt;&lt;list of supported values, at least one&gt;&lt;list of supported values, at least one&gt;</v>
      </c>
      <c r="I15" s="86" t="str" cm="1">
        <f t="array" ref="I15">_xlfn.TEXTJOIN("", TRUE, IF(Hash_OptionalFeatures_Measurands_Scope="Member", "", Hash_OptionalFeatures_Measurands))</f>
        <v/>
      </c>
    </row>
    <row r="16" spans="1:9" x14ac:dyDescent="0.25">
      <c r="A16" t="s">
        <v>640</v>
      </c>
      <c r="B16" s="3" t="b">
        <f>AND(AND(VLOOKUP("C-09.1",'Optional features'!B:D,3,FALSE)="Yes",OR(VLOOKUP("C-51",'Optional features'!B:D,3,FALSE)="Yes",NOT(VLOOKUP("C-09.6",'Optional features'!B:D,3,FALSE)="Yes"))),VLOOKUP("AQ-2",'Additional questions'!B:D,3,FALSE)="No")</f>
        <v>0</v>
      </c>
      <c r="C16" t="b">
        <v>1</v>
      </c>
      <c r="D16" t="b">
        <f>NOT(ISERROR(VLOOKUP(A16,'Charging Station Testcases'!E:E,1,FALSE)=A16))</f>
        <v>1</v>
      </c>
      <c r="G16" s="86" t="s">
        <v>2120</v>
      </c>
      <c r="H16" s="86" t="str" cm="1">
        <f t="array" ref="H16">_xlfn.TEXTJOIN("", TRUE, IF(Hash_AdditionalQuestions_Scope="Member", Hash_AdditionalQuestions, ""))</f>
        <v>NoNo</v>
      </c>
      <c r="I16" s="86" t="str" cm="1">
        <f t="array" ref="I16">_xlfn.TEXTJOIN("", TRUE, IF(Hash_AdditionalQuestions_Scope="Member", "", Hash_AdditionalQuestions))</f>
        <v>NoNoNoNoNo0No0NoNoNoNoNoNo</v>
      </c>
    </row>
    <row r="17" spans="1:9" x14ac:dyDescent="0.25">
      <c r="A17" t="s">
        <v>641</v>
      </c>
      <c r="B17" s="3" t="b">
        <f>AND(OR(VLOOKUP("C-30",'Optional features'!B:D,3,FALSE)="Yes",VLOOKUP("C-31",'Optional features'!B:D,3,FALSE)="Yes",VLOOKUP("C-32",'Optional features'!B:D,3,FALSE)="Yes",VLOOKUP("C-33",'Optional features'!B:D,3,FALSE)="Yes",VLOOKUP("C-34",'Optional features'!B:D,3,FALSE)="Yes",VLOOKUP("C-35",'Optional features'!B:D,3,FALSE)="Yes",VLOOKUP("ISO 15118 Support",'Profile selection'!B:C,2,FALSE)="Yes"),VLOOKUP("C-09.2",'Optional features'!B:D,3,FALSE)="Yes")</f>
        <v>0</v>
      </c>
      <c r="C17" t="b">
        <v>1</v>
      </c>
      <c r="D17" t="b">
        <f>NOT(ISERROR(VLOOKUP(A17,'Charging Station Testcases'!E:E,1,FALSE)=A17))</f>
        <v>0</v>
      </c>
      <c r="G17" s="86" t="s">
        <v>2123</v>
      </c>
      <c r="H17" s="86" t="str" cm="1">
        <f t="array" ref="H17">_xlfn.TEXTJOIN("", TRUE, IF(Hash_OtherRelevantSettings_Scope="Member", Hash_OtherRelevantSettings, ""))</f>
        <v/>
      </c>
      <c r="I17" s="86" t="str" cm="1">
        <f t="array" ref="I17">_xlfn.TEXTJOIN("", TRUE, IF(Hash_OtherRelevantSettings_Scope="Member", "", Hash_OtherRelevantSettings))</f>
        <v>… … … … … … … … … … … … … … &lt;please provide the preconfigured value (max. 120 seconds)&gt;00Value… … 00Value… … … 00Value… … … 00Value&lt;please select the supported protocols&gt;00Value… … … … … … … … … … … … … … 00Value… …</v>
      </c>
    </row>
    <row r="18" spans="1:9" x14ac:dyDescent="0.25">
      <c r="A18" t="s">
        <v>642</v>
      </c>
      <c r="B18" s="3" t="b">
        <f>AND(VLOOKUP("C-09.3",'Optional features'!B:D,3,FALSE)="Yes",OR(VLOOKUP("C-51",'Optional features'!B:D,3,FALSE)="Yes",NOT(OR(VLOOKUP("C-09.1",'Optional features'!B:D,3,FALSE)="Yes",VLOOKUP("C-09.2",'Optional features'!B:D,3,FALSE)="Yes",VLOOKUP("C-09.6",'Optional features'!B:D,3,FALSE)="Yes"))))</f>
        <v>0</v>
      </c>
      <c r="C18" t="b">
        <v>1</v>
      </c>
      <c r="D18" t="b">
        <f>NOT(ISERROR(VLOOKUP(A18,'Charging Station Testcases'!E:E,1,FALSE)=A18))</f>
        <v>1</v>
      </c>
      <c r="G18" s="86" t="s">
        <v>534</v>
      </c>
      <c r="H18" s="86" t="str" cm="1">
        <f t="array" ref="H18">_xlfn.TEXTJOIN("", TRUE, IF(Hash_PerformanceMeasurement_Scope="Member", Hash_PerformanceMeasurement, ""))</f>
        <v/>
      </c>
      <c r="I18" s="86" t="str" cm="1">
        <f t="array" ref="I18">_xlfn.TEXTJOIN("", TRUE, IF(Hash_PerformanceMeasurement_Scope="Member", "", Hash_PerformanceMeasurement))</f>
        <v>&lt;vendor maximum&gt;&lt;vendor maximum&gt;&lt;vendor maximum&gt;&lt;vendor maximum&gt;</v>
      </c>
    </row>
    <row r="19" spans="1:9" x14ac:dyDescent="0.25">
      <c r="A19" t="s">
        <v>643</v>
      </c>
      <c r="B19" s="3" t="b">
        <f>AND(VLOOKUP("C-09.4",'Optional features'!B:D,3,FALSE)="Yes",OR(VLOOKUP("C-51",'Optional features'!B:D,3,FALSE)="Yes",NOT(OR(VLOOKUP("C-09.1",'Optional features'!B:D,3,FALSE)="Yes",VLOOKUP("C-09.2",'Optional features'!B:D,3,FALSE)="Yes",VLOOKUP("C-09.3",'Optional features'!B:D,3,FALSE)="Yes",VLOOKUP("C-09.6",'Optional features'!B:D,3,FALSE)="Yes"))))</f>
        <v>1</v>
      </c>
      <c r="C19" t="b">
        <v>1</v>
      </c>
      <c r="D19" t="b">
        <f>NOT(ISERROR(VLOOKUP(A19,'Charging Station Testcases'!E:E,1,FALSE)=A19))</f>
        <v>1</v>
      </c>
    </row>
    <row r="20" spans="1:9" x14ac:dyDescent="0.25">
      <c r="A20" t="s">
        <v>644</v>
      </c>
      <c r="B20" s="3" t="b">
        <f>AND(VLOOKUP("C-09.5",'Optional features'!B:D,3,FALSE)="Yes",OR(VLOOKUP("C-51",'Optional features'!B:D,3,FALSE)="Yes",NOT(OR(VLOOKUP("C-09.1",'Optional features'!B:D,3,FALSE)="Yes",VLOOKUP("C-09.2",'Optional features'!B:D,3,FALSE)="Yes",VLOOKUP("C-09.3",'Optional features'!B:D,3,FALSE)="Yes",VLOOKUP("C-09.4",'Optional features'!B:D,3,FALSE)="Yes",VLOOKUP("C-09.6",'Optional features'!B:D,3,FALSE)="Yes"))))</f>
        <v>0</v>
      </c>
      <c r="C20" t="b">
        <v>1</v>
      </c>
      <c r="D20" t="b">
        <f>NOT(ISERROR(VLOOKUP(A20,'Charging Station Testcases'!E:E,1,FALSE)=A20))</f>
        <v>1</v>
      </c>
    </row>
    <row r="21" spans="1:9" x14ac:dyDescent="0.25">
      <c r="A21" t="s">
        <v>645</v>
      </c>
      <c r="B21" s="3" t="b">
        <f>AND(VLOOKUP("HFS-1",'Hardware Feature set'!B:D,3,FALSE)="Yes",VLOOKUP("C-10.1",'Optional features'!B:D,3,FALSE)="Yes",OR(VLOOKUP("C-52",'Optional features'!B:D,3,FALSE)="Yes",NOT(OR(VLOOKUP("C-10.2",'Optional features'!B:D,3,FALSE)="Yes",VLOOKUP("C-10.3",'Optional features'!B:D,3,FALSE)="Yes",VLOOKUP("C-10.4",'Optional features'!B:D,3,FALSE)="Yes"))))</f>
        <v>0</v>
      </c>
      <c r="C21" t="b">
        <v>1</v>
      </c>
      <c r="D21" t="b">
        <f>NOT(ISERROR(VLOOKUP(A21,'Charging Station Testcases'!E:E,1,FALSE)=A21))</f>
        <v>0</v>
      </c>
    </row>
    <row r="22" spans="1:9" x14ac:dyDescent="0.25">
      <c r="A22" t="s">
        <v>646</v>
      </c>
      <c r="B22" s="3" t="b">
        <f>AND(VLOOKUP("C-10.1",'Optional features'!B:D,3,FALSE)="Yes",OR(VLOOKUP("C-52",'Optional features'!B:D,3,FALSE)="Yes",NOT(OR(VLOOKUP("C-10.3",'Optional features'!B:D,3,FALSE)="Yes",VLOOKUP("C-10.4",'Optional features'!B:D,3,FALSE)="Yes"))))</f>
        <v>1</v>
      </c>
      <c r="C22" t="b">
        <v>1</v>
      </c>
      <c r="D22" t="b">
        <f>NOT(ISERROR(VLOOKUP(A22,'Charging Station Testcases'!E:E,1,FALSE)=A22))</f>
        <v>0</v>
      </c>
      <c r="G22" s="3"/>
    </row>
    <row r="23" spans="1:9" x14ac:dyDescent="0.25">
      <c r="A23" t="s">
        <v>647</v>
      </c>
      <c r="B23" s="3" t="b">
        <f>AND(VLOOKUP("C-10.2",'Optional features'!B:D,3,FALSE)="Yes",OR(VLOOKUP("C-30",'Optional features'!B:D,3,FALSE)="Yes",VLOOKUP("C-31",'Optional features'!B:D,3,FALSE)="Yes",VLOOKUP("C-32",'Optional features'!B:D,3,FALSE)="Yes",VLOOKUP("C-35",'Optional features'!B:D,3,FALSE)="Yes"))</f>
        <v>0</v>
      </c>
      <c r="C23" t="b">
        <v>1</v>
      </c>
      <c r="D23" t="b">
        <f>NOT(ISERROR(VLOOKUP(A23,'Charging Station Testcases'!E:E,1,FALSE)=A23))</f>
        <v>0</v>
      </c>
      <c r="G23" s="3"/>
    </row>
    <row r="24" spans="1:9" x14ac:dyDescent="0.25">
      <c r="A24" t="s">
        <v>648</v>
      </c>
      <c r="B24" s="3" t="b">
        <f>AND(OR(VLOOKUP("C-10.2",'Optional features'!B:D,3,FALSE)="Yes",VLOOKUP("C-10.3",'Optional features'!B:D,3,FALSE)="Yes"),OR(VLOOKUP("C-30",'Optional features'!B:D,3,FALSE)="Yes",VLOOKUP("C-31",'Optional features'!B:D,3,FALSE)="Yes",VLOOKUP("C-32",'Optional features'!B:D,3,FALSE)="Yes",VLOOKUP("C-33",'Optional features'!B:D,3,FALSE)="Yes",VLOOKUP("C-34",'Optional features'!B:D,3,FALSE)="Yes",VLOOKUP("C-35",'Optional features'!B:D,3,FALSE)="Yes",VLOOKUP("ISO 15118 Support",'Profile selection'!B:C,2,FALSE)="Yes"),VLOOKUP("C-01",'Optional features'!B:D,3,FALSE)="Yes")</f>
        <v>0</v>
      </c>
      <c r="C24" t="b">
        <v>1</v>
      </c>
      <c r="D24" t="b">
        <f>NOT(ISERROR(VLOOKUP(A24,'Charging Station Testcases'!E:E,1,FALSE)=A24))</f>
        <v>0</v>
      </c>
      <c r="G24" s="3"/>
    </row>
    <row r="25" spans="1:9" x14ac:dyDescent="0.25">
      <c r="A25" t="s">
        <v>649</v>
      </c>
      <c r="B25" s="3" t="b">
        <f>AND(OR(VLOOKUP("C-10.2",'Optional features'!B:D,3,FALSE)="Yes",VLOOKUP("C-10.3",'Optional features'!B:D,3,FALSE)="Yes"
),VLOOKUP("C-06.2",'Optional features'!B:D,3,FALSE)="Yes")</f>
        <v>1</v>
      </c>
      <c r="C25" t="b">
        <v>1</v>
      </c>
      <c r="D25" t="b">
        <f>NOT(ISERROR(VLOOKUP(A25,'Charging Station Testcases'!E:E,1,FALSE)=A25))</f>
        <v>0</v>
      </c>
      <c r="G25" s="3"/>
    </row>
    <row r="26" spans="1:9" x14ac:dyDescent="0.25">
      <c r="A26" t="s">
        <v>650</v>
      </c>
      <c r="B26" s="3" t="b">
        <f>AND(VLOOKUP("C-10.3",'Optional features'!B:D,3,FALSE)="Yes",OR(VLOOKUP("C-52",'Optional features'!B:D,3,FALSE)="Yes",NOT(VLOOKUP("C-10.2",'Optional features'!B:D,3,FALSE)="Yes")),OR(VLOOKUP("C-30",'Optional features'!B:D,3,FALSE)="Yes",VLOOKUP("C-31",'Optional features'!B:D,3,FALSE)="Yes",VLOOKUP("C-32",'Optional features'!B:D,3,FALSE)="Yes",VLOOKUP("C-35",'Optional features'!B:D,3,FALSE)="Yes"))</f>
        <v>0</v>
      </c>
      <c r="C26" t="b">
        <v>1</v>
      </c>
      <c r="D26" t="b">
        <f>NOT(ISERROR(VLOOKUP(A26,'Charging Station Testcases'!E:E,1,FALSE)=A26))</f>
        <v>0</v>
      </c>
      <c r="G26" s="3"/>
    </row>
    <row r="27" spans="1:9" x14ac:dyDescent="0.25">
      <c r="A27" t="s">
        <v>651</v>
      </c>
      <c r="B27" s="3" t="b">
        <f>AND(VLOOKUP("C-10.3",'Optional features'!B:D,3,FALSE)="Yes",OR(VLOOKUP("C-52",'Optional features'!B:D,3,FALSE)="Yes",NOT(VLOOKUP("C-10.2",'Optional features'!B:D,3,FALSE)="Yes")))</f>
        <v>0</v>
      </c>
      <c r="C27" t="b">
        <v>1</v>
      </c>
      <c r="D27" t="b">
        <f>NOT(ISERROR(VLOOKUP(A27,'Charging Station Testcases'!E:E,1,FALSE)=A27))</f>
        <v>1</v>
      </c>
      <c r="G27" s="3"/>
    </row>
    <row r="28" spans="1:9" x14ac:dyDescent="0.25">
      <c r="A28" t="s">
        <v>652</v>
      </c>
      <c r="B28" s="3" t="b">
        <f>AND(VLOOKUP("C-10.3",'Optional features'!B:D,3,FALSE)="Yes",OR(VLOOKUP("C-52",'Optional features'!B:D,3,FALSE)="Yes",NOT(OR(VLOOKUP("C-10.1",'Optional features'!B:D,3,FALSE)="Yes",VLOOKUP("C-10.4",'Optional features'!B:D,3,FALSE)="Yes"))))</f>
        <v>0</v>
      </c>
      <c r="C28" t="b">
        <v>1</v>
      </c>
      <c r="D28" t="b">
        <f>NOT(ISERROR(VLOOKUP(A28,'Charging Station Testcases'!E:E,1,FALSE)=A28))</f>
        <v>0</v>
      </c>
      <c r="G28" s="3"/>
    </row>
    <row r="29" spans="1:9" x14ac:dyDescent="0.25">
      <c r="A29" t="s">
        <v>653</v>
      </c>
      <c r="B29" s="3" t="b">
        <f>AND(VLOOKUP("C-10.4",'Optional features'!B:D,3,FALSE)="Yes",OR(VLOOKUP("C-52",'Optional features'!B:D,3,FALSE)="Yes",NOT(OR(VLOOKUP("C-10.2",'Optional features'!B:D,3,FALSE)="Yes",VLOOKUP("C-10.3",'Optional features'!B:D,3,FALSE)="Yes"))))</f>
        <v>0</v>
      </c>
      <c r="C29" t="b">
        <v>1</v>
      </c>
      <c r="D29" t="b">
        <f>NOT(ISERROR(VLOOKUP(A29,'Charging Station Testcases'!E:E,1,FALSE)=A29))</f>
        <v>1</v>
      </c>
      <c r="G29" s="3"/>
    </row>
    <row r="30" spans="1:9" x14ac:dyDescent="0.25">
      <c r="A30" t="s">
        <v>654</v>
      </c>
      <c r="B30" s="3" t="b">
        <f>AND(VLOOKUP("C-10.5",'Optional features'!B:D,3,FALSE)="Yes",OR(VLOOKUP("C-52",'Optional features'!B:D,3,FALSE)="Yes",NOT(OR(VLOOKUP("C-10.1",'Optional features'!B:D,3,FALSE)="Yes",VLOOKUP("C-10.2",'Optional features'!B:D,3,FALSE)="Yes",VLOOKUP("C-10.3",'Optional features'!B:D,3,FALSE)="Yes",VLOOKUP("C-10.4",'Optional features'!B:D,3,FALSE)="Yes"))))</f>
        <v>0</v>
      </c>
      <c r="C30" t="b">
        <v>1</v>
      </c>
      <c r="D30" t="b">
        <f>NOT(ISERROR(VLOOKUP(A30,'Charging Station Testcases'!E:E,1,FALSE)=A30))</f>
        <v>1</v>
      </c>
      <c r="G30" s="3"/>
    </row>
    <row r="31" spans="1:9" x14ac:dyDescent="0.25">
      <c r="A31" t="s">
        <v>655</v>
      </c>
      <c r="B31" s="3" t="b">
        <f>OR(VLOOKUP("C-30",'Optional features'!B:D,3,FALSE)="Yes",VLOOKUP("C-31",'Optional features'!B:D,3,FALSE)="Yes",VLOOKUP("C-32",'Optional features'!B:D,3,FALSE)="Yes",VLOOKUP("C-35",'Optional features'!B:D,3,FALSE)="Yes")</f>
        <v>0</v>
      </c>
      <c r="C31" t="b">
        <v>1</v>
      </c>
      <c r="D31" t="b">
        <f>NOT(ISERROR(VLOOKUP(A31,'Charging Station Testcases'!E:E,1,FALSE)=A31))</f>
        <v>0</v>
      </c>
      <c r="G31" s="3"/>
    </row>
    <row r="32" spans="1:9" x14ac:dyDescent="0.25">
      <c r="A32" t="s">
        <v>656</v>
      </c>
      <c r="B32" s="3" t="b">
        <f>AND(VLOOKUP("HFS-1",'Hardware Feature set'!B:D,3,FALSE)="Yes",VLOOKUP("C-06.2",'Optional features'!B:D,3,FALSE)="Yes",VLOOKUP("C-12.1",'Optional features'!B:D,3,FALSE)="Yes")</f>
        <v>0</v>
      </c>
      <c r="C32" t="b">
        <v>1</v>
      </c>
      <c r="D32" t="b">
        <f>NOT(ISERROR(VLOOKUP(A32,'Charging Station Testcases'!E:E,1,FALSE)=A32))</f>
        <v>0</v>
      </c>
      <c r="G32" s="3"/>
    </row>
    <row r="33" spans="1:7" x14ac:dyDescent="0.25">
      <c r="A33" t="s">
        <v>657</v>
      </c>
      <c r="B33" s="3" t="b">
        <f>AND(VLOOKUP("C-06.2",'Optional features'!B:D,3,FALSE)="Yes",VLOOKUP("C-12.2",'Optional features'!B:D,3,FALSE)="Yes")</f>
        <v>1</v>
      </c>
      <c r="C33" t="b">
        <v>1</v>
      </c>
      <c r="D33" t="b">
        <f>NOT(ISERROR(VLOOKUP(A33,'Charging Station Testcases'!E:E,1,FALSE)=A33))</f>
        <v>0</v>
      </c>
      <c r="G33" s="3"/>
    </row>
    <row r="34" spans="1:7" x14ac:dyDescent="0.25">
      <c r="A34" t="s">
        <v>658</v>
      </c>
      <c r="B34" s="3" t="b">
        <f>AND(OR(VLOOKUP("C-10.2",'Optional features'!B:D,3,FALSE)="Yes",VLOOKUP("C-10.5",'Optional features'!B:D,3,FALSE)="Yes"),OR(VLOOKUP("C-52",'Optional features'!B:D,3,FALSE)="Yes",NOT(OR(VLOOKUP("C-10.1",'Optional features'!B:D,3,FALSE)="Yes",VLOOKUP("C-10.3",'Optional features'!B:D,3,FALSE)="Yes",VLOOKUP("C-10.4",'Optional features'!B:D,3,FALSE)="Yes"))),VLOOKUP("C-06.2",'Optional features'!B:D,3,FALSE)="Yes",VLOOKUP("C-12.2",'Optional features'!B:D,3,FALSE)="Yes")</f>
        <v>0</v>
      </c>
      <c r="C34" t="b">
        <v>1</v>
      </c>
      <c r="D34" t="b">
        <f>NOT(ISERROR(VLOOKUP(A34,'Charging Station Testcases'!E:E,1,FALSE)=A34))</f>
        <v>0</v>
      </c>
      <c r="G34" s="3"/>
    </row>
    <row r="35" spans="1:7" x14ac:dyDescent="0.25">
      <c r="A35" t="s">
        <v>659</v>
      </c>
      <c r="B35" s="3" t="b">
        <f>AND(OR(VLOOKUP("C-10.2",'Optional features'!B:D,3,FALSE)="Yes",VLOOKUP("C-10.5",'Optional features'!B:D,3,FALSE)="Yes"),OR(VLOOKUP("C-52",'Optional features'!B:D,3,FALSE)="Yes",NOT(OR(VLOOKUP("C-10.1",'Optional features'!B:D,3,FALSE)="Yes",VLOOKUP("C-10.3",'Optional features'!B:D,3,FALSE)="Yes",VLOOKUP("C-10.4",'Optional features'!B:D,3,FALSE)="Yes"))),VLOOKUP("C-06.2",'Optional features'!B:D,3,FALSE)="Yes",VLOOKUP("C-12.2",'Optional features'!B:D,3,FALSE)="Yes",VLOOKUP("HFS-2",'Hardware Feature set'!B:D,3,FALSE)="Yes")</f>
        <v>0</v>
      </c>
      <c r="C35" t="b">
        <v>1</v>
      </c>
      <c r="D35" t="b">
        <f>NOT(ISERROR(VLOOKUP(A35,'Charging Station Testcases'!E:E,1,FALSE)=A35))</f>
        <v>0</v>
      </c>
      <c r="G35" s="3"/>
    </row>
    <row r="36" spans="1:7" x14ac:dyDescent="0.25">
      <c r="A36" t="s">
        <v>660</v>
      </c>
      <c r="B36" s="3" t="b">
        <f>AND(VLOOKUP("C-01",'Optional features'!B:D,3,FALSE)="Yes",OR(VLOOKUP("C-30",'Optional features'!B:D,3,FALSE)="Yes",VLOOKUP("C-31",'Optional features'!B:D,3,FALSE)="Yes",VLOOKUP("C-32",'Optional features'!B:D,3,FALSE)="Yes",VLOOKUP("C-33",'Optional features'!B:D,3,FALSE)="Yes",VLOOKUP("C-34",'Optional features'!B:D,3,FALSE)="Yes",VLOOKUP("C-35",'Optional features'!B:D,3,FALSE)="Yes",VLOOKUP("ISO 15118 Support",'Profile selection'!B:C,2,FALSE)="Yes"))</f>
        <v>0</v>
      </c>
      <c r="C36" t="b">
        <v>1</v>
      </c>
      <c r="D36" t="b">
        <f>NOT(ISERROR(VLOOKUP(A36,'Charging Station Testcases'!E:E,1,FALSE)=A36))</f>
        <v>0</v>
      </c>
      <c r="G36" s="3"/>
    </row>
    <row r="37" spans="1:7" x14ac:dyDescent="0.25">
      <c r="A37" t="s">
        <v>661</v>
      </c>
      <c r="B37" s="3" t="b">
        <f>AND(VLOOKUP("AQ-2",'Additional questions'!B:D,3,FALSE)="Yes",OR(VLOOKUP("C-30",'Optional features'!B:D,3,FALSE)="Yes",VLOOKUP("C-36",'Optional features'!B:D,3,FALSE)="Yes",VLOOKUP("C-37",'Optional features'!B:D,3,FALSE)="Yes",VLOOKUP("C-38",'Optional features'!B:D,3,FALSE)="Yes",VLOOKUP("C-39",'Optional features'!B:D,3,FALSE)="Yes"))</f>
        <v>0</v>
      </c>
      <c r="C37" t="b">
        <v>1</v>
      </c>
      <c r="D37" t="b">
        <f>NOT(ISERROR(VLOOKUP(A37,'Charging Station Testcases'!E:E,1,FALSE)=A37))</f>
        <v>0</v>
      </c>
      <c r="G37" s="3"/>
    </row>
    <row r="38" spans="1:7" x14ac:dyDescent="0.25">
      <c r="A38" t="s">
        <v>662</v>
      </c>
      <c r="B38" s="3" t="b">
        <f>AND(VLOOKUP("C-48.1",'Optional features'!B:D,3,FALSE)="Yes",OR(VLOOKUP("C-30",'Optional features'!B:D,3,FALSE)="Yes",VLOOKUP("C-36",'Optional features'!B:D,3,FALSE)="Yes",VLOOKUP("C-37",'Optional features'!B:D,3,FALSE)="Yes",VLOOKUP("C-38",'Optional features'!B:D,3,FALSE)="Yes",VLOOKUP("C-39",'Optional features'!B:D,3,FALSE)="Yes"))</f>
        <v>0</v>
      </c>
      <c r="C38" t="b">
        <v>1</v>
      </c>
      <c r="D38" t="b">
        <f>NOT(ISERROR(VLOOKUP(A38,'Charging Station Testcases'!E:E,1,FALSE)=A38))</f>
        <v>0</v>
      </c>
    </row>
    <row r="39" spans="1:7" x14ac:dyDescent="0.25">
      <c r="A39" t="s">
        <v>663</v>
      </c>
      <c r="B39" s="3" t="b">
        <f>AND(VLOOKUP("C-48.2",'Optional features'!B:D,3,FALSE)="Yes",OR(VLOOKUP("C-30",'Optional features'!B:D,3,FALSE)="Yes",VLOOKUP("C-36",'Optional features'!B:D,3,FALSE)="Yes",VLOOKUP("C-37",'Optional features'!B:D,3,FALSE)="Yes",VLOOKUP("C-38",'Optional features'!B:D,3,FALSE)="Yes",VLOOKUP("C-39",'Optional features'!B:D,3,FALSE)="Yes"))</f>
        <v>0</v>
      </c>
      <c r="C39" t="b">
        <v>1</v>
      </c>
      <c r="D39" t="b">
        <f>NOT(ISERROR(VLOOKUP(A39,'Charging Station Testcases'!E:E,1,FALSE)=A39))</f>
        <v>0</v>
      </c>
    </row>
    <row r="40" spans="1:7" x14ac:dyDescent="0.25">
      <c r="A40" t="s">
        <v>664</v>
      </c>
      <c r="B40" s="3" t="b">
        <f>VLOOKUP("HFS-1",'Hardware Feature set'!B:D,3,FALSE)="Yes"</f>
        <v>0</v>
      </c>
      <c r="C40" t="b">
        <v>0</v>
      </c>
      <c r="D40" t="b">
        <f>NOT(ISERROR(VLOOKUP(A40,'Charging Station Testcases'!E:E,1,FALSE)=A40))</f>
        <v>0</v>
      </c>
    </row>
    <row r="41" spans="1:7" x14ac:dyDescent="0.25">
      <c r="A41" t="s">
        <v>665</v>
      </c>
      <c r="B41" s="3" t="b">
        <f>VLOOKUP("Smart Charging",'Profile selection'!B:C,2,FALSE)="No"</f>
        <v>1</v>
      </c>
      <c r="C41" t="b">
        <v>1</v>
      </c>
      <c r="D41" t="b">
        <f>NOT(ISERROR(VLOOKUP(A41,'Charging Station Testcases'!E:E,1,FALSE)=A41))</f>
        <v>1</v>
      </c>
    </row>
    <row r="42" spans="1:7" x14ac:dyDescent="0.25">
      <c r="A42" t="s">
        <v>666</v>
      </c>
      <c r="B42" s="3" t="b">
        <f>AND(VLOOKUP("C-20",'Optional features'!B:D,3,FALSE)="Yes",VLOOKUP("C-43",'Optional features'!B:D,3,FALSE)="No")</f>
        <v>1</v>
      </c>
      <c r="C42" t="b">
        <v>1</v>
      </c>
      <c r="D42" t="b">
        <f>NOT(ISERROR(VLOOKUP(A42,'Charging Station Testcases'!E:E,1,FALSE)=A42))</f>
        <v>0</v>
      </c>
    </row>
    <row r="43" spans="1:7" x14ac:dyDescent="0.25">
      <c r="A43" t="s">
        <v>667</v>
      </c>
      <c r="B43" s="3" t="b">
        <f>AND(OR(VLOOKUP("C-30",'Optional features'!B:D,3,FALSE)="Yes",VLOOKUP("C-31",'Optional features'!B:D,3,FALSE)="Yes",VLOOKUP("C-34",'Optional features'!B:D,3,FALSE)="Yes"),OR(VLOOKUP("C-49",'Optional features'!B:D,3,FALSE)="Yes",VLOOKUP("LA-0",'Optional features'!B:D,3,FALSE)="Yes"))</f>
        <v>0</v>
      </c>
      <c r="C43" t="b">
        <v>1</v>
      </c>
      <c r="D43" t="b">
        <f>NOT(ISERROR(VLOOKUP(A43,'Charging Station Testcases'!E:E,1,FALSE)=A43))</f>
        <v>0</v>
      </c>
    </row>
    <row r="44" spans="1:7" x14ac:dyDescent="0.25">
      <c r="A44" t="s">
        <v>668</v>
      </c>
      <c r="B44" s="3" t="b">
        <f>AND(OR(VLOOKUP("C-30",'Optional features'!B:D,3,FALSE)="Yes",VLOOKUP("C-31",'Optional features'!B:D,3,FALSE)="Yes",VLOOKUP("C-34",'Optional features'!B:D,3,FALSE)="Yes"),VLOOKUP("C-49",'Optional features'!B:D,3,FALSE)="Yes")</f>
        <v>0</v>
      </c>
      <c r="C44" t="b">
        <v>1</v>
      </c>
      <c r="D44" t="b">
        <f>NOT(ISERROR(VLOOKUP(A44,'Charging Station Testcases'!E:E,1,FALSE)=A44))</f>
        <v>0</v>
      </c>
    </row>
    <row r="45" spans="1:7" x14ac:dyDescent="0.25">
      <c r="A45" t="s">
        <v>669</v>
      </c>
      <c r="B45" s="3" t="b">
        <f>NOT(AND(VLOOKUP("UI-1.1",'Optional features'!B:D,3,FALSE)="Yes",VLOOKUP("UI-1.2",'Optional features'!B:D,3,FALSE)="Yes",VLOOKUP("UI-1.3",'Optional features'!B:D,3,FALSE)="Yes"))</f>
        <v>1</v>
      </c>
      <c r="C45" t="b">
        <v>1</v>
      </c>
      <c r="D45" t="b">
        <f>NOT(ISERROR(VLOOKUP(A45,'Charging Station Testcases'!E:E,1,FALSE)=A45))</f>
        <v>0</v>
      </c>
    </row>
    <row r="46" spans="1:7" x14ac:dyDescent="0.25">
      <c r="A46" t="s">
        <v>670</v>
      </c>
      <c r="B46" s="3" t="b">
        <f>NOT(AND(VLOOKUP("UI-2.1",'Optional features'!B:D,3,FALSE)="Yes",VLOOKUP("UI-2.2",'Optional features'!B:D,3,FALSE)="Yes",VLOOKUP("UI-2.3",'Optional features'!B:D,3,FALSE)="Yes",VLOOKUP("UI-2.4",'Optional features'!B:D,3,FALSE)="Yes"))</f>
        <v>1</v>
      </c>
      <c r="C46" t="b">
        <v>1</v>
      </c>
      <c r="D46" t="b">
        <f>NOT(ISERROR(VLOOKUP(A46,'Charging Station Testcases'!E:E,1,FALSE)=A46))</f>
        <v>0</v>
      </c>
    </row>
    <row r="47" spans="1:7" x14ac:dyDescent="0.25">
      <c r="A47" t="s">
        <v>671</v>
      </c>
      <c r="B47" s="3" t="b">
        <f>OR(AND(VLOOKUP("UI-1.1",'Optional features'!B:D,3,FALSE)="Yes",VLOOKUP("UI-1.2",'Optional features'!B:D,3,FALSE)="Yes"),AND(VLOOKUP("UI-1.2",'Optional features'!B:D,3,FALSE)="Yes",VLOOKUP("UI-1.3",'Optional features'!B:D,3,FALSE)="Yes"),AND(VLOOKUP("UI-1.3",'Optional features'!B:D,3,FALSE)="Yes",VLOOKUP("UI-1.1",'Optional features'!B:D,3,FALSE)="Yes"))</f>
        <v>0</v>
      </c>
      <c r="C47" t="b">
        <v>1</v>
      </c>
      <c r="D47" t="b">
        <f>NOT(ISERROR(VLOOKUP(A47,'Charging Station Testcases'!E:E,1,FALSE)=A47))</f>
        <v>0</v>
      </c>
    </row>
    <row r="48" spans="1:7" x14ac:dyDescent="0.25">
      <c r="A48" t="s">
        <v>672</v>
      </c>
      <c r="B48" s="3" t="b">
        <f>NOT(AND(VLOOKUP("HFS-5",'Hardware Feature set'!B:D,3,FALSE)="Yes",VLOOKUP("HFS-6",'Hardware Feature set'!B:D,3,FALSE)="Yes",VLOOKUP("HFS-7",'Hardware Feature set'!B:D,3,FALSE)="Yes"))</f>
        <v>1</v>
      </c>
      <c r="C48" t="b">
        <v>1</v>
      </c>
      <c r="D48" t="b">
        <f>NOT(ISERROR(VLOOKUP(A48,'Charging Station Testcases'!E:E,1,FALSE)=A48))</f>
        <v>0</v>
      </c>
      <c r="G48" s="3"/>
    </row>
    <row r="49" spans="1:7" x14ac:dyDescent="0.25">
      <c r="A49" t="s">
        <v>673</v>
      </c>
      <c r="B49" s="3" t="b">
        <f>NOT(AND(VLOOKUP("SC-2.1",'Optional features'!B:D,3,FALSE)="Yes",VLOOKUP("SC-2.2",'Optional features'!B:D,3,FALSE)="Yes"))</f>
        <v>1</v>
      </c>
      <c r="C49" t="b">
        <v>1</v>
      </c>
      <c r="D49" t="b">
        <f>NOT(ISERROR(VLOOKUP(A49,'Charging Station Testcases'!E:E,1,FALSE)=A49))</f>
        <v>1</v>
      </c>
      <c r="G49" s="3"/>
    </row>
    <row r="50" spans="1:7" x14ac:dyDescent="0.25">
      <c r="A50" t="s">
        <v>674</v>
      </c>
      <c r="B50" s="3" t="b">
        <f>VLOOKUP("HFS-8",'Hardware Feature set'!B:D,3,FALSE)&gt;1</f>
        <v>0</v>
      </c>
      <c r="C50" t="b">
        <v>0</v>
      </c>
      <c r="D50" t="b">
        <f>NOT(ISERROR(VLOOKUP(A50,'Charging Station Testcases'!E:E,1,FALSE)=A50))</f>
        <v>1</v>
      </c>
      <c r="G50" s="3"/>
    </row>
    <row r="51" spans="1:7" x14ac:dyDescent="0.25">
      <c r="A51" t="s">
        <v>675</v>
      </c>
      <c r="B51" s="3" t="b">
        <f>AND(OR(VLOOKUP("C-30",'Optional features'!B:D,3,FALSE)="Yes",VLOOKUP("C-31",'Optional features'!B:D,3,FALSE)="Yes",VLOOKUP("C-32",'Optional features'!B:D,3,FALSE)="Yes"),VLOOKUP("C-49",'Optional features'!B:D,3,FALSE)="Yes")</f>
        <v>0</v>
      </c>
      <c r="C51" t="b">
        <v>1</v>
      </c>
      <c r="D51" t="b">
        <f>NOT(ISERROR(VLOOKUP(A51,'Charging Station Testcases'!E:E,1,FALSE)=A51))</f>
        <v>0</v>
      </c>
      <c r="G51" s="3"/>
    </row>
    <row r="52" spans="1:7" x14ac:dyDescent="0.25">
      <c r="A52" t="s">
        <v>676</v>
      </c>
      <c r="B52" s="3" t="b">
        <f>AND(OR(VLOOKUP("C-30",'Optional features'!B:D,3,FALSE)="Yes",VLOOKUP("C-31",'Optional features'!B:D,3,FALSE)="Yes",VLOOKUP("C-32",'Optional features'!B:D,3,FALSE)="Yes"),VLOOKUP("C-02",'Optional features'!B:D,3,FALSE)="Yes")</f>
        <v>0</v>
      </c>
      <c r="C52" t="b">
        <v>1</v>
      </c>
      <c r="D52" t="b">
        <f>NOT(ISERROR(VLOOKUP(A52,'Charging Station Testcases'!E:E,1,FALSE)=A52))</f>
        <v>0</v>
      </c>
      <c r="G52" s="3"/>
    </row>
    <row r="53" spans="1:7" x14ac:dyDescent="0.25">
      <c r="A53" t="s">
        <v>677</v>
      </c>
      <c r="B53" s="3" t="b">
        <f>AND(OR(VLOOKUP("C-30",'Optional features'!B:D,3,FALSE)="Yes",VLOOKUP("C-31",'Optional features'!B:D,3,FALSE)="Yes",VLOOKUP("C-32",'Optional features'!B:D,3,FALSE)="Yes"),VLOOKUP("C-07",'Optional features'!B:D,3,FALSE)="Yes")</f>
        <v>0</v>
      </c>
      <c r="C53" t="b">
        <v>1</v>
      </c>
      <c r="D53" t="b">
        <f>NOT(ISERROR(VLOOKUP(A53,'Charging Station Testcases'!E:E,1,FALSE)=A53))</f>
        <v>0</v>
      </c>
      <c r="G53" s="3"/>
    </row>
    <row r="54" spans="1:7" x14ac:dyDescent="0.25">
      <c r="A54" t="s">
        <v>678</v>
      </c>
      <c r="B54" s="3" t="b">
        <f>AND(OR(VLOOKUP("C-30",'Optional features'!B:D,3,FALSE)="Yes",VLOOKUP("C-31",'Optional features'!B:D,3,FALSE)="Yes",VLOOKUP("C-32",'Optional features'!B:D,3,FALSE)="Yes"),VLOOKUP("C-08",'Optional features'!B:D,3,FALSE)="Yes")</f>
        <v>0</v>
      </c>
      <c r="C54" t="b">
        <v>1</v>
      </c>
      <c r="D54" t="b">
        <f>NOT(ISERROR(VLOOKUP(A54,'Charging Station Testcases'!E:E,1,FALSE)=A54))</f>
        <v>0</v>
      </c>
      <c r="G54" s="3"/>
    </row>
    <row r="55" spans="1:7" x14ac:dyDescent="0.25">
      <c r="A55" t="s">
        <v>679</v>
      </c>
      <c r="B55" s="3" t="b">
        <f>AND(OR(VLOOKUP("C-30",'Optional features'!B:D,3,FALSE)="Yes",VLOOKUP("C-31",'Optional features'!B:D,3,FALSE)="Yes",VLOOKUP("C-32",'Optional features'!B:D,3,FALSE)="Yes"),VLOOKUP("C-53",'Optional features'!B:D,3,FALSE)="Yes")</f>
        <v>0</v>
      </c>
      <c r="C55" t="b">
        <v>1</v>
      </c>
      <c r="D55" t="b">
        <f>NOT(ISERROR(VLOOKUP(A55,'Charging Station Testcases'!E:E,1,FALSE)=A55))</f>
        <v>0</v>
      </c>
      <c r="G55" s="3"/>
    </row>
    <row r="56" spans="1:7" x14ac:dyDescent="0.25">
      <c r="A56" t="s">
        <v>680</v>
      </c>
      <c r="B56" s="3" t="b">
        <f>AND(OR(VLOOKUP("C-30",'Optional features'!B:D,3,FALSE)="Yes",VLOOKUP("C-31",'Optional features'!B:D,3,FALSE)="Yes",VLOOKUP("C-32",'Optional features'!B:D,3,FALSE)="Yes"),VLOOKUP("C-49",'Optional features'!B:D,3,FALSE)="Yes",OR(VLOOKUP("C-07",'Optional features'!B:D,3,FALSE)="Yes",VLOOKUP("C-08",'Optional features'!B:D,3,FALSE)="Yes"))</f>
        <v>0</v>
      </c>
      <c r="C56" t="b">
        <v>1</v>
      </c>
      <c r="D56" t="b">
        <f>NOT(ISERROR(VLOOKUP(A56,'Charging Station Testcases'!E:E,1,FALSE)=A56))</f>
        <v>0</v>
      </c>
      <c r="G56" s="3"/>
    </row>
    <row r="57" spans="1:7" x14ac:dyDescent="0.25">
      <c r="A57" t="s">
        <v>681</v>
      </c>
      <c r="B57" s="3" t="b">
        <f>AND(OR(VLOOKUP("C-30",'Optional features'!B:D,3,FALSE)="Yes",VLOOKUP("C-31",'Optional features'!B:D,3,FALSE)="Yes",VLOOKUP("C-32",'Optional features'!B:D,3,FALSE)="Yes"),VLOOKUP("C-03",'Optional features'!B:D,3,FALSE)="Yes",VLOOKUP("C-49",'Optional features'!B:D,3,FALSE)="Yes")</f>
        <v>0</v>
      </c>
      <c r="C57" t="b">
        <v>1</v>
      </c>
      <c r="D57" t="b">
        <f>NOT(ISERROR(VLOOKUP(A57,'Charging Station Testcases'!E:E,1,FALSE)=A57))</f>
        <v>0</v>
      </c>
      <c r="G57" s="3"/>
    </row>
    <row r="58" spans="1:7" x14ac:dyDescent="0.25">
      <c r="A58" t="s">
        <v>682</v>
      </c>
      <c r="B58" s="3" t="b">
        <f>AND(OR(VLOOKUP("C-30",'Optional features'!B:D,3,FALSE)="Yes",VLOOKUP("C-31",'Optional features'!B:D,3,FALSE)="Yes",VLOOKUP("C-32",'Optional features'!B:D,3,FALSE)="Yes"),VLOOKUP("C-59",'Optional features'!B:D,3,FALSE)="Yes",VLOOKUP("C-49",'Optional features'!B:D,3,FALSE)="Yes")</f>
        <v>0</v>
      </c>
      <c r="C58" t="b">
        <v>1</v>
      </c>
      <c r="D58" t="b">
        <f>NOT(ISERROR(VLOOKUP(A58,'Charging Station Testcases'!E:E,1,FALSE)=A58))</f>
        <v>0</v>
      </c>
      <c r="G58" s="3"/>
    </row>
    <row r="59" spans="1:7" x14ac:dyDescent="0.25">
      <c r="A59" t="s">
        <v>683</v>
      </c>
      <c r="B59" s="3" t="b">
        <f>AND(OR(VLOOKUP("LA-3",'Optional features'!B:D,3,FALSE)="Yes",VLOOKUP("C-31",'Optional features'!B:D,3,FALSE)="Yes",VLOOKUP("C-32",'Optional features'!B:D,3,FALSE)="Yes"),VLOOKUP("C-30",'Optional features'!B:D,3,FALSE)="Yes")</f>
        <v>0</v>
      </c>
      <c r="C59" t="b">
        <v>1</v>
      </c>
      <c r="D59" t="b">
        <f>NOT(ISERROR(VLOOKUP(A59,'Charging Station Testcases'!E:E,1,FALSE)=A59))</f>
        <v>0</v>
      </c>
      <c r="G59" s="3"/>
    </row>
    <row r="60" spans="1:7" x14ac:dyDescent="0.25">
      <c r="A60" t="s">
        <v>684</v>
      </c>
      <c r="B60" s="3" t="b">
        <f>AND(VLOOKUP("C-20",'Optional features'!B:D,3,FALSE)="Yes",VLOOKUP("C-43",'Optional features'!B:D,3,FALSE)="No",VLOOKUP("AQ-7",'Additional questions'!B:D,3,FALSE)="Yes")</f>
        <v>0</v>
      </c>
      <c r="C60" t="b">
        <v>1</v>
      </c>
      <c r="D60" t="b">
        <f>NOT(ISERROR(VLOOKUP(A60,'Charging Station Testcases'!E:E,1,FALSE)=A60))</f>
        <v>0</v>
      </c>
      <c r="G60" s="3"/>
    </row>
    <row r="61" spans="1:7" x14ac:dyDescent="0.25">
      <c r="A61" t="s">
        <v>685</v>
      </c>
      <c r="B61" s="3" t="b">
        <f>AND(VLOOKUP("C-20",'Optional features'!B:D,3,FALSE)="Yes",VLOOKUP("C-43",'Optional features'!B:D,3,FALSE)="No",VLOOKUP("AQ-7",'Additional questions'!B:D,3,FALSE)="No")</f>
        <v>1</v>
      </c>
      <c r="C61" t="b">
        <v>1</v>
      </c>
      <c r="D61" t="b">
        <f>NOT(ISERROR(VLOOKUP(A61,'Charging Station Testcases'!E:E,1,FALSE)=A61))</f>
        <v>0</v>
      </c>
      <c r="G61" s="3"/>
    </row>
    <row r="62" spans="1:7" x14ac:dyDescent="0.25">
      <c r="A62" t="s">
        <v>686</v>
      </c>
      <c r="B62" s="3" t="b">
        <f>AND(VLOOKUP("AQ-8",'Additional questions'!B:D,3,FALSE)="No")</f>
        <v>1</v>
      </c>
      <c r="C62" t="b">
        <v>0</v>
      </c>
      <c r="D62" t="b">
        <f>NOT(ISERROR(VLOOKUP(A62,'Charging Station Testcases'!E:E,1,FALSE)=A62))</f>
        <v>0</v>
      </c>
      <c r="G62" s="3"/>
    </row>
    <row r="63" spans="1:7" x14ac:dyDescent="0.25">
      <c r="A63" t="s">
        <v>687</v>
      </c>
      <c r="B63" s="3" t="b">
        <f>VLOOKUP("C-60",'Optional features'!B:D,3,FALSE)="No"</f>
        <v>1</v>
      </c>
      <c r="C63" t="b">
        <v>1</v>
      </c>
      <c r="D63" t="b">
        <f>NOT(ISERROR(VLOOKUP(A63,'Charging Station Testcases'!E:E,1,FALSE)=A63))</f>
        <v>1</v>
      </c>
      <c r="G63" s="3"/>
    </row>
    <row r="64" spans="1:7" x14ac:dyDescent="0.25">
      <c r="A64" t="s">
        <v>688</v>
      </c>
      <c r="B64" s="3" t="b">
        <f>AND(VLOOKUP("C-10.1",'Optional features'!B:D,3,FALSE)="Yes",OR(VLOOKUP("C-52",'Optional features'!B:D,3,FALSE)="Yes", NOT(OR(VLOOKUP("C-10.3",'Optional features'!B:D,3,FALSE)="Yes", VLOOKUP("C-10.4",'Optional features'!B:D,3,FALSE)="Yes"))),NOT(AND(VLOOKUP("C-10.2",'Optional features'!B:D,3,FALSE)="Yes", NOT(VLOOKUP("C-52",'Optional features'!B:D,3,FALSE)="Yes"), NOT(VLOOKUP("C-06.1",'Optional features'!B:D,3,FALSE)="Yes"))))</f>
        <v>0</v>
      </c>
      <c r="C64" t="b">
        <v>1</v>
      </c>
      <c r="D64" t="b">
        <f>NOT(ISERROR(VLOOKUP(A64,'Charging Station Testcases'!E:E,1,FALSE)=A64))</f>
        <v>0</v>
      </c>
      <c r="G64" s="3"/>
    </row>
    <row r="65" spans="1:7" x14ac:dyDescent="0.25">
      <c r="A65" t="s">
        <v>689</v>
      </c>
      <c r="B65" s="3" t="b">
        <f>AND(VLOOKUP("AQ-8",'Additional questions'!B:D,3,FALSE)="No",OR(VLOOKUP("C-09.2",'Optional features'!B:D,3,FALSE)="Yes",VLOOKUP("C-09.6",'Optional features'!B:D,3,FALSE)="Yes"))</f>
        <v>0</v>
      </c>
      <c r="C65" t="b">
        <v>0</v>
      </c>
      <c r="D65" t="b">
        <f>NOT(ISERROR(VLOOKUP(A65,'Charging Station Testcases'!E:E,1,FALSE)=A65))</f>
        <v>1</v>
      </c>
      <c r="G65" s="3"/>
    </row>
    <row r="66" spans="1:7" x14ac:dyDescent="0.25">
      <c r="A66" t="s">
        <v>690</v>
      </c>
      <c r="B66" s="3" t="b">
        <f>AND(OR(VLOOKUP("C-30",'Optional features'!B:D,3,FALSE)="Yes",VLOOKUP("C-31",'Optional features'!B:D,3,FALSE)="Yes",VLOOKUP("C-32",'Optional features'!B:D,3,FALSE)="Yes"),OR(VLOOKUP("C-07",'Optional features'!B:D,3,FALSE)="Yes",VLOOKUP("C-08",'Optional features'!B:D,3,FALSE)="Yes"))</f>
        <v>0</v>
      </c>
      <c r="C66" t="b">
        <v>1</v>
      </c>
      <c r="D66" t="b">
        <f>NOT(ISERROR(VLOOKUP(A66,'Charging Station Testcases'!E:E,1,FALSE)=A66))</f>
        <v>0</v>
      </c>
      <c r="G66" s="3"/>
    </row>
    <row r="67" spans="1:7" x14ac:dyDescent="0.25">
      <c r="A67" t="s">
        <v>691</v>
      </c>
      <c r="B67" s="3" t="b">
        <f>VLOOKUP("C-09.5",'Optional features'!B:D,3,FALSE)="No"</f>
        <v>1</v>
      </c>
      <c r="C67" t="b">
        <v>1</v>
      </c>
      <c r="D67" t="b">
        <f>NOT(ISERROR(VLOOKUP(A67,'Charging Station Testcases'!E:E,1,FALSE)=A67))</f>
        <v>0</v>
      </c>
      <c r="G67" s="3"/>
    </row>
    <row r="68" spans="1:7" x14ac:dyDescent="0.25">
      <c r="A68" t="s">
        <v>692</v>
      </c>
      <c r="B68" s="3" t="b">
        <f>AND(OR(VLOOKUP("C-30",'Optional features'!B:D,3,FALSE)="Yes",VLOOKUP("C-31",'Optional features'!B:D,3,FALSE)="Yes",VLOOKUP("C-32",'Optional features'!B:D,3,FALSE)="Yes"),OR(VLOOKUP("C-49",'Optional features'!B:D,3,FALSE)="Yes", VLOOKUP("LA-0",'Optional features'!B:D,3,FALSE)="Yes"))</f>
        <v>0</v>
      </c>
      <c r="C68" t="b">
        <v>1</v>
      </c>
      <c r="D68" t="b">
        <f>NOT(ISERROR(VLOOKUP(A68,'Charging Station Testcases'!E:E,1,FALSE)=A68))</f>
        <v>0</v>
      </c>
      <c r="G68" s="3"/>
    </row>
    <row r="69" spans="1:7" x14ac:dyDescent="0.25">
      <c r="A69" t="s">
        <v>693</v>
      </c>
      <c r="B69" s="3" t="b">
        <f>AND(VLOOKUP("C-43",'Optional features'!B:D,3,FALSE)="No",VLOOKUP("AQ-7",'Additional questions'!B:D,3,FALSE)="No")</f>
        <v>1</v>
      </c>
      <c r="C69" t="b">
        <v>1</v>
      </c>
      <c r="D69" t="b">
        <f>NOT(ISERROR(VLOOKUP(A69,'Charging Station Testcases'!E:E,1,FALSE)=A69))</f>
        <v>1</v>
      </c>
      <c r="G69" s="3"/>
    </row>
    <row r="70" spans="1:7" x14ac:dyDescent="0.25">
      <c r="A70" t="s">
        <v>694</v>
      </c>
      <c r="B70" s="3" t="b">
        <f>AND(VLOOKUP("C-43",'Optional features'!B:D,3,FALSE)="No",VLOOKUP("AQ-7",'Additional questions'!B:D,3,FALSE)="Yes")</f>
        <v>0</v>
      </c>
      <c r="C70" t="b">
        <v>1</v>
      </c>
      <c r="D70" t="b">
        <f>NOT(ISERROR(VLOOKUP(A70,'Charging Station Testcases'!E:E,1,FALSE)=A70))</f>
        <v>1</v>
      </c>
      <c r="G70" s="3"/>
    </row>
    <row r="71" spans="1:7" x14ac:dyDescent="0.25">
      <c r="A71" t="s">
        <v>695</v>
      </c>
      <c r="B71" s="3" t="b">
        <f>AND(VLOOKUP("C-10.1",'Optional features'!B:D,3,FALSE)="Yes",OR(VLOOKUP("C-52",'Optional features'!B:D,3,FALSE)="Yes", NOT(OR(VLOOKUP("C-10.3",'Optional features'!B:D,3,FALSE)="Yes", VLOOKUP("C-10.4",'Optional features'!B:D,3,FALSE)="Yes"))),NOT(AND(VLOOKUP("C-10.2",'Optional features'!B:D,3,FALSE)="Yes", NOT(VLOOKUP("C-52",'Optional features'!B:D,3,FALSE)="Yes"),OR(NOT(VLOOKUP("C-06.1",'Optional features'!B:D,3,FALSE)="Yes"),NOT(VLOOKUP("AQ-9",'Additional questions'!B:D,3,FALSE)="Yes")))))</f>
        <v>0</v>
      </c>
      <c r="C71" t="b">
        <v>1</v>
      </c>
      <c r="D71" t="b">
        <f>NOT(ISERROR(VLOOKUP(A71,'Charging Station Testcases'!E:E,1,FALSE)=A71))</f>
        <v>0</v>
      </c>
      <c r="G71" s="3"/>
    </row>
    <row r="72" spans="1:7" x14ac:dyDescent="0.25">
      <c r="A72" t="s">
        <v>696</v>
      </c>
      <c r="B72" s="3" t="b">
        <f>AND(OR(VLOOKUP("C-10.2",'Optional features'!B:D,3,FALSE)="Yes",VLOOKUP("C-10.3",'Optional features'!B:D,3,FALSE)="Yes"
),VLOOKUP("C-06.2",'Optional features'!B:D,3,FALSE)="Yes",VLOOKUP("AQ-9",'Additional questions'!B:D,3,FALSE)="Yes")</f>
        <v>0</v>
      </c>
      <c r="C72" t="b">
        <v>1</v>
      </c>
      <c r="D72" t="b">
        <f>NOT(ISERROR(VLOOKUP(A72,'Charging Station Testcases'!E:E,1,FALSE)=A72))</f>
        <v>0</v>
      </c>
      <c r="G72" s="3"/>
    </row>
    <row r="73" spans="1:7" x14ac:dyDescent="0.25">
      <c r="A73" t="s">
        <v>697</v>
      </c>
      <c r="B73" s="3" t="b">
        <f>AND(VLOOKUP("HFS-1",'Hardware Feature set'!B:D,3,FALSE)="Yes",VLOOKUP("C-06.2",'Optional features'!B:D,3,FALSE)="Yes",VLOOKUP("C-12.1",'Optional features'!B:D,3,FALSE)="Yes",VLOOKUP("AQ-9",'Additional questions'!B:D,3,FALSE)="Yes")</f>
        <v>0</v>
      </c>
      <c r="C73" t="b">
        <v>1</v>
      </c>
      <c r="D73" t="b">
        <f>NOT(ISERROR(VLOOKUP(A73,'Charging Station Testcases'!E:E,1,FALSE)=A73))</f>
        <v>0</v>
      </c>
    </row>
    <row r="74" spans="1:7" x14ac:dyDescent="0.25">
      <c r="A74" t="s">
        <v>698</v>
      </c>
      <c r="B74" s="3" t="b">
        <f>AND(VLOOKUP("C-06.2",'Optional features'!B:D,3,FALSE)="Yes",VLOOKUP("C-12.2",'Optional features'!B:D,3,FALSE)="Yes",VLOOKUP("AQ-9",'Additional questions'!B:D,3,FALSE)="Yes")</f>
        <v>0</v>
      </c>
      <c r="C74" t="b">
        <v>1</v>
      </c>
      <c r="D74" t="b">
        <f>NOT(ISERROR(VLOOKUP(A74,'Charging Station Testcases'!E:E,1,FALSE)=A74))</f>
        <v>0</v>
      </c>
    </row>
    <row r="75" spans="1:7" x14ac:dyDescent="0.25">
      <c r="A75" t="s">
        <v>699</v>
      </c>
      <c r="B75" s="3" t="b">
        <f>AND(OR(VLOOKUP("C-10.2",'Optional features'!B:D,3,FALSE)="Yes",VLOOKUP("C-10.5",'Optional features'!B:D,3,FALSE)="Yes"),OR(VLOOKUP("C-52",'Optional features'!B:D,3,FALSE)="Yes",NOT(OR(VLOOKUP("C-10.1",'Optional features'!B:D,3,FALSE)="Yes",VLOOKUP("C-10.3",'Optional features'!B:D,3,FALSE)="Yes",VLOOKUP("C-10.4",'Optional features'!B:D,3,FALSE)="Yes"))),VLOOKUP("C-06.1",'Optional features'!B:D,3,FALSE)="Yes",VLOOKUP("C-12.2",'Optional features'!B:D,3,FALSE)="Yes",VLOOKUP("AQ-9",'Additional questions'!B:D,3,FALSE)="Yes")</f>
        <v>0</v>
      </c>
      <c r="C75" t="b">
        <v>1</v>
      </c>
      <c r="D75" t="b">
        <f>NOT(ISERROR(VLOOKUP(A75,'Charging Station Testcases'!E:E,1,FALSE)=A75))</f>
        <v>0</v>
      </c>
    </row>
    <row r="76" spans="1:7" x14ac:dyDescent="0.25">
      <c r="A76" t="s">
        <v>700</v>
      </c>
      <c r="B76" s="3" t="b">
        <f>AND(OR(VLOOKUP("C-10.2",'Optional features'!B:D,3,FALSE)="Yes",VLOOKUP("C-10.5",'Optional features'!B:D,3,FALSE)="Yes"),OR(VLOOKUP("C-52",'Optional features'!B:D,3,FALSE)="Yes",NOT(OR(VLOOKUP("C-10.1",'Optional features'!B:D,3,FALSE)="Yes",VLOOKUP("C-10.3",'Optional features'!B:D,3,FALSE)="Yes",VLOOKUP("C-10.4",'Optional features'!B:D,3,FALSE)="Yes"))),VLOOKUP("C-06.1",'Optional features'!B:D,3,FALSE)="Yes",VLOOKUP("C-12.2",'Optional features'!B:D,3,FALSE)="Yes",VLOOKUP("HFS-2",'Hardware Feature set'!B:D,3,FALSE)="Yes",VLOOKUP("AQ-9",'Additional questions'!B:D,3,FALSE)="Yes")</f>
        <v>0</v>
      </c>
      <c r="C76" t="b">
        <v>1</v>
      </c>
      <c r="D76" t="b">
        <f>NOT(ISERROR(VLOOKUP(A76,'Charging Station Testcases'!E:E,1,FALSE)=A76))</f>
        <v>0</v>
      </c>
    </row>
    <row r="77" spans="1:7" x14ac:dyDescent="0.25">
      <c r="A77" t="s">
        <v>701</v>
      </c>
      <c r="B77" s="3" t="b">
        <f>AND(VLOOKUP("C-10.1",'Optional features'!B:D,3,FALSE)="Yes",OR(VLOOKUP("C-52",'Optional features'!B:D,3,FALSE)="Yes", NOT(OR(VLOOKUP("C-10.3",'Optional features'!B:D,3,FALSE)="Yes", VLOOKUP("C-10.4",'Optional features'!B:D,3,FALSE)="Yes"))),NOT(AND(VLOOKUP("C-10.2",'Optional features'!B:D,3,FALSE)="Yes", NOT(VLOOKUP("C-52",'Optional features'!B:D,3,FALSE)="Yes"),NOT(VLOOKUP("C-06.1",'Optional features'!B:D,3,FALSE)="Yes"))),VLOOKUP("AQ-9",'Additional questions'!B:D,3,FALSE)="Yes")</f>
        <v>0</v>
      </c>
      <c r="C77" t="b">
        <v>1</v>
      </c>
      <c r="D77" t="b">
        <f>NOT(ISERROR(VLOOKUP(A77,'Charging Station Testcases'!E:E,1,FALSE)=A77))</f>
        <v>0</v>
      </c>
    </row>
    <row r="78" spans="1:7" x14ac:dyDescent="0.25">
      <c r="A78" t="s">
        <v>702</v>
      </c>
      <c r="B78" s="3" t="b">
        <f>AND(VLOOKUP("C-10.1",'Optional features'!B:D,3,FALSE)="Yes",OR(VLOOKUP("C-52",'Optional features'!B:D,3,FALSE)="Yes", NOT(OR(VLOOKUP("C-10.3",'Optional features'!B:D,3,FALSE)="Yes", VLOOKUP("C-10.4",'Optional features'!B:D,3,FALSE)="Yes"))),NOT(AND(VLOOKUP("C-10.2",'Optional features'!B:D,3,FALSE)="Yes", NOT(VLOOKUP("C-52",'Optional features'!B:D,3,FALSE)="Yes"))),OR(VLOOKUP("HFS-4",'Hardware Feature set'!B:D,3,FALSE)="Yes",VLOOKUP("ISO 15118 Support",'Profile selection'!B:C,2,FALSE)="Yes"))</f>
        <v>0</v>
      </c>
      <c r="C78" t="b">
        <v>1</v>
      </c>
      <c r="D78" t="b">
        <f>NOT(ISERROR(VLOOKUP(A78,'Charging Station Testcases'!E:E,1,FALSE)=A78))</f>
        <v>0</v>
      </c>
    </row>
    <row r="79" spans="1:7" x14ac:dyDescent="0.25">
      <c r="A79" t="s">
        <v>703</v>
      </c>
      <c r="B79" s="3" t="b">
        <f>AND(VLOOKUP("AQ-2",'Additional questions'!B:D,3,FALSE)="No",OR(VLOOKUP("C-36",'Optional features'!B:D,3,FALSE)="Yes",VLOOKUP("C-37",'Optional features'!B:D,3,FALSE)="Yes",VLOOKUP("C-38",'Optional features'!B:D,3,FALSE)="Yes",VLOOKUP("C-39",'Optional features'!B:D,3,FALSE)="Yes"))</f>
        <v>0</v>
      </c>
      <c r="C79" t="b">
        <v>1</v>
      </c>
      <c r="D79" t="b">
        <f>NOT(ISERROR(VLOOKUP(A79,'Charging Station Testcases'!E:E,1,FALSE)=A79))</f>
        <v>0</v>
      </c>
    </row>
    <row r="80" spans="1:7" x14ac:dyDescent="0.25">
      <c r="A80" t="s">
        <v>704</v>
      </c>
      <c r="B80" s="3" t="b">
        <f>AND(VLOOKUP("C-10.1",'Optional features'!B:D,3,FALSE)="Yes",OR(VLOOKUP("C-52",'Optional features'!B:D,3,FALSE)="Yes", NOT(OR(VLOOKUP("C-10.3",'Optional features'!B:D,3,FALSE)="Yes", VLOOKUP("C-10.4",'Optional features'!B:D,3,FALSE)="Yes"))),NOT(AND(VLOOKUP("C-10.2",'Optional features'!B:D,3,FALSE)="Yes", NOT(VLOOKUP("C-52",'Optional features'!B:D,3,FALSE)="Yes"),NOT(VLOOKUP("C-06.1",'Optional features'!B:D,3,FALSE)="Yes"))),OR(VLOOKUP("AQ-9",'Additional questions'!B:D,3,FALSE)="Yes",VLOOKUP("Product Subtype",'Hardware Feature set'!C:D,2,FALSE)="Mode 1/2-only Charging Station"))</f>
        <v>0</v>
      </c>
      <c r="C80" t="b">
        <v>1</v>
      </c>
      <c r="D80" t="b">
        <f>NOT(ISERROR(VLOOKUP(A80,'Charging Station Testcases'!E:E,1,FALSE)=A80))</f>
        <v>0</v>
      </c>
    </row>
    <row r="81" spans="1:7" x14ac:dyDescent="0.25">
      <c r="A81" t="s">
        <v>705</v>
      </c>
      <c r="B81" s="3" t="b">
        <f>AND(VLOOKUP("HFS-1",'Hardware Feature set'!B:D,3,FALSE)="Yes",VLOOKUP("C-06.2",'Optional features'!B:D,3,FALSE)="Yes",VLOOKUP("C-12.1",'Optional features'!B:D,3,FALSE)="Yes",VLOOKUP("AQ-18",'Additional questions'!B:D,3,FALSE)="Yes",NOT(OR(VLOOKUP("HFS-4",'Hardware Feature set'!B:D,3,FALSE)="Yes", AND(VLOOKUP("ISO 15118 Support",'Profile selection'!B:C,2,FALSE)="Yes", VLOOKUP("AQ-9",'Additional questions'!B:D,3,FALSE)="No"))))</f>
        <v>0</v>
      </c>
      <c r="C81" t="b">
        <v>1</v>
      </c>
      <c r="D81" t="b">
        <f>NOT(ISERROR(VLOOKUP(A81,'Charging Station Testcases'!E:E,1,FALSE)=A81))</f>
        <v>1</v>
      </c>
    </row>
    <row r="82" spans="1:7" x14ac:dyDescent="0.25">
      <c r="A82" t="s">
        <v>706</v>
      </c>
      <c r="B82" s="3" t="b">
        <f>AND(VLOOKUP("C-06.2",'Optional features'!B:D,3,FALSE)="Yes",VLOOKUP("C-12.2",'Optional features'!B:D,3,FALSE)="Yes", VLOOKUP("AQ-18",'Additional questions'!B:D,3,FALSE)="Yes", NOT(OR(VLOOKUP("HFS-4",'Hardware Feature set'!B:D,3,FALSE)="Yes", AND(VLOOKUP("ISO 15118 Support",'Profile selection'!B:C,2,FALSE)="Yes", VLOOKUP("AQ-9",'Additional questions'!B:D,3,FALSE)="No"))))</f>
        <v>0</v>
      </c>
      <c r="C82" t="b">
        <v>1</v>
      </c>
      <c r="D82" t="b">
        <f>NOT(ISERROR(VLOOKUP(A82,'Charging Station Testcases'!E:E,1,FALSE)=A82))</f>
        <v>1</v>
      </c>
    </row>
    <row r="83" spans="1:7" x14ac:dyDescent="0.25">
      <c r="A83" t="s">
        <v>707</v>
      </c>
      <c r="B83" s="3" t="b">
        <f>AND(OR(VLOOKUP("C-10.2",'Optional features'!B:D,3,FALSE)="Yes",VLOOKUP("C-10.5",'Optional features'!B:D,3,FALSE)="Yes"),OR(VLOOKUP("C-52",'Optional features'!B:D,3,FALSE)="Yes",NOT(OR(VLOOKUP("C-10.1",'Optional features'!B:D,3,FALSE)="Yes",VLOOKUP("C-10.3",'Optional features'!B:D,3,FALSE)="Yes",VLOOKUP("C-10.4",'Optional features'!B:D,3,FALSE)="Yes"))),VLOOKUP("C-06.1",'Optional features'!B:D,3,FALSE)="Yes",VLOOKUP("C-12.2",'Optional features'!B:D,3,FALSE)="Yes",NOT(OR(VLOOKUP("HFS-4",'Hardware Feature set'!B:D,3,FALSE)="Yes", AND(VLOOKUP("ISO 15118 Support",'Profile selection'!B:C,2,FALSE)="Yes", VLOOKUP("AQ-9",'Additional questions'!B:D,3,FALSE)="No"))), NOT(VLOOKUP("Product Subtype",'Hardware Feature set'!C:D,2,FALSE)="Mode 1/2-only Charging Station"))</f>
        <v>0</v>
      </c>
      <c r="C83" t="b">
        <v>1</v>
      </c>
      <c r="D83" t="b">
        <f>NOT(ISERROR(VLOOKUP(A83,'Charging Station Testcases'!E:E,1,FALSE)=A83))</f>
        <v>1</v>
      </c>
      <c r="G83" s="3"/>
    </row>
    <row r="84" spans="1:7" x14ac:dyDescent="0.25">
      <c r="A84" t="s">
        <v>708</v>
      </c>
      <c r="B84" s="3" t="b">
        <f>AND(OR(VLOOKUP("C-10.2",'Optional features'!B:D,3,FALSE)="Yes",VLOOKUP("C-10.5",'Optional features'!B:D,3,FALSE)="Yes"),OR(VLOOKUP("C-52",'Optional features'!B:D,3,FALSE)="Yes",NOT(OR(VLOOKUP("C-10.1",'Optional features'!B:D,3,FALSE)="Yes",VLOOKUP("C-10.3",'Optional features'!B:D,3,FALSE)="Yes",VLOOKUP("C-10.4",'Optional features'!B:D,3,FALSE)="Yes"))),VLOOKUP("C-06.1",'Optional features'!B:D,3,FALSE)="Yes",VLOOKUP("C-12.2",'Optional features'!B:D,3,FALSE)="Yes",VLOOKUP("HFS-2",'Hardware Feature set'!B:D,3,FALSE)="Yes",NOT(OR(VLOOKUP("HFS-4",'Hardware Feature set'!B:D,3,FALSE)="Yes", AND(VLOOKUP("ISO 15118 Support",'Profile selection'!B:C,2,FALSE)="Yes", VLOOKUP("AQ-9",'Additional questions'!B:D,3,FALSE)="No"))),NOT(VLOOKUP("Product Subtype",'Hardware Feature set'!C:D,2,FALSE)="Mode 1/2-only Charging Station"))</f>
        <v>0</v>
      </c>
      <c r="C84" t="b">
        <v>1</v>
      </c>
      <c r="D84" t="b">
        <f>NOT(ISERROR(VLOOKUP(A84,'Charging Station Testcases'!E:E,1,FALSE)=A84))</f>
        <v>1</v>
      </c>
      <c r="G84" s="3"/>
    </row>
    <row r="85" spans="1:7" x14ac:dyDescent="0.25">
      <c r="A85" t="s">
        <v>709</v>
      </c>
      <c r="B85" s="3" t="b">
        <f>AND(VLOOKUP("C-09.5",'Optional features'!B:D,3,FALSE)="No",NOT(VLOOKUP("Product Subtype",'Hardware Feature set'!C:D,2,FALSE)="Mode 1/2-only Charging Station"))</f>
        <v>1</v>
      </c>
      <c r="C85" t="b">
        <v>1</v>
      </c>
      <c r="D85" t="b">
        <f>NOT(ISERROR(VLOOKUP(A85,'Charging Station Testcases'!E:E,1,FALSE)=A85))</f>
        <v>0</v>
      </c>
      <c r="G85" s="3"/>
    </row>
    <row r="86" spans="1:7" x14ac:dyDescent="0.25">
      <c r="A86" t="s">
        <v>710</v>
      </c>
      <c r="B86" s="3" t="b">
        <f>AND(VLOOKUP("C-10.1",'Optional features'!B:D,3,FALSE)="Yes",OR(VLOOKUP("C-52",'Optional features'!B:D,3,FALSE)="Yes", NOT(OR(VLOOKUP("C-10.3",'Optional features'!B:D,3,FALSE)="Yes", VLOOKUP("C-10.4",'Optional features'!B:D,3,FALSE)="Yes"))),NOT(AND(VLOOKUP("C-10.2",'Optional features'!B:D,3,FALSE)="Yes", NOT(VLOOKUP("C-52",'Optional features'!B:D,3,FALSE)="Yes"))),OR(VLOOKUP("HFS-4",'Hardware Feature set'!B:D,3,FALSE)="Yes",VLOOKUP("ISO 15118 Support",'Profile selection'!B:C,2,FALSE)="Yes"),NOT(VLOOKUP("Product Subtype",'Hardware Feature set'!C:D,2,FALSE)="Mode 1/2-only Charging Station"))</f>
        <v>0</v>
      </c>
      <c r="C86" t="b">
        <v>1</v>
      </c>
      <c r="D86" t="b">
        <f>NOT(ISERROR(VLOOKUP(A86,'Charging Station Testcases'!E:E,1,FALSE)=A86))</f>
        <v>0</v>
      </c>
      <c r="G86" s="3"/>
    </row>
    <row r="87" spans="1:7" x14ac:dyDescent="0.25">
      <c r="A87" t="s">
        <v>711</v>
      </c>
      <c r="B87" s="3" t="b">
        <f>AND(VLOOKUP("HFS-1",'Hardware Feature set'!B:D,3,FALSE)="Yes",VLOOKUP("AQ-18",'Additional questions'!B:D,3,FALSE)="Yes")</f>
        <v>0</v>
      </c>
      <c r="C87" t="b">
        <v>1</v>
      </c>
      <c r="D87" t="b">
        <f>NOT(ISERROR(VLOOKUP(A87,'Charging Station Testcases'!E:E,1,FALSE)=A87))</f>
        <v>1</v>
      </c>
      <c r="G87" s="3"/>
    </row>
    <row r="88" spans="1:7" x14ac:dyDescent="0.25">
      <c r="A88" t="s">
        <v>712</v>
      </c>
      <c r="B88" s="3" t="b">
        <f>AND(VLOOKUP("HFS-1",'Hardware Feature set'!B:D,3,FALSE)="Yes",NOT(VLOOKUP("Product Subtype",'Hardware Feature set'!C:D,2,FALSE)="Mode 1/2-only Charging Station"))</f>
        <v>0</v>
      </c>
      <c r="C88" t="b">
        <v>1</v>
      </c>
      <c r="D88" t="b">
        <f>NOT(ISERROR(VLOOKUP(A88,'Charging Station Testcases'!E:E,1,FALSE)=A88))</f>
        <v>0</v>
      </c>
      <c r="G88" s="3"/>
    </row>
    <row r="89" spans="1:7" x14ac:dyDescent="0.25">
      <c r="A89" t="s">
        <v>713</v>
      </c>
      <c r="B89" s="3" t="b">
        <f>AND(VLOOKUP("C-10.3",'Optional features'!B:D,3,FALSE)="Yes",OR(VLOOKUP("C-52",'Optional features'!B:D,3,FALSE)="Yes",NOT(OR(VLOOKUP("C-10.1",'Optional features'!B:D,3,FALSE)="Yes",VLOOKUP("C-10.4",'Optional features'!B:D,3,FALSE)="Yes"))),OR(VLOOKUP("AQ-9",'Additional questions'!B:D,3,FALSE)="Yes",VLOOKUP("Product Subtype",'Hardware Feature set'!C:D,2,FALSE)="Mode 1/2-only Charging Station", VLOOKUP("Product Subtype",'Hardware Feature set'!C:D,2,FALSE)="Wireless Charging Station"))</f>
        <v>0</v>
      </c>
      <c r="C89" t="b">
        <v>1</v>
      </c>
      <c r="D89" t="b">
        <f>NOT(ISERROR(VLOOKUP(A89,'Charging Station Testcases'!E:E,1,FALSE)=A89))</f>
        <v>1</v>
      </c>
      <c r="G89" s="3"/>
    </row>
    <row r="90" spans="1:7" x14ac:dyDescent="0.25">
      <c r="A90" t="s">
        <v>714</v>
      </c>
      <c r="B90" s="3" t="b">
        <f>AND(VLOOKUP("C-20",'Optional features'!B:D,3,FALSE)="Yes",VLOOKUP("C-43",'Optional features'!B:D,3,FALSE)="No",VLOOKUP("AQ-7",'Additional questions'!B:D,3,FALSE)="Yes",VLOOKUP("HFS-8",'Hardware Feature set'!B:D,3,FALSE)&gt;1)</f>
        <v>0</v>
      </c>
      <c r="C90" t="b">
        <v>1</v>
      </c>
      <c r="D90" t="b">
        <f>NOT(ISERROR(VLOOKUP(A90,'Charging Station Testcases'!E:E,1,FALSE)=A90))</f>
        <v>1</v>
      </c>
      <c r="G90" s="3"/>
    </row>
    <row r="91" spans="1:7" x14ac:dyDescent="0.25">
      <c r="A91" t="s">
        <v>715</v>
      </c>
      <c r="B91" s="3" t="b">
        <f>AND(VLOOKUP("C-20",'Optional features'!B:D,3,FALSE)="Yes",VLOOKUP("C-43",'Optional features'!B:D,3,FALSE)="No",VLOOKUP("AQ-7",'Additional questions'!B:D,3,FALSE)="No",VLOOKUP("HFS-8",'Hardware Feature set'!B:D,3,FALSE)&gt;1)</f>
        <v>0</v>
      </c>
      <c r="C91" t="b">
        <v>1</v>
      </c>
      <c r="D91" t="b">
        <f>NOT(ISERROR(VLOOKUP(A91,'Charging Station Testcases'!E:E,1,FALSE)=A91))</f>
        <v>1</v>
      </c>
      <c r="G91" s="3"/>
    </row>
    <row r="92" spans="1:7" x14ac:dyDescent="0.25">
      <c r="A92" t="s">
        <v>716</v>
      </c>
      <c r="B92" s="3" t="b">
        <f>AND(VLOOKUP("C-10.1",'Optional features'!B:D,3,FALSE)="Yes",OR(VLOOKUP("C-52",'Optional features'!B:D,3,FALSE)="Yes", NOT(OR(VLOOKUP("C-10.2",'Optional features'!B:D,3,FALSE)="Yes",VLOOKUP("C-10.3",'Optional features'!B:D,3,FALSE)="Yes",VLOOKUP("C-10.4",'Optional features'!B:D,3,FALSE)="Yes"))),NOT(VLOOKUP("C-06.1",'Optional features'!B:D,3,FALSE)="Yes"),OR(VLOOKUP("AQ-9",'Additional questions'!B:D,3,FALSE)="Yes",VLOOKUP("Product Subtype",'Hardware Feature set'!C:D,2,FALSE)="Mode 1/2-only Charging Station"))</f>
        <v>0</v>
      </c>
      <c r="C92" t="b">
        <v>1</v>
      </c>
      <c r="D92" t="b">
        <f>NOT(ISERROR(VLOOKUP(A92,'Charging Station Testcases'!E:E,1,FALSE)=A92))</f>
        <v>0</v>
      </c>
      <c r="G92" s="3"/>
    </row>
    <row r="93" spans="1:7" x14ac:dyDescent="0.25">
      <c r="A93" t="s">
        <v>717</v>
      </c>
      <c r="B93" s="3" t="b">
        <f>AND(VLOOKUP("C-10.1",'Optional features'!B:D,3,FALSE)="Yes",OR(VLOOKUP("C-52",'Optional features'!B:D,3,FALSE)="Yes", NOT(OR(VLOOKUP("C-10.2",'Optional features'!B:D,3,FALSE)="Yes",VLOOKUP("C-10.3",'Optional features'!B:D,3,FALSE)="Yes",VLOOKUP("C-10.4",'Optional features'!B:D,3,FALSE)="Yes"))),OR(VLOOKUP("HFS-4",'Hardware Feature set'!B:D,3,FALSE)="Yes",VLOOKUP("ISO 15118 Support",'Profile selection'!B:C,2,FALSE)="Yes"),NOT(VLOOKUP("Product Subtype",'Hardware Feature set'!C:D,2,FALSE)="Mode 1/2-only Charging Station"))</f>
        <v>0</v>
      </c>
      <c r="C93" t="b">
        <v>1</v>
      </c>
      <c r="D93" t="b">
        <f>NOT(ISERROR(VLOOKUP(A93,'Charging Station Testcases'!E:E,1,FALSE)=A93))</f>
        <v>0</v>
      </c>
      <c r="G93" s="3"/>
    </row>
    <row r="94" spans="1:7" x14ac:dyDescent="0.25">
      <c r="A94" t="s">
        <v>718</v>
      </c>
      <c r="B94" s="3" t="b">
        <f>AND(VLOOKUP("C-10.1",'Optional features'!B:D,3,FALSE)="Yes",OR(VLOOKUP("C-52",'Optional features'!B:D,3,FALSE)="Yes", NOT(OR(VLOOKUP("C-10.3",'Optional features'!B:D,3,FALSE)="Yes", VLOOKUP("C-10.4",'Optional features'!B:D,3,FALSE)="Yes"))),AND(VLOOKUP("C-10.2",'Optional features'!B:D,3,FALSE)="Yes", NOT(VLOOKUP("C-52",'Optional features'!B:D,3,FALSE)="Yes"),NOT(VLOOKUP("C-06.1",'Optional features'!B:D,3,FALSE)="Yes")),OR(VLOOKUP("AQ-9",'Additional questions'!B:D,3,FALSE)="Yes",VLOOKUP("Product Subtype",'Hardware Feature set'!C:D,2,FALSE)="Mode 1/2-only Charging Station"))</f>
        <v>0</v>
      </c>
      <c r="C94" t="b">
        <v>1</v>
      </c>
      <c r="D94" t="b">
        <f>NOT(ISERROR(VLOOKUP(A94,'Charging Station Testcases'!E:E,1,FALSE)=A94))</f>
        <v>0</v>
      </c>
      <c r="G94" s="3"/>
    </row>
    <row r="95" spans="1:7" x14ac:dyDescent="0.25">
      <c r="A95" t="s">
        <v>719</v>
      </c>
      <c r="B95" s="3" t="b">
        <f>AND(AND(VLOOKUP("C-10.1",'Optional features'!B:D,3,FALSE)="Yes",NOT(AND(NOT(VLOOKUP("C-52",'Optional features'!B:D,3,FALSE)="Yes"),OR(VLOOKUP("C-10.3",'Optional features'!B:D,3,FALSE)="Yes",VLOOKUP("C-10.4",'Optional features'!B:D,3,FALSE)="Yes"))),NOT(AND(NOT(VLOOKUP("C-06.1",'Optional features'!B:D,3,FALSE)="Yes"),NOT(VLOOKUP("C-52",'Optional features'!B:D,3,FALSE)="Yes"),VLOOKUP("C-10.2",'Optional features'!B:D,3,FALSE)="Yes"))),OR(VLOOKUP("AQ-9",'Additional questions'!B:D,3,FALSE)="Yes",VLOOKUP("Product Subtype",'Hardware Feature set'!C:D,2,FALSE)="Mode 1/2-only Charging Station"), NOT(VLOOKUP("Product Subtype",'Hardware Feature set'!C:D,2,FALSE)="Wireless Charging Station"))</f>
        <v>0</v>
      </c>
      <c r="C95" t="b">
        <v>1</v>
      </c>
      <c r="D95" t="b">
        <f>NOT(ISERROR(VLOOKUP(A95,'Charging Station Testcases'!E:E,1,FALSE)=A95))</f>
        <v>1</v>
      </c>
      <c r="G95" s="3"/>
    </row>
    <row r="96" spans="1:7" x14ac:dyDescent="0.25">
      <c r="A96" t="s">
        <v>720</v>
      </c>
      <c r="B96" s="3" t="b">
        <f>AND(VLOOKUP("C-10.1",'Optional features'!B:D,3,FALSE)="Yes",NOT(AND(NOT(VLOOKUP("C-52",'Optional features'!B:D,3,FALSE)="Yes"),OR(VLOOKUP("C-10.2",'Optional features'!B:D,3,FALSE)="Yes",VLOOKUP("C-10.3",'Optional features'!B:D,3,FALSE)="Yes",VLOOKUP("C-10.4",'Optional features'!B:D,3,FALSE)="Yes"))),OR(VLOOKUP("HFS-4",'Hardware Feature set'!B:D,3,FALSE)="Yes",VLOOKUP("ISO 15118 Support",'Profile selection'!B:C,2,FALSE)="Yes", VLOOKUP("Product Subtype",'Hardware Feature set'!C:D,2,FALSE)="Wireless Charging Station"),NOT(VLOOKUP("Product Subtype",'Hardware Feature set'!C:D,2,FALSE)="Mode 1/2-only Charging Station"))</f>
        <v>0</v>
      </c>
      <c r="C96" t="b">
        <v>1</v>
      </c>
      <c r="D96" t="b">
        <f>NOT(ISERROR(VLOOKUP(A96,'Charging Station Testcases'!E:E,1,FALSE)=A96))</f>
        <v>0</v>
      </c>
      <c r="G96" s="3"/>
    </row>
    <row r="97" spans="1:7" x14ac:dyDescent="0.25">
      <c r="A97" t="s">
        <v>721</v>
      </c>
      <c r="B97" s="3" t="b">
        <f>OR(VLOOKUP("C-09.2",'Optional features'!B:D,3,FALSE)="Yes",VLOOKUP("C-09.6",'Optional features'!B:D,3,FALSE)="Yes")</f>
        <v>0</v>
      </c>
      <c r="C97" t="b">
        <v>1</v>
      </c>
      <c r="D97" t="b">
        <f>NOT(ISERROR(VLOOKUP(A97,'Charging Station Testcases'!E:E,1,FALSE)=A97))</f>
        <v>0</v>
      </c>
      <c r="G97" s="3"/>
    </row>
    <row r="98" spans="1:7" x14ac:dyDescent="0.25">
      <c r="A98" t="s">
        <v>722</v>
      </c>
      <c r="B98" s="3" t="b">
        <f>AND(OR(VLOOKUP("C-30",'Optional features'!B:D,3,FALSE)="Yes",VLOOKUP("C-31",'Optional features'!B:D,3,FALSE)="Yes",VLOOKUP("C-32",'Optional features'!B:D,3,FALSE)="Yes"),VLOOKUP("AQ-2",'Additional questions'!B:D,3,FALSE)="No")</f>
        <v>0</v>
      </c>
      <c r="C98" t="b">
        <v>1</v>
      </c>
      <c r="D98" t="b">
        <f>NOT(ISERROR(VLOOKUP(A98,'Charging Station Testcases'!E:E,1,FALSE)=A98))</f>
        <v>1</v>
      </c>
      <c r="G98" s="3"/>
    </row>
    <row r="99" spans="1:7" x14ac:dyDescent="0.25">
      <c r="A99" t="s">
        <v>723</v>
      </c>
      <c r="B99" s="3" t="b">
        <f>AND(OR(VLOOKUP("C-30",'Optional features'!B:D,3,FALSE)="Yes",VLOOKUP("C-31",'Optional features'!B:D,3,FALSE)="Yes",VLOOKUP("C-32",'Optional features'!B:D,3,FALSE)="Yes"),VLOOKUP("AQ-2",'Additional questions'!B:D,3,FALSE)="Yes")</f>
        <v>0</v>
      </c>
      <c r="C99" t="b">
        <v>1</v>
      </c>
      <c r="D99" t="b">
        <f>NOT(ISERROR(VLOOKUP(A99,'Charging Station Testcases'!E:E,1,FALSE)=A99))</f>
        <v>1</v>
      </c>
      <c r="G99" s="3"/>
    </row>
    <row r="100" spans="1:7" x14ac:dyDescent="0.25">
      <c r="A100" t="s">
        <v>724</v>
      </c>
      <c r="B100" s="3" t="b">
        <f>AND(VLOOKUP("C-58",'Optional features'!B:D,3,FALSE)="Yes",OR(VLOOKUP("C-30",'Optional features'!B:D,3,FALSE)="Yes",VLOOKUP("C-31",'Optional features'!B:D,3,FALSE)="Yes",VLOOKUP("C-32",'Optional features'!B:D,3,FALSE)="Yes"),OR(VLOOKUP("C-49",'Optional features'!B:D,3,FALSE)="Yes",VLOOKUP("LA-0",'Optional features'!B:D,3,FALSE)="Yes"))</f>
        <v>0</v>
      </c>
      <c r="C100" t="b">
        <v>1</v>
      </c>
      <c r="D100" t="b">
        <f>NOT(ISERROR(VLOOKUP(A100,'Charging Station Testcases'!E:E,1,FALSE)=A100))</f>
        <v>1</v>
      </c>
      <c r="G100" s="3"/>
    </row>
    <row r="101" spans="1:7" x14ac:dyDescent="0.25">
      <c r="A101" t="s">
        <v>725</v>
      </c>
      <c r="B101" s="3" t="b">
        <f>AND(OR(VLOOKUP("C-10.2",'Optional features'!B:D,3,FALSE)="Yes",VLOOKUP("C-10.3",'Optional features'!B:D,3,FALSE)="Yes"),OR(VLOOKUP("C-30",'Optional features'!B:D,3,FALSE)="Yes",VLOOKUP("C-31",'Optional features'!B:D,3,FALSE)="Yes",VLOOKUP("C-32",'Optional features'!B:D,3,FALSE)="Yes",VLOOKUP("ISO 15118 Support",'Profile selection'!B:C,2,FALSE)="Yes"),VLOOKUP("C-01",'Optional features'!B:D,3,FALSE)="Yes")</f>
        <v>0</v>
      </c>
      <c r="C101" t="b">
        <v>1</v>
      </c>
      <c r="D101" t="b">
        <f>NOT(ISERROR(VLOOKUP(A101,'Charging Station Testcases'!E:E,1,FALSE)=A101))</f>
        <v>0</v>
      </c>
      <c r="G101" s="3"/>
    </row>
    <row r="102" spans="1:7" x14ac:dyDescent="0.25">
      <c r="A102" t="s">
        <v>726</v>
      </c>
      <c r="B102" s="3" t="b">
        <f>OR(AND(VLOOKUP("C-01",'Optional features'!B:D,3,FALSE)="Yes",OR(VLOOKUP("C-30",'Optional features'!B:D,3,FALSE)="Yes",VLOOKUP("C-31",'Optional features'!B:D,3,FALSE)="Yes",VLOOKUP("C-32",'Optional features'!B:D,3,FALSE)="Yes",VLOOKUP("C-33",'Optional features'!B:D,3,FALSE)="Yes",VLOOKUP("C-34",'Optional features'!B:D,3,FALSE)="Yes",VLOOKUP("ISO 15118 Support",'Profile selection'!B:C,2,FALSE)="Yes")),VLOOKUP("C-35",'Optional features'!B:D,3,FALSE)="Yes")</f>
        <v>0</v>
      </c>
      <c r="C102" t="b">
        <v>1</v>
      </c>
      <c r="D102" t="b">
        <f>NOT(ISERROR(VLOOKUP(A102,'Charging Station Testcases'!E:E,1,FALSE)=A102))</f>
        <v>0</v>
      </c>
      <c r="G102" s="3"/>
    </row>
    <row r="103" spans="1:7" x14ac:dyDescent="0.25">
      <c r="A103" t="s">
        <v>727</v>
      </c>
      <c r="B103" s="3" t="b">
        <f>NOT(AND(AND(VLOOKUP("C-30",'Optional features'!B:D,3,FALSE)="No",VLOOKUP("C-31",'Optional features'!B:D,3,FALSE)="No",VLOOKUP("C-32",'Optional features'!B:D,3,FALSE)="No",VLOOKUP("C-33",'Optional features'!B:D,3,FALSE)="No",VLOOKUP("C-34",'Optional features'!B:D,3,FALSE)="No",VLOOKUP("C-35",'Optional features'!B:D,3,FALSE)="No"),AND(VLOOKUP("C-10.1",'Optional features'!B:D,3,FALSE)="No",VLOOKUP("C-10.3",'Optional features'!B:D,3,FALSE)="No",VLOOKUP("C-10.4",'Optional features'!B:D,3,FALSE)="No",VLOOKUP("C-10.5",'Optional features'!B:D,3,FALSE)="No"),VLOOKUP("C-06.2",'Optional features'!B:D,3,FALSE)="No"))</f>
        <v>1</v>
      </c>
      <c r="C103" t="b">
        <v>1</v>
      </c>
      <c r="D103" t="b">
        <f>NOT(ISERROR(VLOOKUP(A103,'Charging Station Testcases'!E:E,1,FALSE)=A103))</f>
        <v>0</v>
      </c>
      <c r="G103" s="3"/>
    </row>
    <row r="104" spans="1:7" x14ac:dyDescent="0.25">
      <c r="A104" t="s">
        <v>728</v>
      </c>
      <c r="B104" s="3" t="b">
        <f>OR(VLOOKUP("C-30",'Optional features'!B:D,3,FALSE)="Yes",VLOOKUP("C-31",'Optional features'!B:D,3,FALSE)="Yes",VLOOKUP("C-32",'Optional features'!B:D,3,FALSE)="Yes",VLOOKUP("C-33",'Optional features'!B:D,3,FALSE)="Yes",VLOOKUP("C-35",'Optional features'!B:D,3,FALSE)="Yes")</f>
        <v>0</v>
      </c>
      <c r="C104" t="b">
        <v>1</v>
      </c>
      <c r="D104" t="b">
        <f>NOT(ISERROR(VLOOKUP(A104,'Charging Station Testcases'!E:E,1,FALSE)=A104))</f>
        <v>0</v>
      </c>
      <c r="G104" s="3"/>
    </row>
    <row r="105" spans="1:7" x14ac:dyDescent="0.25">
      <c r="A105" t="s">
        <v>729</v>
      </c>
      <c r="B105" s="3" t="b">
        <f>AND(VLOOKUP("C-10.2",'Optional features'!B:D,3,FALSE)="Yes",VLOOKUP("C-06.2",'Optional features'!B:D,3,FALSE)="Yes",VLOOKUP("AQ-9",'Additional questions'!B:D,3,FALSE)="Yes",NOT(AND(NOT(VLOOKUP("C-52",'Optional features'!B:D,3,FALSE)="Yes"),OR(VLOOKUP("C-10.1",'Optional features'!B:D,3,FALSE)="Yes",VLOOKUP("C-10.3",'Optional features'!B:D,3,FALSE)="Yes",VLOOKUP("C-10.4",'Optional features'!B:D,3,FALSE)="Yes"))))</f>
        <v>0</v>
      </c>
      <c r="C105" t="b">
        <v>1</v>
      </c>
      <c r="D105" t="b">
        <f>NOT(ISERROR(VLOOKUP(A105,'Charging Station Testcases'!E:E,1,FALSE)=A105))</f>
        <v>0</v>
      </c>
      <c r="G105" s="3"/>
    </row>
    <row r="106" spans="1:7" x14ac:dyDescent="0.25">
      <c r="A106" t="s">
        <v>730</v>
      </c>
      <c r="B106" s="3" t="b">
        <f>VLOOKUP("R-2",'Optional features'!B:D,3,FALSE)="No"</f>
        <v>1</v>
      </c>
      <c r="C106" t="b">
        <v>1</v>
      </c>
      <c r="D106" t="b">
        <f>NOT(ISERROR(VLOOKUP(A106,'Charging Station Testcases'!E:E,1,FALSE)=A106))</f>
        <v>0</v>
      </c>
      <c r="G106" s="3"/>
    </row>
    <row r="107" spans="1:7" x14ac:dyDescent="0.25">
      <c r="A107" t="s">
        <v>731</v>
      </c>
      <c r="B107" s="3" t="b">
        <f>AND(VLOOKUP("C-49",'Optional features'!B:D,3,FALSE)="Yes",VLOOKUP("C-53",'Optional features'!B:D,3,FALSE)="Yes")</f>
        <v>0</v>
      </c>
      <c r="C107" t="b">
        <v>1</v>
      </c>
      <c r="D107" t="b">
        <f>NOT(ISERROR(VLOOKUP(A107,'Charging Station Testcases'!E:E,1,FALSE)=A107))</f>
        <v>0</v>
      </c>
      <c r="G107" s="3"/>
    </row>
    <row r="108" spans="1:7" x14ac:dyDescent="0.25">
      <c r="A108" t="s">
        <v>732</v>
      </c>
      <c r="B108" s="3" t="b">
        <f>AND(VLOOKUP("C-49",'Optional features'!B:D,3,FALSE)="Yes",
OR(VLOOKUP("C-30",'Optional features'!B:D,3,FALSE)="Yes",
VLOOKUP("C-31",'Optional features'!B:D,3,FALSE)="Yes",
AND(VLOOKUP("C-32",'Optional features'!B:D,3,FALSE)="Yes",
VLOOKUP("C-72",'Optional features'!B:D,3,FALSE)="Yes")))</f>
        <v>0</v>
      </c>
      <c r="C108" t="b">
        <v>1</v>
      </c>
      <c r="D108" t="b">
        <f>NOT(ISERROR(VLOOKUP(A108,'Charging Station Testcases'!E:E,1,FALSE)=A108))</f>
        <v>0</v>
      </c>
      <c r="G108" s="3"/>
    </row>
    <row r="109" spans="1:7" x14ac:dyDescent="0.25">
      <c r="A109" t="s">
        <v>733</v>
      </c>
      <c r="B109" s="3" t="b">
        <f>AND(VLOOKUP("C-49",'Optional features'!B:D,3,FALSE)="Yes",
VLOOKUP("C-03",'Optional features'!B:D,3,FALSE)="Yes",
OR(VLOOKUP("C-30",'Optional features'!B:D,3,FALSE)="Yes",
VLOOKUP("C-31",'Optional features'!B:D,3,FALSE)="Yes",
VLOOKUP("C-32",'Optional features'!B:D,3,FALSE)="Yes",
VLOOKUP("C-34",'Optional features'!B:D,3,FALSE)="Yes"))</f>
        <v>0</v>
      </c>
      <c r="C109" t="b">
        <v>1</v>
      </c>
      <c r="D109" t="b">
        <f>NOT(ISERROR(VLOOKUP(A109,'Charging Station Testcases'!E:E,1,FALSE)=A109))</f>
        <v>0</v>
      </c>
      <c r="G109" s="3"/>
    </row>
    <row r="110" spans="1:7" x14ac:dyDescent="0.25">
      <c r="A110" t="s">
        <v>734</v>
      </c>
      <c r="B110" s="3" t="b">
        <f>AND(VLOOKUP("C-59",'Optional features'!B:D,3,FALSE)="Yes",VLOOKUP("C-49",'Optional features'!B:D,3,FALSE)="Yes")</f>
        <v>0</v>
      </c>
      <c r="C110" t="b">
        <v>1</v>
      </c>
      <c r="D110" t="b">
        <f>NOT(ISERROR(VLOOKUP(A110,'Charging Station Testcases'!E:E,1,FALSE)=A110))</f>
        <v>0</v>
      </c>
      <c r="G110" s="3"/>
    </row>
    <row r="111" spans="1:7" x14ac:dyDescent="0.25">
      <c r="A111" t="s">
        <v>735</v>
      </c>
      <c r="B111" s="3" t="b">
        <f>AND(VLOOKUP("C-58",'Optional features'!B:D,3,FALSE)="Yes",
OR(VLOOKUP("C-30",'Optional features'!B:D,3,FALSE)="Yes",
VLOOKUP("C-31",'Optional features'!B:D,3,FALSE)="Yes",
VLOOKUP("C-32",'Optional features'!B:D,3,FALSE)="Yes",
VLOOKUP("C-34",'Optional features'!B:D,3,FALSE)="Yes"),OR(VLOOKUP("C-49",'Optional features'!B:D,3,FALSE)="Yes",
VLOOKUP("LA-0",'Optional features'!B:D,3,FALSE)="Yes"))</f>
        <v>0</v>
      </c>
      <c r="C111" t="b">
        <v>1</v>
      </c>
      <c r="D111" t="b">
        <f>NOT(ISERROR(VLOOKUP(A111,'Charging Station Testcases'!E:E,1,FALSE)=A111))</f>
        <v>0</v>
      </c>
      <c r="G111" s="3"/>
    </row>
    <row r="112" spans="1:7" x14ac:dyDescent="0.25">
      <c r="A112" t="s">
        <v>736</v>
      </c>
      <c r="B112" s="3" t="b">
        <f>AND(OR(VLOOKUP("C-30",'Optional features'!B:D,3,FALSE)="Yes",
VLOOKUP("C-31",'Optional features'!B:D,3,FALSE)="Yes",
VLOOKUP("C-32",'Optional features'!B:D,3,FALSE)="Yes",
VLOOKUP("C-34",'Optional features'!B:D,3,FALSE)="Yes"),OR(VLOOKUP("C-49",'Optional features'!B:D,3,FALSE)="Yes",
VLOOKUP("LA-0",'Optional features'!B:D,3,FALSE)="Yes"))</f>
        <v>0</v>
      </c>
      <c r="C112" t="b">
        <v>1</v>
      </c>
      <c r="D112" t="b">
        <f>NOT(ISERROR(VLOOKUP(A112,'Charging Station Testcases'!E:E,1,FALSE)=A112))</f>
        <v>0</v>
      </c>
      <c r="G112" s="3"/>
    </row>
    <row r="113" spans="1:18" x14ac:dyDescent="0.25">
      <c r="A113" t="s">
        <v>737</v>
      </c>
      <c r="B113" s="3" t="b">
        <f>OR(VLOOKUP("C-30",'Optional features'!B:D,3,FALSE)="Yes",
VLOOKUP("C-31",'Optional features'!B:D,3,FALSE)="Yes",
VLOOKUP("C-32",'Optional features'!B:D,3,FALSE)="Yes",
VLOOKUP("C-34",'Optional features'!B:D,3,FALSE)="Yes")</f>
        <v>0</v>
      </c>
      <c r="C113" t="b">
        <v>1</v>
      </c>
      <c r="D113" t="b">
        <f>NOT(ISERROR(VLOOKUP(A113,'Charging Station Testcases'!E:E,1,FALSE)=A113))</f>
        <v>0</v>
      </c>
      <c r="G113" s="3"/>
    </row>
    <row r="114" spans="1:18" x14ac:dyDescent="0.25">
      <c r="A114" t="s">
        <v>738</v>
      </c>
      <c r="B114" s="3" t="b">
        <f>AND(VLOOKUP("C-49",'Optional features'!B:D,3,FALSE)="Yes",
VLOOKUP("C-53",'Optional features'!B:D,3,FALSE)="Yes",
OR(OR(VLOOKUP("C-30",'Optional features'!B:D,3,FALSE)="Yes",
VLOOKUP("C-31",'Optional features'!B:D,3,FALSE)="Yes",
VLOOKUP("C-32",'Optional features'!B:D,3,FALSE)="Yes",
VLOOKUP("C-34",'Optional features'!B:D,3,FALSE)="Yes"),
OR(VLOOKUP("C-36",'Optional features'!B:D,3,FALSE)="Yes",
VLOOKUP("C-37",'Optional features'!B:D,3,FALSE)="Yes")))</f>
        <v>0</v>
      </c>
      <c r="C114" t="b">
        <v>1</v>
      </c>
      <c r="D114" t="b">
        <f>NOT(ISERROR(VLOOKUP(A114,'Charging Station Testcases'!E:E,1,FALSE)=A114))</f>
        <v>0</v>
      </c>
      <c r="G114" s="3"/>
    </row>
    <row r="115" spans="1:18" x14ac:dyDescent="0.25">
      <c r="A115" t="s">
        <v>739</v>
      </c>
      <c r="B115" s="3" t="b">
        <f>AND(VLOOKUP("C-49",'Optional features'!B:D,3,FALSE)="Yes",
OR(OR(VLOOKUP("C-30",'Optional features'!B:D,3,FALSE)="Yes",
VLOOKUP("C-31",'Optional features'!B:D,3,FALSE)="Yes",
VLOOKUP("C-32",'Optional features'!B:D,3,FALSE)="Yes",
VLOOKUP("C-34",'Optional features'!B:D,3,FALSE)="Yes"),
OR(VLOOKUP("C-36",'Optional features'!B:D,3,FALSE)="Yes",
VLOOKUP("C-37",'Optional features'!B:D,3,FALSE)="Yes")))</f>
        <v>0</v>
      </c>
      <c r="C115" t="b">
        <v>1</v>
      </c>
      <c r="D115" t="b">
        <f>NOT(ISERROR(VLOOKUP(A115,'Charging Station Testcases'!E:E,1,FALSE)=A115))</f>
        <v>0</v>
      </c>
      <c r="G115" s="3"/>
    </row>
    <row r="116" spans="1:18" x14ac:dyDescent="0.25">
      <c r="A116" t="s">
        <v>740</v>
      </c>
      <c r="B116" s="3" t="b">
        <f>AND(VLOOKUP("C-59",'Optional features'!B:D,3,FALSE)="Yes",
VLOOKUP("C-49",'Optional features'!B:D,3,FALSE)="Yes",
OR(OR(VLOOKUP("C-30",'Optional features'!B:D,3,FALSE)="Yes",
VLOOKUP("C-31",'Optional features'!B:D,3,FALSE)="Yes",
VLOOKUP("C-32",'Optional features'!B:D,3,FALSE)="Yes",
VLOOKUP("C-34",'Optional features'!B:D,3,FALSE)="Yes"),
OR(VLOOKUP("C-36",'Optional features'!B:D,3,FALSE)="Yes",
VLOOKUP("C-37",'Optional features'!B:D,3,FALSE)="Yes")))</f>
        <v>0</v>
      </c>
      <c r="C116" t="b">
        <v>1</v>
      </c>
      <c r="D116" t="b">
        <f>NOT(ISERROR(VLOOKUP(A116,'Charging Station Testcases'!E:E,1,FALSE)=A116))</f>
        <v>0</v>
      </c>
      <c r="G116" s="3"/>
    </row>
    <row r="117" spans="1:18" x14ac:dyDescent="0.25">
      <c r="A117" t="s">
        <v>741</v>
      </c>
      <c r="B117" s="3" t="b">
        <f>VLOOKUP("AQ-11",'Additional questions'!B:D,3,FALSE)="No"</f>
        <v>1</v>
      </c>
      <c r="C117" t="b">
        <v>1</v>
      </c>
      <c r="D117" t="b">
        <f>NOT(ISERROR(VLOOKUP(A117,'Charging Station Testcases'!E:E,1,FALSE)=A117))</f>
        <v>1</v>
      </c>
      <c r="G117" s="3"/>
    </row>
    <row r="118" spans="1:18" x14ac:dyDescent="0.25">
      <c r="A118" t="s">
        <v>742</v>
      </c>
      <c r="B118" s="3" t="b">
        <f>AND(VLOOKUP("AQ-1",'Additional questions'!B:D,3,FALSE)="Yes",VLOOKUP("C-61",'Optional features'!B:D,3,FALSE)="Yes")</f>
        <v>0</v>
      </c>
      <c r="C118" t="b">
        <v>1</v>
      </c>
      <c r="D118" t="b">
        <f>NOT(ISERROR(VLOOKUP(A118,'Charging Station Testcases'!E:E,1,FALSE)=A118))</f>
        <v>1</v>
      </c>
      <c r="G118" s="3"/>
      <c r="R118" t="str">
        <f t="array" ref="R118">SUBSTITUTE(_xlfn.CONCAT(TRIM(_xlfn.REGEXREPLACE('OCPP family members'!F13:F41, "\n", " ", 0) &amp; "")), " ", "")</f>
        <v/>
      </c>
    </row>
    <row r="119" spans="1:18" x14ac:dyDescent="0.25">
      <c r="A119" t="s">
        <v>744</v>
      </c>
      <c r="B119" s="3" t="b">
        <f>OR(VLOOKUP("C-70",'Optional features'!B:D,3,FALSE)="Yes", VLOOKUP("C-71",'Optional features'!B:D,3,FALSE)="Yes", VLOOKUP("C-72",'Optional features'!B:D,3,FALSE)="Yes")</f>
        <v>0</v>
      </c>
      <c r="C119" t="b">
        <v>1</v>
      </c>
      <c r="D119" t="b">
        <f>NOT(ISERROR(VLOOKUP(A119,'Charging Station Testcases'!E:E,1,FALSE)=A119))</f>
        <v>1</v>
      </c>
      <c r="G119" s="3"/>
      <c r="R119" t="str">
        <f t="array" ref="R119">SUBSTITUTE(_xlfn.CONCAT(TRIM(_xlfn.REGEXREPLACE('OCPP family members'!G13:G41, "\n", " ", 0) &amp; "")), " ", "")</f>
        <v/>
      </c>
    </row>
    <row r="120" spans="1:18" x14ac:dyDescent="0.25">
      <c r="A120" t="s">
        <v>745</v>
      </c>
      <c r="B120" s="3" t="b">
        <f>OR(VLOOKUP("C-70",'Optional features'!B:D,3,FALSE)="Yes", VLOOKUP("C-71",'Optional features'!B:D,3,FALSE)="Yes", VLOOKUP("C-72",'Optional features'!B:D,3,FALSE)="Yes", VLOOKUP("C-75",'Optional features'!B:D,3,FALSE)="Yes")</f>
        <v>0</v>
      </c>
      <c r="C120" t="b">
        <v>1</v>
      </c>
      <c r="D120" t="b">
        <f>NOT(ISERROR(VLOOKUP(A120,'Charging Station Testcases'!E:E,1,FALSE)=A120))</f>
        <v>1</v>
      </c>
      <c r="G120" s="3"/>
      <c r="R120" t="str">
        <f t="array" ref="R120">SUBSTITUTE(_xlfn.CONCAT(TRIM(_xlfn.REGEXREPLACE('OCPP family members'!H13:H41, "\n", " ", 0) &amp; "")), " ", "")</f>
        <v/>
      </c>
    </row>
    <row r="121" spans="1:18" x14ac:dyDescent="0.25">
      <c r="A121" t="s">
        <v>746</v>
      </c>
      <c r="B121" s="3" t="b">
        <f>OR(AND(VLOOKUP("C-30",'Optional features'!B:D,3,FALSE)="Yes", VLOOKUP("C-70",'Optional features'!B:D,3,FALSE)="Yes"), AND(VLOOKUP("C-31",'Optional features'!B:D,3,FALSE)="Yes", VLOOKUP("C-71",'Optional features'!B:D,3,FALSE)="Yes"), AND(VLOOKUP("C-32",'Optional features'!B:D,3,FALSE)="Yes", VLOOKUP("C-72",'Optional features'!B:D,3,FALSE)="Yes"))</f>
        <v>0</v>
      </c>
      <c r="C121" t="b">
        <v>1</v>
      </c>
      <c r="D121" t="b">
        <f>NOT(ISERROR(VLOOKUP(A121,'Charging Station Testcases'!E:E,1,FALSE)=A121))</f>
        <v>1</v>
      </c>
      <c r="G121" s="3"/>
      <c r="R121" t="str">
        <f t="array" ref="R121">SUBSTITUTE(_xlfn.CONCAT(TRIM(_xlfn.REGEXREPLACE('OCPP family members'!I13:I41, "\n", " ", 0) &amp; "")), " ", "")</f>
        <v/>
      </c>
    </row>
    <row r="122" spans="1:18" x14ac:dyDescent="0.25">
      <c r="A122" t="s">
        <v>747</v>
      </c>
      <c r="B122" s="3" t="b">
        <f>AND(OR(AND(VLOOKUP("C-30",'Optional features'!B:D,3,FALSE)="Yes", VLOOKUP("C-70",'Optional features'!B:D,3,FALSE)="Yes"), AND(VLOOKUP("C-31",'Optional features'!B:D,3,FALSE)="Yes", VLOOKUP("C-71",'Optional features'!B:D,3,FALSE)="Yes"), AND(VLOOKUP("C-32",'Optional features'!B:D,3,FALSE)="Yes", VLOOKUP("C-72",'Optional features'!B:D,3,FALSE)="Yes")), OR(VLOOKUP("C-07",'Optional features'!B:D,3,FALSE)="Yes", VLOOKUP("C-08",'Optional features'!B:D,3,FALSE)="Yes"))</f>
        <v>0</v>
      </c>
      <c r="C122" t="b">
        <v>1</v>
      </c>
      <c r="D122" t="b">
        <f>NOT(ISERROR(VLOOKUP(A122,'Charging Station Testcases'!E:E,1,FALSE)=A122))</f>
        <v>1</v>
      </c>
      <c r="G122" s="3"/>
      <c r="R122" t="str">
        <f t="array" ref="R122">SUBSTITUTE(_xlfn.CONCAT(TRIM(_xlfn.REGEXREPLACE('OCPP family members'!J13:J41, "\n", " ", 0) &amp; "")), " ", "")</f>
        <v/>
      </c>
    </row>
    <row r="123" spans="1:18" x14ac:dyDescent="0.25">
      <c r="A123" t="s">
        <v>748</v>
      </c>
      <c r="B123" s="3" t="b">
        <f>AND(VLOOKUP("C-02",'Optional features'!B:D,3,FALSE)="Yes", OR(VLOOKUP("C-30",'Optional features'!B:D,3,FALSE)="Yes", VLOOKUP("C-31",'Optional features'!B:D,3,FALSE)="Yes", VLOOKUP("C-32",'Optional features'!B:D,3,FALSE)="Yes", VLOOKUP("C-33",'Optional features'!B:D,3,FALSE)="Yes", VLOOKUP("C-34",'Optional features'!B:D,3,FALSE)="Yes"))</f>
        <v>0</v>
      </c>
      <c r="C123" t="b">
        <v>1</v>
      </c>
      <c r="D123" t="b">
        <f>NOT(ISERROR(VLOOKUP(A123,'Charging Station Testcases'!E:E,1,FALSE)=A123))</f>
        <v>1</v>
      </c>
      <c r="R123" t="str">
        <f t="array" ref="R123">SUBSTITUTE(_xlfn.CONCAT(TRIM(_xlfn.REGEXREPLACE('OCPP family members'!K13:K41, "\n", " ", 0) &amp; "")), " ", "")</f>
        <v/>
      </c>
    </row>
    <row r="124" spans="1:18" x14ac:dyDescent="0.25">
      <c r="A124" t="s">
        <v>749</v>
      </c>
      <c r="B124" s="3" t="b">
        <f>AND(VLOOKUP("C-07",'Optional features'!B:D,3,FALSE)="Yes", OR(VLOOKUP("C-70",'Optional features'!B:D,3,FALSE)="Yes", VLOOKUP("C-71",'Optional features'!B:D,3,FALSE)="Yes", VLOOKUP("C-72",'Optional features'!B:D,3,FALSE)="Yes"))</f>
        <v>0</v>
      </c>
      <c r="C124" t="b">
        <v>1</v>
      </c>
      <c r="D124" t="b">
        <f>NOT(ISERROR(VLOOKUP(A124,'Charging Station Testcases'!E:E,1,FALSE)=A124))</f>
        <v>1</v>
      </c>
      <c r="R124" t="str">
        <f t="array" ref="R124">SUBSTITUTE(_xlfn.CONCAT(TRIM(_xlfn.REGEXREPLACE('OCPP family members'!L13:L41, "\n", " ", 0) &amp; "")), " ", "")</f>
        <v/>
      </c>
    </row>
    <row r="125" spans="1:18" x14ac:dyDescent="0.25">
      <c r="A125" t="s">
        <v>750</v>
      </c>
      <c r="B125" s="3" t="b">
        <f>AND(VLOOKUP("C-08",'Optional features'!B:D,3,FALSE)="Yes", OR(VLOOKUP("C-70",'Optional features'!B:D,3,FALSE)="Yes", VLOOKUP("C-71",'Optional features'!B:D,3,FALSE)="Yes", VLOOKUP("C-72",'Optional features'!B:D,3,FALSE)="Yes"))</f>
        <v>0</v>
      </c>
      <c r="C125" t="b">
        <v>1</v>
      </c>
      <c r="D125" t="b">
        <f>NOT(ISERROR(VLOOKUP(A125,'Charging Station Testcases'!E:E,1,FALSE)=A125))</f>
        <v>1</v>
      </c>
    </row>
    <row r="126" spans="1:18" x14ac:dyDescent="0.25">
      <c r="A126" t="s">
        <v>751</v>
      </c>
      <c r="B126" s="3" t="b">
        <f>AND(VLOOKUP("C-49",'Optional features'!B:D,3,FALSE)="Yes", OR(AND(VLOOKUP("C-30",'Optional features'!B:D,3,FALSE)="Yes", VLOOKUP("C-70",'Optional features'!B:D,3,FALSE)="Yes"), AND(VLOOKUP("C-31",'Optional features'!B:D,3,FALSE)="Yes", VLOOKUP("C-71",'Optional features'!B:D,3,FALSE)="Yes"), AND(VLOOKUP("C-32",'Optional features'!B:D,3,FALSE)="Yes", VLOOKUP("C-72",'Optional features'!B:D,3,FALSE)="Yes"), OR(VLOOKUP("C-36",'Optional features'!B:D,3,FALSE)="Yes", VLOOKUP("C-37",'Optional features'!B:D,3,FALSE)="Yes")))</f>
        <v>0</v>
      </c>
      <c r="C126" t="b">
        <v>1</v>
      </c>
      <c r="D126" t="b">
        <f>NOT(ISERROR(VLOOKUP(A126,'Charging Station Testcases'!E:E,1,FALSE)=A126))</f>
        <v>1</v>
      </c>
    </row>
    <row r="127" spans="1:18" x14ac:dyDescent="0.25">
      <c r="A127" t="s">
        <v>752</v>
      </c>
      <c r="B127" s="3" t="b">
        <f>AND(VLOOKUP("C-49",'Optional features'!B:D,3,FALSE)="Yes",VLOOKUP("C-53",'Optional features'!B:D,3,FALSE)="Yes", OR(AND(VLOOKUP("C-30",'Optional features'!B:D,3,FALSE)="Yes", VLOOKUP("C-70",'Optional features'!B:D,3,FALSE)="Yes"), AND(VLOOKUP("C-31",'Optional features'!B:D,3,FALSE)="Yes", VLOOKUP("C-71",'Optional features'!B:D,3,FALSE)="Yes"), AND(VLOOKUP("C-32",'Optional features'!B:D,3,FALSE)="Yes", VLOOKUP("C-72",'Optional features'!B:D,3,FALSE)="Yes"), OR(VLOOKUP("C-36",'Optional features'!B:D,3,FALSE)="Yes", VLOOKUP("C-37",'Optional features'!B:D,3,FALSE)="Yes")))</f>
        <v>0</v>
      </c>
      <c r="C127" t="b">
        <v>1</v>
      </c>
      <c r="D127" t="b">
        <f>NOT(ISERROR(VLOOKUP(A127,'Charging Station Testcases'!E:E,1,FALSE)=A127))</f>
        <v>1</v>
      </c>
    </row>
    <row r="128" spans="1:18" x14ac:dyDescent="0.25">
      <c r="A128" t="s">
        <v>753</v>
      </c>
      <c r="B128" s="3" t="b">
        <f>AND(VLOOKUP("C-49",'Optional features'!B:D,3,FALSE)="Yes", OR(AND(VLOOKUP("C-30",'Optional features'!B:D,3,FALSE)="Yes", VLOOKUP("C-70",'Optional features'!B:D,3,FALSE)="Yes"), AND(VLOOKUP("C-31",'Optional features'!B:D,3,FALSE)="Yes", VLOOKUP("C-71",'Optional features'!B:D,3,FALSE)="Yes"), AND(VLOOKUP("C-32",'Optional features'!B:D,3,FALSE)="Yes", VLOOKUP("C-72",'Optional features'!B:D,3,FALSE)="Yes")))</f>
        <v>0</v>
      </c>
      <c r="C128" t="b">
        <v>1</v>
      </c>
      <c r="D128" t="b">
        <f>NOT(ISERROR(VLOOKUP(A128,'Charging Station Testcases'!E:E,1,FALSE)=A128))</f>
        <v>1</v>
      </c>
    </row>
    <row r="129" spans="1:4" x14ac:dyDescent="0.25">
      <c r="A129" t="s">
        <v>754</v>
      </c>
      <c r="B129" s="3" t="b">
        <f>AND(VLOOKUP("C-49",'Optional features'!B:D,3,FALSE)="Yes", VLOOKUP("C-03",'Optional features'!B:D,3,FALSE)="Yes", OR(AND(VLOOKUP("C-30",'Optional features'!B:D,3,FALSE)="Yes", VLOOKUP("C-70",'Optional features'!B:D,3,FALSE)="Yes"), AND(VLOOKUP("C-31",'Optional features'!B:D,3,FALSE)="Yes", VLOOKUP("C-71",'Optional features'!B:D,3,FALSE)="Yes"), AND(VLOOKUP("C-32",'Optional features'!B:D,3,FALSE)="Yes", VLOOKUP("C-72",'Optional features'!B:D,3,FALSE)="Yes")))</f>
        <v>0</v>
      </c>
      <c r="C129" t="b">
        <v>1</v>
      </c>
      <c r="D129" t="b">
        <f>NOT(ISERROR(VLOOKUP(A129,'Charging Station Testcases'!E:E,1,FALSE)=A129))</f>
        <v>1</v>
      </c>
    </row>
    <row r="130" spans="1:4" x14ac:dyDescent="0.25">
      <c r="A130" t="s">
        <v>755</v>
      </c>
      <c r="B130" s="3" t="b">
        <f>AND(VLOOKUP("C-59",'Optional features'!B:D,3,FALSE)="Yes",VLOOKUP("C-49",'Optional features'!B:D,3,FALSE)="Yes", OR(AND(VLOOKUP("C-30",'Optional features'!B:D,3,FALSE)="Yes", VLOOKUP("C-70",'Optional features'!B:D,3,FALSE)="Yes"), AND(VLOOKUP("C-31",'Optional features'!B:D,3,FALSE)="Yes", VLOOKUP("C-71",'Optional features'!B:D,3,FALSE)="Yes"), AND(VLOOKUP("C-32",'Optional features'!B:D,3,FALSE)="Yes", VLOOKUP("C-72",'Optional features'!B:D,3,FALSE)="Yes"), OR(VLOOKUP("C-36",'Optional features'!B:D,3,FALSE)="Yes", VLOOKUP("C-37",'Optional features'!B:D,3,FALSE)="Yes")))</f>
        <v>0</v>
      </c>
      <c r="C130" t="b">
        <v>1</v>
      </c>
      <c r="D130" t="b">
        <f>NOT(ISERROR(VLOOKUP(A130,'Charging Station Testcases'!E:E,1,FALSE)=A130))</f>
        <v>1</v>
      </c>
    </row>
    <row r="131" spans="1:4" x14ac:dyDescent="0.25">
      <c r="A131" t="s">
        <v>756</v>
      </c>
      <c r="B131" s="3" t="b">
        <f>AND(NOT(VLOOKUP("AQ-2",'Additional questions'!B:D,3,FALSE)="Yes"),OR(VLOOKUP("C-30",'Optional features'!B:D,3,FALSE)="Yes", VLOOKUP("C-31",'Optional features'!B:D,3,FALSE)="Yes", VLOOKUP("C-32",'Optional features'!B:D,3,FALSE)="Yes", VLOOKUP("C-33",'Optional features'!B:D,3,FALSE)="Yes",VLOOKUP("C-34",'Optional features'!B:D,3,FALSE)="Yes", VLOOKUP("C-35",'Optional features'!B:D,3,FALSE)="Yes", VLOOKUP("ISO 15118 Support",'Profile selection'!B:C,2,FALSE)="Yes"))</f>
        <v>0</v>
      </c>
      <c r="C131" t="b">
        <v>1</v>
      </c>
      <c r="D131" t="b">
        <f>NOT(ISERROR(VLOOKUP(A131,'Charging Station Testcases'!E:E,1,FALSE)=A131))</f>
        <v>1</v>
      </c>
    </row>
    <row r="132" spans="1:4" x14ac:dyDescent="0.25">
      <c r="A132" t="s">
        <v>757</v>
      </c>
      <c r="B132" s="3" t="b">
        <f>OR(VLOOKUP("C-30",'Optional features'!B:D,3,FALSE)="Yes", VLOOKUP("C-31",'Optional features'!B:D,3,FALSE)="Yes", VLOOKUP("C-32",'Optional features'!B:D,3,FALSE)="Yes", VLOOKUP("C-33",'Optional features'!B:D,3,FALSE)="Yes", VLOOKUP("C-35",'Optional features'!B:D,3,FALSE)="Yes")</f>
        <v>0</v>
      </c>
      <c r="C132" t="b">
        <v>1</v>
      </c>
      <c r="D132" t="b">
        <f>NOT(ISERROR(VLOOKUP(A132,'Charging Station Testcases'!E:E,1,FALSE)=A132))</f>
        <v>1</v>
      </c>
    </row>
    <row r="133" spans="1:4" x14ac:dyDescent="0.25">
      <c r="A133" t="s">
        <v>758</v>
      </c>
      <c r="B133" s="3" t="b">
        <f>AND(VLOOKUP("C-09.2",'Optional features'!B:D,3,FALSE)="Yes",OR(VLOOKUP("C-30",'Optional features'!B:D,3,FALSE)="Yes", VLOOKUP("C-31",'Optional features'!B:D,3,FALSE)="Yes", VLOOKUP("C-32",'Optional features'!B:D,3,FALSE)="Yes", VLOOKUP("C-33",'Optional features'!B:D,3,FALSE)="Yes",VLOOKUP("C-34",'Optional features'!B:D,3,FALSE)="Yes", VLOOKUP("C-35",'Optional features'!B:D,3,FALSE)="Yes", VLOOKUP("ISO 15118 Support",'Profile selection'!B:C,2,FALSE)="Yes"))</f>
        <v>0</v>
      </c>
      <c r="C133" t="b">
        <v>1</v>
      </c>
      <c r="D133" t="b">
        <f>NOT(ISERROR(VLOOKUP(A133,'Charging Station Testcases'!E:E,1,FALSE)=A133))</f>
        <v>1</v>
      </c>
    </row>
    <row r="134" spans="1:4" x14ac:dyDescent="0.25">
      <c r="A134" t="s">
        <v>759</v>
      </c>
      <c r="B134" s="3" t="b">
        <f>AND(VLOOKUP("C-10.2",'Optional features'!B:D,3,FALSE)="Yes",OR(VLOOKUP("C-70",'Optional features'!B:D,3,FALSE)="Yes", VLOOKUP("C-71",'Optional features'!B:D,3,FALSE)="Yes", VLOOKUP("C-72",'Optional features'!B:D,3,FALSE)="Yes", VLOOKUP("C-75",'Optional features'!B:D,3,FALSE)="Yes"))</f>
        <v>0</v>
      </c>
      <c r="C134" t="b">
        <v>1</v>
      </c>
      <c r="D134" t="b">
        <f>NOT(ISERROR(VLOOKUP(A134,'Charging Station Testcases'!E:E,1,FALSE)=A134))</f>
        <v>1</v>
      </c>
    </row>
    <row r="135" spans="1:4" x14ac:dyDescent="0.25">
      <c r="A135" t="s">
        <v>760</v>
      </c>
      <c r="B135" s="3" t="b">
        <f>AND(OR(VLOOKUP("C-10.2",'Optional features'!B:D,3,FALSE)="Yes", VLOOKUP("C-10.3",'Optional features'!B:D,3,FALSE)="Yes"), VLOOKUP("C-01",'Optional features'!B:D,3,FALSE)="Yes", NOT(VLOOKUP("C-35",'Optional features'!B:D,3,FALSE)="Yes"))</f>
        <v>0</v>
      </c>
      <c r="C135" t="b">
        <v>1</v>
      </c>
      <c r="D135" t="b">
        <f>NOT(ISERROR(VLOOKUP(A135,'Charging Station Testcases'!E:E,1,FALSE)=A135))</f>
        <v>1</v>
      </c>
    </row>
    <row r="136" spans="1:4" x14ac:dyDescent="0.25">
      <c r="A136" t="s">
        <v>761</v>
      </c>
      <c r="B136" s="3" t="b">
        <f>AND(VLOOKUP("C-10.3",'Optional features'!B:D,3,FALSE)="Yes", OR(VLOOKUP("C-52",'Optional features'!B:D,3,FALSE)="Yes", NOT(VLOOKUP("C-10.2",'Optional features'!B:D,3,FALSE)="Yes")), OR(VLOOKUP("C-70",'Optional features'!B:D,3,FALSE)="Yes", VLOOKUP("C-71",'Optional features'!B:D,3,FALSE)="Yes", VLOOKUP("C-72",'Optional features'!B:D,3,FALSE)="Yes", VLOOKUP("C-75",'Optional features'!B:D,3,FALSE)="Yes"))</f>
        <v>0</v>
      </c>
      <c r="C136" t="b">
        <v>1</v>
      </c>
      <c r="D136" t="b">
        <f>NOT(ISERROR(VLOOKUP(A136,'Charging Station Testcases'!E:E,1,FALSE)=A136))</f>
        <v>1</v>
      </c>
    </row>
    <row r="137" spans="1:4" x14ac:dyDescent="0.25">
      <c r="A137" t="s">
        <v>762</v>
      </c>
      <c r="B137" s="3" t="b">
        <f>OR(VLOOKUP("C-70",'Optional features'!B:D,3,FALSE)="Yes", VLOOKUP("C-71",'Optional features'!B:D,3,FALSE)="Yes", VLOOKUP("C-72",'Optional features'!B:D,3,FALSE)="Yes", VLOOKUP("C-75",'Optional features'!B:D,3,FALSE)="Yes", VLOOKUP("ISO 15118 Support",'Profile selection'!B:C,2,FALSE)="Yes")</f>
        <v>0</v>
      </c>
      <c r="C137" t="b">
        <v>1</v>
      </c>
      <c r="D137" t="b">
        <f>NOT(ISERROR(VLOOKUP(A137,'Charging Station Testcases'!E:E,1,FALSE)=A137))</f>
        <v>1</v>
      </c>
    </row>
    <row r="138" spans="1:4" x14ac:dyDescent="0.25">
      <c r="A138" t="s">
        <v>763</v>
      </c>
      <c r="B138" s="3" t="b">
        <f>AND(OR(VLOOKUP("C-70",'Optional features'!B:D,3,FALSE)="Yes", VLOOKUP("C-71",'Optional features'!B:D,3,FALSE)="Yes", VLOOKUP("C-72",'Optional features'!B:D,3,FALSE)="Yes"), OR(VLOOKUP("LA-0",'Optional features'!B:D,3,FALSE)="Yes", VLOOKUP("C-49",'Optional features'!B:D,3,FALSE)="Yes"))</f>
        <v>0</v>
      </c>
      <c r="C138" t="b">
        <v>1</v>
      </c>
      <c r="D138" t="b">
        <f>NOT(ISERROR(VLOOKUP(A138,'Charging Station Testcases'!E:E,1,FALSE)=A138))</f>
        <v>1</v>
      </c>
    </row>
    <row r="139" spans="1:4" x14ac:dyDescent="0.25">
      <c r="A139" t="s">
        <v>764</v>
      </c>
      <c r="B139" s="3" t="b">
        <f>NOT(AND(NOT(OR(AND(VLOOKUP("C-30",'Optional features'!B:D,3,FALSE)="Yes", VLOOKUP("C-70",'Optional features'!B:D,3,FALSE)="Yes"), AND(VLOOKUP("C-31",'Optional features'!B:D,3,FALSE)="Yes", VLOOKUP("C-71",'Optional features'!B:D,3,FALSE)="Yes"), AND(VLOOKUP("C-32",'Optional features'!B:D,3,FALSE)="Yes", VLOOKUP("C-72",'Optional features'!B:D,3,FALSE)="Yes"), AND(VLOOKUP("C-35",'Optional features'!B:D,3,FALSE)="Yes", VLOOKUP("C-75",'Optional features'!B:D,3,FALSE)="Yes"))), AND(NOT(VLOOKUP("C-10.1",'Optional features'!B:D,3,FALSE)="Yes"), NOT(VLOOKUP("C-10.3",'Optional features'!B:D,3,FALSE)="Yes"), NOT(VLOOKUP("C-10.4",'Optional features'!B:D,3,FALSE)="Yes"), NOT(VLOOKUP("C-10.5",'Optional features'!B:D,3,FALSE)="Yes")), NOT(VLOOKUP("C-06.2",'Optional features'!B:D,3,FALSE)="Yes")))</f>
        <v>1</v>
      </c>
      <c r="C139" t="b">
        <v>1</v>
      </c>
      <c r="D139" t="b">
        <f>NOT(ISERROR(VLOOKUP(A139,'Charging Station Testcases'!E:E,1,FALSE)=A139))</f>
        <v>0</v>
      </c>
    </row>
    <row r="140" spans="1:4" x14ac:dyDescent="0.25">
      <c r="A140" t="s">
        <v>765</v>
      </c>
      <c r="B140" s="3" t="b">
        <f>AND(OR(AND(VLOOKUP("C-30",'Optional features'!B:D,3,FALSE)="Yes", VLOOKUP("C-70",'Optional features'!B:D,3,FALSE)="Yes"), AND(VLOOKUP("C-31",'Optional features'!B:D,3,FALSE)="Yes", VLOOKUP("C-71",'Optional features'!B:D,3,FALSE)="Yes")), OR(VLOOKUP("LA-0",'Optional features'!B:D,3,FALSE)="Yes", VLOOKUP("C-49",'Optional features'!B:D,3,FALSE)="Yes"))</f>
        <v>0</v>
      </c>
      <c r="C140" t="b">
        <v>1</v>
      </c>
      <c r="D140" t="b">
        <f>NOT(ISERROR(VLOOKUP(A140,'Charging Station Testcases'!E:E,1,FALSE)=A140))</f>
        <v>1</v>
      </c>
    </row>
    <row r="141" spans="1:4" x14ac:dyDescent="0.25">
      <c r="A141" t="s">
        <v>766</v>
      </c>
      <c r="B141" s="3" t="b">
        <f>OR(VLOOKUP("C-56",'Optional features'!B:D,3,FALSE)="Yes",VLOOKUP("DM-0",'Optional features'!B:D,3,FALSE)="Yes")</f>
        <v>0</v>
      </c>
      <c r="C141" t="b">
        <v>1</v>
      </c>
      <c r="D141" t="b">
        <f>NOT(ISERROR(VLOOKUP(A141,'Charging Station Testcases'!E:E,1,FALSE)=A141))</f>
        <v>1</v>
      </c>
    </row>
    <row r="142" spans="1:4" x14ac:dyDescent="0.25">
      <c r="A142" t="s">
        <v>767</v>
      </c>
      <c r="B142" s="3" t="b">
        <f>AND(VLOOKUP("C-10.2",'Optional features'!B:D,3,FALSE)="Yes",VLOOKUP("C-06.2",'Optional features'!B:D,3,FALSE)="Yes",VLOOKUP("AQ-9",'Additional questions'!B:D,3,FALSE)="Yes",NOT(AND(VLOOKUP("C-52",'Optional features'!B:D,3,FALSE)="No", OR(VLOOKUP("C-10.1",'Optional features'!B:D,3,FALSE)="Yes", VLOOKUP("C-10.3",'Optional features'!B:D,3,FALSE)="Yes", VLOOKUP("C-10.4",'Optional features'!B:D,3,FALSE)="Yes"))))</f>
        <v>0</v>
      </c>
      <c r="C142" t="b">
        <v>1</v>
      </c>
      <c r="D142" t="b">
        <f>NOT(ISERROR(VLOOKUP(A142,'Charging Station Testcases'!E:E,1,FALSE)=A142))</f>
        <v>1</v>
      </c>
    </row>
    <row r="143" spans="1:4" x14ac:dyDescent="0.25">
      <c r="A143" s="37" t="s">
        <v>768</v>
      </c>
      <c r="B143" s="3" t="b">
        <f>AND(NOT(VLOOKUP("AQ-2",'Additional questions'!B:D,3,FALSE)="Yes"), OR(VLOOKUP("C-36",'Optional features'!B:D,3,FALSE)="Yes", VLOOKUP("C-37",'Optional features'!B:D,3,FALSE)="Yes", VLOOKUP("C-38",'Optional features'!B:D,3,FALSE)="Yes", VLOOKUP("C-39",'Optional features'!B:D,3,FALSE)="Yes"))</f>
        <v>0</v>
      </c>
      <c r="C143" t="b">
        <v>1</v>
      </c>
      <c r="D143" t="b">
        <f>NOT(ISERROR(VLOOKUP(A143,'Charging Station Testcases'!E:E,1,FALSE)=A143))</f>
        <v>1</v>
      </c>
    </row>
    <row r="144" spans="1:4" x14ac:dyDescent="0.25">
      <c r="A144" s="37" t="s">
        <v>769</v>
      </c>
      <c r="B144" s="3" t="b">
        <f>AND(VLOOKUP("C-48.1",'Optional features'!B:D,3,FALSE)="Yes", OR(VLOOKUP("C-36",'Optional features'!B:D,3,FALSE)="Yes", VLOOKUP("C-37",'Optional features'!B:D,3,FALSE)="Yes", VLOOKUP("C-38",'Optional features'!B:D,3,FALSE)="Yes", VLOOKUP("C-39",'Optional features'!B:D,3,FALSE)="Yes"))</f>
        <v>0</v>
      </c>
      <c r="C144" t="b">
        <v>1</v>
      </c>
      <c r="D144" t="b">
        <f>NOT(ISERROR(VLOOKUP(A144,'Charging Station Testcases'!E:E,1,FALSE)=A144))</f>
        <v>1</v>
      </c>
    </row>
    <row r="145" spans="1:4" x14ac:dyDescent="0.25">
      <c r="A145" s="37" t="s">
        <v>770</v>
      </c>
      <c r="B145" s="3" t="b">
        <f>AND(VLOOKUP("C-48.2",'Optional features'!B:D,3,FALSE)="Yes", OR(VLOOKUP("C-36",'Optional features'!B:D,3,FALSE)="Yes", VLOOKUP("C-37",'Optional features'!B:D,3,FALSE)="Yes", VLOOKUP("C-38",'Optional features'!B:D,3,FALSE)="Yes", VLOOKUP("C-39",'Optional features'!B:D,3,FALSE)="Yes"))</f>
        <v>0</v>
      </c>
      <c r="C145" t="b">
        <v>1</v>
      </c>
      <c r="D145" t="b">
        <f>NOT(ISERROR(VLOOKUP(A145,'Charging Station Testcases'!E:E,1,FALSE)=A145))</f>
        <v>1</v>
      </c>
    </row>
    <row r="146" spans="1:4" x14ac:dyDescent="0.25">
      <c r="A146" s="37" t="s">
        <v>771</v>
      </c>
      <c r="B146" s="3" t="b">
        <f>AND(VLOOKUP("LA-0",'Optional features'!B:D,3,FALSE)="Yes", OR(AND(VLOOKUP("C-30",'Optional features'!B:D,3,FALSE)="Yes", VLOOKUP("C-70",'Optional features'!B:D,3,FALSE)="Yes"), AND(VLOOKUP("C-31",'Optional features'!B:D,3,FALSE)="Yes", VLOOKUP("C-71",'Optional features'!B:D,3,FALSE)="Yes"), AND(VLOOKUP("C-32",'Optional features'!B:D,3,FALSE)="Yes", VLOOKUP("C-72",'Optional features'!B:D,3,FALSE)="Yes")))</f>
        <v>0</v>
      </c>
      <c r="C146" t="b">
        <v>1</v>
      </c>
      <c r="D146" t="b">
        <f>NOT(ISERROR(VLOOKUP(A146,'Charging Station Testcases'!E:E,1,FALSE)=A146))</f>
        <v>1</v>
      </c>
    </row>
    <row r="147" spans="1:4" x14ac:dyDescent="0.25">
      <c r="A147" s="37" t="s">
        <v>772</v>
      </c>
      <c r="B147" s="3" t="b">
        <f>AND(VLOOKUP("LA-0",'Optional features'!B:D,3,FALSE)="Yes", OR(VLOOKUP("C-30",'Optional features'!B:D,3,FALSE)="Yes", VLOOKUP("C-31",'Optional features'!B:D,3,FALSE)="Yes", VLOOKUP("C-32",'Optional features'!B:D,3,FALSE)="Yes"))</f>
        <v>0</v>
      </c>
      <c r="C147" t="b">
        <v>1</v>
      </c>
      <c r="D147" t="b">
        <f>NOT(ISERROR(VLOOKUP(A147,'Charging Station Testcases'!E:E,1,FALSE)=A147))</f>
        <v>1</v>
      </c>
    </row>
    <row r="148" spans="1:4" x14ac:dyDescent="0.25">
      <c r="A148" s="37" t="s">
        <v>773</v>
      </c>
      <c r="B148" s="3" t="b">
        <f>AND(VLOOKUP("LA-0",'Optional features'!B:D,3,FALSE)="Yes", VLOOKUP("C-49",'Optional features'!B:D,3,FALSE)="Yes", OR(VLOOKUP("C-30",'Optional features'!B:D,3,FALSE)="Yes", VLOOKUP("C-31",'Optional features'!B:D,3,FALSE)="Yes", AND(VLOOKUP("C-32",'Optional features'!B:D,3,FALSE)="Yes", VLOOKUP("C-72",'Optional features'!B:D,3,FALSE)="Yes")))</f>
        <v>0</v>
      </c>
      <c r="C148" t="b">
        <v>1</v>
      </c>
      <c r="D148" t="b">
        <f>NOT(ISERROR(VLOOKUP(A148,'Charging Station Testcases'!E:E,1,FALSE)=A148))</f>
        <v>1</v>
      </c>
    </row>
    <row r="149" spans="1:4" x14ac:dyDescent="0.25">
      <c r="A149" s="37" t="s">
        <v>186</v>
      </c>
      <c r="B149" s="3" t="b">
        <f>VLOOKUP("LA-0",'Optional features'!B:D,3,FALSE)="Yes"</f>
        <v>0</v>
      </c>
      <c r="C149" t="b">
        <v>1</v>
      </c>
      <c r="D149" t="b">
        <f>NOT(ISERROR(VLOOKUP(A149,'Charging Station Testcases'!E:E,1,FALSE)=A149))</f>
        <v>1</v>
      </c>
    </row>
    <row r="150" spans="1:4" x14ac:dyDescent="0.25">
      <c r="A150" s="37" t="s">
        <v>774</v>
      </c>
      <c r="B150" s="3" t="b">
        <f>AND(VLOOKUP("LA-0",'Optional features'!B:D,3,FALSE)="Yes", VLOOKUP("LA-3",'Optional features'!B:D,3,FALSE)="Yes")</f>
        <v>0</v>
      </c>
      <c r="C150" t="b">
        <v>1</v>
      </c>
      <c r="D150" t="b">
        <f>NOT(ISERROR(VLOOKUP(A150,'Charging Station Testcases'!E:E,1,FALSE)=A150))</f>
        <v>1</v>
      </c>
    </row>
    <row r="151" spans="1:4" x14ac:dyDescent="0.25">
      <c r="A151" s="37" t="s">
        <v>171</v>
      </c>
      <c r="B151" s="3" t="b">
        <f>VLOOKUP("R-0",'Optional features'!B:D,3,FALSE)="Yes"</f>
        <v>0</v>
      </c>
      <c r="C151" t="b">
        <v>1</v>
      </c>
      <c r="D151" t="b">
        <f>NOT(ISERROR(VLOOKUP(A151,'Charging Station Testcases'!E:E,1,FALSE)=A151))</f>
        <v>1</v>
      </c>
    </row>
    <row r="152" spans="1:4" x14ac:dyDescent="0.25">
      <c r="A152" s="37" t="s">
        <v>775</v>
      </c>
      <c r="B152" s="3" t="b">
        <f>AND(VLOOKUP("R-0",'Optional features'!B:D,3,FALSE)="Yes", VLOOKUP("R-3",'Optional features'!B:D,3,FALSE)="Yes")</f>
        <v>0</v>
      </c>
      <c r="C152" t="b">
        <v>1</v>
      </c>
      <c r="D152" t="b">
        <f>NOT(ISERROR(VLOOKUP(A152,'Charging Station Testcases'!E:E,1,FALSE)=A152))</f>
        <v>1</v>
      </c>
    </row>
    <row r="153" spans="1:4" x14ac:dyDescent="0.25">
      <c r="A153" s="37" t="s">
        <v>776</v>
      </c>
      <c r="B153" s="3" t="b">
        <f>AND(VLOOKUP("R-0",'Optional features'!B:D,3,FALSE)="Yes", VLOOKUP("R-2",'Optional features'!B:D,3,FALSE)="Yes")</f>
        <v>0</v>
      </c>
      <c r="C153" t="b">
        <v>1</v>
      </c>
      <c r="D153" t="b">
        <f>NOT(ISERROR(VLOOKUP(A153,'Charging Station Testcases'!E:E,1,FALSE)=A153))</f>
        <v>1</v>
      </c>
    </row>
    <row r="154" spans="1:4" x14ac:dyDescent="0.25">
      <c r="A154" s="37" t="s">
        <v>777</v>
      </c>
      <c r="B154" s="3" t="b">
        <f>AND(VLOOKUP("R-0",'Optional features'!B:D,3,FALSE)="Yes", VLOOKUP("R-2",'Optional features'!B:D,3,FALSE)="No")</f>
        <v>0</v>
      </c>
      <c r="C154" t="b">
        <v>1</v>
      </c>
      <c r="D154" t="b">
        <f>NOT(ISERROR(VLOOKUP(A154,'Charging Station Testcases'!E:E,1,FALSE)=A154))</f>
        <v>1</v>
      </c>
    </row>
    <row r="155" spans="1:4" x14ac:dyDescent="0.25">
      <c r="A155" s="37" t="s">
        <v>778</v>
      </c>
      <c r="B155" s="3" t="b">
        <f>AND(VLOOKUP("R-0",'Optional features'!B:D,3,FALSE)="Yes", VLOOKUP("R-1",'Optional features'!B:D,3,FALSE)="Yes")</f>
        <v>0</v>
      </c>
      <c r="C155" t="b">
        <v>1</v>
      </c>
      <c r="D155" t="b">
        <f>NOT(ISERROR(VLOOKUP(A155,'Charging Station Testcases'!E:E,1,FALSE)=A155))</f>
        <v>1</v>
      </c>
    </row>
    <row r="156" spans="1:4" x14ac:dyDescent="0.25">
      <c r="A156" s="37" t="s">
        <v>181</v>
      </c>
      <c r="B156" s="3" t="b">
        <f>VLOOKUP("DM-0",'Optional features'!B:D,3,FALSE)="Yes"</f>
        <v>0</v>
      </c>
      <c r="C156" t="b">
        <v>1</v>
      </c>
      <c r="D156" t="b">
        <f>NOT(ISERROR(VLOOKUP(A156,'Charging Station Testcases'!E:E,1,FALSE)=A156))</f>
        <v>1</v>
      </c>
    </row>
    <row r="157" spans="1:4" x14ac:dyDescent="0.25">
      <c r="A157" s="37" t="s">
        <v>779</v>
      </c>
      <c r="B157" s="3" t="b">
        <f>AND(VLOOKUP("DM-0",'Optional features'!B:D,3,FALSE)="Yes", VLOOKUP("AQ-5",'Additional questions'!B:D,3,FALSE)="Yes")</f>
        <v>0</v>
      </c>
      <c r="C157" t="b">
        <v>1</v>
      </c>
      <c r="D157" t="b">
        <f>NOT(ISERROR(VLOOKUP(A157,'Charging Station Testcases'!E:E,1,FALSE)=A157))</f>
        <v>1</v>
      </c>
    </row>
    <row r="158" spans="1:4" x14ac:dyDescent="0.25">
      <c r="A158" s="37" t="s">
        <v>780</v>
      </c>
      <c r="B158" s="3" t="b">
        <f>AND(VLOOKUP("DM-0",'Optional features'!B:D,3,FALSE)="Yes", VLOOKUP("AQ-10",'Additional questions'!B:D,3,FALSE)="Yes")</f>
        <v>0</v>
      </c>
      <c r="C158" t="b">
        <v>1</v>
      </c>
      <c r="D158" t="b">
        <f>NOT(ISERROR(VLOOKUP(A158,'Charging Station Testcases'!E:E,1,FALSE)=A158))</f>
        <v>1</v>
      </c>
    </row>
    <row r="159" spans="1:4" x14ac:dyDescent="0.25">
      <c r="A159" s="37" t="s">
        <v>781</v>
      </c>
      <c r="B159" s="3" t="b">
        <f>AND(VLOOKUP("DM-0",'Optional features'!B:D,3,FALSE)="Yes", VLOOKUP("DM-3",'Optional features'!B:D,3,FALSE)="Yes")</f>
        <v>0</v>
      </c>
      <c r="C159" t="b">
        <v>1</v>
      </c>
      <c r="D159" t="b">
        <f>NOT(ISERROR(VLOOKUP(A159,'Charging Station Testcases'!E:E,1,FALSE)=A159))</f>
        <v>1</v>
      </c>
    </row>
    <row r="160" spans="1:4" x14ac:dyDescent="0.25">
      <c r="A160" s="37" t="s">
        <v>193</v>
      </c>
      <c r="B160" s="3" t="b">
        <f>VLOOKUP("UI-0",'Optional features'!B:D,3,FALSE)="Yes"</f>
        <v>0</v>
      </c>
      <c r="C160" t="b">
        <v>1</v>
      </c>
      <c r="D160" t="b">
        <f>NOT(ISERROR(VLOOKUP(A160,'Charging Station Testcases'!E:E,1,FALSE)=A160))</f>
        <v>1</v>
      </c>
    </row>
    <row r="161" spans="1:4" x14ac:dyDescent="0.25">
      <c r="A161" t="s">
        <v>782</v>
      </c>
      <c r="B161" s="3" t="b">
        <f>AND(VLOOKUP("UI-0",'Optional features'!B:D,3,FALSE)="Yes", NOT(AND(VLOOKUP("UI-1.1",'Optional features'!B:D,3,FALSE)="Yes", VLOOKUP("UI-1.2",'Optional features'!B:D,3,FALSE)="Yes", VLOOKUP("UI-1.3",'Optional features'!B:D,3,FALSE)="Yes")))</f>
        <v>0</v>
      </c>
      <c r="C161" t="b">
        <v>1</v>
      </c>
      <c r="D161" t="b">
        <f>NOT(ISERROR(VLOOKUP(A161,'Charging Station Testcases'!E:E,1,FALSE)=A161))</f>
        <v>1</v>
      </c>
    </row>
    <row r="162" spans="1:4" x14ac:dyDescent="0.25">
      <c r="A162" t="s">
        <v>783</v>
      </c>
      <c r="B162" s="3" t="b">
        <f>AND(VLOOKUP("UI-0",'Optional features'!B:D,3,FALSE)="Yes", NOT(AND(VLOOKUP("UI-2.1",'Optional features'!B:D,3,FALSE)="Yes", VLOOKUP("UI-2.2",'Optional features'!B:D,3,FALSE)="Yes", VLOOKUP("UI-2.3",'Optional features'!B:D,3,FALSE)="Yes", VLOOKUP("UI-2.4",'Optional features'!B:D,3,FALSE)="Yes")))</f>
        <v>0</v>
      </c>
      <c r="C162" t="b">
        <v>1</v>
      </c>
      <c r="D162" t="b">
        <f>NOT(ISERROR(VLOOKUP(A162,'Charging Station Testcases'!E:E,1,FALSE)=A162))</f>
        <v>1</v>
      </c>
    </row>
    <row r="163" spans="1:4" x14ac:dyDescent="0.25">
      <c r="A163" s="37" t="s">
        <v>784</v>
      </c>
      <c r="B163" s="3" t="b">
        <f>AND(VLOOKUP("UI-0",'Optional features'!B:D,3,FALSE)="Yes", VLOOKUP("UI-1.2",'Optional features'!B:D,3,FALSE)="Yes")</f>
        <v>0</v>
      </c>
      <c r="C163" t="b">
        <v>1</v>
      </c>
      <c r="D163" t="b">
        <f>NOT(ISERROR(VLOOKUP(A163,'Charging Station Testcases'!E:E,1,FALSE)=A163))</f>
        <v>1</v>
      </c>
    </row>
    <row r="164" spans="1:4" x14ac:dyDescent="0.25">
      <c r="A164" s="37" t="s">
        <v>785</v>
      </c>
      <c r="B164" s="3" t="b">
        <f>AND(VLOOKUP("UI-0",'Optional features'!B:D,3,FALSE)="Yes", VLOOKUP("UI-1.1",'Optional features'!B:D,3,FALSE)="Yes")</f>
        <v>0</v>
      </c>
      <c r="C164" t="b">
        <v>1</v>
      </c>
      <c r="D164" t="b">
        <f>NOT(ISERROR(VLOOKUP(A164,'Charging Station Testcases'!E:E,1,FALSE)=A164))</f>
        <v>1</v>
      </c>
    </row>
    <row r="165" spans="1:4" x14ac:dyDescent="0.25">
      <c r="A165" t="s">
        <v>786</v>
      </c>
      <c r="B165" s="3" t="b">
        <f>AND(VLOOKUP("UI-0",'Optional features'!B:D,3,FALSE)="Yes", OR(AND(VLOOKUP("UI-1.1",'Optional features'!B:D,3,FALSE)="Yes", VLOOKUP("UI-1.2",'Optional features'!B:D,3,FALSE)="Yes"), AND(VLOOKUP("UI-1.2",'Optional features'!B:D,3,FALSE)="Yes", VLOOKUP("UI-1.3",'Optional features'!B:D,3,FALSE)="Yes"), AND(VLOOKUP("UI-1.3",'Optional features'!B:D,3,FALSE)="Yes", VLOOKUP("UI-1.1",'Optional features'!B:D,3,FALSE)="Yes")))</f>
        <v>0</v>
      </c>
      <c r="C165" t="b">
        <v>1</v>
      </c>
      <c r="D165" t="b">
        <f>NOT(ISERROR(VLOOKUP(A165,'Charging Station Testcases'!E:E,1,FALSE)=A165))</f>
        <v>1</v>
      </c>
    </row>
    <row r="166" spans="1:4" x14ac:dyDescent="0.25">
      <c r="A166" t="s">
        <v>787</v>
      </c>
      <c r="B166" s="3" t="b">
        <f>OR(VLOOKUP("C-61",'Optional features'!B:D,3,FALSE)="Yes", VLOOKUP("Advanced Security",'Profile selection'!B:D,2,FALSE)="Yes")</f>
        <v>1</v>
      </c>
      <c r="C166" t="b">
        <v>1</v>
      </c>
      <c r="D166" t="b">
        <f>NOT(ISERROR(VLOOKUP(A166,'Charging Station Testcases'!E:E,1,FALSE)=A166))</f>
        <v>1</v>
      </c>
    </row>
    <row r="167" spans="1:4" x14ac:dyDescent="0.25">
      <c r="A167" t="s">
        <v>788</v>
      </c>
      <c r="B167" s="3" t="b">
        <f>VLOOKUP("HFS-13",'Hardware Feature set'!B:D,3,FALSE)="No"</f>
        <v>1</v>
      </c>
      <c r="C167" t="b">
        <v>1</v>
      </c>
      <c r="D167" t="b">
        <f>NOT(ISERROR(VLOOKUP(A167,'Charging Station Testcases'!E:E,1,FALSE)=A167))</f>
        <v>1</v>
      </c>
    </row>
    <row r="168" spans="1:4" x14ac:dyDescent="0.25">
      <c r="A168" t="s">
        <v>789</v>
      </c>
      <c r="B168" s="3" t="b">
        <f>AND(VLOOKUP("HFS-8",'Hardware Feature set'!B:D,3,FALSE)&gt;1,VLOOKUP("HFS-13",'Hardware Feature set'!B:D,3,FALSE)="No")</f>
        <v>0</v>
      </c>
      <c r="C168" t="b">
        <v>1</v>
      </c>
      <c r="D168" t="b">
        <f>NOT(ISERROR(VLOOKUP(A168,'Charging Station Testcases'!E:E,1,FALSE)=A168))</f>
        <v>1</v>
      </c>
    </row>
    <row r="169" spans="1:4" x14ac:dyDescent="0.25">
      <c r="A169" t="s">
        <v>790</v>
      </c>
      <c r="B169" s="3" t="b">
        <f>AND(OR(VLOOKUP("C-30",'Optional features'!B:D,3,FALSE)="Yes",VLOOKUP("C-31",'Optional features'!B:D,3,FALSE)="Yes",VLOOKUP("C-32",'Optional features'!B:D,3,FALSE)="Yes",VLOOKUP("C-33",'Optional features'!B:D,3,FALSE)="Yes",VLOOKUP("C-35",'Optional features'!B:D,3,FALSE)="Yes"),VLOOKUP("HFS-13",'Hardware Feature set'!B:D,3,FALSE)="No")</f>
        <v>0</v>
      </c>
      <c r="C169" t="b">
        <v>1</v>
      </c>
      <c r="D169" t="b">
        <f>NOT(ISERROR(VLOOKUP(A169,'Charging Station Testcases'!E:E,1,FALSE)=A169))</f>
        <v>1</v>
      </c>
    </row>
    <row r="170" spans="1:4" x14ac:dyDescent="0.25">
      <c r="A170" t="s">
        <v>791</v>
      </c>
      <c r="B170" s="3" t="b">
        <f>AND(VLOOKUP("C-09.5",'Optional features'!B:D,3,FALSE)="No",NOT(VLOOKUP("Product Subtype",'Hardware Feature set'!C:D,2,FALSE)="Mode 1/2-only Charging Station"),VLOOKUP("HFS-13",'Hardware Feature set'!B:D,3,FALSE)="No")</f>
        <v>1</v>
      </c>
      <c r="C170" t="b">
        <v>1</v>
      </c>
      <c r="D170" t="b">
        <f>NOT(ISERROR(VLOOKUP(A170,'Charging Station Testcases'!E:E,1,FALSE)=A170))</f>
        <v>1</v>
      </c>
    </row>
    <row r="171" spans="1:4" x14ac:dyDescent="0.25">
      <c r="A171" t="s">
        <v>792</v>
      </c>
      <c r="B171" s="3" t="b">
        <f>AND(VLOOKUP("HFS-1",'Hardware Feature set'!B:D,3,FALSE)="Yes",VLOOKUP("C-10.1",'Optional features'!B:D,3,FALSE)="Yes",OR(VLOOKUP("C-52",'Optional features'!B:D,3,FALSE)="Yes",NOT(OR(VLOOKUP("C-10.2",'Optional features'!B:D,3,FALSE)="Yes",VLOOKUP("C-10.3",'Optional features'!B:D,3,FALSE)="Yes",VLOOKUP("C-10.4",'Optional features'!B:D,3,FALSE)="Yes"))),VLOOKUP("HFS-13",'Hardware Feature set'!B:D,3,FALSE)="No")</f>
        <v>0</v>
      </c>
      <c r="C171" t="b">
        <v>1</v>
      </c>
      <c r="D171" t="b">
        <f>NOT(ISERROR(VLOOKUP(A171,'Charging Station Testcases'!E:E,1,FALSE)=A171))</f>
        <v>1</v>
      </c>
    </row>
    <row r="172" spans="1:4" x14ac:dyDescent="0.25">
      <c r="A172" t="s">
        <v>793</v>
      </c>
      <c r="B172" s="3" t="b">
        <f>AND(VLOOKUP("C-10.1",'Optional features'!B:D,3,FALSE)="Yes",NOT(AND(NOT(VLOOKUP("C-52",'Optional features'!B:D,3,FALSE)="Yes"),OR(VLOOKUP("C-10.2",'Optional features'!B:D,3,FALSE)="Yes",VLOOKUP("C-10.3",'Optional features'!B:D,3,FALSE)="Yes",VLOOKUP("C-10.4",'Optional features'!B:D,3,FALSE)="Yes"))),OR(VLOOKUP("HFS-4",'Hardware Feature set'!B:D,3,FALSE)="Yes",VLOOKUP("ISO 15118 Support",'Profile selection'!B:C,2,FALSE)="Yes",VLOOKUP("Product Subtype",'Hardware Feature set'!C:D,2,FALSE)="Wireless Charging Station"),NOT(VLOOKUP("Product Subtype",'Hardware Feature set'!C:D,2,FALSE)="Mode 1/2-only Charging Station"),VLOOKUP("HFS-13",'Hardware Feature set'!B:D,3,FALSE)="No")</f>
        <v>0</v>
      </c>
      <c r="C172" t="b">
        <v>1</v>
      </c>
      <c r="D172" t="b">
        <f>NOT(ISERROR(VLOOKUP(A172,'Charging Station Testcases'!E:E,1,FALSE)=A172))</f>
        <v>1</v>
      </c>
    </row>
    <row r="173" spans="1:4" x14ac:dyDescent="0.25">
      <c r="A173" t="s">
        <v>794</v>
      </c>
      <c r="B173" s="3" t="b">
        <f>AND(VLOOKUP("UI-0",'Optional features'!B:D,3,FALSE)="Yes",VLOOKUP("HFS-13",'Hardware Feature set'!B:D,3,FALSE)="No")</f>
        <v>0</v>
      </c>
      <c r="C173" t="b">
        <v>1</v>
      </c>
      <c r="D173" t="b">
        <f>NOT(ISERROR(VLOOKUP(A173,'Charging Station Testcases'!E:E,1,FALSE)=A173))</f>
        <v>1</v>
      </c>
    </row>
    <row r="174" spans="1:4" x14ac:dyDescent="0.25">
      <c r="A174" t="s">
        <v>359</v>
      </c>
      <c r="B174" s="3" t="b">
        <f>VLOOKUP("HFS-13",'Hardware Feature set'!B:D,3,FALSE)="Yes"</f>
        <v>0</v>
      </c>
      <c r="C174" t="b">
        <v>1</v>
      </c>
      <c r="D174" t="b">
        <f>NOT(ISERROR(VLOOKUP(A174,'Charging Station Testcases'!E:E,1,FALSE)=A174))</f>
        <v>1</v>
      </c>
    </row>
    <row r="175" spans="1:4" x14ac:dyDescent="0.25">
      <c r="A175" t="s">
        <v>2059</v>
      </c>
      <c r="B175" s="3" t="b">
        <f>AND(VLOOKUP("P-0",'Optional features'!B:D,3,FALSE)="Yes", VLOOKUP("P-1",'Optional features'!B:D,3,FALSE)="Yes")</f>
        <v>0</v>
      </c>
      <c r="C175" t="b">
        <v>1</v>
      </c>
      <c r="D175" t="b">
        <f>NOT(ISERROR(VLOOKUP(A175,'Charging Station Testcases'!E:E,1,FALSE)=A175))</f>
        <v>1</v>
      </c>
    </row>
    <row r="176" spans="1:4" x14ac:dyDescent="0.25">
      <c r="A176" t="s">
        <v>2060</v>
      </c>
      <c r="B176" s="3" t="b">
        <f>AND(VLOOKUP("P-0",'Optional features'!B:D,3,FALSE)="Yes", VLOOKUP("P-2.1",'Optional features'!B:D,3,FALSE)="Yes")</f>
        <v>0</v>
      </c>
      <c r="C176" t="b">
        <v>1</v>
      </c>
      <c r="D176" t="b">
        <f>NOT(ISERROR(VLOOKUP(A176,'Charging Station Testcases'!E:E,1,FALSE)=A176))</f>
        <v>1</v>
      </c>
    </row>
    <row r="177" spans="1:4" x14ac:dyDescent="0.25">
      <c r="A177" t="s">
        <v>1449</v>
      </c>
      <c r="B177" s="3" t="b">
        <f>AND(VLOOKUP("P-0",'Optional features'!B:D,3,FALSE)="Yes", VLOOKUP("P-2.2",'Optional features'!B:D,3,FALSE)="Yes")</f>
        <v>0</v>
      </c>
      <c r="C177" t="b">
        <v>1</v>
      </c>
      <c r="D177" t="b">
        <f>NOT(ISERROR(VLOOKUP(A177,'Charging Station Testcases'!E:E,1,FALSE)=A177))</f>
        <v>1</v>
      </c>
    </row>
    <row r="178" spans="1:4" x14ac:dyDescent="0.25">
      <c r="A178" t="s">
        <v>1467</v>
      </c>
      <c r="B178" s="3" t="b">
        <f>AND(VLOOKUP("P-0",'Optional features'!B:D,3,FALSE)="Yes", VLOOKUP("P-2.3",'Optional features'!B:D,3,FALSE)="Yes")</f>
        <v>0</v>
      </c>
      <c r="C178" t="b">
        <v>1</v>
      </c>
      <c r="D178" t="b">
        <f>NOT(ISERROR(VLOOKUP(A178,'Charging Station Testcases'!E:E,1,FALSE)=A178))</f>
        <v>1</v>
      </c>
    </row>
    <row r="179" spans="1:4" x14ac:dyDescent="0.25">
      <c r="A179" t="s">
        <v>1471</v>
      </c>
      <c r="B179" s="3" t="b">
        <f>AND(VLOOKUP("P-0",'Optional features'!B:D,3,FALSE)="Yes", VLOOKUP("P-2.4",'Optional features'!B:D,3,FALSE)="Yes")</f>
        <v>0</v>
      </c>
      <c r="C179" t="b">
        <v>1</v>
      </c>
      <c r="D179" t="b">
        <f>NOT(ISERROR(VLOOKUP(A179,'Charging Station Testcases'!E:E,1,FALSE)=A179))</f>
        <v>1</v>
      </c>
    </row>
    <row r="180" spans="1:4" x14ac:dyDescent="0.25">
      <c r="A180" t="s">
        <v>1310</v>
      </c>
      <c r="B180" s="3" t="b">
        <f>ISNUMBER(SEARCH(",HTTP,",","&amp;SUBSTITUTE(VLOOKUP("ORS-24",'Other relevant settings'!B:D,3,FALSE)," ","")&amp;","))</f>
        <v>0</v>
      </c>
      <c r="C180" t="b">
        <v>1</v>
      </c>
      <c r="D180" t="b">
        <f>NOT(ISERROR(VLOOKUP(A180,'Charging Station Testcases'!E:E,1,FALSE)=A180))</f>
        <v>1</v>
      </c>
    </row>
    <row r="181" spans="1:4" x14ac:dyDescent="0.25">
      <c r="A181" t="s">
        <v>1313</v>
      </c>
      <c r="B181" s="3" t="b">
        <f>ISNUMBER(SEARCH(",HTTPS,",","&amp;SUBSTITUTE(VLOOKUP("ORS-24",'Other relevant settings'!B:D,3,FALSE)," ","")&amp;","))</f>
        <v>0</v>
      </c>
      <c r="C181" t="b">
        <v>1</v>
      </c>
      <c r="D181" t="b">
        <f>NOT(ISERROR(VLOOKUP(A181,'Charging Station Testcases'!E:E,1,FALSE)=A181))</f>
        <v>1</v>
      </c>
    </row>
    <row r="182" spans="1:4" x14ac:dyDescent="0.25">
      <c r="A182" s="85" t="s">
        <v>1307</v>
      </c>
      <c r="B182" s="3" t="b">
        <f>OR(ISNUMBER(SEARCH(",HTTP,",","&amp;SUBSTITUTE(VLOOKUP("ORS-24",'Other relevant settings'!B:D,3,FALSE)," ","")&amp;",")),ISNUMBER(SEARCH(",HTTPS,",","&amp;SUBSTITUTE(VLOOKUP("ORS-24",'Other relevant settings'!B:D,3,FALSE)," ","")&amp;",")))</f>
        <v>0</v>
      </c>
      <c r="C182" t="b">
        <v>1</v>
      </c>
      <c r="D182" t="b">
        <f>NOT(ISERROR(VLOOKUP(A182,'Charging Station Testcases'!E:E,1,FALSE)=A182))</f>
        <v>1</v>
      </c>
    </row>
    <row r="183" spans="1:4" x14ac:dyDescent="0.25">
      <c r="A183" t="s">
        <v>1083</v>
      </c>
      <c r="B183" s="3" t="b">
        <f>AND(NOT(VLOOKUP("C-62",'Optional features'!B:D,3,FALSE)="Yes"), NOT(VLOOKUP("C-64",'Optional features'!B:D,3,FALSE)="Yes"))</f>
        <v>1</v>
      </c>
      <c r="C183" t="b">
        <v>1</v>
      </c>
      <c r="D183" t="b">
        <f>NOT(ISERROR(VLOOKUP(A183,'Charging Station Testcases'!E:E,1,FALSE)=A183))</f>
        <v>1</v>
      </c>
    </row>
    <row r="184" spans="1:4" x14ac:dyDescent="0.25">
      <c r="A184" t="s">
        <v>2058</v>
      </c>
      <c r="B184" s="3" t="b">
        <f>AND(VLOOKUP("P-0",'Optional features'!B:D,3,FALSE)="Yes", NOT(VLOOKUP("P-1",'Optional features'!B:D,3,FALSE)="Yes"))</f>
        <v>0</v>
      </c>
      <c r="C184" t="b">
        <v>1</v>
      </c>
      <c r="D184" t="b">
        <f>NOT(ISERROR(VLOOKUP(A184,'Charging Station Testcases'!E:E,1,FALSE)=A184))</f>
        <v>1</v>
      </c>
    </row>
    <row r="185" spans="1:4" x14ac:dyDescent="0.25">
      <c r="A185" t="s">
        <v>2061</v>
      </c>
      <c r="B185" s="3" t="b">
        <f>AND(VLOOKUP("UI-0",'Optional features'!B:D,3,FALSE)="Yes", VLOOKUP("AQ-19",'Additional questions'!B:D,3,FALSE)="Yes")</f>
        <v>0</v>
      </c>
      <c r="C185" t="b">
        <v>1</v>
      </c>
      <c r="D185" t="b">
        <f>NOT(ISERROR(VLOOKUP(A185,'Charging Station Testcases'!E:E,1,FALSE)=A185))</f>
        <v>1</v>
      </c>
    </row>
    <row r="186" spans="1:4" x14ac:dyDescent="0.25">
      <c r="A186" t="s">
        <v>2062</v>
      </c>
      <c r="B186" s="3" t="b">
        <f>AND(VLOOKUP("UI-0",'Optional features'!B:D,3,FALSE)="Yes", VLOOKUP("UI-3",'Optional features'!B:D,3,FALSE)="Yes")</f>
        <v>0</v>
      </c>
      <c r="C186" t="b">
        <v>1</v>
      </c>
      <c r="D186" t="b">
        <f>NOT(ISERROR(VLOOKUP(A186,'Charging Station Testcases'!E:E,1,FALSE)=A186))</f>
        <v>1</v>
      </c>
    </row>
    <row r="187" spans="1:4" x14ac:dyDescent="0.25">
      <c r="A187" t="s">
        <v>1722</v>
      </c>
      <c r="B187" s="3" t="b">
        <f>NOT(VLOOKUP("SC-3",'Optional features'!B:D,3,FALSE)="Yes")</f>
        <v>1</v>
      </c>
      <c r="C187" t="b">
        <v>1</v>
      </c>
      <c r="D187" t="b">
        <f>NOT(ISERROR(VLOOKUP(A187,'Charging Station Testcases'!E:E,1,FALSE)=A187))</f>
        <v>1</v>
      </c>
    </row>
    <row r="188" spans="1:4" x14ac:dyDescent="0.25">
      <c r="A188" t="s">
        <v>1716</v>
      </c>
      <c r="B188" s="3" t="b">
        <f>ISERROR(VLOOKUP("Yes",'Optional features'!$D$116:$D$117,1,FALSE))</f>
        <v>1</v>
      </c>
      <c r="C188" t="b">
        <v>1</v>
      </c>
      <c r="D188" t="b">
        <f>NOT(ISERROR(VLOOKUP(A188,'Charging Station Testcases'!E:E,1,FALSE)=A188))</f>
        <v>1</v>
      </c>
    </row>
    <row r="189" spans="1:4" x14ac:dyDescent="0.25">
      <c r="A189" t="s">
        <v>1710</v>
      </c>
      <c r="B189" s="3" t="b">
        <f>NOT(VLOOKUP("SC-6",'Optional features'!B:D,3,FALSE)="Yes")</f>
        <v>1</v>
      </c>
      <c r="C189" t="b">
        <v>1</v>
      </c>
      <c r="D189" t="b">
        <f>NOT(ISERROR(VLOOKUP(A189,'Charging Station Testcases'!E:E,1,FALSE)=A189))</f>
        <v>1</v>
      </c>
    </row>
    <row r="190" spans="1:4" x14ac:dyDescent="0.25">
      <c r="A190" t="s">
        <v>1719</v>
      </c>
      <c r="B190" s="3" t="b">
        <f>NOT(VLOOKUP("SC-7",'Optional features'!B:D,3,FALSE)="Yes")</f>
        <v>1</v>
      </c>
      <c r="C190" t="b">
        <v>1</v>
      </c>
      <c r="D190" t="b">
        <f>NOT(ISERROR(VLOOKUP(A190,'Charging Station Testcases'!E:E,1,FALSE)=A190))</f>
        <v>1</v>
      </c>
    </row>
    <row r="191" spans="1:4" x14ac:dyDescent="0.25">
      <c r="A191" t="s">
        <v>1786</v>
      </c>
      <c r="B191" s="3" t="e">
        <f>NOT(VLOOKUP("SC-9.1",'Optional features'!B:D,3,FALSE)="Yes")</f>
        <v>#N/A</v>
      </c>
      <c r="C191" t="b">
        <v>1</v>
      </c>
      <c r="D191" t="b">
        <f>NOT(ISERROR(VLOOKUP(A191,'Charging Station Testcases'!E:E,1,FALSE)=A191))</f>
        <v>0</v>
      </c>
    </row>
    <row r="192" spans="1:4" x14ac:dyDescent="0.25">
      <c r="A192" t="s">
        <v>1884</v>
      </c>
      <c r="B192" s="3" t="b">
        <f>NOT(VLOOKUP("BPT-2",'Optional features'!B:D,3,FALSE)="Yes")</f>
        <v>1</v>
      </c>
      <c r="C192" t="b">
        <v>1</v>
      </c>
      <c r="D192" t="b">
        <f>NOT(ISERROR(VLOOKUP(A192,'Charging Station Testcases'!E:E,1,FALSE)=A192))</f>
        <v>1</v>
      </c>
    </row>
    <row r="193" spans="1:4" x14ac:dyDescent="0.25">
      <c r="A193" t="s">
        <v>1713</v>
      </c>
      <c r="B193" s="3" t="b">
        <f>NOT(VLOOKUP("Bidirectional Power Transfer",'Profile selection'!B:C,2,FALSE)="Yes")</f>
        <v>1</v>
      </c>
      <c r="C193" t="b">
        <v>1</v>
      </c>
      <c r="D193" t="b">
        <f>NOT(ISERROR(VLOOKUP(A193,'Charging Station Testcases'!E:E,1,FALSE)=A193))</f>
        <v>1</v>
      </c>
    </row>
    <row r="194" spans="1:4" x14ac:dyDescent="0.25">
      <c r="A194" t="s">
        <v>1781</v>
      </c>
      <c r="B194" s="3" t="e">
        <f>AND(VLOOKUP("SC-9",'Optional features'!B:D,3,FALSE)="Yes", NOT(VLOOKUP("SC-9.1",'Optional features'!B:D,3,FALSE)="Yes"))</f>
        <v>#N/A</v>
      </c>
      <c r="C194" t="b">
        <v>1</v>
      </c>
      <c r="D194" t="b">
        <f>NOT(ISERROR(VLOOKUP(A194,'Charging Station Testcases'!E:E,1,FALSE)=A194))</f>
        <v>0</v>
      </c>
    </row>
    <row r="195" spans="1:4" x14ac:dyDescent="0.25">
      <c r="A195" t="s">
        <v>1801</v>
      </c>
      <c r="B195" s="3" t="b">
        <f>AND(VLOOKUP("SC-10",'Optional features'!B:D,3,FALSE)="Yes", VLOOKUP("Bidirectional Power Transfer",'Profile selection'!B:C,2,FALSE)="Yes")</f>
        <v>0</v>
      </c>
      <c r="C195" t="b">
        <v>1</v>
      </c>
      <c r="D195" t="b">
        <f>NOT(ISERROR(VLOOKUP(A195,'Charging Station Testcases'!E:E,1,FALSE)=A195))</f>
        <v>0</v>
      </c>
    </row>
    <row r="196" spans="1:4" x14ac:dyDescent="0.25">
      <c r="A196" t="s">
        <v>2063</v>
      </c>
      <c r="B196" s="3" t="b">
        <f>AND(VLOOKUP("ISO-1.2",'Optional features'!B:D,3,FALSE)="Yes", NOT(VLOOKUP("ISO-6",'Optional features'!B:D,3,FALSE)="Yes"))</f>
        <v>0</v>
      </c>
      <c r="C196" t="b">
        <v>1</v>
      </c>
      <c r="D196" t="b">
        <f>NOT(ISERROR(VLOOKUP(A196,'Charging Station Testcases'!E:E,1,FALSE)=A196))</f>
        <v>1</v>
      </c>
    </row>
    <row r="197" spans="1:4" x14ac:dyDescent="0.25">
      <c r="A197" t="s">
        <v>1899</v>
      </c>
      <c r="B197" s="3" t="b">
        <f>AND(VLOOKUP("ISO-1.2",'Optional features'!B:D,3,FALSE)="Yes", VLOOKUP("ISO-6",'Optional features'!B:D,3,FALSE)="Yes")</f>
        <v>0</v>
      </c>
      <c r="C197" t="b">
        <v>1</v>
      </c>
      <c r="D197" t="b">
        <f>NOT(ISERROR(VLOOKUP(A197,'Charging Station Testcases'!E:E,1,FALSE)=A197))</f>
        <v>1</v>
      </c>
    </row>
    <row r="198" spans="1:4" x14ac:dyDescent="0.25">
      <c r="A198" t="s">
        <v>1926</v>
      </c>
      <c r="B198" s="3" t="b">
        <f>AND(VLOOKUP("ISO-1.2",'Optional features'!B:D,3,FALSE)="Yes", VLOOKUP("HFS-4",'Hardware Feature set'!B:D,3,FALSE)="Yes")</f>
        <v>0</v>
      </c>
      <c r="C198" t="b">
        <v>1</v>
      </c>
      <c r="D198" t="b">
        <f>NOT(ISERROR(VLOOKUP(A198,'Charging Station Testcases'!E:E,1,FALSE)=A198))</f>
        <v>1</v>
      </c>
    </row>
    <row r="199" spans="1:4" x14ac:dyDescent="0.25">
      <c r="A199" t="s">
        <v>2135</v>
      </c>
      <c r="B199" s="3" t="b">
        <f>AND(VLOOKUP("C-10.2",'Optional features'!B:D,3,FALSE)="Yes",VLOOKUP("HFS-13",'Hardware Feature set'!B:D,3,FALSE)="No")</f>
        <v>1</v>
      </c>
      <c r="C199" t="b">
        <v>1</v>
      </c>
      <c r="D199" t="b">
        <f>NOT(ISERROR(VLOOKUP(A199,'Charging Station Testcases'!E:E,1,FALSE)=A199))</f>
        <v>1</v>
      </c>
    </row>
    <row r="200" spans="1:4" x14ac:dyDescent="0.25">
      <c r="A200" t="s">
        <v>2179</v>
      </c>
      <c r="B200" s="3" t="b">
        <f>NOT(AND(NOT(OR(AND(VLOOKUP("C-30",'Optional features'!B:D,3,FALSE)="Yes", VLOOKUP("C-70",'Optional features'!B:D,3,FALSE)="Yes"), AND(VLOOKUP("C-31",'Optional features'!B:D,3,FALSE)="Yes", VLOOKUP("C-71",'Optional features'!B:D,3,FALSE)="Yes"), AND(VLOOKUP("C-32",'Optional features'!B:D,3,FALSE)="Yes", VLOOKUP("C-72",'Optional features'!B:D,3,FALSE)="Yes"), AND(VLOOKUP("C-35",'Optional features'!B:D,3,FALSE)="Yes", VLOOKUP("C-75",'Optional features'!B:D,3,FALSE)="Yes"))), AND(NOT(VLOOKUP("C-10.1",'Optional features'!B:D,3,FALSE)="Yes"), NOT(VLOOKUP("C-10.3",'Optional features'!B:D,3,FALSE)="Yes"), NOT(VLOOKUP("C-10.4",'Optional features'!B:D,3,FALSE)="Yes"), NOT(VLOOKUP("C-10.5",'Optional features'!B:D,3,FALSE)="Yes")), NOT(VLOOKUP("C-06.2",'Optional features'!B:D,3,FALSE)="Yes")))</f>
        <v>1</v>
      </c>
      <c r="C200" t="b">
        <v>1</v>
      </c>
      <c r="D200" t="b">
        <f>NOT(ISERROR(VLOOKUP(A200,'Charging Station Testcases'!E:E,1,FALSE)=A200))</f>
        <v>1</v>
      </c>
    </row>
    <row r="201" spans="1:4" x14ac:dyDescent="0.25">
      <c r="A201" t="s">
        <v>2175</v>
      </c>
      <c r="B201" s="3" t="b">
        <f>NOT(VLOOKUP("BPT-3.1",'Optional features'!B:D,3,FALSE)="Yes")</f>
        <v>1</v>
      </c>
      <c r="C201" t="b">
        <v>1</v>
      </c>
      <c r="D201" t="b">
        <f>NOT(ISERROR(VLOOKUP(A201,'Charging Station Testcases'!E:E,1,FALSE)=A201))</f>
        <v>1</v>
      </c>
    </row>
    <row r="202" spans="1:4" x14ac:dyDescent="0.25">
      <c r="A202" t="s">
        <v>2176</v>
      </c>
      <c r="B202" s="3" t="b">
        <f>VLOOKUP("BPT-3.1",'Optional features'!B:D,3,FALSE)="Yes"</f>
        <v>0</v>
      </c>
      <c r="C202" t="b">
        <v>1</v>
      </c>
      <c r="D202" t="b">
        <f>NOT(ISERROR(VLOOKUP(A202,'Charging Station Testcases'!E:E,1,FALSE)=A202))</f>
        <v>1</v>
      </c>
    </row>
    <row r="203" spans="1:4" x14ac:dyDescent="0.25">
      <c r="A203" t="s">
        <v>2177</v>
      </c>
      <c r="B203" s="3" t="b">
        <f>AND(VLOOKUP("BPT-3",'Optional features'!B:D,3,FALSE)="Yes", NOT(VLOOKUP("BPT-3.1",'Optional features'!B:D,3,FALSE)="Yes"))</f>
        <v>0</v>
      </c>
      <c r="C203" t="b">
        <v>1</v>
      </c>
      <c r="D203" t="b">
        <f>NOT(ISERROR(VLOOKUP(A203,'Charging Station Testcases'!E:E,1,FALSE)=A203))</f>
        <v>1</v>
      </c>
    </row>
    <row r="204" spans="1:4" x14ac:dyDescent="0.25">
      <c r="A204" t="s">
        <v>2178</v>
      </c>
      <c r="B204" s="3" t="b">
        <f>VLOOKUP("BPT-3",'Optional features'!B:D,3,FALSE)="Yes"</f>
        <v>0</v>
      </c>
      <c r="C204" t="b">
        <v>1</v>
      </c>
      <c r="D204" t="b">
        <f>NOT(ISERROR(VLOOKUP(A204,'Charging Station Testcases'!E:E,1,FALSE)=A204))</f>
        <v>1</v>
      </c>
    </row>
  </sheetData>
  <phoneticPr fontId="46" type="noConversion"/>
  <pageMargins left="0.7" right="0.7" top="0.75" bottom="0.75" header="0.3" footer="0.3"/>
  <pageSetup orientation="portrait"/>
  <headerFooter>
    <oddHeader>&amp;L&amp;"Aptos"&amp;10&amp;K000000 TLP: GREEN&amp;1#_x000D_&amp;"Calibri"&amp;12&amp;K000000&amp;"Calibri"&amp;12&amp;K000000&amp;"Calibri"&amp;12&amp;K000000&amp;"Aptos"&amp;1 &amp;K000000 TLP: GREEN#_x000D_</oddHeader>
    <oddFooter>&amp;C&amp;"Arial"&amp;9 &amp;K000000_x000D_# 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64"/>
  <sheetViews>
    <sheetView workbookViewId="0">
      <pane xSplit="1" ySplit="1" topLeftCell="B108" activePane="bottomRight" state="frozen"/>
      <selection activeCell="A2" sqref="A2"/>
      <selection pane="topRight" activeCell="A2" sqref="A2"/>
      <selection pane="bottomLeft" activeCell="A2" sqref="A2"/>
      <selection pane="bottomRight" activeCell="A2" sqref="A2"/>
    </sheetView>
  </sheetViews>
  <sheetFormatPr defaultColWidth="11.125" defaultRowHeight="15.75" x14ac:dyDescent="0.25"/>
  <cols>
    <col min="1" max="1" width="7.5" bestFit="1" customWidth="1"/>
    <col min="2" max="2" width="72.625" bestFit="1" customWidth="1"/>
    <col min="3" max="4" width="80.625" bestFit="1" customWidth="1"/>
    <col min="5" max="5" width="8.125" bestFit="1" customWidth="1"/>
  </cols>
  <sheetData>
    <row r="1" spans="1:4" x14ac:dyDescent="0.25">
      <c r="A1" t="s">
        <v>0</v>
      </c>
      <c r="B1" t="s">
        <v>1</v>
      </c>
      <c r="C1" t="s">
        <v>2</v>
      </c>
      <c r="D1" t="s">
        <v>3</v>
      </c>
    </row>
    <row r="2" spans="1:4" x14ac:dyDescent="0.25">
      <c r="A2" t="s">
        <v>4</v>
      </c>
      <c r="B2" t="s">
        <v>5</v>
      </c>
      <c r="C2" t="s">
        <v>6</v>
      </c>
      <c r="D2" t="s">
        <v>7</v>
      </c>
    </row>
    <row r="3" spans="1:4" x14ac:dyDescent="0.25">
      <c r="A3" t="s">
        <v>8</v>
      </c>
      <c r="B3" t="s">
        <v>5</v>
      </c>
      <c r="C3" t="s">
        <v>9</v>
      </c>
      <c r="D3" t="s">
        <v>10</v>
      </c>
    </row>
    <row r="4" spans="1:4" x14ac:dyDescent="0.25">
      <c r="A4" t="s">
        <v>11</v>
      </c>
      <c r="B4" t="s">
        <v>5</v>
      </c>
      <c r="C4" t="s">
        <v>12</v>
      </c>
      <c r="D4" t="s">
        <v>10</v>
      </c>
    </row>
    <row r="5" spans="1:4" x14ac:dyDescent="0.25">
      <c r="A5" t="s">
        <v>13</v>
      </c>
      <c r="B5" t="s">
        <v>5</v>
      </c>
      <c r="C5" t="s">
        <v>14</v>
      </c>
      <c r="D5" t="s">
        <v>10</v>
      </c>
    </row>
    <row r="6" spans="1:4" x14ac:dyDescent="0.25">
      <c r="A6" t="s">
        <v>15</v>
      </c>
      <c r="B6" t="s">
        <v>5</v>
      </c>
      <c r="C6" t="s">
        <v>16</v>
      </c>
      <c r="D6" t="s">
        <v>17</v>
      </c>
    </row>
    <row r="7" spans="1:4" x14ac:dyDescent="0.25">
      <c r="A7" t="s">
        <v>18</v>
      </c>
      <c r="B7" t="s">
        <v>5</v>
      </c>
      <c r="C7" t="s">
        <v>19</v>
      </c>
      <c r="D7" t="s">
        <v>10</v>
      </c>
    </row>
    <row r="8" spans="1:4" x14ac:dyDescent="0.25">
      <c r="A8" t="s">
        <v>20</v>
      </c>
      <c r="B8" t="s">
        <v>5</v>
      </c>
      <c r="C8" t="s">
        <v>21</v>
      </c>
      <c r="D8" t="s">
        <v>10</v>
      </c>
    </row>
    <row r="9" spans="1:4" x14ac:dyDescent="0.25">
      <c r="A9" t="s">
        <v>22</v>
      </c>
      <c r="B9" t="s">
        <v>5</v>
      </c>
      <c r="C9" t="s">
        <v>23</v>
      </c>
      <c r="D9" t="s">
        <v>10</v>
      </c>
    </row>
    <row r="10" spans="1:4" x14ac:dyDescent="0.25">
      <c r="A10" t="s">
        <v>24</v>
      </c>
      <c r="B10" t="s">
        <v>5</v>
      </c>
      <c r="C10" t="s">
        <v>25</v>
      </c>
      <c r="D10" t="s">
        <v>10</v>
      </c>
    </row>
    <row r="11" spans="1:4" x14ac:dyDescent="0.25">
      <c r="A11" t="s">
        <v>26</v>
      </c>
      <c r="B11" t="s">
        <v>5</v>
      </c>
      <c r="C11" t="s">
        <v>27</v>
      </c>
      <c r="D11" t="s">
        <v>17</v>
      </c>
    </row>
    <row r="12" spans="1:4" x14ac:dyDescent="0.25">
      <c r="A12" t="s">
        <v>28</v>
      </c>
      <c r="B12" t="s">
        <v>5</v>
      </c>
      <c r="C12" t="s">
        <v>29</v>
      </c>
      <c r="D12" t="s">
        <v>10</v>
      </c>
    </row>
    <row r="13" spans="1:4" x14ac:dyDescent="0.25">
      <c r="A13" t="s">
        <v>30</v>
      </c>
      <c r="B13" t="s">
        <v>5</v>
      </c>
      <c r="C13" t="s">
        <v>31</v>
      </c>
      <c r="D13" t="s">
        <v>10</v>
      </c>
    </row>
    <row r="14" spans="1:4" x14ac:dyDescent="0.25">
      <c r="A14" t="s">
        <v>32</v>
      </c>
      <c r="B14" t="s">
        <v>5</v>
      </c>
      <c r="C14" t="s">
        <v>33</v>
      </c>
      <c r="D14" t="s">
        <v>10</v>
      </c>
    </row>
    <row r="15" spans="1:4" x14ac:dyDescent="0.25">
      <c r="A15" t="s">
        <v>34</v>
      </c>
      <c r="B15" t="s">
        <v>5</v>
      </c>
      <c r="C15" t="s">
        <v>35</v>
      </c>
      <c r="D15" t="s">
        <v>10</v>
      </c>
    </row>
    <row r="16" spans="1:4" x14ac:dyDescent="0.25">
      <c r="A16" t="s">
        <v>36</v>
      </c>
      <c r="B16" t="s">
        <v>5</v>
      </c>
      <c r="C16" t="s">
        <v>37</v>
      </c>
      <c r="D16" t="s">
        <v>10</v>
      </c>
    </row>
    <row r="17" spans="1:4" x14ac:dyDescent="0.25">
      <c r="A17" t="s">
        <v>38</v>
      </c>
      <c r="B17" t="s">
        <v>5</v>
      </c>
      <c r="C17" t="s">
        <v>39</v>
      </c>
      <c r="D17" t="s">
        <v>10</v>
      </c>
    </row>
    <row r="18" spans="1:4" x14ac:dyDescent="0.25">
      <c r="A18" t="s">
        <v>40</v>
      </c>
      <c r="B18" t="s">
        <v>5</v>
      </c>
      <c r="C18" t="s">
        <v>41</v>
      </c>
      <c r="D18" t="s">
        <v>17</v>
      </c>
    </row>
    <row r="19" spans="1:4" x14ac:dyDescent="0.25">
      <c r="A19" t="s">
        <v>42</v>
      </c>
      <c r="B19" t="s">
        <v>5</v>
      </c>
      <c r="C19" t="s">
        <v>43</v>
      </c>
      <c r="D19" t="s">
        <v>10</v>
      </c>
    </row>
    <row r="20" spans="1:4" x14ac:dyDescent="0.25">
      <c r="A20" t="s">
        <v>44</v>
      </c>
      <c r="B20" t="s">
        <v>5</v>
      </c>
      <c r="C20" t="s">
        <v>45</v>
      </c>
      <c r="D20" t="s">
        <v>10</v>
      </c>
    </row>
    <row r="21" spans="1:4" x14ac:dyDescent="0.25">
      <c r="A21" t="s">
        <v>46</v>
      </c>
      <c r="B21" t="s">
        <v>5</v>
      </c>
      <c r="C21" t="s">
        <v>47</v>
      </c>
      <c r="D21" t="s">
        <v>10</v>
      </c>
    </row>
    <row r="22" spans="1:4" x14ac:dyDescent="0.25">
      <c r="A22" t="s">
        <v>48</v>
      </c>
      <c r="B22" t="s">
        <v>5</v>
      </c>
      <c r="C22" t="s">
        <v>49</v>
      </c>
      <c r="D22" t="s">
        <v>10</v>
      </c>
    </row>
    <row r="23" spans="1:4" x14ac:dyDescent="0.25">
      <c r="A23" t="s">
        <v>50</v>
      </c>
      <c r="B23" t="s">
        <v>5</v>
      </c>
      <c r="C23" t="s">
        <v>51</v>
      </c>
      <c r="D23" t="s">
        <v>10</v>
      </c>
    </row>
    <row r="24" spans="1:4" x14ac:dyDescent="0.25">
      <c r="A24" t="s">
        <v>52</v>
      </c>
      <c r="B24" t="s">
        <v>5</v>
      </c>
      <c r="C24" t="s">
        <v>53</v>
      </c>
      <c r="D24" t="s">
        <v>17</v>
      </c>
    </row>
    <row r="25" spans="1:4" x14ac:dyDescent="0.25">
      <c r="A25" t="s">
        <v>54</v>
      </c>
      <c r="B25" t="s">
        <v>5</v>
      </c>
      <c r="C25" t="s">
        <v>55</v>
      </c>
      <c r="D25" t="s">
        <v>10</v>
      </c>
    </row>
    <row r="26" spans="1:4" x14ac:dyDescent="0.25">
      <c r="A26" t="s">
        <v>56</v>
      </c>
      <c r="B26" t="s">
        <v>5</v>
      </c>
      <c r="C26" t="s">
        <v>57</v>
      </c>
      <c r="D26" t="s">
        <v>10</v>
      </c>
    </row>
    <row r="27" spans="1:4" x14ac:dyDescent="0.25">
      <c r="A27" t="s">
        <v>58</v>
      </c>
      <c r="B27" t="s">
        <v>5</v>
      </c>
      <c r="C27" t="s">
        <v>59</v>
      </c>
      <c r="D27" t="s">
        <v>10</v>
      </c>
    </row>
    <row r="28" spans="1:4" x14ac:dyDescent="0.25">
      <c r="A28" t="s">
        <v>60</v>
      </c>
      <c r="B28" t="s">
        <v>5</v>
      </c>
      <c r="C28" t="s">
        <v>61</v>
      </c>
      <c r="D28" t="s">
        <v>10</v>
      </c>
    </row>
    <row r="29" spans="1:4" x14ac:dyDescent="0.25">
      <c r="A29" t="s">
        <v>62</v>
      </c>
      <c r="B29" t="s">
        <v>5</v>
      </c>
      <c r="C29" t="s">
        <v>63</v>
      </c>
      <c r="D29" t="s">
        <v>10</v>
      </c>
    </row>
    <row r="30" spans="1:4" x14ac:dyDescent="0.25">
      <c r="A30" t="s">
        <v>64</v>
      </c>
      <c r="B30" t="s">
        <v>5</v>
      </c>
      <c r="C30" t="s">
        <v>65</v>
      </c>
      <c r="D30" t="s">
        <v>10</v>
      </c>
    </row>
    <row r="31" spans="1:4" x14ac:dyDescent="0.25">
      <c r="A31" t="s">
        <v>74</v>
      </c>
      <c r="B31" t="s">
        <v>5</v>
      </c>
      <c r="C31" t="s">
        <v>75</v>
      </c>
      <c r="D31" t="s">
        <v>10</v>
      </c>
    </row>
    <row r="32" spans="1:4" x14ac:dyDescent="0.25">
      <c r="A32" t="s">
        <v>76</v>
      </c>
      <c r="B32" t="s">
        <v>5</v>
      </c>
      <c r="C32" t="s">
        <v>77</v>
      </c>
      <c r="D32" t="s">
        <v>78</v>
      </c>
    </row>
    <row r="33" spans="1:4" x14ac:dyDescent="0.25">
      <c r="A33" t="s">
        <v>79</v>
      </c>
      <c r="B33" t="s">
        <v>5</v>
      </c>
      <c r="C33" t="s">
        <v>80</v>
      </c>
      <c r="D33" t="s">
        <v>10</v>
      </c>
    </row>
    <row r="34" spans="1:4" x14ac:dyDescent="0.25">
      <c r="A34" t="s">
        <v>81</v>
      </c>
      <c r="B34" t="s">
        <v>5</v>
      </c>
      <c r="C34" t="s">
        <v>82</v>
      </c>
      <c r="D34" t="s">
        <v>10</v>
      </c>
    </row>
    <row r="35" spans="1:4" x14ac:dyDescent="0.25">
      <c r="A35" t="s">
        <v>83</v>
      </c>
      <c r="B35" t="s">
        <v>5</v>
      </c>
      <c r="C35" t="s">
        <v>84</v>
      </c>
      <c r="D35" t="s">
        <v>10</v>
      </c>
    </row>
    <row r="36" spans="1:4" x14ac:dyDescent="0.25">
      <c r="A36" t="s">
        <v>85</v>
      </c>
      <c r="B36" t="s">
        <v>5</v>
      </c>
      <c r="C36" t="s">
        <v>86</v>
      </c>
      <c r="D36" t="s">
        <v>10</v>
      </c>
    </row>
    <row r="37" spans="1:4" x14ac:dyDescent="0.25">
      <c r="A37" t="s">
        <v>87</v>
      </c>
      <c r="B37" t="s">
        <v>5</v>
      </c>
      <c r="C37" t="s">
        <v>88</v>
      </c>
      <c r="D37" t="s">
        <v>10</v>
      </c>
    </row>
    <row r="38" spans="1:4" x14ac:dyDescent="0.25">
      <c r="A38" t="s">
        <v>89</v>
      </c>
      <c r="B38" t="s">
        <v>5</v>
      </c>
      <c r="C38" t="s">
        <v>90</v>
      </c>
      <c r="D38" t="s">
        <v>10</v>
      </c>
    </row>
    <row r="39" spans="1:4" x14ac:dyDescent="0.25">
      <c r="A39" t="s">
        <v>91</v>
      </c>
      <c r="B39" t="s">
        <v>5</v>
      </c>
      <c r="C39" t="s">
        <v>92</v>
      </c>
      <c r="D39" t="s">
        <v>10</v>
      </c>
    </row>
    <row r="40" spans="1:4" x14ac:dyDescent="0.25">
      <c r="A40" t="s">
        <v>111</v>
      </c>
      <c r="B40" t="s">
        <v>5</v>
      </c>
      <c r="C40" t="s">
        <v>112</v>
      </c>
      <c r="D40" t="s">
        <v>113</v>
      </c>
    </row>
    <row r="41" spans="1:4" x14ac:dyDescent="0.25">
      <c r="A41" t="s">
        <v>114</v>
      </c>
      <c r="B41" t="s">
        <v>5</v>
      </c>
      <c r="C41" t="s">
        <v>115</v>
      </c>
      <c r="D41" t="s">
        <v>116</v>
      </c>
    </row>
    <row r="42" spans="1:4" x14ac:dyDescent="0.25">
      <c r="A42" t="s">
        <v>117</v>
      </c>
      <c r="B42" t="s">
        <v>5</v>
      </c>
      <c r="C42" t="s">
        <v>118</v>
      </c>
      <c r="D42" t="s">
        <v>116</v>
      </c>
    </row>
    <row r="43" spans="1:4" x14ac:dyDescent="0.25">
      <c r="A43" t="s">
        <v>119</v>
      </c>
      <c r="B43" t="s">
        <v>5</v>
      </c>
      <c r="C43" t="s">
        <v>120</v>
      </c>
      <c r="D43" t="s">
        <v>116</v>
      </c>
    </row>
    <row r="44" spans="1:4" x14ac:dyDescent="0.25">
      <c r="A44" t="s">
        <v>121</v>
      </c>
      <c r="B44" t="s">
        <v>5</v>
      </c>
      <c r="C44" t="s">
        <v>122</v>
      </c>
      <c r="D44" t="s">
        <v>116</v>
      </c>
    </row>
    <row r="45" spans="1:4" x14ac:dyDescent="0.25">
      <c r="A45" t="s">
        <v>123</v>
      </c>
      <c r="B45" t="s">
        <v>5</v>
      </c>
      <c r="C45" t="s">
        <v>124</v>
      </c>
      <c r="D45" t="s">
        <v>116</v>
      </c>
    </row>
    <row r="46" spans="1:4" x14ac:dyDescent="0.25">
      <c r="A46" t="s">
        <v>125</v>
      </c>
      <c r="B46" t="s">
        <v>5</v>
      </c>
      <c r="C46" t="s">
        <v>126</v>
      </c>
      <c r="D46" t="s">
        <v>127</v>
      </c>
    </row>
    <row r="47" spans="1:4" x14ac:dyDescent="0.25">
      <c r="A47" t="s">
        <v>128</v>
      </c>
      <c r="B47" t="s">
        <v>5</v>
      </c>
      <c r="C47" t="s">
        <v>129</v>
      </c>
      <c r="D47" t="s">
        <v>10</v>
      </c>
    </row>
    <row r="48" spans="1:4" x14ac:dyDescent="0.25">
      <c r="A48" t="s">
        <v>130</v>
      </c>
      <c r="B48" t="s">
        <v>5</v>
      </c>
      <c r="C48" t="s">
        <v>131</v>
      </c>
      <c r="D48" t="s">
        <v>10</v>
      </c>
    </row>
    <row r="49" spans="1:4" x14ac:dyDescent="0.25">
      <c r="A49" t="s">
        <v>132</v>
      </c>
      <c r="B49" t="s">
        <v>5</v>
      </c>
      <c r="C49" t="s">
        <v>133</v>
      </c>
      <c r="D49" t="s">
        <v>10</v>
      </c>
    </row>
    <row r="50" spans="1:4" x14ac:dyDescent="0.25">
      <c r="A50" t="s">
        <v>134</v>
      </c>
      <c r="B50" t="s">
        <v>5</v>
      </c>
      <c r="C50" t="s">
        <v>135</v>
      </c>
      <c r="D50" t="s">
        <v>17</v>
      </c>
    </row>
    <row r="51" spans="1:4" x14ac:dyDescent="0.25">
      <c r="A51" t="s">
        <v>136</v>
      </c>
      <c r="B51" t="s">
        <v>5</v>
      </c>
      <c r="C51" t="s">
        <v>137</v>
      </c>
      <c r="D51" t="s">
        <v>10</v>
      </c>
    </row>
    <row r="52" spans="1:4" x14ac:dyDescent="0.25">
      <c r="A52" t="s">
        <v>138</v>
      </c>
      <c r="B52" t="s">
        <v>5</v>
      </c>
      <c r="C52" t="s">
        <v>139</v>
      </c>
      <c r="D52" t="s">
        <v>10</v>
      </c>
    </row>
    <row r="53" spans="1:4" x14ac:dyDescent="0.25">
      <c r="A53" t="s">
        <v>140</v>
      </c>
      <c r="B53" t="s">
        <v>5</v>
      </c>
      <c r="C53" t="s">
        <v>141</v>
      </c>
      <c r="D53" t="s">
        <v>10</v>
      </c>
    </row>
    <row r="54" spans="1:4" x14ac:dyDescent="0.25">
      <c r="A54" t="s">
        <v>142</v>
      </c>
      <c r="B54" t="s">
        <v>5</v>
      </c>
      <c r="C54" t="s">
        <v>143</v>
      </c>
      <c r="D54" t="s">
        <v>10</v>
      </c>
    </row>
    <row r="55" spans="1:4" x14ac:dyDescent="0.25">
      <c r="A55" t="s">
        <v>144</v>
      </c>
      <c r="B55" t="s">
        <v>5</v>
      </c>
      <c r="C55" t="s">
        <v>145</v>
      </c>
      <c r="D55" t="s">
        <v>10</v>
      </c>
    </row>
    <row r="56" spans="1:4" x14ac:dyDescent="0.25">
      <c r="A56" t="s">
        <v>146</v>
      </c>
      <c r="B56" t="s">
        <v>5</v>
      </c>
      <c r="C56" t="s">
        <v>147</v>
      </c>
      <c r="D56" t="s">
        <v>10</v>
      </c>
    </row>
    <row r="57" spans="1:4" x14ac:dyDescent="0.25">
      <c r="A57" t="s">
        <v>148</v>
      </c>
      <c r="B57" t="s">
        <v>5</v>
      </c>
      <c r="C57" t="s">
        <v>149</v>
      </c>
      <c r="D57" t="s">
        <v>10</v>
      </c>
    </row>
    <row r="58" spans="1:4" x14ac:dyDescent="0.25">
      <c r="A58" t="s">
        <v>150</v>
      </c>
      <c r="B58" t="s">
        <v>5</v>
      </c>
      <c r="C58" t="s">
        <v>151</v>
      </c>
      <c r="D58" t="s">
        <v>10</v>
      </c>
    </row>
    <row r="59" spans="1:4" x14ac:dyDescent="0.25">
      <c r="A59" t="s">
        <v>152</v>
      </c>
      <c r="B59" t="s">
        <v>5</v>
      </c>
      <c r="C59" t="s">
        <v>153</v>
      </c>
      <c r="D59" t="s">
        <v>116</v>
      </c>
    </row>
    <row r="60" spans="1:4" x14ac:dyDescent="0.25">
      <c r="A60" t="s">
        <v>154</v>
      </c>
      <c r="B60" t="s">
        <v>5</v>
      </c>
      <c r="C60" t="s">
        <v>155</v>
      </c>
      <c r="D60" t="s">
        <v>10</v>
      </c>
    </row>
    <row r="61" spans="1:4" x14ac:dyDescent="0.25">
      <c r="A61" t="s">
        <v>156</v>
      </c>
      <c r="B61" t="s">
        <v>5</v>
      </c>
      <c r="C61" t="s">
        <v>157</v>
      </c>
      <c r="D61" t="s">
        <v>10</v>
      </c>
    </row>
    <row r="62" spans="1:4" x14ac:dyDescent="0.25">
      <c r="A62" t="s">
        <v>158</v>
      </c>
      <c r="B62" t="s">
        <v>5</v>
      </c>
      <c r="C62" t="s">
        <v>159</v>
      </c>
      <c r="D62" t="s">
        <v>10</v>
      </c>
    </row>
    <row r="63" spans="1:4" x14ac:dyDescent="0.25">
      <c r="A63" t="s">
        <v>160</v>
      </c>
      <c r="B63" t="s">
        <v>5</v>
      </c>
      <c r="C63" t="s">
        <v>161</v>
      </c>
      <c r="D63" t="s">
        <v>10</v>
      </c>
    </row>
    <row r="64" spans="1:4" x14ac:dyDescent="0.25">
      <c r="A64" t="s">
        <v>162</v>
      </c>
      <c r="B64" t="s">
        <v>5</v>
      </c>
      <c r="C64" t="s">
        <v>2127</v>
      </c>
      <c r="D64" t="s">
        <v>10</v>
      </c>
    </row>
    <row r="65" spans="1:4" x14ac:dyDescent="0.25">
      <c r="A65" t="s">
        <v>163</v>
      </c>
      <c r="B65" t="s">
        <v>5</v>
      </c>
      <c r="C65" t="s">
        <v>164</v>
      </c>
      <c r="D65" t="s">
        <v>10</v>
      </c>
    </row>
    <row r="66" spans="1:4" x14ac:dyDescent="0.25">
      <c r="A66" t="s">
        <v>165</v>
      </c>
      <c r="B66" t="s">
        <v>5</v>
      </c>
      <c r="C66" t="s">
        <v>2136</v>
      </c>
      <c r="D66" t="s">
        <v>10</v>
      </c>
    </row>
    <row r="67" spans="1:4" x14ac:dyDescent="0.25">
      <c r="A67" t="s">
        <v>2057</v>
      </c>
      <c r="B67" t="s">
        <v>5</v>
      </c>
      <c r="C67" t="s">
        <v>1304</v>
      </c>
      <c r="D67" t="s">
        <v>10</v>
      </c>
    </row>
    <row r="68" spans="1:4" x14ac:dyDescent="0.25">
      <c r="A68" t="s">
        <v>66</v>
      </c>
      <c r="B68" t="s">
        <v>67</v>
      </c>
      <c r="C68" t="s">
        <v>68</v>
      </c>
      <c r="D68" t="s">
        <v>69</v>
      </c>
    </row>
    <row r="69" spans="1:4" x14ac:dyDescent="0.25">
      <c r="A69" t="s">
        <v>70</v>
      </c>
      <c r="B69" t="s">
        <v>67</v>
      </c>
      <c r="C69" t="s">
        <v>71</v>
      </c>
      <c r="D69" t="s">
        <v>10</v>
      </c>
    </row>
    <row r="70" spans="1:4" x14ac:dyDescent="0.25">
      <c r="A70" t="s">
        <v>72</v>
      </c>
      <c r="B70" t="s">
        <v>67</v>
      </c>
      <c r="C70" t="s">
        <v>73</v>
      </c>
      <c r="D70" t="s">
        <v>10</v>
      </c>
    </row>
    <row r="71" spans="1:4" x14ac:dyDescent="0.25">
      <c r="A71" t="s">
        <v>93</v>
      </c>
      <c r="B71" t="s">
        <v>94</v>
      </c>
      <c r="C71" t="s">
        <v>95</v>
      </c>
      <c r="D71" t="s">
        <v>10</v>
      </c>
    </row>
    <row r="72" spans="1:4" x14ac:dyDescent="0.25">
      <c r="A72" t="s">
        <v>96</v>
      </c>
      <c r="B72" t="s">
        <v>94</v>
      </c>
      <c r="C72" t="s">
        <v>97</v>
      </c>
      <c r="D72" t="s">
        <v>10</v>
      </c>
    </row>
    <row r="73" spans="1:4" x14ac:dyDescent="0.25">
      <c r="A73" t="s">
        <v>98</v>
      </c>
      <c r="B73" t="s">
        <v>94</v>
      </c>
      <c r="C73" t="s">
        <v>99</v>
      </c>
      <c r="D73" t="s">
        <v>10</v>
      </c>
    </row>
    <row r="74" spans="1:4" x14ac:dyDescent="0.25">
      <c r="A74" t="s">
        <v>100</v>
      </c>
      <c r="B74" t="s">
        <v>94</v>
      </c>
      <c r="C74" t="s">
        <v>101</v>
      </c>
      <c r="D74" t="s">
        <v>10</v>
      </c>
    </row>
    <row r="75" spans="1:4" x14ac:dyDescent="0.25">
      <c r="A75" t="s">
        <v>102</v>
      </c>
      <c r="B75" t="s">
        <v>94</v>
      </c>
      <c r="C75" t="s">
        <v>103</v>
      </c>
      <c r="D75" t="s">
        <v>10</v>
      </c>
    </row>
    <row r="76" spans="1:4" x14ac:dyDescent="0.25">
      <c r="A76" t="s">
        <v>104</v>
      </c>
      <c r="B76" t="s">
        <v>94</v>
      </c>
      <c r="C76" t="s">
        <v>105</v>
      </c>
      <c r="D76" t="s">
        <v>10</v>
      </c>
    </row>
    <row r="77" spans="1:4" x14ac:dyDescent="0.25">
      <c r="A77" t="s">
        <v>106</v>
      </c>
      <c r="B77" t="s">
        <v>2094</v>
      </c>
      <c r="C77" t="s">
        <v>95</v>
      </c>
      <c r="D77" t="s">
        <v>10</v>
      </c>
    </row>
    <row r="78" spans="1:4" x14ac:dyDescent="0.25">
      <c r="A78" t="s">
        <v>107</v>
      </c>
      <c r="B78" t="s">
        <v>2094</v>
      </c>
      <c r="C78" t="s">
        <v>97</v>
      </c>
      <c r="D78" t="s">
        <v>10</v>
      </c>
    </row>
    <row r="79" spans="1:4" x14ac:dyDescent="0.25">
      <c r="A79" t="s">
        <v>108</v>
      </c>
      <c r="B79" t="s">
        <v>2094</v>
      </c>
      <c r="C79" t="s">
        <v>109</v>
      </c>
      <c r="D79" t="s">
        <v>10</v>
      </c>
    </row>
    <row r="80" spans="1:4" x14ac:dyDescent="0.25">
      <c r="A80" t="s">
        <v>110</v>
      </c>
      <c r="B80" t="s">
        <v>2094</v>
      </c>
      <c r="C80" t="s">
        <v>105</v>
      </c>
      <c r="D80" t="s">
        <v>10</v>
      </c>
    </row>
    <row r="81" spans="1:4" x14ac:dyDescent="0.25">
      <c r="A81" t="s">
        <v>166</v>
      </c>
      <c r="B81" t="s">
        <v>167</v>
      </c>
      <c r="C81" t="s">
        <v>95</v>
      </c>
      <c r="D81" t="s">
        <v>10</v>
      </c>
    </row>
    <row r="82" spans="1:4" x14ac:dyDescent="0.25">
      <c r="A82" t="s">
        <v>168</v>
      </c>
      <c r="B82" t="s">
        <v>167</v>
      </c>
      <c r="C82" t="s">
        <v>97</v>
      </c>
      <c r="D82" t="s">
        <v>10</v>
      </c>
    </row>
    <row r="83" spans="1:4" x14ac:dyDescent="0.25">
      <c r="A83" t="s">
        <v>169</v>
      </c>
      <c r="B83" t="s">
        <v>167</v>
      </c>
      <c r="C83" t="s">
        <v>99</v>
      </c>
      <c r="D83" t="s">
        <v>10</v>
      </c>
    </row>
    <row r="84" spans="1:4" x14ac:dyDescent="0.25">
      <c r="A84" t="s">
        <v>170</v>
      </c>
      <c r="B84" t="s">
        <v>167</v>
      </c>
      <c r="C84" t="s">
        <v>105</v>
      </c>
      <c r="D84" t="s">
        <v>10</v>
      </c>
    </row>
    <row r="85" spans="1:4" x14ac:dyDescent="0.25">
      <c r="A85" t="s">
        <v>171</v>
      </c>
      <c r="B85" t="s">
        <v>172</v>
      </c>
      <c r="C85" t="s">
        <v>173</v>
      </c>
      <c r="D85" t="s">
        <v>10</v>
      </c>
    </row>
    <row r="86" spans="1:4" x14ac:dyDescent="0.25">
      <c r="A86" t="s">
        <v>174</v>
      </c>
      <c r="B86" t="s">
        <v>172</v>
      </c>
      <c r="C86" t="s">
        <v>175</v>
      </c>
      <c r="D86" t="s">
        <v>176</v>
      </c>
    </row>
    <row r="87" spans="1:4" x14ac:dyDescent="0.25">
      <c r="A87" t="s">
        <v>177</v>
      </c>
      <c r="B87" t="s">
        <v>172</v>
      </c>
      <c r="C87" t="s">
        <v>178</v>
      </c>
      <c r="D87" t="s">
        <v>10</v>
      </c>
    </row>
    <row r="88" spans="1:4" x14ac:dyDescent="0.25">
      <c r="A88" t="s">
        <v>179</v>
      </c>
      <c r="B88" t="s">
        <v>172</v>
      </c>
      <c r="C88" t="s">
        <v>180</v>
      </c>
      <c r="D88" t="s">
        <v>10</v>
      </c>
    </row>
    <row r="89" spans="1:4" x14ac:dyDescent="0.25">
      <c r="A89" t="s">
        <v>181</v>
      </c>
      <c r="B89" t="s">
        <v>182</v>
      </c>
      <c r="C89" t="s">
        <v>183</v>
      </c>
      <c r="D89" t="s">
        <v>10</v>
      </c>
    </row>
    <row r="90" spans="1:4" x14ac:dyDescent="0.25">
      <c r="A90" t="s">
        <v>184</v>
      </c>
      <c r="B90" t="s">
        <v>182</v>
      </c>
      <c r="C90" t="s">
        <v>185</v>
      </c>
      <c r="D90" t="s">
        <v>10</v>
      </c>
    </row>
    <row r="91" spans="1:4" x14ac:dyDescent="0.25">
      <c r="A91" t="s">
        <v>186</v>
      </c>
      <c r="B91" t="s">
        <v>187</v>
      </c>
      <c r="C91" t="s">
        <v>188</v>
      </c>
      <c r="D91" t="s">
        <v>10</v>
      </c>
    </row>
    <row r="92" spans="1:4" x14ac:dyDescent="0.25">
      <c r="A92" t="s">
        <v>189</v>
      </c>
      <c r="B92" t="s">
        <v>187</v>
      </c>
      <c r="C92" t="s">
        <v>190</v>
      </c>
      <c r="D92" t="s">
        <v>10</v>
      </c>
    </row>
    <row r="93" spans="1:4" x14ac:dyDescent="0.25">
      <c r="A93" t="s">
        <v>191</v>
      </c>
      <c r="B93" t="s">
        <v>187</v>
      </c>
      <c r="C93" t="s">
        <v>192</v>
      </c>
      <c r="D93" t="s">
        <v>10</v>
      </c>
    </row>
    <row r="94" spans="1:4" x14ac:dyDescent="0.25">
      <c r="A94" t="s">
        <v>193</v>
      </c>
      <c r="B94" t="s">
        <v>194</v>
      </c>
      <c r="C94" t="s">
        <v>195</v>
      </c>
      <c r="D94" t="s">
        <v>10</v>
      </c>
    </row>
    <row r="95" spans="1:4" x14ac:dyDescent="0.25">
      <c r="A95" t="s">
        <v>196</v>
      </c>
      <c r="B95" t="s">
        <v>194</v>
      </c>
      <c r="C95" t="s">
        <v>197</v>
      </c>
      <c r="D95" t="s">
        <v>198</v>
      </c>
    </row>
    <row r="96" spans="1:4" x14ac:dyDescent="0.25">
      <c r="A96" t="s">
        <v>199</v>
      </c>
      <c r="B96" t="s">
        <v>194</v>
      </c>
      <c r="C96" t="s">
        <v>200</v>
      </c>
      <c r="D96" t="s">
        <v>10</v>
      </c>
    </row>
    <row r="97" spans="1:4" x14ac:dyDescent="0.25">
      <c r="A97" t="s">
        <v>201</v>
      </c>
      <c r="B97" t="s">
        <v>194</v>
      </c>
      <c r="C97" t="s">
        <v>202</v>
      </c>
      <c r="D97" t="s">
        <v>10</v>
      </c>
    </row>
    <row r="98" spans="1:4" x14ac:dyDescent="0.25">
      <c r="A98" t="s">
        <v>203</v>
      </c>
      <c r="B98" t="s">
        <v>194</v>
      </c>
      <c r="C98" t="s">
        <v>204</v>
      </c>
      <c r="D98" t="s">
        <v>10</v>
      </c>
    </row>
    <row r="99" spans="1:4" x14ac:dyDescent="0.25">
      <c r="A99" t="s">
        <v>205</v>
      </c>
      <c r="B99" t="s">
        <v>194</v>
      </c>
      <c r="C99" t="s">
        <v>206</v>
      </c>
      <c r="D99" t="s">
        <v>198</v>
      </c>
    </row>
    <row r="100" spans="1:4" x14ac:dyDescent="0.25">
      <c r="A100" t="s">
        <v>207</v>
      </c>
      <c r="B100" t="s">
        <v>194</v>
      </c>
      <c r="C100" t="s">
        <v>208</v>
      </c>
      <c r="D100" t="s">
        <v>10</v>
      </c>
    </row>
    <row r="101" spans="1:4" x14ac:dyDescent="0.25">
      <c r="A101" t="s">
        <v>209</v>
      </c>
      <c r="B101" t="s">
        <v>194</v>
      </c>
      <c r="C101" t="s">
        <v>210</v>
      </c>
      <c r="D101" t="s">
        <v>10</v>
      </c>
    </row>
    <row r="102" spans="1:4" x14ac:dyDescent="0.25">
      <c r="A102" t="s">
        <v>211</v>
      </c>
      <c r="B102" t="s">
        <v>194</v>
      </c>
      <c r="C102" t="s">
        <v>212</v>
      </c>
      <c r="D102" t="s">
        <v>10</v>
      </c>
    </row>
    <row r="103" spans="1:4" x14ac:dyDescent="0.25">
      <c r="A103" t="s">
        <v>213</v>
      </c>
      <c r="B103" t="s">
        <v>194</v>
      </c>
      <c r="C103" t="s">
        <v>214</v>
      </c>
      <c r="D103" t="s">
        <v>10</v>
      </c>
    </row>
    <row r="104" spans="1:4" x14ac:dyDescent="0.25">
      <c r="A104" t="s">
        <v>215</v>
      </c>
      <c r="B104" t="s">
        <v>194</v>
      </c>
      <c r="C104" t="s">
        <v>2095</v>
      </c>
      <c r="D104" t="s">
        <v>2096</v>
      </c>
    </row>
    <row r="105" spans="1:4" x14ac:dyDescent="0.25">
      <c r="A105" t="s">
        <v>262</v>
      </c>
      <c r="B105" t="s">
        <v>263</v>
      </c>
      <c r="C105" t="s">
        <v>264</v>
      </c>
      <c r="D105" t="s">
        <v>10</v>
      </c>
    </row>
    <row r="106" spans="1:4" x14ac:dyDescent="0.25">
      <c r="A106" t="s">
        <v>265</v>
      </c>
      <c r="B106" t="s">
        <v>263</v>
      </c>
      <c r="C106" t="s">
        <v>1439</v>
      </c>
      <c r="D106" t="s">
        <v>10</v>
      </c>
    </row>
    <row r="107" spans="1:4" x14ac:dyDescent="0.25">
      <c r="A107" t="s">
        <v>266</v>
      </c>
      <c r="B107" t="s">
        <v>263</v>
      </c>
      <c r="C107" t="s">
        <v>267</v>
      </c>
      <c r="D107" t="s">
        <v>268</v>
      </c>
    </row>
    <row r="108" spans="1:4" x14ac:dyDescent="0.25">
      <c r="A108" t="s">
        <v>269</v>
      </c>
      <c r="B108" t="s">
        <v>263</v>
      </c>
      <c r="C108" t="s">
        <v>270</v>
      </c>
      <c r="D108" t="s">
        <v>10</v>
      </c>
    </row>
    <row r="109" spans="1:4" x14ac:dyDescent="0.25">
      <c r="A109" t="s">
        <v>271</v>
      </c>
      <c r="B109" t="s">
        <v>263</v>
      </c>
      <c r="C109" t="s">
        <v>1450</v>
      </c>
      <c r="D109" t="s">
        <v>10</v>
      </c>
    </row>
    <row r="110" spans="1:4" x14ac:dyDescent="0.25">
      <c r="A110" t="s">
        <v>272</v>
      </c>
      <c r="B110" t="s">
        <v>263</v>
      </c>
      <c r="C110" t="s">
        <v>1468</v>
      </c>
      <c r="D110" t="s">
        <v>10</v>
      </c>
    </row>
    <row r="111" spans="1:4" x14ac:dyDescent="0.25">
      <c r="A111" t="s">
        <v>273</v>
      </c>
      <c r="B111" t="s">
        <v>263</v>
      </c>
      <c r="C111" t="s">
        <v>1472</v>
      </c>
      <c r="D111" t="s">
        <v>10</v>
      </c>
    </row>
    <row r="112" spans="1:4" x14ac:dyDescent="0.25">
      <c r="A112" t="s">
        <v>216</v>
      </c>
      <c r="B112" t="s">
        <v>217</v>
      </c>
      <c r="C112" t="s">
        <v>218</v>
      </c>
      <c r="D112" t="s">
        <v>10</v>
      </c>
    </row>
    <row r="113" spans="1:4" x14ac:dyDescent="0.25">
      <c r="A113" t="s">
        <v>219</v>
      </c>
      <c r="B113" t="s">
        <v>217</v>
      </c>
      <c r="C113" t="s">
        <v>220</v>
      </c>
      <c r="D113" t="s">
        <v>10</v>
      </c>
    </row>
    <row r="114" spans="1:4" x14ac:dyDescent="0.25">
      <c r="A114" t="s">
        <v>221</v>
      </c>
      <c r="B114" t="s">
        <v>217</v>
      </c>
      <c r="C114" t="s">
        <v>222</v>
      </c>
      <c r="D114" t="s">
        <v>17</v>
      </c>
    </row>
    <row r="115" spans="1:4" x14ac:dyDescent="0.25">
      <c r="A115" t="s">
        <v>223</v>
      </c>
      <c r="B115" t="s">
        <v>217</v>
      </c>
      <c r="C115" t="s">
        <v>224</v>
      </c>
      <c r="D115" t="s">
        <v>10</v>
      </c>
    </row>
    <row r="116" spans="1:4" x14ac:dyDescent="0.25">
      <c r="A116" t="s">
        <v>225</v>
      </c>
      <c r="B116" t="s">
        <v>217</v>
      </c>
      <c r="C116" t="s">
        <v>226</v>
      </c>
      <c r="D116" t="s">
        <v>10</v>
      </c>
    </row>
    <row r="117" spans="1:4" x14ac:dyDescent="0.25">
      <c r="A117" t="s">
        <v>227</v>
      </c>
      <c r="B117" t="s">
        <v>228</v>
      </c>
      <c r="C117" t="s">
        <v>229</v>
      </c>
      <c r="D117" t="s">
        <v>78</v>
      </c>
    </row>
    <row r="118" spans="1:4" x14ac:dyDescent="0.25">
      <c r="A118" t="s">
        <v>230</v>
      </c>
      <c r="B118" t="s">
        <v>228</v>
      </c>
      <c r="C118" t="s">
        <v>231</v>
      </c>
      <c r="D118" t="s">
        <v>10</v>
      </c>
    </row>
    <row r="119" spans="1:4" x14ac:dyDescent="0.25">
      <c r="A119" t="s">
        <v>232</v>
      </c>
      <c r="B119" t="s">
        <v>228</v>
      </c>
      <c r="C119" t="s">
        <v>233</v>
      </c>
      <c r="D119" t="s">
        <v>10</v>
      </c>
    </row>
    <row r="120" spans="1:4" x14ac:dyDescent="0.25">
      <c r="A120" t="s">
        <v>234</v>
      </c>
      <c r="B120" t="s">
        <v>228</v>
      </c>
      <c r="C120" t="s">
        <v>2097</v>
      </c>
      <c r="D120" t="s">
        <v>10</v>
      </c>
    </row>
    <row r="121" spans="1:4" x14ac:dyDescent="0.25">
      <c r="A121" t="s">
        <v>236</v>
      </c>
      <c r="B121" t="s">
        <v>228</v>
      </c>
      <c r="C121" t="s">
        <v>2098</v>
      </c>
      <c r="D121" t="s">
        <v>17</v>
      </c>
    </row>
    <row r="122" spans="1:4" x14ac:dyDescent="0.25">
      <c r="A122" t="s">
        <v>237</v>
      </c>
      <c r="B122" t="s">
        <v>228</v>
      </c>
      <c r="C122" t="s">
        <v>238</v>
      </c>
      <c r="D122" t="s">
        <v>10</v>
      </c>
    </row>
    <row r="123" spans="1:4" x14ac:dyDescent="0.25">
      <c r="A123" t="s">
        <v>239</v>
      </c>
      <c r="B123" t="s">
        <v>228</v>
      </c>
      <c r="C123" t="s">
        <v>240</v>
      </c>
      <c r="D123" t="s">
        <v>10</v>
      </c>
    </row>
    <row r="124" spans="1:4" x14ac:dyDescent="0.25">
      <c r="A124" t="s">
        <v>241</v>
      </c>
      <c r="B124" t="s">
        <v>228</v>
      </c>
      <c r="C124" t="s">
        <v>2099</v>
      </c>
      <c r="D124" t="s">
        <v>10</v>
      </c>
    </row>
    <row r="125" spans="1:4" x14ac:dyDescent="0.25">
      <c r="A125" t="s">
        <v>243</v>
      </c>
      <c r="B125" t="s">
        <v>228</v>
      </c>
      <c r="C125" t="s">
        <v>2100</v>
      </c>
      <c r="D125" t="s">
        <v>10</v>
      </c>
    </row>
    <row r="126" spans="1:4" x14ac:dyDescent="0.25">
      <c r="A126" t="s">
        <v>245</v>
      </c>
      <c r="B126" t="s">
        <v>228</v>
      </c>
      <c r="C126" t="s">
        <v>246</v>
      </c>
      <c r="D126" t="s">
        <v>10</v>
      </c>
    </row>
    <row r="127" spans="1:4" x14ac:dyDescent="0.25">
      <c r="A127" t="s">
        <v>249</v>
      </c>
      <c r="B127" t="s">
        <v>1802</v>
      </c>
      <c r="C127" t="s">
        <v>2103</v>
      </c>
      <c r="D127" t="s">
        <v>10</v>
      </c>
    </row>
    <row r="128" spans="1:4" x14ac:dyDescent="0.25">
      <c r="A128" t="s">
        <v>251</v>
      </c>
      <c r="B128" t="s">
        <v>252</v>
      </c>
      <c r="C128" t="s">
        <v>2104</v>
      </c>
      <c r="D128" t="s">
        <v>17</v>
      </c>
    </row>
    <row r="129" spans="1:4" x14ac:dyDescent="0.25">
      <c r="A129" t="s">
        <v>253</v>
      </c>
      <c r="B129" t="s">
        <v>252</v>
      </c>
      <c r="C129" t="s">
        <v>254</v>
      </c>
      <c r="D129" t="s">
        <v>2105</v>
      </c>
    </row>
    <row r="130" spans="1:4" x14ac:dyDescent="0.25">
      <c r="A130" t="s">
        <v>255</v>
      </c>
      <c r="B130" t="s">
        <v>252</v>
      </c>
      <c r="C130" t="s">
        <v>256</v>
      </c>
      <c r="D130" t="s">
        <v>10</v>
      </c>
    </row>
    <row r="131" spans="1:4" x14ac:dyDescent="0.25">
      <c r="A131" t="s">
        <v>257</v>
      </c>
      <c r="B131" t="s">
        <v>252</v>
      </c>
      <c r="C131" t="s">
        <v>258</v>
      </c>
      <c r="D131" t="s">
        <v>10</v>
      </c>
    </row>
    <row r="132" spans="1:4" x14ac:dyDescent="0.25">
      <c r="A132" t="s">
        <v>259</v>
      </c>
      <c r="B132" t="s">
        <v>252</v>
      </c>
      <c r="C132" t="s">
        <v>260</v>
      </c>
      <c r="D132" t="s">
        <v>10</v>
      </c>
    </row>
    <row r="133" spans="1:4" x14ac:dyDescent="0.25">
      <c r="A133" t="s">
        <v>261</v>
      </c>
      <c r="B133" t="s">
        <v>252</v>
      </c>
      <c r="C133" t="s">
        <v>2106</v>
      </c>
      <c r="D133" t="s">
        <v>10</v>
      </c>
    </row>
    <row r="134" spans="1:4" x14ac:dyDescent="0.25">
      <c r="A134" t="s">
        <v>274</v>
      </c>
      <c r="B134" t="s">
        <v>275</v>
      </c>
      <c r="C134" t="s">
        <v>276</v>
      </c>
      <c r="D134" t="s">
        <v>10</v>
      </c>
    </row>
    <row r="135" spans="1:4" x14ac:dyDescent="0.25">
      <c r="A135" t="s">
        <v>277</v>
      </c>
      <c r="B135" t="s">
        <v>275</v>
      </c>
      <c r="C135" t="s">
        <v>2107</v>
      </c>
      <c r="D135" t="s">
        <v>10</v>
      </c>
    </row>
    <row r="136" spans="1:4" x14ac:dyDescent="0.25">
      <c r="A136" t="s">
        <v>2178</v>
      </c>
      <c r="B136" t="s">
        <v>275</v>
      </c>
      <c r="C136" t="s">
        <v>2101</v>
      </c>
      <c r="D136" t="s">
        <v>10</v>
      </c>
    </row>
    <row r="137" spans="1:4" x14ac:dyDescent="0.25">
      <c r="A137" t="s">
        <v>2176</v>
      </c>
      <c r="B137" t="s">
        <v>275</v>
      </c>
      <c r="C137" t="s">
        <v>2102</v>
      </c>
      <c r="D137" t="s">
        <v>10</v>
      </c>
    </row>
    <row r="138" spans="1:4" x14ac:dyDescent="0.25">
      <c r="A138" t="s">
        <v>404</v>
      </c>
      <c r="B138" t="s">
        <v>399</v>
      </c>
      <c r="C138" t="s">
        <v>2076</v>
      </c>
      <c r="D138" t="s">
        <v>2077</v>
      </c>
    </row>
    <row r="139" spans="1:4" x14ac:dyDescent="0.25">
      <c r="A139" t="s">
        <v>406</v>
      </c>
      <c r="B139" t="s">
        <v>399</v>
      </c>
      <c r="C139" t="s">
        <v>2078</v>
      </c>
      <c r="D139" t="s">
        <v>2077</v>
      </c>
    </row>
    <row r="140" spans="1:4" x14ac:dyDescent="0.25">
      <c r="A140" t="s">
        <v>408</v>
      </c>
      <c r="B140" t="s">
        <v>399</v>
      </c>
      <c r="C140" t="s">
        <v>2079</v>
      </c>
      <c r="D140" t="s">
        <v>2077</v>
      </c>
    </row>
    <row r="141" spans="1:4" x14ac:dyDescent="0.25">
      <c r="A141" t="s">
        <v>410</v>
      </c>
      <c r="B141" t="s">
        <v>399</v>
      </c>
      <c r="C141" t="s">
        <v>2080</v>
      </c>
      <c r="D141" t="s">
        <v>2077</v>
      </c>
    </row>
    <row r="142" spans="1:4" x14ac:dyDescent="0.25">
      <c r="A142" t="s">
        <v>412</v>
      </c>
      <c r="B142" t="s">
        <v>399</v>
      </c>
      <c r="C142" t="s">
        <v>2081</v>
      </c>
      <c r="D142" t="s">
        <v>2077</v>
      </c>
    </row>
    <row r="143" spans="1:4" x14ac:dyDescent="0.25">
      <c r="A143" t="s">
        <v>415</v>
      </c>
      <c r="B143" t="s">
        <v>399</v>
      </c>
      <c r="C143" t="s">
        <v>2082</v>
      </c>
      <c r="D143" t="s">
        <v>2077</v>
      </c>
    </row>
    <row r="144" spans="1:4" x14ac:dyDescent="0.25">
      <c r="A144" t="s">
        <v>418</v>
      </c>
      <c r="B144" t="s">
        <v>399</v>
      </c>
      <c r="C144" t="s">
        <v>419</v>
      </c>
      <c r="D144" t="s">
        <v>2077</v>
      </c>
    </row>
    <row r="145" spans="1:4" x14ac:dyDescent="0.25">
      <c r="A145" t="s">
        <v>420</v>
      </c>
      <c r="B145" t="s">
        <v>399</v>
      </c>
      <c r="C145" t="s">
        <v>421</v>
      </c>
      <c r="D145" t="s">
        <v>2077</v>
      </c>
    </row>
    <row r="146" spans="1:4" x14ac:dyDescent="0.25">
      <c r="A146" t="s">
        <v>422</v>
      </c>
      <c r="B146" t="s">
        <v>399</v>
      </c>
      <c r="C146" t="s">
        <v>423</v>
      </c>
      <c r="D146" t="s">
        <v>2077</v>
      </c>
    </row>
    <row r="147" spans="1:4" x14ac:dyDescent="0.25">
      <c r="A147" t="s">
        <v>424</v>
      </c>
      <c r="B147" t="s">
        <v>399</v>
      </c>
      <c r="C147" t="s">
        <v>425</v>
      </c>
      <c r="D147" t="s">
        <v>2077</v>
      </c>
    </row>
    <row r="148" spans="1:4" x14ac:dyDescent="0.25">
      <c r="A148" t="s">
        <v>426</v>
      </c>
      <c r="B148" t="s">
        <v>399</v>
      </c>
      <c r="C148" t="s">
        <v>427</v>
      </c>
      <c r="D148" t="s">
        <v>2077</v>
      </c>
    </row>
    <row r="149" spans="1:4" x14ac:dyDescent="0.25">
      <c r="A149" t="s">
        <v>428</v>
      </c>
      <c r="B149" t="s">
        <v>399</v>
      </c>
      <c r="C149" t="s">
        <v>2083</v>
      </c>
      <c r="D149" t="s">
        <v>2077</v>
      </c>
    </row>
    <row r="150" spans="1:4" x14ac:dyDescent="0.25">
      <c r="A150" t="s">
        <v>430</v>
      </c>
      <c r="B150" t="s">
        <v>399</v>
      </c>
      <c r="C150" t="s">
        <v>431</v>
      </c>
      <c r="D150" t="s">
        <v>2077</v>
      </c>
    </row>
    <row r="151" spans="1:4" x14ac:dyDescent="0.25">
      <c r="A151" t="s">
        <v>432</v>
      </c>
      <c r="B151" t="s">
        <v>399</v>
      </c>
      <c r="C151" t="s">
        <v>433</v>
      </c>
      <c r="D151" t="s">
        <v>2077</v>
      </c>
    </row>
    <row r="152" spans="1:4" x14ac:dyDescent="0.25">
      <c r="A152" t="s">
        <v>331</v>
      </c>
      <c r="B152" t="s">
        <v>300</v>
      </c>
      <c r="C152" t="s">
        <v>2084</v>
      </c>
      <c r="D152" t="s">
        <v>2077</v>
      </c>
    </row>
    <row r="153" spans="1:4" x14ac:dyDescent="0.25">
      <c r="A153" t="s">
        <v>333</v>
      </c>
      <c r="B153" t="s">
        <v>300</v>
      </c>
      <c r="C153" t="s">
        <v>2085</v>
      </c>
      <c r="D153" t="s">
        <v>2077</v>
      </c>
    </row>
    <row r="154" spans="1:4" x14ac:dyDescent="0.25">
      <c r="A154" t="s">
        <v>335</v>
      </c>
      <c r="B154" t="s">
        <v>300</v>
      </c>
      <c r="C154" t="s">
        <v>2086</v>
      </c>
      <c r="D154" t="s">
        <v>2077</v>
      </c>
    </row>
    <row r="155" spans="1:4" x14ac:dyDescent="0.25">
      <c r="A155" t="s">
        <v>337</v>
      </c>
      <c r="B155" t="s">
        <v>300</v>
      </c>
      <c r="C155" t="s">
        <v>2087</v>
      </c>
      <c r="D155" t="s">
        <v>2077</v>
      </c>
    </row>
    <row r="156" spans="1:4" x14ac:dyDescent="0.25">
      <c r="A156" t="s">
        <v>339</v>
      </c>
      <c r="B156" t="s">
        <v>300</v>
      </c>
      <c r="C156" t="s">
        <v>2088</v>
      </c>
      <c r="D156" t="s">
        <v>2077</v>
      </c>
    </row>
    <row r="157" spans="1:4" x14ac:dyDescent="0.25">
      <c r="A157" t="s">
        <v>341</v>
      </c>
      <c r="B157" t="s">
        <v>300</v>
      </c>
      <c r="C157" t="s">
        <v>2089</v>
      </c>
      <c r="D157" t="s">
        <v>2077</v>
      </c>
    </row>
    <row r="158" spans="1:4" x14ac:dyDescent="0.25">
      <c r="A158" t="s">
        <v>343</v>
      </c>
      <c r="B158" t="s">
        <v>300</v>
      </c>
      <c r="C158" t="s">
        <v>2090</v>
      </c>
      <c r="D158" t="s">
        <v>2077</v>
      </c>
    </row>
    <row r="159" spans="1:4" x14ac:dyDescent="0.25">
      <c r="A159" t="s">
        <v>345</v>
      </c>
      <c r="B159" t="s">
        <v>300</v>
      </c>
      <c r="C159" t="s">
        <v>2091</v>
      </c>
      <c r="D159" t="s">
        <v>2077</v>
      </c>
    </row>
    <row r="160" spans="1:4" x14ac:dyDescent="0.25">
      <c r="A160" t="s">
        <v>347</v>
      </c>
      <c r="B160" t="s">
        <v>300</v>
      </c>
      <c r="C160" t="s">
        <v>2092</v>
      </c>
      <c r="D160" t="s">
        <v>2077</v>
      </c>
    </row>
    <row r="161" spans="1:4" x14ac:dyDescent="0.25">
      <c r="A161" t="s">
        <v>350</v>
      </c>
      <c r="B161" t="s">
        <v>300</v>
      </c>
      <c r="C161" t="s">
        <v>2093</v>
      </c>
      <c r="D161" t="s">
        <v>2077</v>
      </c>
    </row>
    <row r="162" spans="1:4" x14ac:dyDescent="0.25">
      <c r="A162" t="s">
        <v>353</v>
      </c>
      <c r="B162" t="s">
        <v>300</v>
      </c>
      <c r="C162" t="s">
        <v>354</v>
      </c>
      <c r="D162" t="s">
        <v>2077</v>
      </c>
    </row>
    <row r="163" spans="1:4" x14ac:dyDescent="0.25">
      <c r="A163" t="s">
        <v>356</v>
      </c>
      <c r="B163" t="s">
        <v>300</v>
      </c>
      <c r="C163" t="s">
        <v>357</v>
      </c>
      <c r="D163" t="s">
        <v>2077</v>
      </c>
    </row>
    <row r="164" spans="1:4" x14ac:dyDescent="0.25">
      <c r="A164" t="s">
        <v>359</v>
      </c>
      <c r="B164" t="s">
        <v>300</v>
      </c>
      <c r="C164" t="s">
        <v>2108</v>
      </c>
      <c r="D164" t="s">
        <v>2077</v>
      </c>
    </row>
  </sheetData>
  <pageMargins left="0.7" right="0.7" top="0.75" bottom="0.75" header="0.3" footer="0.3"/>
  <headerFooter>
    <oddHeader>&amp;L&amp;"Aptos"&amp;10&amp;K000000 TLP: GREEN&amp;1#_x000D_&amp;"Calibri"&amp;12&amp;K000000&amp;"Calibri"&amp;12&amp;K000000&amp;"Calibri"&amp;12&amp;K000000&amp;"Aptos"&amp;1 &amp;K000000 TLP: GREEN#_x000D_</oddHeader>
    <oddFooter>&amp;C&amp;"Arial"&amp;9 &amp;K000000_x000D_#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97"/>
  <sheetViews>
    <sheetView topLeftCell="A529" zoomScale="85" zoomScaleNormal="85" workbookViewId="0">
      <selection activeCell="A2" sqref="A2"/>
    </sheetView>
  </sheetViews>
  <sheetFormatPr defaultColWidth="8.625" defaultRowHeight="15.75" x14ac:dyDescent="0.25"/>
  <cols>
    <col min="1" max="1" width="43.625" bestFit="1" customWidth="1"/>
    <col min="2" max="2" width="11.625" customWidth="1"/>
    <col min="3" max="3" width="32.625" bestFit="1" customWidth="1"/>
    <col min="4" max="4" width="165.125" bestFit="1" customWidth="1"/>
    <col min="5" max="5" width="8.625" bestFit="1" customWidth="1"/>
    <col min="6" max="6" width="83.125" bestFit="1" customWidth="1"/>
    <col min="7" max="7" width="187.625" bestFit="1" customWidth="1"/>
  </cols>
  <sheetData>
    <row r="1" spans="1:7" x14ac:dyDescent="0.25">
      <c r="A1" s="1" t="s">
        <v>795</v>
      </c>
      <c r="B1" t="s">
        <v>559</v>
      </c>
      <c r="C1" t="s">
        <v>1</v>
      </c>
      <c r="D1" t="s">
        <v>560</v>
      </c>
      <c r="E1" t="s">
        <v>3</v>
      </c>
      <c r="F1" t="s">
        <v>562</v>
      </c>
      <c r="G1" t="s">
        <v>563</v>
      </c>
    </row>
    <row r="2" spans="1:7" x14ac:dyDescent="0.25">
      <c r="A2" t="str">
        <f t="shared" ref="A2:A65" si="0">B2&amp;" "&amp;C2</f>
        <v>TC_A_01_CS Core</v>
      </c>
      <c r="B2" t="s">
        <v>796</v>
      </c>
      <c r="C2" t="s">
        <v>5</v>
      </c>
      <c r="D2" t="s">
        <v>797</v>
      </c>
      <c r="E2" t="s">
        <v>798</v>
      </c>
      <c r="F2" t="s">
        <v>2077</v>
      </c>
      <c r="G2" t="s">
        <v>2077</v>
      </c>
    </row>
    <row r="3" spans="1:7" x14ac:dyDescent="0.25">
      <c r="A3" t="str">
        <f t="shared" si="0"/>
        <v>TC_A_09_CS Core</v>
      </c>
      <c r="B3" t="s">
        <v>799</v>
      </c>
      <c r="C3" t="s">
        <v>5</v>
      </c>
      <c r="D3" t="s">
        <v>800</v>
      </c>
      <c r="E3" t="s">
        <v>798</v>
      </c>
      <c r="F3" t="s">
        <v>2077</v>
      </c>
      <c r="G3" t="s">
        <v>2077</v>
      </c>
    </row>
    <row r="4" spans="1:7" x14ac:dyDescent="0.25">
      <c r="A4" t="str">
        <f t="shared" si="0"/>
        <v>TC_A_10_CS Core</v>
      </c>
      <c r="B4" t="s">
        <v>801</v>
      </c>
      <c r="C4" t="s">
        <v>5</v>
      </c>
      <c r="D4" t="s">
        <v>802</v>
      </c>
      <c r="E4" t="s">
        <v>798</v>
      </c>
      <c r="F4" t="s">
        <v>2077</v>
      </c>
      <c r="G4" t="s">
        <v>2077</v>
      </c>
    </row>
    <row r="5" spans="1:7" x14ac:dyDescent="0.25">
      <c r="A5" t="str">
        <f t="shared" si="0"/>
        <v>TC_A_04_CS Core</v>
      </c>
      <c r="B5" t="s">
        <v>803</v>
      </c>
      <c r="C5" t="s">
        <v>5</v>
      </c>
      <c r="D5" t="s">
        <v>804</v>
      </c>
      <c r="E5" t="s">
        <v>798</v>
      </c>
      <c r="F5" t="s">
        <v>2077</v>
      </c>
      <c r="G5" t="s">
        <v>2077</v>
      </c>
    </row>
    <row r="6" spans="1:7" x14ac:dyDescent="0.25">
      <c r="A6" t="str">
        <f t="shared" si="0"/>
        <v>TC_A_05_CS Core</v>
      </c>
      <c r="B6" t="s">
        <v>805</v>
      </c>
      <c r="C6" t="s">
        <v>5</v>
      </c>
      <c r="D6" t="s">
        <v>806</v>
      </c>
      <c r="E6" t="s">
        <v>798</v>
      </c>
      <c r="F6" t="s">
        <v>2077</v>
      </c>
      <c r="G6" t="s">
        <v>2077</v>
      </c>
    </row>
    <row r="7" spans="1:7" x14ac:dyDescent="0.25">
      <c r="A7" t="str">
        <f t="shared" si="0"/>
        <v>TC_A_06_CS Core</v>
      </c>
      <c r="B7" t="s">
        <v>807</v>
      </c>
      <c r="C7" t="s">
        <v>5</v>
      </c>
      <c r="D7" t="s">
        <v>808</v>
      </c>
      <c r="E7" t="s">
        <v>798</v>
      </c>
      <c r="F7" t="s">
        <v>2077</v>
      </c>
      <c r="G7" t="s">
        <v>2077</v>
      </c>
    </row>
    <row r="8" spans="1:7" x14ac:dyDescent="0.25">
      <c r="A8" t="str">
        <f t="shared" si="0"/>
        <v>TC_A_19_CS Core</v>
      </c>
      <c r="B8" t="s">
        <v>809</v>
      </c>
      <c r="C8" t="s">
        <v>5</v>
      </c>
      <c r="D8" t="s">
        <v>810</v>
      </c>
      <c r="E8" t="s">
        <v>811</v>
      </c>
      <c r="F8" t="s">
        <v>812</v>
      </c>
      <c r="G8" t="s">
        <v>2077</v>
      </c>
    </row>
    <row r="9" spans="1:7" x14ac:dyDescent="0.25">
      <c r="A9" t="str">
        <f t="shared" si="0"/>
        <v>TC_A_20_CS Core</v>
      </c>
      <c r="B9" t="s">
        <v>813</v>
      </c>
      <c r="C9" t="s">
        <v>5</v>
      </c>
      <c r="D9" t="s">
        <v>814</v>
      </c>
      <c r="E9" t="s">
        <v>811</v>
      </c>
      <c r="F9" t="s">
        <v>742</v>
      </c>
      <c r="G9" t="s">
        <v>815</v>
      </c>
    </row>
    <row r="10" spans="1:7" x14ac:dyDescent="0.25">
      <c r="A10" t="str">
        <f t="shared" si="0"/>
        <v>TC_A_22_CS Core</v>
      </c>
      <c r="B10" t="s">
        <v>816</v>
      </c>
      <c r="C10" t="s">
        <v>5</v>
      </c>
      <c r="D10" t="s">
        <v>817</v>
      </c>
      <c r="E10" t="s">
        <v>798</v>
      </c>
      <c r="F10" t="s">
        <v>2077</v>
      </c>
      <c r="G10" t="s">
        <v>2077</v>
      </c>
    </row>
    <row r="11" spans="1:7" x14ac:dyDescent="0.25">
      <c r="A11" t="str">
        <f t="shared" si="0"/>
        <v>TC_B_01_CS Core</v>
      </c>
      <c r="B11" t="s">
        <v>818</v>
      </c>
      <c r="C11" t="s">
        <v>5</v>
      </c>
      <c r="D11" t="s">
        <v>819</v>
      </c>
      <c r="E11" t="s">
        <v>798</v>
      </c>
      <c r="F11" t="s">
        <v>2077</v>
      </c>
      <c r="G11" t="s">
        <v>2077</v>
      </c>
    </row>
    <row r="12" spans="1:7" x14ac:dyDescent="0.25">
      <c r="A12" t="str">
        <f t="shared" si="0"/>
        <v>TC_B_02_CS Core</v>
      </c>
      <c r="B12" t="s">
        <v>820</v>
      </c>
      <c r="C12" t="s">
        <v>5</v>
      </c>
      <c r="D12" t="s">
        <v>821</v>
      </c>
      <c r="E12" t="s">
        <v>798</v>
      </c>
      <c r="F12" t="s">
        <v>2077</v>
      </c>
      <c r="G12" t="s">
        <v>2077</v>
      </c>
    </row>
    <row r="13" spans="1:7" x14ac:dyDescent="0.25">
      <c r="A13" t="str">
        <f t="shared" si="0"/>
        <v>TC_B_03_CS Core</v>
      </c>
      <c r="B13" t="s">
        <v>822</v>
      </c>
      <c r="C13" t="s">
        <v>5</v>
      </c>
      <c r="D13" t="s">
        <v>823</v>
      </c>
      <c r="E13" t="s">
        <v>798</v>
      </c>
      <c r="F13" t="s">
        <v>2077</v>
      </c>
      <c r="G13" t="s">
        <v>2077</v>
      </c>
    </row>
    <row r="14" spans="1:7" x14ac:dyDescent="0.25">
      <c r="A14" t="str">
        <f t="shared" si="0"/>
        <v>TC_B_30_CS Core</v>
      </c>
      <c r="B14" t="s">
        <v>824</v>
      </c>
      <c r="C14" t="s">
        <v>5</v>
      </c>
      <c r="D14" t="s">
        <v>825</v>
      </c>
      <c r="E14" t="s">
        <v>798</v>
      </c>
      <c r="F14" t="s">
        <v>2077</v>
      </c>
      <c r="G14" t="s">
        <v>2077</v>
      </c>
    </row>
    <row r="15" spans="1:7" x14ac:dyDescent="0.25">
      <c r="A15" t="str">
        <f t="shared" si="0"/>
        <v>TC_B_51_CS Core</v>
      </c>
      <c r="B15" t="s">
        <v>826</v>
      </c>
      <c r="C15" t="s">
        <v>5</v>
      </c>
      <c r="D15" t="s">
        <v>827</v>
      </c>
      <c r="E15" t="s">
        <v>798</v>
      </c>
      <c r="F15" t="s">
        <v>2077</v>
      </c>
      <c r="G15" t="s">
        <v>2077</v>
      </c>
    </row>
    <row r="16" spans="1:7" x14ac:dyDescent="0.25">
      <c r="A16" t="str">
        <f t="shared" si="0"/>
        <v>TC_B_52_CS Core</v>
      </c>
      <c r="B16" t="s">
        <v>828</v>
      </c>
      <c r="C16" t="s">
        <v>5</v>
      </c>
      <c r="D16" t="s">
        <v>829</v>
      </c>
      <c r="E16" t="s">
        <v>798</v>
      </c>
      <c r="F16" t="s">
        <v>2077</v>
      </c>
      <c r="G16" t="s">
        <v>2077</v>
      </c>
    </row>
    <row r="17" spans="1:7" x14ac:dyDescent="0.25">
      <c r="A17" t="str">
        <f t="shared" si="0"/>
        <v>TC_B_06_CS Core</v>
      </c>
      <c r="B17" t="s">
        <v>830</v>
      </c>
      <c r="C17" t="s">
        <v>5</v>
      </c>
      <c r="D17" t="s">
        <v>831</v>
      </c>
      <c r="E17" t="s">
        <v>798</v>
      </c>
      <c r="F17" t="s">
        <v>2077</v>
      </c>
      <c r="G17" t="s">
        <v>2077</v>
      </c>
    </row>
    <row r="18" spans="1:7" x14ac:dyDescent="0.25">
      <c r="A18" t="str">
        <f t="shared" si="0"/>
        <v>TC_B_07_CS Core</v>
      </c>
      <c r="B18" t="s">
        <v>832</v>
      </c>
      <c r="C18" t="s">
        <v>5</v>
      </c>
      <c r="D18" t="s">
        <v>833</v>
      </c>
      <c r="E18" t="s">
        <v>798</v>
      </c>
      <c r="F18" t="s">
        <v>2077</v>
      </c>
      <c r="G18" t="s">
        <v>2077</v>
      </c>
    </row>
    <row r="19" spans="1:7" x14ac:dyDescent="0.25">
      <c r="A19" t="str">
        <f t="shared" si="0"/>
        <v>TC_B_32_CS Core</v>
      </c>
      <c r="B19" t="s">
        <v>834</v>
      </c>
      <c r="C19" t="s">
        <v>5</v>
      </c>
      <c r="D19" t="s">
        <v>835</v>
      </c>
      <c r="E19" t="s">
        <v>798</v>
      </c>
      <c r="F19" t="s">
        <v>2077</v>
      </c>
      <c r="G19" t="s">
        <v>2077</v>
      </c>
    </row>
    <row r="20" spans="1:7" x14ac:dyDescent="0.25">
      <c r="A20" t="str">
        <f t="shared" si="0"/>
        <v>TC_B_33_CS Core</v>
      </c>
      <c r="B20" t="s">
        <v>836</v>
      </c>
      <c r="C20" t="s">
        <v>5</v>
      </c>
      <c r="D20" t="s">
        <v>837</v>
      </c>
      <c r="E20" t="s">
        <v>798</v>
      </c>
      <c r="F20" t="s">
        <v>2077</v>
      </c>
      <c r="G20" t="s">
        <v>2077</v>
      </c>
    </row>
    <row r="21" spans="1:7" x14ac:dyDescent="0.25">
      <c r="A21" t="str">
        <f t="shared" si="0"/>
        <v>TC_B_34_CS Core</v>
      </c>
      <c r="B21" t="s">
        <v>838</v>
      </c>
      <c r="C21" t="s">
        <v>5</v>
      </c>
      <c r="D21" t="s">
        <v>839</v>
      </c>
      <c r="E21" t="s">
        <v>798</v>
      </c>
      <c r="F21" t="s">
        <v>2077</v>
      </c>
      <c r="G21" t="s">
        <v>2077</v>
      </c>
    </row>
    <row r="22" spans="1:7" x14ac:dyDescent="0.25">
      <c r="A22" t="str">
        <f t="shared" si="0"/>
        <v>TC_B_09_CS Core</v>
      </c>
      <c r="B22" t="s">
        <v>840</v>
      </c>
      <c r="C22" t="s">
        <v>5</v>
      </c>
      <c r="D22" t="s">
        <v>841</v>
      </c>
      <c r="E22" t="s">
        <v>798</v>
      </c>
      <c r="F22" t="s">
        <v>2077</v>
      </c>
      <c r="G22" t="s">
        <v>2077</v>
      </c>
    </row>
    <row r="23" spans="1:7" x14ac:dyDescent="0.25">
      <c r="A23" t="str">
        <f t="shared" si="0"/>
        <v>TC_B_10_CS Core</v>
      </c>
      <c r="B23" t="s">
        <v>842</v>
      </c>
      <c r="C23" t="s">
        <v>5</v>
      </c>
      <c r="D23" t="s">
        <v>843</v>
      </c>
      <c r="E23" t="s">
        <v>798</v>
      </c>
      <c r="F23" t="s">
        <v>2077</v>
      </c>
      <c r="G23" t="s">
        <v>2077</v>
      </c>
    </row>
    <row r="24" spans="1:7" x14ac:dyDescent="0.25">
      <c r="A24" t="str">
        <f t="shared" si="0"/>
        <v>TC_B_35_CS Core</v>
      </c>
      <c r="B24" t="s">
        <v>844</v>
      </c>
      <c r="C24" t="s">
        <v>5</v>
      </c>
      <c r="D24" t="s">
        <v>845</v>
      </c>
      <c r="E24" t="s">
        <v>798</v>
      </c>
      <c r="F24" t="s">
        <v>2077</v>
      </c>
      <c r="G24" t="s">
        <v>2077</v>
      </c>
    </row>
    <row r="25" spans="1:7" x14ac:dyDescent="0.25">
      <c r="A25" t="str">
        <f t="shared" si="0"/>
        <v>TC_B_36_CS Core</v>
      </c>
      <c r="B25" t="s">
        <v>846</v>
      </c>
      <c r="C25" t="s">
        <v>5</v>
      </c>
      <c r="D25" t="s">
        <v>847</v>
      </c>
      <c r="E25" t="s">
        <v>798</v>
      </c>
      <c r="F25" t="s">
        <v>2077</v>
      </c>
      <c r="G25" t="s">
        <v>2077</v>
      </c>
    </row>
    <row r="26" spans="1:7" x14ac:dyDescent="0.25">
      <c r="A26" t="str">
        <f t="shared" si="0"/>
        <v>TC_B_37_CS Core</v>
      </c>
      <c r="B26" t="s">
        <v>848</v>
      </c>
      <c r="C26" t="s">
        <v>5</v>
      </c>
      <c r="D26" t="s">
        <v>849</v>
      </c>
      <c r="E26" t="s">
        <v>798</v>
      </c>
      <c r="F26" t="s">
        <v>2077</v>
      </c>
      <c r="G26" t="s">
        <v>2077</v>
      </c>
    </row>
    <row r="27" spans="1:7" x14ac:dyDescent="0.25">
      <c r="A27" t="str">
        <f t="shared" si="0"/>
        <v>TC_B_11_CS Core</v>
      </c>
      <c r="B27" t="s">
        <v>850</v>
      </c>
      <c r="C27" t="s">
        <v>5</v>
      </c>
      <c r="D27" t="s">
        <v>851</v>
      </c>
      <c r="E27" t="s">
        <v>798</v>
      </c>
      <c r="F27" t="s">
        <v>2077</v>
      </c>
      <c r="G27" t="s">
        <v>2077</v>
      </c>
    </row>
    <row r="28" spans="1:7" x14ac:dyDescent="0.25">
      <c r="A28" t="str">
        <f t="shared" si="0"/>
        <v>TC_B_39_CS Core</v>
      </c>
      <c r="B28" t="s">
        <v>852</v>
      </c>
      <c r="C28" t="s">
        <v>5</v>
      </c>
      <c r="D28" t="s">
        <v>853</v>
      </c>
      <c r="E28" t="s">
        <v>798</v>
      </c>
      <c r="F28" t="s">
        <v>2077</v>
      </c>
      <c r="G28" t="s">
        <v>2077</v>
      </c>
    </row>
    <row r="29" spans="1:7" x14ac:dyDescent="0.25">
      <c r="A29" t="str">
        <f t="shared" si="0"/>
        <v>TC_B_12_CS Core</v>
      </c>
      <c r="B29" t="s">
        <v>854</v>
      </c>
      <c r="C29" t="s">
        <v>5</v>
      </c>
      <c r="D29" t="s">
        <v>855</v>
      </c>
      <c r="E29" t="s">
        <v>798</v>
      </c>
      <c r="F29" t="s">
        <v>2077</v>
      </c>
      <c r="G29" t="s">
        <v>2077</v>
      </c>
    </row>
    <row r="30" spans="1:7" x14ac:dyDescent="0.25">
      <c r="A30" t="str">
        <f t="shared" si="0"/>
        <v>TC_B_13_CS Core</v>
      </c>
      <c r="B30" t="s">
        <v>856</v>
      </c>
      <c r="C30" t="s">
        <v>5</v>
      </c>
      <c r="D30" t="s">
        <v>857</v>
      </c>
      <c r="E30" t="s">
        <v>798</v>
      </c>
      <c r="F30" t="s">
        <v>2077</v>
      </c>
      <c r="G30" t="s">
        <v>2077</v>
      </c>
    </row>
    <row r="31" spans="1:7" x14ac:dyDescent="0.25">
      <c r="A31" t="str">
        <f t="shared" si="0"/>
        <v>TC_B_14_CS Core</v>
      </c>
      <c r="B31" t="s">
        <v>858</v>
      </c>
      <c r="C31" t="s">
        <v>5</v>
      </c>
      <c r="D31" t="s">
        <v>859</v>
      </c>
      <c r="E31" t="s">
        <v>811</v>
      </c>
      <c r="F31" t="s">
        <v>766</v>
      </c>
      <c r="G31" t="s">
        <v>2077</v>
      </c>
    </row>
    <row r="32" spans="1:7" x14ac:dyDescent="0.25">
      <c r="A32" t="str">
        <f t="shared" si="0"/>
        <v>TC_B_15_CS Core</v>
      </c>
      <c r="B32" t="s">
        <v>860</v>
      </c>
      <c r="C32" t="s">
        <v>5</v>
      </c>
      <c r="D32" t="s">
        <v>861</v>
      </c>
      <c r="E32" t="s">
        <v>811</v>
      </c>
      <c r="F32" t="s">
        <v>862</v>
      </c>
      <c r="G32" t="s">
        <v>2077</v>
      </c>
    </row>
    <row r="33" spans="1:7" x14ac:dyDescent="0.25">
      <c r="A33" t="str">
        <f t="shared" si="0"/>
        <v>TC_B_53_CS Core</v>
      </c>
      <c r="B33" t="s">
        <v>863</v>
      </c>
      <c r="C33" t="s">
        <v>5</v>
      </c>
      <c r="D33" t="s">
        <v>864</v>
      </c>
      <c r="E33" t="s">
        <v>798</v>
      </c>
      <c r="F33" t="s">
        <v>2077</v>
      </c>
      <c r="G33" t="s">
        <v>2077</v>
      </c>
    </row>
    <row r="34" spans="1:7" x14ac:dyDescent="0.25">
      <c r="A34" t="str">
        <f t="shared" si="0"/>
        <v>TC_B_20_CS Core</v>
      </c>
      <c r="B34" t="s">
        <v>865</v>
      </c>
      <c r="C34" t="s">
        <v>5</v>
      </c>
      <c r="D34" t="s">
        <v>866</v>
      </c>
      <c r="E34" t="s">
        <v>811</v>
      </c>
      <c r="F34" t="s">
        <v>788</v>
      </c>
      <c r="G34" t="s">
        <v>2077</v>
      </c>
    </row>
    <row r="35" spans="1:7" x14ac:dyDescent="0.25">
      <c r="A35" t="str">
        <f t="shared" si="0"/>
        <v>TC_B_21_CS Core</v>
      </c>
      <c r="B35" t="s">
        <v>867</v>
      </c>
      <c r="C35" t="s">
        <v>5</v>
      </c>
      <c r="D35" t="s">
        <v>868</v>
      </c>
      <c r="E35" t="s">
        <v>811</v>
      </c>
      <c r="F35" t="s">
        <v>788</v>
      </c>
      <c r="G35" t="s">
        <v>2077</v>
      </c>
    </row>
    <row r="36" spans="1:7" x14ac:dyDescent="0.25">
      <c r="A36" t="str">
        <f t="shared" si="0"/>
        <v>TC_B_22_CS Core</v>
      </c>
      <c r="B36" t="s">
        <v>869</v>
      </c>
      <c r="C36" t="s">
        <v>5</v>
      </c>
      <c r="D36" t="s">
        <v>870</v>
      </c>
      <c r="E36" t="s">
        <v>798</v>
      </c>
      <c r="F36" t="s">
        <v>2077</v>
      </c>
      <c r="G36" t="s">
        <v>2077</v>
      </c>
    </row>
    <row r="37" spans="1:7" x14ac:dyDescent="0.25">
      <c r="A37" t="str">
        <f t="shared" si="0"/>
        <v>TC_B_23_CS Core</v>
      </c>
      <c r="B37" t="s">
        <v>871</v>
      </c>
      <c r="C37" t="s">
        <v>5</v>
      </c>
      <c r="D37" t="s">
        <v>872</v>
      </c>
      <c r="E37" t="s">
        <v>798</v>
      </c>
      <c r="F37" t="s">
        <v>2077</v>
      </c>
      <c r="G37" t="s">
        <v>2077</v>
      </c>
    </row>
    <row r="38" spans="1:7" x14ac:dyDescent="0.25">
      <c r="A38" t="str">
        <f t="shared" si="0"/>
        <v>TC_B_41_CS Core</v>
      </c>
      <c r="B38" t="s">
        <v>873</v>
      </c>
      <c r="C38" t="s">
        <v>5</v>
      </c>
      <c r="D38" t="s">
        <v>874</v>
      </c>
      <c r="E38" t="s">
        <v>811</v>
      </c>
      <c r="F38" t="s">
        <v>789</v>
      </c>
      <c r="G38" t="s">
        <v>2077</v>
      </c>
    </row>
    <row r="39" spans="1:7" x14ac:dyDescent="0.25">
      <c r="A39" t="str">
        <f t="shared" si="0"/>
        <v>TC_B_25_CS Core</v>
      </c>
      <c r="B39" t="s">
        <v>875</v>
      </c>
      <c r="C39" t="s">
        <v>5</v>
      </c>
      <c r="D39" t="s">
        <v>876</v>
      </c>
      <c r="E39" t="s">
        <v>811</v>
      </c>
      <c r="F39" t="s">
        <v>58</v>
      </c>
      <c r="G39" t="s">
        <v>877</v>
      </c>
    </row>
    <row r="40" spans="1:7" x14ac:dyDescent="0.25">
      <c r="A40" t="str">
        <f t="shared" si="0"/>
        <v>TC_B_26_CS Core</v>
      </c>
      <c r="B40" t="s">
        <v>878</v>
      </c>
      <c r="C40" t="s">
        <v>5</v>
      </c>
      <c r="D40" t="s">
        <v>879</v>
      </c>
      <c r="E40" t="s">
        <v>811</v>
      </c>
      <c r="F40" t="s">
        <v>58</v>
      </c>
      <c r="G40" t="s">
        <v>877</v>
      </c>
    </row>
    <row r="41" spans="1:7" x14ac:dyDescent="0.25">
      <c r="A41" t="str">
        <f t="shared" si="0"/>
        <v>TC_B_27_CS Core</v>
      </c>
      <c r="B41" t="s">
        <v>880</v>
      </c>
      <c r="C41" t="s">
        <v>5</v>
      </c>
      <c r="D41" t="s">
        <v>881</v>
      </c>
      <c r="E41" t="s">
        <v>811</v>
      </c>
      <c r="F41" t="s">
        <v>58</v>
      </c>
      <c r="G41" t="s">
        <v>877</v>
      </c>
    </row>
    <row r="42" spans="1:7" x14ac:dyDescent="0.25">
      <c r="A42" t="str">
        <f t="shared" si="0"/>
        <v>TC_B_28_CS Core</v>
      </c>
      <c r="B42" t="s">
        <v>882</v>
      </c>
      <c r="C42" t="s">
        <v>5</v>
      </c>
      <c r="D42" t="s">
        <v>883</v>
      </c>
      <c r="E42" t="s">
        <v>811</v>
      </c>
      <c r="F42" t="s">
        <v>630</v>
      </c>
      <c r="G42" t="s">
        <v>877</v>
      </c>
    </row>
    <row r="43" spans="1:7" x14ac:dyDescent="0.25">
      <c r="A43" t="str">
        <f t="shared" si="0"/>
        <v>TC_B_29_CS Core</v>
      </c>
      <c r="B43" t="s">
        <v>884</v>
      </c>
      <c r="C43" t="s">
        <v>5</v>
      </c>
      <c r="D43" t="s">
        <v>885</v>
      </c>
      <c r="E43" t="s">
        <v>811</v>
      </c>
      <c r="F43" t="s">
        <v>630</v>
      </c>
      <c r="G43" t="s">
        <v>877</v>
      </c>
    </row>
    <row r="44" spans="1:7" x14ac:dyDescent="0.25">
      <c r="A44" t="str">
        <f t="shared" si="0"/>
        <v>TC_B_101_CS Core</v>
      </c>
      <c r="B44" t="s">
        <v>886</v>
      </c>
      <c r="C44" t="s">
        <v>5</v>
      </c>
      <c r="D44" t="s">
        <v>887</v>
      </c>
      <c r="E44" t="s">
        <v>798</v>
      </c>
      <c r="F44" t="s">
        <v>2077</v>
      </c>
      <c r="G44" t="s">
        <v>2077</v>
      </c>
    </row>
    <row r="45" spans="1:7" x14ac:dyDescent="0.25">
      <c r="A45" t="str">
        <f t="shared" si="0"/>
        <v>TC_B_102_CS Core</v>
      </c>
      <c r="B45" t="s">
        <v>888</v>
      </c>
      <c r="C45" t="s">
        <v>5</v>
      </c>
      <c r="D45" t="s">
        <v>889</v>
      </c>
      <c r="E45" t="s">
        <v>811</v>
      </c>
      <c r="F45" t="s">
        <v>162</v>
      </c>
      <c r="G45" t="s">
        <v>2127</v>
      </c>
    </row>
    <row r="46" spans="1:7" x14ac:dyDescent="0.25">
      <c r="A46" t="str">
        <f t="shared" si="0"/>
        <v>TC_B_103_CS Core</v>
      </c>
      <c r="B46" t="s">
        <v>890</v>
      </c>
      <c r="C46" t="s">
        <v>5</v>
      </c>
      <c r="D46" t="s">
        <v>891</v>
      </c>
      <c r="E46" t="s">
        <v>811</v>
      </c>
      <c r="F46" t="s">
        <v>162</v>
      </c>
      <c r="G46" t="s">
        <v>2127</v>
      </c>
    </row>
    <row r="47" spans="1:7" x14ac:dyDescent="0.25">
      <c r="A47" t="str">
        <f t="shared" si="0"/>
        <v>TC_B_104_CS Core</v>
      </c>
      <c r="B47" t="s">
        <v>892</v>
      </c>
      <c r="C47" t="s">
        <v>5</v>
      </c>
      <c r="D47" t="s">
        <v>893</v>
      </c>
      <c r="E47" t="s">
        <v>811</v>
      </c>
      <c r="F47" t="s">
        <v>162</v>
      </c>
      <c r="G47" t="s">
        <v>2127</v>
      </c>
    </row>
    <row r="48" spans="1:7" x14ac:dyDescent="0.25">
      <c r="A48" t="str">
        <f t="shared" si="0"/>
        <v>TC_B_43_CS Core</v>
      </c>
      <c r="B48" t="s">
        <v>894</v>
      </c>
      <c r="C48" t="s">
        <v>5</v>
      </c>
      <c r="D48" t="s">
        <v>895</v>
      </c>
      <c r="E48" t="s">
        <v>798</v>
      </c>
      <c r="F48" t="s">
        <v>2077</v>
      </c>
      <c r="G48" t="s">
        <v>2077</v>
      </c>
    </row>
    <row r="49" spans="1:7" x14ac:dyDescent="0.25">
      <c r="A49" t="str">
        <f t="shared" si="0"/>
        <v>TC_B_100_CS Core</v>
      </c>
      <c r="B49" t="s">
        <v>896</v>
      </c>
      <c r="C49" t="s">
        <v>5</v>
      </c>
      <c r="D49" t="s">
        <v>2128</v>
      </c>
      <c r="E49" t="s">
        <v>798</v>
      </c>
      <c r="F49" t="s">
        <v>2077</v>
      </c>
      <c r="G49" t="s">
        <v>2077</v>
      </c>
    </row>
    <row r="50" spans="1:7" x14ac:dyDescent="0.25">
      <c r="A50" t="str">
        <f t="shared" si="0"/>
        <v>TC_B_105_CS Core</v>
      </c>
      <c r="B50" t="s">
        <v>897</v>
      </c>
      <c r="C50" t="s">
        <v>5</v>
      </c>
      <c r="D50" t="s">
        <v>2129</v>
      </c>
      <c r="E50" t="s">
        <v>798</v>
      </c>
      <c r="F50" t="s">
        <v>2077</v>
      </c>
      <c r="G50" t="s">
        <v>2077</v>
      </c>
    </row>
    <row r="51" spans="1:7" x14ac:dyDescent="0.25">
      <c r="A51" t="str">
        <f t="shared" si="0"/>
        <v>TC_B_107_CS Core</v>
      </c>
      <c r="B51" t="s">
        <v>898</v>
      </c>
      <c r="C51" t="s">
        <v>5</v>
      </c>
      <c r="D51" t="s">
        <v>2130</v>
      </c>
      <c r="E51" t="s">
        <v>798</v>
      </c>
      <c r="F51" t="s">
        <v>2077</v>
      </c>
      <c r="G51" t="s">
        <v>2077</v>
      </c>
    </row>
    <row r="52" spans="1:7" x14ac:dyDescent="0.25">
      <c r="A52" t="str">
        <f t="shared" si="0"/>
        <v>TC_B_108_CS Core</v>
      </c>
      <c r="B52" t="s">
        <v>899</v>
      </c>
      <c r="C52" t="s">
        <v>5</v>
      </c>
      <c r="D52" t="s">
        <v>2131</v>
      </c>
      <c r="E52" t="s">
        <v>798</v>
      </c>
      <c r="F52" t="s">
        <v>2077</v>
      </c>
      <c r="G52" t="s">
        <v>2077</v>
      </c>
    </row>
    <row r="53" spans="1:7" x14ac:dyDescent="0.25">
      <c r="A53" t="str">
        <f t="shared" si="0"/>
        <v>TC_B_109_CS Core</v>
      </c>
      <c r="B53" t="s">
        <v>900</v>
      </c>
      <c r="C53" t="s">
        <v>5</v>
      </c>
      <c r="D53" t="s">
        <v>2132</v>
      </c>
      <c r="E53" t="s">
        <v>798</v>
      </c>
      <c r="F53" t="s">
        <v>2077</v>
      </c>
      <c r="G53" t="s">
        <v>2077</v>
      </c>
    </row>
    <row r="54" spans="1:7" x14ac:dyDescent="0.25">
      <c r="A54" t="str">
        <f t="shared" si="0"/>
        <v>TC_B_110_CS Core</v>
      </c>
      <c r="B54" t="s">
        <v>901</v>
      </c>
      <c r="C54" t="s">
        <v>5</v>
      </c>
      <c r="D54" t="s">
        <v>2133</v>
      </c>
      <c r="E54" t="s">
        <v>798</v>
      </c>
      <c r="F54" t="s">
        <v>2077</v>
      </c>
      <c r="G54" t="s">
        <v>2077</v>
      </c>
    </row>
    <row r="55" spans="1:7" x14ac:dyDescent="0.25">
      <c r="A55" t="str">
        <f t="shared" si="0"/>
        <v>TC_B_111_CS Core</v>
      </c>
      <c r="B55" t="s">
        <v>902</v>
      </c>
      <c r="C55" t="s">
        <v>5</v>
      </c>
      <c r="D55" t="s">
        <v>2134</v>
      </c>
      <c r="E55" t="s">
        <v>798</v>
      </c>
      <c r="F55" t="s">
        <v>2077</v>
      </c>
      <c r="G55" t="s">
        <v>2077</v>
      </c>
    </row>
    <row r="56" spans="1:7" x14ac:dyDescent="0.25">
      <c r="A56" t="str">
        <f t="shared" si="0"/>
        <v>TC_B_45_CS Core</v>
      </c>
      <c r="B56" t="s">
        <v>903</v>
      </c>
      <c r="C56" t="s">
        <v>5</v>
      </c>
      <c r="D56" t="s">
        <v>904</v>
      </c>
      <c r="E56" t="s">
        <v>798</v>
      </c>
      <c r="F56" t="s">
        <v>2077</v>
      </c>
      <c r="G56" t="s">
        <v>2077</v>
      </c>
    </row>
    <row r="57" spans="1:7" x14ac:dyDescent="0.25">
      <c r="A57" t="str">
        <f t="shared" si="0"/>
        <v>TC_B_46_CS Core</v>
      </c>
      <c r="B57" t="s">
        <v>905</v>
      </c>
      <c r="C57" t="s">
        <v>5</v>
      </c>
      <c r="D57" t="s">
        <v>906</v>
      </c>
      <c r="E57" t="s">
        <v>798</v>
      </c>
      <c r="F57" t="s">
        <v>2077</v>
      </c>
      <c r="G57" t="s">
        <v>2077</v>
      </c>
    </row>
    <row r="58" spans="1:7" x14ac:dyDescent="0.25">
      <c r="A58" t="str">
        <f t="shared" si="0"/>
        <v>TC_B_47_CS Core</v>
      </c>
      <c r="B58" t="s">
        <v>907</v>
      </c>
      <c r="C58" t="s">
        <v>5</v>
      </c>
      <c r="D58" t="s">
        <v>908</v>
      </c>
      <c r="E58" t="s">
        <v>811</v>
      </c>
      <c r="F58" t="s">
        <v>629</v>
      </c>
      <c r="G58" t="s">
        <v>909</v>
      </c>
    </row>
    <row r="59" spans="1:7" x14ac:dyDescent="0.25">
      <c r="A59" t="str">
        <f t="shared" si="0"/>
        <v>TC_B_49_CS Core</v>
      </c>
      <c r="B59" t="s">
        <v>910</v>
      </c>
      <c r="C59" t="s">
        <v>5</v>
      </c>
      <c r="D59" t="s">
        <v>911</v>
      </c>
      <c r="E59" t="s">
        <v>811</v>
      </c>
      <c r="F59" t="s">
        <v>132</v>
      </c>
      <c r="G59" t="s">
        <v>912</v>
      </c>
    </row>
    <row r="60" spans="1:7" x14ac:dyDescent="0.25">
      <c r="A60" t="str">
        <f t="shared" si="0"/>
        <v>TC_B_50_CS Core</v>
      </c>
      <c r="B60" t="s">
        <v>913</v>
      </c>
      <c r="C60" t="s">
        <v>5</v>
      </c>
      <c r="D60" t="s">
        <v>914</v>
      </c>
      <c r="E60" t="s">
        <v>798</v>
      </c>
      <c r="F60" t="s">
        <v>2077</v>
      </c>
      <c r="G60" t="s">
        <v>2077</v>
      </c>
    </row>
    <row r="61" spans="1:7" x14ac:dyDescent="0.25">
      <c r="A61" t="str">
        <f t="shared" si="0"/>
        <v>TC_B_57_CS Core</v>
      </c>
      <c r="B61" t="s">
        <v>915</v>
      </c>
      <c r="C61" t="s">
        <v>5</v>
      </c>
      <c r="D61" t="s">
        <v>916</v>
      </c>
      <c r="E61" t="s">
        <v>798</v>
      </c>
      <c r="F61" t="s">
        <v>2077</v>
      </c>
      <c r="G61" t="s">
        <v>2077</v>
      </c>
    </row>
    <row r="62" spans="1:7" x14ac:dyDescent="0.25">
      <c r="A62" t="str">
        <f t="shared" si="0"/>
        <v>TC_C_02_CS Core</v>
      </c>
      <c r="B62" t="s">
        <v>917</v>
      </c>
      <c r="C62" t="s">
        <v>5</v>
      </c>
      <c r="D62" t="s">
        <v>918</v>
      </c>
      <c r="E62" t="s">
        <v>811</v>
      </c>
      <c r="F62" t="s">
        <v>722</v>
      </c>
      <c r="G62" t="s">
        <v>919</v>
      </c>
    </row>
    <row r="63" spans="1:7" x14ac:dyDescent="0.25">
      <c r="A63" t="str">
        <f t="shared" si="0"/>
        <v>TC_C_06_CS Core</v>
      </c>
      <c r="B63" t="s">
        <v>920</v>
      </c>
      <c r="C63" t="s">
        <v>5</v>
      </c>
      <c r="D63" t="s">
        <v>921</v>
      </c>
      <c r="E63" t="s">
        <v>811</v>
      </c>
      <c r="F63" t="s">
        <v>634</v>
      </c>
      <c r="G63" t="s">
        <v>922</v>
      </c>
    </row>
    <row r="64" spans="1:7" x14ac:dyDescent="0.25">
      <c r="A64" t="str">
        <f t="shared" si="0"/>
        <v>TC_C_07_CS Core</v>
      </c>
      <c r="B64" t="s">
        <v>923</v>
      </c>
      <c r="C64" t="s">
        <v>5</v>
      </c>
      <c r="D64" t="s">
        <v>924</v>
      </c>
      <c r="E64" t="s">
        <v>811</v>
      </c>
      <c r="F64" t="s">
        <v>634</v>
      </c>
      <c r="G64" t="s">
        <v>922</v>
      </c>
    </row>
    <row r="65" spans="1:7" x14ac:dyDescent="0.25">
      <c r="A65" t="str">
        <f t="shared" si="0"/>
        <v>TC_E_38_CS Core</v>
      </c>
      <c r="B65" t="s">
        <v>925</v>
      </c>
      <c r="C65" t="s">
        <v>5</v>
      </c>
      <c r="D65" t="s">
        <v>926</v>
      </c>
      <c r="E65" t="s">
        <v>811</v>
      </c>
      <c r="F65" t="s">
        <v>791</v>
      </c>
      <c r="G65" t="s">
        <v>37</v>
      </c>
    </row>
    <row r="66" spans="1:7" x14ac:dyDescent="0.25">
      <c r="A66" t="str">
        <f t="shared" ref="A66:A129" si="1">B66&amp;" "&amp;C66</f>
        <v>TC_C_56_CS Core</v>
      </c>
      <c r="B66" t="s">
        <v>927</v>
      </c>
      <c r="C66" t="s">
        <v>5</v>
      </c>
      <c r="D66" t="s">
        <v>928</v>
      </c>
      <c r="E66" t="s">
        <v>811</v>
      </c>
      <c r="F66" t="s">
        <v>722</v>
      </c>
      <c r="G66" t="s">
        <v>922</v>
      </c>
    </row>
    <row r="67" spans="1:7" x14ac:dyDescent="0.25">
      <c r="A67" t="str">
        <f t="shared" si="1"/>
        <v>TC_C_05_CS Core</v>
      </c>
      <c r="B67" t="s">
        <v>929</v>
      </c>
      <c r="C67" t="s">
        <v>5</v>
      </c>
      <c r="D67" t="s">
        <v>930</v>
      </c>
      <c r="E67" t="s">
        <v>811</v>
      </c>
      <c r="F67" t="s">
        <v>723</v>
      </c>
      <c r="G67" t="s">
        <v>922</v>
      </c>
    </row>
    <row r="68" spans="1:7" x14ac:dyDescent="0.25">
      <c r="A68" t="str">
        <f t="shared" si="1"/>
        <v>TC_C_04_CS Core</v>
      </c>
      <c r="B68" t="s">
        <v>931</v>
      </c>
      <c r="C68" t="s">
        <v>5</v>
      </c>
      <c r="D68" t="s">
        <v>932</v>
      </c>
      <c r="E68" t="s">
        <v>811</v>
      </c>
      <c r="F68" t="s">
        <v>744</v>
      </c>
      <c r="G68" t="s">
        <v>922</v>
      </c>
    </row>
    <row r="69" spans="1:7" x14ac:dyDescent="0.25">
      <c r="A69" t="str">
        <f t="shared" si="1"/>
        <v>TC_E_06_CS Core</v>
      </c>
      <c r="B69" t="s">
        <v>933</v>
      </c>
      <c r="C69" t="s">
        <v>5</v>
      </c>
      <c r="D69" t="s">
        <v>934</v>
      </c>
      <c r="E69" t="s">
        <v>811</v>
      </c>
      <c r="F69" t="s">
        <v>745</v>
      </c>
      <c r="G69" t="s">
        <v>935</v>
      </c>
    </row>
    <row r="70" spans="1:7" x14ac:dyDescent="0.25">
      <c r="A70" t="str">
        <f t="shared" si="1"/>
        <v>TC_C_39_CS Core</v>
      </c>
      <c r="B70" t="s">
        <v>936</v>
      </c>
      <c r="C70" t="s">
        <v>5</v>
      </c>
      <c r="D70" t="s">
        <v>937</v>
      </c>
      <c r="E70" t="s">
        <v>811</v>
      </c>
      <c r="F70" t="s">
        <v>746</v>
      </c>
      <c r="G70" t="s">
        <v>922</v>
      </c>
    </row>
    <row r="71" spans="1:7" x14ac:dyDescent="0.25">
      <c r="A71" t="str">
        <f t="shared" si="1"/>
        <v>TC_C_45_CS Core</v>
      </c>
      <c r="B71" t="s">
        <v>938</v>
      </c>
      <c r="C71" t="s">
        <v>5</v>
      </c>
      <c r="D71" t="s">
        <v>939</v>
      </c>
      <c r="E71" t="s">
        <v>811</v>
      </c>
      <c r="F71" t="s">
        <v>747</v>
      </c>
      <c r="G71" t="s">
        <v>940</v>
      </c>
    </row>
    <row r="72" spans="1:7" x14ac:dyDescent="0.25">
      <c r="A72" t="str">
        <f t="shared" si="1"/>
        <v>TC_C_42_CS Core</v>
      </c>
      <c r="B72" t="s">
        <v>941</v>
      </c>
      <c r="C72" t="s">
        <v>5</v>
      </c>
      <c r="D72" t="s">
        <v>942</v>
      </c>
      <c r="E72" t="s">
        <v>811</v>
      </c>
      <c r="F72" t="s">
        <v>746</v>
      </c>
      <c r="G72" t="s">
        <v>922</v>
      </c>
    </row>
    <row r="73" spans="1:7" x14ac:dyDescent="0.25">
      <c r="A73" t="str">
        <f t="shared" si="1"/>
        <v>TC_C_26_CS Core</v>
      </c>
      <c r="B73" t="s">
        <v>943</v>
      </c>
      <c r="C73" t="s">
        <v>5</v>
      </c>
      <c r="D73" t="s">
        <v>944</v>
      </c>
      <c r="E73" t="s">
        <v>811</v>
      </c>
      <c r="F73" t="s">
        <v>748</v>
      </c>
      <c r="G73" t="s">
        <v>945</v>
      </c>
    </row>
    <row r="74" spans="1:7" x14ac:dyDescent="0.25">
      <c r="A74" t="str">
        <f t="shared" si="1"/>
        <v>TC_C_47_CS Core</v>
      </c>
      <c r="B74" t="s">
        <v>946</v>
      </c>
      <c r="C74" t="s">
        <v>5</v>
      </c>
      <c r="D74" t="s">
        <v>947</v>
      </c>
      <c r="E74" t="s">
        <v>811</v>
      </c>
      <c r="F74" t="s">
        <v>749</v>
      </c>
      <c r="G74" t="s">
        <v>948</v>
      </c>
    </row>
    <row r="75" spans="1:7" x14ac:dyDescent="0.25">
      <c r="A75" t="str">
        <f t="shared" si="1"/>
        <v>TC_C_48_CS Core</v>
      </c>
      <c r="B75" t="s">
        <v>949</v>
      </c>
      <c r="C75" t="s">
        <v>5</v>
      </c>
      <c r="D75" t="s">
        <v>950</v>
      </c>
      <c r="E75" t="s">
        <v>811</v>
      </c>
      <c r="F75" t="s">
        <v>749</v>
      </c>
      <c r="G75" t="s">
        <v>948</v>
      </c>
    </row>
    <row r="76" spans="1:7" x14ac:dyDescent="0.25">
      <c r="A76" t="str">
        <f t="shared" si="1"/>
        <v>TC_C_49_CS Core</v>
      </c>
      <c r="B76" t="s">
        <v>951</v>
      </c>
      <c r="C76" t="s">
        <v>5</v>
      </c>
      <c r="D76" t="s">
        <v>952</v>
      </c>
      <c r="E76" t="s">
        <v>811</v>
      </c>
      <c r="F76" t="s">
        <v>750</v>
      </c>
      <c r="G76" t="s">
        <v>953</v>
      </c>
    </row>
    <row r="77" spans="1:7" x14ac:dyDescent="0.25">
      <c r="A77" t="str">
        <f t="shared" si="1"/>
        <v>TC_C_32_CS Core</v>
      </c>
      <c r="B77" t="s">
        <v>954</v>
      </c>
      <c r="C77" t="s">
        <v>5</v>
      </c>
      <c r="D77" t="s">
        <v>955</v>
      </c>
      <c r="E77" t="s">
        <v>811</v>
      </c>
      <c r="F77" t="s">
        <v>751</v>
      </c>
      <c r="G77" t="s">
        <v>956</v>
      </c>
    </row>
    <row r="78" spans="1:7" x14ac:dyDescent="0.25">
      <c r="A78" t="str">
        <f t="shared" si="1"/>
        <v>TC_C_33_CS Core</v>
      </c>
      <c r="B78" t="s">
        <v>957</v>
      </c>
      <c r="C78" t="s">
        <v>5</v>
      </c>
      <c r="D78" t="s">
        <v>958</v>
      </c>
      <c r="E78" t="s">
        <v>811</v>
      </c>
      <c r="F78" t="s">
        <v>751</v>
      </c>
      <c r="G78" t="s">
        <v>956</v>
      </c>
    </row>
    <row r="79" spans="1:7" x14ac:dyDescent="0.25">
      <c r="A79" t="str">
        <f t="shared" si="1"/>
        <v>TC_C_34_CS Core</v>
      </c>
      <c r="B79" t="s">
        <v>959</v>
      </c>
      <c r="C79" t="s">
        <v>5</v>
      </c>
      <c r="D79" t="s">
        <v>960</v>
      </c>
      <c r="E79" t="s">
        <v>811</v>
      </c>
      <c r="F79" t="s">
        <v>751</v>
      </c>
      <c r="G79" t="s">
        <v>956</v>
      </c>
    </row>
    <row r="80" spans="1:7" x14ac:dyDescent="0.25">
      <c r="A80" t="str">
        <f t="shared" si="1"/>
        <v>TC_C_36_CS Core</v>
      </c>
      <c r="B80" t="s">
        <v>961</v>
      </c>
      <c r="C80" t="s">
        <v>5</v>
      </c>
      <c r="D80" t="s">
        <v>962</v>
      </c>
      <c r="E80" t="s">
        <v>811</v>
      </c>
      <c r="F80" t="s">
        <v>751</v>
      </c>
      <c r="G80" t="s">
        <v>956</v>
      </c>
    </row>
    <row r="81" spans="1:7" x14ac:dyDescent="0.25">
      <c r="A81" t="str">
        <f t="shared" si="1"/>
        <v>TC_C_46_CS Core</v>
      </c>
      <c r="B81" t="s">
        <v>963</v>
      </c>
      <c r="C81" t="s">
        <v>5</v>
      </c>
      <c r="D81" t="s">
        <v>964</v>
      </c>
      <c r="E81" t="s">
        <v>811</v>
      </c>
      <c r="F81" t="s">
        <v>752</v>
      </c>
      <c r="G81" t="s">
        <v>965</v>
      </c>
    </row>
    <row r="82" spans="1:7" x14ac:dyDescent="0.25">
      <c r="A82" t="str">
        <f t="shared" si="1"/>
        <v>TC_C_37_CS Core</v>
      </c>
      <c r="B82" t="s">
        <v>966</v>
      </c>
      <c r="C82" t="s">
        <v>5</v>
      </c>
      <c r="D82" t="s">
        <v>967</v>
      </c>
      <c r="E82" t="s">
        <v>811</v>
      </c>
      <c r="F82" t="s">
        <v>751</v>
      </c>
      <c r="G82" t="s">
        <v>956</v>
      </c>
    </row>
    <row r="83" spans="1:7" x14ac:dyDescent="0.25">
      <c r="A83" t="str">
        <f t="shared" si="1"/>
        <v>TC_C_38_CS Core</v>
      </c>
      <c r="B83" t="s">
        <v>968</v>
      </c>
      <c r="C83" t="s">
        <v>5</v>
      </c>
      <c r="D83" t="s">
        <v>969</v>
      </c>
      <c r="E83" t="s">
        <v>811</v>
      </c>
      <c r="F83" t="s">
        <v>751</v>
      </c>
      <c r="G83" t="s">
        <v>956</v>
      </c>
    </row>
    <row r="84" spans="1:7" x14ac:dyDescent="0.25">
      <c r="A84" t="str">
        <f t="shared" si="1"/>
        <v>TC_C_41_CS Core</v>
      </c>
      <c r="B84" t="s">
        <v>970</v>
      </c>
      <c r="C84" t="s">
        <v>5</v>
      </c>
      <c r="D84" t="s">
        <v>971</v>
      </c>
      <c r="E84" t="s">
        <v>811</v>
      </c>
      <c r="F84" t="s">
        <v>753</v>
      </c>
      <c r="G84" t="s">
        <v>956</v>
      </c>
    </row>
    <row r="85" spans="1:7" x14ac:dyDescent="0.25">
      <c r="A85" t="str">
        <f t="shared" si="1"/>
        <v>TC_C_44_CS Core</v>
      </c>
      <c r="B85" t="s">
        <v>972</v>
      </c>
      <c r="C85" t="s">
        <v>5</v>
      </c>
      <c r="D85" t="s">
        <v>973</v>
      </c>
      <c r="E85" t="s">
        <v>811</v>
      </c>
      <c r="F85" t="s">
        <v>753</v>
      </c>
      <c r="G85" t="s">
        <v>956</v>
      </c>
    </row>
    <row r="86" spans="1:7" x14ac:dyDescent="0.25">
      <c r="A86" t="str">
        <f t="shared" si="1"/>
        <v>TC_C_08_CS Core</v>
      </c>
      <c r="B86" t="s">
        <v>974</v>
      </c>
      <c r="C86" t="s">
        <v>5</v>
      </c>
      <c r="D86" t="s">
        <v>975</v>
      </c>
      <c r="E86" t="s">
        <v>811</v>
      </c>
      <c r="F86" t="s">
        <v>751</v>
      </c>
      <c r="G86" t="s">
        <v>956</v>
      </c>
    </row>
    <row r="87" spans="1:7" x14ac:dyDescent="0.25">
      <c r="A87" t="str">
        <f t="shared" si="1"/>
        <v>TC_C_09_CS Core</v>
      </c>
      <c r="B87" t="s">
        <v>976</v>
      </c>
      <c r="C87" t="s">
        <v>5</v>
      </c>
      <c r="D87" t="s">
        <v>977</v>
      </c>
      <c r="E87" t="s">
        <v>811</v>
      </c>
      <c r="F87" t="s">
        <v>751</v>
      </c>
      <c r="G87" t="s">
        <v>956</v>
      </c>
    </row>
    <row r="88" spans="1:7" x14ac:dyDescent="0.25">
      <c r="A88" t="str">
        <f t="shared" si="1"/>
        <v>TC_C_12_CS Core</v>
      </c>
      <c r="B88" t="s">
        <v>978</v>
      </c>
      <c r="C88" t="s">
        <v>5</v>
      </c>
      <c r="D88" t="s">
        <v>979</v>
      </c>
      <c r="E88" t="s">
        <v>811</v>
      </c>
      <c r="F88" t="s">
        <v>751</v>
      </c>
      <c r="G88" t="s">
        <v>956</v>
      </c>
    </row>
    <row r="89" spans="1:7" x14ac:dyDescent="0.25">
      <c r="A89" t="str">
        <f t="shared" si="1"/>
        <v>TC_C_10_CS Core</v>
      </c>
      <c r="B89" t="s">
        <v>980</v>
      </c>
      <c r="C89" t="s">
        <v>5</v>
      </c>
      <c r="D89" t="s">
        <v>981</v>
      </c>
      <c r="E89" t="s">
        <v>811</v>
      </c>
      <c r="F89" t="s">
        <v>751</v>
      </c>
      <c r="G89" t="s">
        <v>956</v>
      </c>
    </row>
    <row r="90" spans="1:7" x14ac:dyDescent="0.25">
      <c r="A90" t="str">
        <f t="shared" si="1"/>
        <v>TC_C_11_CS Core</v>
      </c>
      <c r="B90" t="s">
        <v>982</v>
      </c>
      <c r="C90" t="s">
        <v>5</v>
      </c>
      <c r="D90" t="s">
        <v>983</v>
      </c>
      <c r="E90" t="s">
        <v>811</v>
      </c>
      <c r="F90" t="s">
        <v>751</v>
      </c>
      <c r="G90" t="s">
        <v>956</v>
      </c>
    </row>
    <row r="91" spans="1:7" x14ac:dyDescent="0.25">
      <c r="A91" t="str">
        <f t="shared" si="1"/>
        <v>TC_C_13_CS Core</v>
      </c>
      <c r="B91" t="s">
        <v>984</v>
      </c>
      <c r="C91" t="s">
        <v>5</v>
      </c>
      <c r="D91" t="s">
        <v>985</v>
      </c>
      <c r="E91" t="s">
        <v>811</v>
      </c>
      <c r="F91" t="s">
        <v>751</v>
      </c>
      <c r="G91" t="s">
        <v>956</v>
      </c>
    </row>
    <row r="92" spans="1:7" x14ac:dyDescent="0.25">
      <c r="A92" t="str">
        <f t="shared" si="1"/>
        <v>TC_C_15_CS Core</v>
      </c>
      <c r="B92" t="s">
        <v>986</v>
      </c>
      <c r="C92" t="s">
        <v>5</v>
      </c>
      <c r="D92" t="s">
        <v>987</v>
      </c>
      <c r="E92" t="s">
        <v>811</v>
      </c>
      <c r="F92" t="s">
        <v>754</v>
      </c>
      <c r="G92" t="s">
        <v>988</v>
      </c>
    </row>
    <row r="93" spans="1:7" x14ac:dyDescent="0.25">
      <c r="A93" t="str">
        <f t="shared" si="1"/>
        <v>TC_C_16_CS Core</v>
      </c>
      <c r="B93" t="s">
        <v>989</v>
      </c>
      <c r="C93" t="s">
        <v>5</v>
      </c>
      <c r="D93" t="s">
        <v>990</v>
      </c>
      <c r="E93" t="s">
        <v>811</v>
      </c>
      <c r="F93" t="s">
        <v>753</v>
      </c>
      <c r="G93" t="s">
        <v>956</v>
      </c>
    </row>
    <row r="94" spans="1:7" x14ac:dyDescent="0.25">
      <c r="A94" t="str">
        <f t="shared" si="1"/>
        <v>TC_C_17_CS Core</v>
      </c>
      <c r="B94" t="s">
        <v>991</v>
      </c>
      <c r="C94" t="s">
        <v>5</v>
      </c>
      <c r="D94" t="s">
        <v>992</v>
      </c>
      <c r="E94" t="s">
        <v>811</v>
      </c>
      <c r="F94" t="s">
        <v>753</v>
      </c>
      <c r="G94" t="s">
        <v>956</v>
      </c>
    </row>
    <row r="95" spans="1:7" x14ac:dyDescent="0.25">
      <c r="A95" t="str">
        <f t="shared" si="1"/>
        <v>TC_C_18_CS Core</v>
      </c>
      <c r="B95" t="s">
        <v>993</v>
      </c>
      <c r="C95" t="s">
        <v>5</v>
      </c>
      <c r="D95" t="s">
        <v>994</v>
      </c>
      <c r="E95" t="s">
        <v>811</v>
      </c>
      <c r="F95" t="s">
        <v>754</v>
      </c>
      <c r="G95" t="s">
        <v>988</v>
      </c>
    </row>
    <row r="96" spans="1:7" x14ac:dyDescent="0.25">
      <c r="A96" t="str">
        <f t="shared" si="1"/>
        <v>TC_C_57_CS Core</v>
      </c>
      <c r="B96" t="s">
        <v>995</v>
      </c>
      <c r="C96" t="s">
        <v>5</v>
      </c>
      <c r="D96" t="s">
        <v>996</v>
      </c>
      <c r="E96" t="s">
        <v>811</v>
      </c>
      <c r="F96" t="s">
        <v>755</v>
      </c>
      <c r="G96" t="s">
        <v>2077</v>
      </c>
    </row>
    <row r="97" spans="1:7" x14ac:dyDescent="0.25">
      <c r="A97" t="str">
        <f t="shared" si="1"/>
        <v>TC_E_03_CS Core</v>
      </c>
      <c r="B97" t="s">
        <v>997</v>
      </c>
      <c r="C97" t="s">
        <v>5</v>
      </c>
      <c r="D97" t="s">
        <v>998</v>
      </c>
      <c r="E97" t="s">
        <v>811</v>
      </c>
      <c r="F97" t="s">
        <v>756</v>
      </c>
      <c r="G97" t="s">
        <v>94</v>
      </c>
    </row>
    <row r="98" spans="1:7" x14ac:dyDescent="0.25">
      <c r="A98" t="str">
        <f t="shared" si="1"/>
        <v>TC_E_04_CS Core</v>
      </c>
      <c r="B98" t="s">
        <v>999</v>
      </c>
      <c r="C98" t="s">
        <v>5</v>
      </c>
      <c r="D98" t="s">
        <v>1000</v>
      </c>
      <c r="E98" t="s">
        <v>811</v>
      </c>
      <c r="F98" t="s">
        <v>757</v>
      </c>
      <c r="G98" t="s">
        <v>94</v>
      </c>
    </row>
    <row r="99" spans="1:7" x14ac:dyDescent="0.25">
      <c r="A99" t="str">
        <f t="shared" si="1"/>
        <v>TC_E_05_CS Core</v>
      </c>
      <c r="B99" t="s">
        <v>1001</v>
      </c>
      <c r="C99" t="s">
        <v>5</v>
      </c>
      <c r="D99" t="s">
        <v>1002</v>
      </c>
      <c r="E99" t="s">
        <v>811</v>
      </c>
      <c r="F99" t="s">
        <v>790</v>
      </c>
      <c r="G99" t="s">
        <v>94</v>
      </c>
    </row>
    <row r="100" spans="1:7" x14ac:dyDescent="0.25">
      <c r="A100" t="str">
        <f t="shared" si="1"/>
        <v>TC_E_52_CS Core</v>
      </c>
      <c r="B100" t="s">
        <v>1003</v>
      </c>
      <c r="C100" t="s">
        <v>5</v>
      </c>
      <c r="D100" t="s">
        <v>1004</v>
      </c>
      <c r="E100" t="s">
        <v>811</v>
      </c>
      <c r="F100" t="s">
        <v>724</v>
      </c>
      <c r="G100" t="s">
        <v>1005</v>
      </c>
    </row>
    <row r="101" spans="1:7" x14ac:dyDescent="0.25">
      <c r="A101" t="str">
        <f t="shared" si="1"/>
        <v>TC_E_09_CS Core</v>
      </c>
      <c r="B101" t="s">
        <v>1006</v>
      </c>
      <c r="C101" t="s">
        <v>5</v>
      </c>
      <c r="D101" t="s">
        <v>29</v>
      </c>
      <c r="E101" t="s">
        <v>811</v>
      </c>
      <c r="F101" t="s">
        <v>640</v>
      </c>
      <c r="G101" t="s">
        <v>2077</v>
      </c>
    </row>
    <row r="102" spans="1:7" x14ac:dyDescent="0.25">
      <c r="A102" t="str">
        <f t="shared" si="1"/>
        <v>TC_E_10_CS Core</v>
      </c>
      <c r="B102" t="s">
        <v>1007</v>
      </c>
      <c r="C102" t="s">
        <v>5</v>
      </c>
      <c r="D102" t="s">
        <v>1008</v>
      </c>
      <c r="E102" t="s">
        <v>811</v>
      </c>
      <c r="F102" t="s">
        <v>758</v>
      </c>
      <c r="G102" t="s">
        <v>1009</v>
      </c>
    </row>
    <row r="103" spans="1:7" x14ac:dyDescent="0.25">
      <c r="A103" t="str">
        <f t="shared" si="1"/>
        <v>TC_E_13_CS Core</v>
      </c>
      <c r="B103" t="s">
        <v>1010</v>
      </c>
      <c r="C103" t="s">
        <v>5</v>
      </c>
      <c r="D103" t="s">
        <v>1011</v>
      </c>
      <c r="E103" t="s">
        <v>811</v>
      </c>
      <c r="F103" t="s">
        <v>30</v>
      </c>
      <c r="G103" t="s">
        <v>1012</v>
      </c>
    </row>
    <row r="104" spans="1:7" x14ac:dyDescent="0.25">
      <c r="A104" t="str">
        <f t="shared" si="1"/>
        <v>TC_E_11_CS Core</v>
      </c>
      <c r="B104" t="s">
        <v>1013</v>
      </c>
      <c r="C104" t="s">
        <v>5</v>
      </c>
      <c r="D104" t="s">
        <v>33</v>
      </c>
      <c r="E104" t="s">
        <v>811</v>
      </c>
      <c r="F104" t="s">
        <v>642</v>
      </c>
      <c r="G104" t="s">
        <v>1012</v>
      </c>
    </row>
    <row r="105" spans="1:7" x14ac:dyDescent="0.25">
      <c r="A105" t="str">
        <f t="shared" si="1"/>
        <v>TC_E_01_CS Core</v>
      </c>
      <c r="B105" t="s">
        <v>1014</v>
      </c>
      <c r="C105" t="s">
        <v>5</v>
      </c>
      <c r="D105" t="s">
        <v>35</v>
      </c>
      <c r="E105" t="s">
        <v>811</v>
      </c>
      <c r="F105" t="s">
        <v>643</v>
      </c>
      <c r="G105" t="s">
        <v>1012</v>
      </c>
    </row>
    <row r="106" spans="1:7" x14ac:dyDescent="0.25">
      <c r="A106" t="str">
        <f t="shared" si="1"/>
        <v>TC_E_02_CS Core</v>
      </c>
      <c r="B106" t="s">
        <v>1015</v>
      </c>
      <c r="C106" t="s">
        <v>5</v>
      </c>
      <c r="D106" t="s">
        <v>37</v>
      </c>
      <c r="E106" t="s">
        <v>811</v>
      </c>
      <c r="F106" t="s">
        <v>644</v>
      </c>
      <c r="G106" t="s">
        <v>1012</v>
      </c>
    </row>
    <row r="107" spans="1:7" x14ac:dyDescent="0.25">
      <c r="A107" t="str">
        <f t="shared" si="1"/>
        <v>TC_E_12_CS Core</v>
      </c>
      <c r="B107" t="s">
        <v>1016</v>
      </c>
      <c r="C107" t="s">
        <v>5</v>
      </c>
      <c r="D107" t="s">
        <v>1017</v>
      </c>
      <c r="E107" t="s">
        <v>811</v>
      </c>
      <c r="F107" t="s">
        <v>38</v>
      </c>
      <c r="G107" t="s">
        <v>1012</v>
      </c>
    </row>
    <row r="108" spans="1:7" x14ac:dyDescent="0.25">
      <c r="A108" t="str">
        <f t="shared" si="1"/>
        <v>TC_E_14_CS Core</v>
      </c>
      <c r="B108" t="s">
        <v>1018</v>
      </c>
      <c r="C108" t="s">
        <v>5</v>
      </c>
      <c r="D108" t="s">
        <v>1019</v>
      </c>
      <c r="E108" t="s">
        <v>811</v>
      </c>
      <c r="F108" t="s">
        <v>792</v>
      </c>
      <c r="G108" t="s">
        <v>1020</v>
      </c>
    </row>
    <row r="109" spans="1:7" x14ac:dyDescent="0.25">
      <c r="A109" t="str">
        <f t="shared" si="1"/>
        <v>TC_E_20_CS Core</v>
      </c>
      <c r="B109" t="s">
        <v>1021</v>
      </c>
      <c r="C109" t="s">
        <v>5</v>
      </c>
      <c r="D109" t="s">
        <v>1022</v>
      </c>
      <c r="E109" t="s">
        <v>811</v>
      </c>
      <c r="F109" t="s">
        <v>719</v>
      </c>
      <c r="G109" t="s">
        <v>1020</v>
      </c>
    </row>
    <row r="110" spans="1:7" x14ac:dyDescent="0.25">
      <c r="A110" t="str">
        <f t="shared" si="1"/>
        <v>TC_E_54_CS Core</v>
      </c>
      <c r="B110" t="s">
        <v>1023</v>
      </c>
      <c r="C110" t="s">
        <v>5</v>
      </c>
      <c r="D110" t="s">
        <v>1024</v>
      </c>
      <c r="E110" t="s">
        <v>811</v>
      </c>
      <c r="F110" t="s">
        <v>793</v>
      </c>
      <c r="G110" t="s">
        <v>1020</v>
      </c>
    </row>
    <row r="111" spans="1:7" x14ac:dyDescent="0.25">
      <c r="A111" t="str">
        <f t="shared" si="1"/>
        <v>TC_E_15_CS Core</v>
      </c>
      <c r="B111" t="s">
        <v>1025</v>
      </c>
      <c r="C111" t="s">
        <v>5</v>
      </c>
      <c r="D111" t="s">
        <v>1026</v>
      </c>
      <c r="E111" t="s">
        <v>811</v>
      </c>
      <c r="F111" t="s">
        <v>759</v>
      </c>
      <c r="G111" t="s">
        <v>1027</v>
      </c>
    </row>
    <row r="112" spans="1:7" x14ac:dyDescent="0.25">
      <c r="A112" t="str">
        <f t="shared" si="1"/>
        <v>TC_E_21_CS Core</v>
      </c>
      <c r="B112" t="s">
        <v>1028</v>
      </c>
      <c r="C112" t="s">
        <v>5</v>
      </c>
      <c r="D112" t="s">
        <v>1029</v>
      </c>
      <c r="E112" t="s">
        <v>811</v>
      </c>
      <c r="F112" t="s">
        <v>44</v>
      </c>
      <c r="G112" t="s">
        <v>1020</v>
      </c>
    </row>
    <row r="113" spans="1:7" x14ac:dyDescent="0.25">
      <c r="A113" t="str">
        <f t="shared" si="1"/>
        <v>TC_E_16_CS Core</v>
      </c>
      <c r="B113" t="s">
        <v>1030</v>
      </c>
      <c r="C113" t="s">
        <v>5</v>
      </c>
      <c r="D113" t="s">
        <v>1031</v>
      </c>
      <c r="E113" t="s">
        <v>811</v>
      </c>
      <c r="F113" t="s">
        <v>760</v>
      </c>
      <c r="G113" t="s">
        <v>1032</v>
      </c>
    </row>
    <row r="114" spans="1:7" x14ac:dyDescent="0.25">
      <c r="A114" t="str">
        <f t="shared" si="1"/>
        <v>TC_E_17_CS Core</v>
      </c>
      <c r="B114" t="s">
        <v>1033</v>
      </c>
      <c r="C114" t="s">
        <v>5</v>
      </c>
      <c r="D114" t="s">
        <v>1034</v>
      </c>
      <c r="E114" t="s">
        <v>811</v>
      </c>
      <c r="F114" t="s">
        <v>767</v>
      </c>
      <c r="G114" t="s">
        <v>1020</v>
      </c>
    </row>
    <row r="115" spans="1:7" x14ac:dyDescent="0.25">
      <c r="A115" t="str">
        <f t="shared" si="1"/>
        <v>TC_E_39_CS Core</v>
      </c>
      <c r="B115" t="s">
        <v>1035</v>
      </c>
      <c r="C115" t="s">
        <v>5</v>
      </c>
      <c r="D115" t="s">
        <v>1036</v>
      </c>
      <c r="E115" t="s">
        <v>811</v>
      </c>
      <c r="F115" t="s">
        <v>2135</v>
      </c>
      <c r="G115" t="s">
        <v>2077</v>
      </c>
    </row>
    <row r="116" spans="1:7" x14ac:dyDescent="0.25">
      <c r="A116" t="str">
        <f t="shared" si="1"/>
        <v>TC_E_07_CS Core</v>
      </c>
      <c r="B116" t="s">
        <v>1037</v>
      </c>
      <c r="C116" t="s">
        <v>5</v>
      </c>
      <c r="D116" t="s">
        <v>1038</v>
      </c>
      <c r="E116" t="s">
        <v>811</v>
      </c>
      <c r="F116" t="s">
        <v>761</v>
      </c>
      <c r="G116" t="s">
        <v>1027</v>
      </c>
    </row>
    <row r="117" spans="1:7" x14ac:dyDescent="0.25">
      <c r="A117" t="str">
        <f t="shared" si="1"/>
        <v>TC_E_35_CS Core</v>
      </c>
      <c r="B117" t="s">
        <v>1039</v>
      </c>
      <c r="C117" t="s">
        <v>5</v>
      </c>
      <c r="D117" t="s">
        <v>1040</v>
      </c>
      <c r="E117" t="s">
        <v>811</v>
      </c>
      <c r="F117" t="s">
        <v>651</v>
      </c>
      <c r="G117" t="s">
        <v>1020</v>
      </c>
    </row>
    <row r="118" spans="1:7" x14ac:dyDescent="0.25">
      <c r="A118" t="str">
        <f t="shared" si="1"/>
        <v>TC_E_37_CS Core</v>
      </c>
      <c r="B118" t="s">
        <v>1041</v>
      </c>
      <c r="C118" t="s">
        <v>5</v>
      </c>
      <c r="D118" t="s">
        <v>1042</v>
      </c>
      <c r="E118" t="s">
        <v>811</v>
      </c>
      <c r="F118" t="s">
        <v>713</v>
      </c>
      <c r="G118" t="s">
        <v>1020</v>
      </c>
    </row>
    <row r="119" spans="1:7" x14ac:dyDescent="0.25">
      <c r="A119" t="str">
        <f t="shared" si="1"/>
        <v>TC_E_08_CS Core</v>
      </c>
      <c r="B119" t="s">
        <v>1043</v>
      </c>
      <c r="C119" t="s">
        <v>5</v>
      </c>
      <c r="D119" t="s">
        <v>1044</v>
      </c>
      <c r="E119" t="s">
        <v>811</v>
      </c>
      <c r="F119" t="s">
        <v>653</v>
      </c>
      <c r="G119" t="s">
        <v>1020</v>
      </c>
    </row>
    <row r="120" spans="1:7" x14ac:dyDescent="0.25">
      <c r="A120" t="str">
        <f t="shared" si="1"/>
        <v>TC_E_22_CS Core</v>
      </c>
      <c r="B120" t="s">
        <v>1045</v>
      </c>
      <c r="C120" t="s">
        <v>5</v>
      </c>
      <c r="D120" t="s">
        <v>1046</v>
      </c>
      <c r="E120" t="s">
        <v>811</v>
      </c>
      <c r="F120" t="s">
        <v>48</v>
      </c>
      <c r="G120" t="s">
        <v>1020</v>
      </c>
    </row>
    <row r="121" spans="1:7" x14ac:dyDescent="0.25">
      <c r="A121" t="str">
        <f t="shared" si="1"/>
        <v>TC_E_19_CS Core</v>
      </c>
      <c r="B121" t="s">
        <v>1047</v>
      </c>
      <c r="C121" t="s">
        <v>5</v>
      </c>
      <c r="D121" t="s">
        <v>1048</v>
      </c>
      <c r="E121" t="s">
        <v>811</v>
      </c>
      <c r="F121" t="s">
        <v>654</v>
      </c>
      <c r="G121" t="s">
        <v>1020</v>
      </c>
    </row>
    <row r="122" spans="1:7" x14ac:dyDescent="0.25">
      <c r="A122" t="str">
        <f t="shared" si="1"/>
        <v>TC_E_24_CS Core</v>
      </c>
      <c r="B122" t="s">
        <v>1049</v>
      </c>
      <c r="C122" t="s">
        <v>5</v>
      </c>
      <c r="D122" t="s">
        <v>1050</v>
      </c>
      <c r="E122" t="s">
        <v>811</v>
      </c>
      <c r="F122" t="s">
        <v>705</v>
      </c>
      <c r="G122" t="s">
        <v>1051</v>
      </c>
    </row>
    <row r="123" spans="1:7" x14ac:dyDescent="0.25">
      <c r="A123" t="str">
        <f t="shared" si="1"/>
        <v>TC_E_25_CS Core</v>
      </c>
      <c r="B123" t="s">
        <v>1052</v>
      </c>
      <c r="C123" t="s">
        <v>5</v>
      </c>
      <c r="D123" t="s">
        <v>1053</v>
      </c>
      <c r="E123" t="s">
        <v>811</v>
      </c>
      <c r="F123" t="s">
        <v>706</v>
      </c>
      <c r="G123" t="s">
        <v>1054</v>
      </c>
    </row>
    <row r="124" spans="1:7" x14ac:dyDescent="0.25">
      <c r="A124" t="str">
        <f t="shared" si="1"/>
        <v>TC_E_26_CS Core</v>
      </c>
      <c r="B124" t="s">
        <v>1055</v>
      </c>
      <c r="C124" t="s">
        <v>5</v>
      </c>
      <c r="D124" t="s">
        <v>1056</v>
      </c>
      <c r="E124" t="s">
        <v>811</v>
      </c>
      <c r="F124" t="s">
        <v>707</v>
      </c>
      <c r="G124" t="s">
        <v>2077</v>
      </c>
    </row>
    <row r="125" spans="1:7" x14ac:dyDescent="0.25">
      <c r="A125" t="str">
        <f t="shared" si="1"/>
        <v>TC_E_27_CS Core</v>
      </c>
      <c r="B125" t="s">
        <v>1057</v>
      </c>
      <c r="C125" t="s">
        <v>5</v>
      </c>
      <c r="D125" t="s">
        <v>1058</v>
      </c>
      <c r="E125" t="s">
        <v>811</v>
      </c>
      <c r="F125" t="s">
        <v>708</v>
      </c>
      <c r="G125" t="s">
        <v>2077</v>
      </c>
    </row>
    <row r="126" spans="1:7" x14ac:dyDescent="0.25">
      <c r="A126" t="str">
        <f t="shared" si="1"/>
        <v>TC_E_100_CS Core</v>
      </c>
      <c r="B126" t="s">
        <v>1059</v>
      </c>
      <c r="C126" t="s">
        <v>5</v>
      </c>
      <c r="D126" t="s">
        <v>1060</v>
      </c>
      <c r="E126" t="s">
        <v>811</v>
      </c>
      <c r="F126" t="s">
        <v>163</v>
      </c>
      <c r="G126" t="s">
        <v>164</v>
      </c>
    </row>
    <row r="127" spans="1:7" x14ac:dyDescent="0.25">
      <c r="A127" t="str">
        <f t="shared" si="1"/>
        <v>TC_E_101_CS Core</v>
      </c>
      <c r="B127" t="s">
        <v>1061</v>
      </c>
      <c r="C127" t="s">
        <v>5</v>
      </c>
      <c r="D127" t="s">
        <v>1062</v>
      </c>
      <c r="E127" t="s">
        <v>811</v>
      </c>
      <c r="F127" t="s">
        <v>163</v>
      </c>
      <c r="G127" t="s">
        <v>164</v>
      </c>
    </row>
    <row r="128" spans="1:7" x14ac:dyDescent="0.25">
      <c r="A128" t="str">
        <f t="shared" si="1"/>
        <v>TC_E_102_CS Core</v>
      </c>
      <c r="B128" t="s">
        <v>1063</v>
      </c>
      <c r="C128" t="s">
        <v>5</v>
      </c>
      <c r="D128" t="s">
        <v>1064</v>
      </c>
      <c r="E128" t="s">
        <v>811</v>
      </c>
      <c r="F128" t="s">
        <v>163</v>
      </c>
      <c r="G128" t="s">
        <v>164</v>
      </c>
    </row>
    <row r="129" spans="1:7" x14ac:dyDescent="0.25">
      <c r="A129" t="str">
        <f t="shared" si="1"/>
        <v>TC_E_103_CS Core</v>
      </c>
      <c r="B129" t="s">
        <v>1065</v>
      </c>
      <c r="C129" t="s">
        <v>5</v>
      </c>
      <c r="D129" t="s">
        <v>1066</v>
      </c>
      <c r="E129" t="s">
        <v>811</v>
      </c>
      <c r="F129" t="s">
        <v>163</v>
      </c>
      <c r="G129" t="s">
        <v>164</v>
      </c>
    </row>
    <row r="130" spans="1:7" x14ac:dyDescent="0.25">
      <c r="A130" t="str">
        <f t="shared" ref="A130:A193" si="2">B130&amp;" "&amp;C130</f>
        <v>TC_E_104_CS Core</v>
      </c>
      <c r="B130" t="s">
        <v>1067</v>
      </c>
      <c r="C130" t="s">
        <v>5</v>
      </c>
      <c r="D130" t="s">
        <v>1068</v>
      </c>
      <c r="E130" t="s">
        <v>811</v>
      </c>
      <c r="F130" t="s">
        <v>163</v>
      </c>
      <c r="G130" t="s">
        <v>164</v>
      </c>
    </row>
    <row r="131" spans="1:7" x14ac:dyDescent="0.25">
      <c r="A131" t="str">
        <f t="shared" si="2"/>
        <v>TC_E_105_CS Core</v>
      </c>
      <c r="B131" t="s">
        <v>1069</v>
      </c>
      <c r="C131" t="s">
        <v>5</v>
      </c>
      <c r="D131" t="s">
        <v>1070</v>
      </c>
      <c r="E131" t="s">
        <v>811</v>
      </c>
      <c r="F131" t="s">
        <v>163</v>
      </c>
      <c r="G131" t="s">
        <v>164</v>
      </c>
    </row>
    <row r="132" spans="1:7" x14ac:dyDescent="0.25">
      <c r="A132" t="str">
        <f t="shared" si="2"/>
        <v>TC_E_106_CS Core</v>
      </c>
      <c r="B132" t="s">
        <v>1071</v>
      </c>
      <c r="C132" t="s">
        <v>5</v>
      </c>
      <c r="D132" t="s">
        <v>1072</v>
      </c>
      <c r="E132" t="s">
        <v>811</v>
      </c>
      <c r="F132" t="s">
        <v>163</v>
      </c>
      <c r="G132" t="s">
        <v>164</v>
      </c>
    </row>
    <row r="133" spans="1:7" x14ac:dyDescent="0.25">
      <c r="A133" t="str">
        <f t="shared" si="2"/>
        <v>TC_E_107_CS Core</v>
      </c>
      <c r="B133" t="s">
        <v>1073</v>
      </c>
      <c r="C133" t="s">
        <v>5</v>
      </c>
      <c r="D133" t="s">
        <v>1074</v>
      </c>
      <c r="E133" t="s">
        <v>811</v>
      </c>
      <c r="F133" t="s">
        <v>163</v>
      </c>
      <c r="G133" t="s">
        <v>164</v>
      </c>
    </row>
    <row r="134" spans="1:7" x14ac:dyDescent="0.25">
      <c r="A134" t="str">
        <f t="shared" si="2"/>
        <v>TC_E_108_CS Core</v>
      </c>
      <c r="B134" t="s">
        <v>1075</v>
      </c>
      <c r="C134" t="s">
        <v>5</v>
      </c>
      <c r="D134" t="s">
        <v>1076</v>
      </c>
      <c r="E134" t="s">
        <v>811</v>
      </c>
      <c r="F134" t="s">
        <v>163</v>
      </c>
      <c r="G134" t="s">
        <v>164</v>
      </c>
    </row>
    <row r="135" spans="1:7" x14ac:dyDescent="0.25">
      <c r="A135" t="str">
        <f t="shared" si="2"/>
        <v>TC_E_112_CS Core</v>
      </c>
      <c r="B135" t="s">
        <v>1077</v>
      </c>
      <c r="C135" t="s">
        <v>5</v>
      </c>
      <c r="D135" t="s">
        <v>1078</v>
      </c>
      <c r="E135" t="s">
        <v>811</v>
      </c>
      <c r="F135" t="s">
        <v>165</v>
      </c>
      <c r="G135" t="s">
        <v>2136</v>
      </c>
    </row>
    <row r="136" spans="1:7" x14ac:dyDescent="0.25">
      <c r="A136" t="str">
        <f t="shared" si="2"/>
        <v>TC_E_113_CS Core</v>
      </c>
      <c r="B136" t="s">
        <v>1079</v>
      </c>
      <c r="C136" t="s">
        <v>5</v>
      </c>
      <c r="D136" t="s">
        <v>1080</v>
      </c>
      <c r="E136" t="s">
        <v>811</v>
      </c>
      <c r="F136" t="s">
        <v>165</v>
      </c>
      <c r="G136" t="s">
        <v>2136</v>
      </c>
    </row>
    <row r="137" spans="1:7" x14ac:dyDescent="0.25">
      <c r="A137" t="str">
        <f t="shared" si="2"/>
        <v>TC_E_114_CS Core</v>
      </c>
      <c r="B137" t="s">
        <v>1081</v>
      </c>
      <c r="C137" t="s">
        <v>5</v>
      </c>
      <c r="D137" t="s">
        <v>1082</v>
      </c>
      <c r="E137" t="s">
        <v>811</v>
      </c>
      <c r="F137" t="s">
        <v>1083</v>
      </c>
      <c r="G137" t="s">
        <v>2137</v>
      </c>
    </row>
    <row r="138" spans="1:7" x14ac:dyDescent="0.25">
      <c r="A138" t="str">
        <f t="shared" si="2"/>
        <v>TC_E_115_CS Core</v>
      </c>
      <c r="B138" t="s">
        <v>1084</v>
      </c>
      <c r="C138" t="s">
        <v>5</v>
      </c>
      <c r="D138" t="s">
        <v>1085</v>
      </c>
      <c r="E138" t="s">
        <v>811</v>
      </c>
      <c r="F138" t="s">
        <v>165</v>
      </c>
      <c r="G138" t="s">
        <v>2136</v>
      </c>
    </row>
    <row r="139" spans="1:7" x14ac:dyDescent="0.25">
      <c r="A139" t="str">
        <f t="shared" si="2"/>
        <v>TC_E_116_CS Core</v>
      </c>
      <c r="B139" t="s">
        <v>1086</v>
      </c>
      <c r="C139" t="s">
        <v>5</v>
      </c>
      <c r="D139" t="s">
        <v>1087</v>
      </c>
      <c r="E139" t="s">
        <v>811</v>
      </c>
      <c r="F139" t="s">
        <v>165</v>
      </c>
      <c r="G139" t="s">
        <v>2136</v>
      </c>
    </row>
    <row r="140" spans="1:7" x14ac:dyDescent="0.25">
      <c r="A140" t="str">
        <f t="shared" si="2"/>
        <v>TC_E_41_CS Core</v>
      </c>
      <c r="B140" t="s">
        <v>1088</v>
      </c>
      <c r="C140" t="s">
        <v>5</v>
      </c>
      <c r="D140" t="s">
        <v>1089</v>
      </c>
      <c r="E140" t="s">
        <v>798</v>
      </c>
      <c r="F140" t="s">
        <v>2077</v>
      </c>
      <c r="G140" t="s">
        <v>2077</v>
      </c>
    </row>
    <row r="141" spans="1:7" x14ac:dyDescent="0.25">
      <c r="A141" t="str">
        <f t="shared" si="2"/>
        <v>TC_E_42_CS Core</v>
      </c>
      <c r="B141" t="s">
        <v>1090</v>
      </c>
      <c r="C141" t="s">
        <v>5</v>
      </c>
      <c r="D141" t="s">
        <v>1091</v>
      </c>
      <c r="E141" t="s">
        <v>798</v>
      </c>
      <c r="F141" t="s">
        <v>2077</v>
      </c>
      <c r="G141" t="s">
        <v>2077</v>
      </c>
    </row>
    <row r="142" spans="1:7" x14ac:dyDescent="0.25">
      <c r="A142" t="str">
        <f t="shared" si="2"/>
        <v>TC_E_50_CS Core</v>
      </c>
      <c r="B142" t="s">
        <v>1092</v>
      </c>
      <c r="C142" t="s">
        <v>5</v>
      </c>
      <c r="D142" t="s">
        <v>1093</v>
      </c>
      <c r="E142" t="s">
        <v>798</v>
      </c>
      <c r="F142" t="s">
        <v>2077</v>
      </c>
      <c r="G142" t="s">
        <v>2077</v>
      </c>
    </row>
    <row r="143" spans="1:7" x14ac:dyDescent="0.25">
      <c r="A143" t="str">
        <f t="shared" si="2"/>
        <v>TC_E_51_CS Core</v>
      </c>
      <c r="B143" t="s">
        <v>1094</v>
      </c>
      <c r="C143" t="s">
        <v>5</v>
      </c>
      <c r="D143" t="s">
        <v>1095</v>
      </c>
      <c r="E143" t="s">
        <v>798</v>
      </c>
      <c r="F143" t="s">
        <v>2077</v>
      </c>
      <c r="G143" t="s">
        <v>2077</v>
      </c>
    </row>
    <row r="144" spans="1:7" x14ac:dyDescent="0.25">
      <c r="A144" t="str">
        <f t="shared" si="2"/>
        <v>TC_E_40_CS Core</v>
      </c>
      <c r="B144" t="s">
        <v>1096</v>
      </c>
      <c r="C144" t="s">
        <v>5</v>
      </c>
      <c r="D144" t="s">
        <v>1097</v>
      </c>
      <c r="E144" t="s">
        <v>798</v>
      </c>
      <c r="F144" t="s">
        <v>2077</v>
      </c>
      <c r="G144" t="s">
        <v>2077</v>
      </c>
    </row>
    <row r="145" spans="1:7" x14ac:dyDescent="0.25">
      <c r="A145" t="str">
        <f t="shared" si="2"/>
        <v>TC_E_43_CS Core</v>
      </c>
      <c r="B145" t="s">
        <v>1098</v>
      </c>
      <c r="C145" t="s">
        <v>5</v>
      </c>
      <c r="D145" t="s">
        <v>1099</v>
      </c>
      <c r="E145" t="s">
        <v>811</v>
      </c>
      <c r="F145" t="s">
        <v>4</v>
      </c>
      <c r="G145" t="s">
        <v>1100</v>
      </c>
    </row>
    <row r="146" spans="1:7" x14ac:dyDescent="0.25">
      <c r="A146" t="str">
        <f t="shared" si="2"/>
        <v>TC_E_44_CS Core</v>
      </c>
      <c r="B146" t="s">
        <v>1101</v>
      </c>
      <c r="C146" t="s">
        <v>5</v>
      </c>
      <c r="D146" t="s">
        <v>1102</v>
      </c>
      <c r="E146" t="s">
        <v>811</v>
      </c>
      <c r="F146" t="s">
        <v>762</v>
      </c>
      <c r="G146" t="s">
        <v>1103</v>
      </c>
    </row>
    <row r="147" spans="1:7" x14ac:dyDescent="0.25">
      <c r="A147" t="str">
        <f t="shared" si="2"/>
        <v>TC_E_45_CS Core</v>
      </c>
      <c r="B147" t="s">
        <v>1104</v>
      </c>
      <c r="C147" t="s">
        <v>5</v>
      </c>
      <c r="D147" t="s">
        <v>1105</v>
      </c>
      <c r="E147" t="s">
        <v>811</v>
      </c>
      <c r="F147" t="s">
        <v>763</v>
      </c>
      <c r="G147" t="s">
        <v>1106</v>
      </c>
    </row>
    <row r="148" spans="1:7" x14ac:dyDescent="0.25">
      <c r="A148" t="str">
        <f t="shared" si="2"/>
        <v>TC_E_28_CS Core</v>
      </c>
      <c r="B148" t="s">
        <v>1107</v>
      </c>
      <c r="C148" t="s">
        <v>5</v>
      </c>
      <c r="D148" t="s">
        <v>1108</v>
      </c>
      <c r="E148" t="s">
        <v>798</v>
      </c>
      <c r="F148" t="s">
        <v>2077</v>
      </c>
      <c r="G148" t="s">
        <v>2077</v>
      </c>
    </row>
    <row r="149" spans="1:7" x14ac:dyDescent="0.25">
      <c r="A149" t="str">
        <f t="shared" si="2"/>
        <v>TC_E_29_CS Core</v>
      </c>
      <c r="B149" t="s">
        <v>1109</v>
      </c>
      <c r="C149" t="s">
        <v>5</v>
      </c>
      <c r="D149" t="s">
        <v>1110</v>
      </c>
      <c r="E149" t="s">
        <v>798</v>
      </c>
      <c r="F149" t="s">
        <v>2077</v>
      </c>
      <c r="G149" t="s">
        <v>2077</v>
      </c>
    </row>
    <row r="150" spans="1:7" x14ac:dyDescent="0.25">
      <c r="A150" t="str">
        <f t="shared" si="2"/>
        <v>TC_E_30_CS Core</v>
      </c>
      <c r="B150" t="s">
        <v>1111</v>
      </c>
      <c r="C150" t="s">
        <v>5</v>
      </c>
      <c r="D150" t="s">
        <v>1112</v>
      </c>
      <c r="E150" t="s">
        <v>798</v>
      </c>
      <c r="F150" t="s">
        <v>2077</v>
      </c>
      <c r="G150" t="s">
        <v>2077</v>
      </c>
    </row>
    <row r="151" spans="1:7" x14ac:dyDescent="0.25">
      <c r="A151" t="str">
        <f t="shared" si="2"/>
        <v>TC_E_31_CS Core</v>
      </c>
      <c r="B151" t="s">
        <v>1113</v>
      </c>
      <c r="C151" t="s">
        <v>5</v>
      </c>
      <c r="D151" t="s">
        <v>1114</v>
      </c>
      <c r="E151" t="s">
        <v>811</v>
      </c>
      <c r="F151" t="s">
        <v>2179</v>
      </c>
      <c r="G151" t="s">
        <v>2077</v>
      </c>
    </row>
    <row r="152" spans="1:7" x14ac:dyDescent="0.25">
      <c r="A152" t="str">
        <f t="shared" si="2"/>
        <v>TC_E_32_CS Core</v>
      </c>
      <c r="B152" t="s">
        <v>1115</v>
      </c>
      <c r="C152" t="s">
        <v>5</v>
      </c>
      <c r="D152" t="s">
        <v>1116</v>
      </c>
      <c r="E152" t="s">
        <v>798</v>
      </c>
      <c r="F152" t="s">
        <v>2077</v>
      </c>
      <c r="G152" t="s">
        <v>2077</v>
      </c>
    </row>
    <row r="153" spans="1:7" x14ac:dyDescent="0.25">
      <c r="A153" t="str">
        <f t="shared" si="2"/>
        <v>TC_E_33_CS Core</v>
      </c>
      <c r="B153" t="s">
        <v>1117</v>
      </c>
      <c r="C153" t="s">
        <v>5</v>
      </c>
      <c r="D153" t="s">
        <v>1118</v>
      </c>
      <c r="E153" t="s">
        <v>798</v>
      </c>
      <c r="F153" t="s">
        <v>2077</v>
      </c>
      <c r="G153" t="s">
        <v>2077</v>
      </c>
    </row>
    <row r="154" spans="1:7" x14ac:dyDescent="0.25">
      <c r="A154" t="str">
        <f t="shared" si="2"/>
        <v>TC_E_34_CS Core</v>
      </c>
      <c r="B154" t="s">
        <v>1119</v>
      </c>
      <c r="C154" t="s">
        <v>5</v>
      </c>
      <c r="D154" t="s">
        <v>1120</v>
      </c>
      <c r="E154" t="s">
        <v>798</v>
      </c>
      <c r="F154" t="s">
        <v>2077</v>
      </c>
      <c r="G154" t="s">
        <v>2077</v>
      </c>
    </row>
    <row r="155" spans="1:7" x14ac:dyDescent="0.25">
      <c r="A155" t="str">
        <f t="shared" si="2"/>
        <v>TC_F_01_CS Core</v>
      </c>
      <c r="B155" t="s">
        <v>1121</v>
      </c>
      <c r="C155" t="s">
        <v>5</v>
      </c>
      <c r="D155" t="s">
        <v>1122</v>
      </c>
      <c r="E155" t="s">
        <v>811</v>
      </c>
      <c r="F155" t="s">
        <v>768</v>
      </c>
      <c r="G155" t="s">
        <v>383</v>
      </c>
    </row>
    <row r="156" spans="1:7" x14ac:dyDescent="0.25">
      <c r="A156" t="str">
        <f t="shared" si="2"/>
        <v>TC_F_02_CS Core</v>
      </c>
      <c r="B156" t="s">
        <v>1123</v>
      </c>
      <c r="C156" t="s">
        <v>5</v>
      </c>
      <c r="D156" t="s">
        <v>1124</v>
      </c>
      <c r="E156" t="s">
        <v>811</v>
      </c>
      <c r="F156" t="s">
        <v>769</v>
      </c>
      <c r="G156" t="s">
        <v>383</v>
      </c>
    </row>
    <row r="157" spans="1:7" x14ac:dyDescent="0.25">
      <c r="A157" t="str">
        <f t="shared" si="2"/>
        <v>TC_F_03_CS Core</v>
      </c>
      <c r="B157" t="s">
        <v>1125</v>
      </c>
      <c r="C157" t="s">
        <v>5</v>
      </c>
      <c r="D157" t="s">
        <v>1126</v>
      </c>
      <c r="E157" t="s">
        <v>811</v>
      </c>
      <c r="F157" t="s">
        <v>770</v>
      </c>
      <c r="G157" t="s">
        <v>383</v>
      </c>
    </row>
    <row r="158" spans="1:7" x14ac:dyDescent="0.25">
      <c r="A158" t="str">
        <f t="shared" si="2"/>
        <v>TC_F_04_CS Core</v>
      </c>
      <c r="B158" t="s">
        <v>1127</v>
      </c>
      <c r="C158" t="s">
        <v>5</v>
      </c>
      <c r="D158" t="s">
        <v>1128</v>
      </c>
      <c r="E158" t="s">
        <v>811</v>
      </c>
      <c r="F158" t="s">
        <v>788</v>
      </c>
      <c r="G158" t="s">
        <v>2077</v>
      </c>
    </row>
    <row r="159" spans="1:7" x14ac:dyDescent="0.25">
      <c r="A159" t="str">
        <f t="shared" si="2"/>
        <v>TC_F_08_CS Core</v>
      </c>
      <c r="B159" t="s">
        <v>1129</v>
      </c>
      <c r="C159" t="s">
        <v>5</v>
      </c>
      <c r="D159" t="s">
        <v>1130</v>
      </c>
      <c r="E159" t="s">
        <v>798</v>
      </c>
      <c r="F159" t="s">
        <v>2077</v>
      </c>
      <c r="G159" t="s">
        <v>2077</v>
      </c>
    </row>
    <row r="160" spans="1:7" x14ac:dyDescent="0.25">
      <c r="A160" t="str">
        <f t="shared" si="2"/>
        <v>TC_F_09_CS Core</v>
      </c>
      <c r="B160" t="s">
        <v>1131</v>
      </c>
      <c r="C160" t="s">
        <v>5</v>
      </c>
      <c r="D160" t="s">
        <v>1132</v>
      </c>
      <c r="E160" t="s">
        <v>798</v>
      </c>
      <c r="F160" t="s">
        <v>2077</v>
      </c>
      <c r="G160" t="s">
        <v>2077</v>
      </c>
    </row>
    <row r="161" spans="1:7" x14ac:dyDescent="0.25">
      <c r="A161" t="str">
        <f t="shared" si="2"/>
        <v>TC_F_05_CS Core</v>
      </c>
      <c r="B161" t="s">
        <v>1133</v>
      </c>
      <c r="C161" t="s">
        <v>5</v>
      </c>
      <c r="D161" t="s">
        <v>1134</v>
      </c>
      <c r="E161" t="s">
        <v>811</v>
      </c>
      <c r="F161" t="s">
        <v>711</v>
      </c>
      <c r="G161" t="s">
        <v>2077</v>
      </c>
    </row>
    <row r="162" spans="1:7" x14ac:dyDescent="0.25">
      <c r="A162" t="str">
        <f t="shared" si="2"/>
        <v>TC_F_06_CS Core</v>
      </c>
      <c r="B162" t="s">
        <v>1135</v>
      </c>
      <c r="C162" t="s">
        <v>5</v>
      </c>
      <c r="D162" t="s">
        <v>1136</v>
      </c>
      <c r="E162" t="s">
        <v>811</v>
      </c>
      <c r="F162" t="s">
        <v>711</v>
      </c>
      <c r="G162" t="s">
        <v>2077</v>
      </c>
    </row>
    <row r="163" spans="1:7" x14ac:dyDescent="0.25">
      <c r="A163" t="str">
        <f t="shared" si="2"/>
        <v>TC_F_07_CS Core</v>
      </c>
      <c r="B163" t="s">
        <v>1137</v>
      </c>
      <c r="C163" t="s">
        <v>5</v>
      </c>
      <c r="D163" t="s">
        <v>1138</v>
      </c>
      <c r="E163" t="s">
        <v>811</v>
      </c>
      <c r="F163" t="s">
        <v>711</v>
      </c>
      <c r="G163" t="s">
        <v>2077</v>
      </c>
    </row>
    <row r="164" spans="1:7" x14ac:dyDescent="0.25">
      <c r="A164" t="str">
        <f t="shared" si="2"/>
        <v>TC_F_10_CS Core</v>
      </c>
      <c r="B164" t="s">
        <v>1139</v>
      </c>
      <c r="C164" t="s">
        <v>5</v>
      </c>
      <c r="D164" t="s">
        <v>1140</v>
      </c>
      <c r="E164" t="s">
        <v>811</v>
      </c>
      <c r="F164" t="s">
        <v>711</v>
      </c>
      <c r="G164" t="s">
        <v>2077</v>
      </c>
    </row>
    <row r="165" spans="1:7" x14ac:dyDescent="0.25">
      <c r="A165" t="str">
        <f t="shared" si="2"/>
        <v>TC_F_11_CS Core</v>
      </c>
      <c r="B165" t="s">
        <v>1141</v>
      </c>
      <c r="C165" t="s">
        <v>5</v>
      </c>
      <c r="D165" t="s">
        <v>1142</v>
      </c>
      <c r="E165" t="s">
        <v>811</v>
      </c>
      <c r="F165" t="s">
        <v>79</v>
      </c>
      <c r="G165" t="s">
        <v>77</v>
      </c>
    </row>
    <row r="166" spans="1:7" x14ac:dyDescent="0.25">
      <c r="A166" t="str">
        <f t="shared" si="2"/>
        <v>TC_F_12_CS Core</v>
      </c>
      <c r="B166" t="s">
        <v>1143</v>
      </c>
      <c r="C166" t="s">
        <v>5</v>
      </c>
      <c r="D166" t="s">
        <v>1144</v>
      </c>
      <c r="E166" t="s">
        <v>811</v>
      </c>
      <c r="F166" t="s">
        <v>79</v>
      </c>
      <c r="G166" t="s">
        <v>77</v>
      </c>
    </row>
    <row r="167" spans="1:7" x14ac:dyDescent="0.25">
      <c r="A167" t="str">
        <f t="shared" si="2"/>
        <v>TC_F_13_CS Core</v>
      </c>
      <c r="B167" t="s">
        <v>1145</v>
      </c>
      <c r="C167" t="s">
        <v>5</v>
      </c>
      <c r="D167" t="s">
        <v>1146</v>
      </c>
      <c r="E167" t="s">
        <v>811</v>
      </c>
      <c r="F167" t="s">
        <v>81</v>
      </c>
      <c r="G167" t="s">
        <v>77</v>
      </c>
    </row>
    <row r="168" spans="1:7" x14ac:dyDescent="0.25">
      <c r="A168" t="str">
        <f t="shared" si="2"/>
        <v>TC_F_14_CS Core</v>
      </c>
      <c r="B168" t="s">
        <v>1147</v>
      </c>
      <c r="C168" t="s">
        <v>5</v>
      </c>
      <c r="D168" t="s">
        <v>1148</v>
      </c>
      <c r="E168" t="s">
        <v>811</v>
      </c>
      <c r="F168" t="s">
        <v>81</v>
      </c>
      <c r="G168" t="s">
        <v>77</v>
      </c>
    </row>
    <row r="169" spans="1:7" x14ac:dyDescent="0.25">
      <c r="A169" t="str">
        <f t="shared" si="2"/>
        <v>TC_F_15_CS Core</v>
      </c>
      <c r="B169" t="s">
        <v>1149</v>
      </c>
      <c r="C169" t="s">
        <v>5</v>
      </c>
      <c r="D169" t="s">
        <v>1150</v>
      </c>
      <c r="E169" t="s">
        <v>811</v>
      </c>
      <c r="F169" t="s">
        <v>83</v>
      </c>
      <c r="G169" t="s">
        <v>77</v>
      </c>
    </row>
    <row r="170" spans="1:7" x14ac:dyDescent="0.25">
      <c r="A170" t="str">
        <f t="shared" si="2"/>
        <v>TC_F_16_CS Core</v>
      </c>
      <c r="B170" t="s">
        <v>1151</v>
      </c>
      <c r="C170" t="s">
        <v>5</v>
      </c>
      <c r="D170" t="s">
        <v>1152</v>
      </c>
      <c r="E170" t="s">
        <v>811</v>
      </c>
      <c r="F170" t="s">
        <v>83</v>
      </c>
      <c r="G170" t="s">
        <v>77</v>
      </c>
    </row>
    <row r="171" spans="1:7" x14ac:dyDescent="0.25">
      <c r="A171" t="str">
        <f t="shared" si="2"/>
        <v>TC_F_17_CS Core</v>
      </c>
      <c r="B171" t="s">
        <v>1153</v>
      </c>
      <c r="C171" t="s">
        <v>5</v>
      </c>
      <c r="D171" t="s">
        <v>1154</v>
      </c>
      <c r="E171" t="s">
        <v>811</v>
      </c>
      <c r="F171" t="s">
        <v>85</v>
      </c>
      <c r="G171" t="s">
        <v>77</v>
      </c>
    </row>
    <row r="172" spans="1:7" x14ac:dyDescent="0.25">
      <c r="A172" t="str">
        <f t="shared" si="2"/>
        <v>TC_F_18_CS Core</v>
      </c>
      <c r="B172" t="s">
        <v>1155</v>
      </c>
      <c r="C172" t="s">
        <v>5</v>
      </c>
      <c r="D172" t="s">
        <v>1156</v>
      </c>
      <c r="E172" t="s">
        <v>811</v>
      </c>
      <c r="F172" t="s">
        <v>85</v>
      </c>
      <c r="G172" t="s">
        <v>77</v>
      </c>
    </row>
    <row r="173" spans="1:7" x14ac:dyDescent="0.25">
      <c r="A173" t="str">
        <f t="shared" si="2"/>
        <v>TC_F_19_CS Core</v>
      </c>
      <c r="B173" t="s">
        <v>1157</v>
      </c>
      <c r="C173" t="s">
        <v>5</v>
      </c>
      <c r="D173" t="s">
        <v>1158</v>
      </c>
      <c r="E173" t="s">
        <v>811</v>
      </c>
      <c r="F173" t="s">
        <v>85</v>
      </c>
      <c r="G173" t="s">
        <v>77</v>
      </c>
    </row>
    <row r="174" spans="1:7" x14ac:dyDescent="0.25">
      <c r="A174" t="str">
        <f t="shared" si="2"/>
        <v>TC_F_20_CS Core</v>
      </c>
      <c r="B174" t="s">
        <v>1159</v>
      </c>
      <c r="C174" t="s">
        <v>5</v>
      </c>
      <c r="D174" t="s">
        <v>1160</v>
      </c>
      <c r="E174" t="s">
        <v>798</v>
      </c>
      <c r="F174" t="s">
        <v>2077</v>
      </c>
      <c r="G174" t="s">
        <v>2077</v>
      </c>
    </row>
    <row r="175" spans="1:7" x14ac:dyDescent="0.25">
      <c r="A175" t="str">
        <f t="shared" si="2"/>
        <v>TC_F_23_CS Core</v>
      </c>
      <c r="B175" t="s">
        <v>1161</v>
      </c>
      <c r="C175" t="s">
        <v>5</v>
      </c>
      <c r="D175" t="s">
        <v>1162</v>
      </c>
      <c r="E175" t="s">
        <v>811</v>
      </c>
      <c r="F175" t="s">
        <v>87</v>
      </c>
      <c r="G175" t="s">
        <v>77</v>
      </c>
    </row>
    <row r="176" spans="1:7" x14ac:dyDescent="0.25">
      <c r="A176" t="str">
        <f t="shared" si="2"/>
        <v>TC_F_24_CS Core</v>
      </c>
      <c r="B176" t="s">
        <v>1163</v>
      </c>
      <c r="C176" t="s">
        <v>5</v>
      </c>
      <c r="D176" t="s">
        <v>1164</v>
      </c>
      <c r="E176" t="s">
        <v>811</v>
      </c>
      <c r="F176" t="s">
        <v>87</v>
      </c>
      <c r="G176" t="s">
        <v>77</v>
      </c>
    </row>
    <row r="177" spans="1:7" x14ac:dyDescent="0.25">
      <c r="A177" t="str">
        <f t="shared" si="2"/>
        <v>TC_F_26_CS Core</v>
      </c>
      <c r="B177" t="s">
        <v>1165</v>
      </c>
      <c r="C177" t="s">
        <v>5</v>
      </c>
      <c r="D177" t="s">
        <v>1166</v>
      </c>
      <c r="E177" t="s">
        <v>811</v>
      </c>
      <c r="F177" t="s">
        <v>89</v>
      </c>
      <c r="G177" t="s">
        <v>77</v>
      </c>
    </row>
    <row r="178" spans="1:7" x14ac:dyDescent="0.25">
      <c r="A178" t="str">
        <f t="shared" si="2"/>
        <v>TC_F_27_CS Core</v>
      </c>
      <c r="B178" t="s">
        <v>1167</v>
      </c>
      <c r="C178" t="s">
        <v>5</v>
      </c>
      <c r="D178" t="s">
        <v>1168</v>
      </c>
      <c r="E178" t="s">
        <v>811</v>
      </c>
      <c r="F178" t="s">
        <v>741</v>
      </c>
      <c r="G178" t="s">
        <v>2077</v>
      </c>
    </row>
    <row r="179" spans="1:7" x14ac:dyDescent="0.25">
      <c r="A179" t="str">
        <f t="shared" si="2"/>
        <v>TC_F_100_CS Core</v>
      </c>
      <c r="B179" t="s">
        <v>1169</v>
      </c>
      <c r="C179" t="s">
        <v>5</v>
      </c>
      <c r="D179" t="s">
        <v>92</v>
      </c>
      <c r="E179" t="s">
        <v>811</v>
      </c>
      <c r="F179" t="s">
        <v>91</v>
      </c>
      <c r="G179" t="s">
        <v>1170</v>
      </c>
    </row>
    <row r="180" spans="1:7" x14ac:dyDescent="0.25">
      <c r="A180" t="str">
        <f t="shared" si="2"/>
        <v>TC_G_01_CS Core</v>
      </c>
      <c r="B180" t="s">
        <v>1171</v>
      </c>
      <c r="C180" t="s">
        <v>5</v>
      </c>
      <c r="D180" t="s">
        <v>1172</v>
      </c>
      <c r="E180" t="s">
        <v>798</v>
      </c>
      <c r="F180" t="s">
        <v>2077</v>
      </c>
      <c r="G180" t="s">
        <v>2077</v>
      </c>
    </row>
    <row r="181" spans="1:7" x14ac:dyDescent="0.25">
      <c r="A181" t="str">
        <f t="shared" si="2"/>
        <v>TC_G_02_CS Core</v>
      </c>
      <c r="B181" t="s">
        <v>1173</v>
      </c>
      <c r="C181" t="s">
        <v>5</v>
      </c>
      <c r="D181" t="s">
        <v>1174</v>
      </c>
      <c r="E181" t="s">
        <v>798</v>
      </c>
      <c r="F181" t="s">
        <v>2077</v>
      </c>
      <c r="G181" t="s">
        <v>2077</v>
      </c>
    </row>
    <row r="182" spans="1:7" x14ac:dyDescent="0.25">
      <c r="A182" t="str">
        <f t="shared" si="2"/>
        <v>TC_G_03_CS Core</v>
      </c>
      <c r="B182" t="s">
        <v>1175</v>
      </c>
      <c r="C182" t="s">
        <v>5</v>
      </c>
      <c r="D182" t="s">
        <v>1176</v>
      </c>
      <c r="E182" t="s">
        <v>798</v>
      </c>
      <c r="F182" t="s">
        <v>2077</v>
      </c>
      <c r="G182" t="s">
        <v>2077</v>
      </c>
    </row>
    <row r="183" spans="1:7" x14ac:dyDescent="0.25">
      <c r="A183" t="str">
        <f t="shared" si="2"/>
        <v>TC_G_09_CS Core</v>
      </c>
      <c r="B183" t="s">
        <v>1177</v>
      </c>
      <c r="C183" t="s">
        <v>5</v>
      </c>
      <c r="D183" t="s">
        <v>1178</v>
      </c>
      <c r="E183" t="s">
        <v>798</v>
      </c>
      <c r="F183" t="s">
        <v>2077</v>
      </c>
      <c r="G183" t="s">
        <v>2077</v>
      </c>
    </row>
    <row r="184" spans="1:7" x14ac:dyDescent="0.25">
      <c r="A184" t="str">
        <f t="shared" si="2"/>
        <v>TC_G_04_CS Core</v>
      </c>
      <c r="B184" t="s">
        <v>1179</v>
      </c>
      <c r="C184" t="s">
        <v>5</v>
      </c>
      <c r="D184" t="s">
        <v>1180</v>
      </c>
      <c r="E184" t="s">
        <v>798</v>
      </c>
      <c r="F184" t="s">
        <v>2077</v>
      </c>
      <c r="G184" t="s">
        <v>2077</v>
      </c>
    </row>
    <row r="185" spans="1:7" x14ac:dyDescent="0.25">
      <c r="A185" t="str">
        <f t="shared" si="2"/>
        <v>TC_G_10_CS Core</v>
      </c>
      <c r="B185" t="s">
        <v>1181</v>
      </c>
      <c r="C185" t="s">
        <v>5</v>
      </c>
      <c r="D185" t="s">
        <v>1182</v>
      </c>
      <c r="E185" t="s">
        <v>798</v>
      </c>
      <c r="F185" t="s">
        <v>2077</v>
      </c>
      <c r="G185" t="s">
        <v>2077</v>
      </c>
    </row>
    <row r="186" spans="1:7" x14ac:dyDescent="0.25">
      <c r="A186" t="str">
        <f t="shared" si="2"/>
        <v>TC_G_11_CS Core</v>
      </c>
      <c r="B186" t="s">
        <v>1183</v>
      </c>
      <c r="C186" t="s">
        <v>5</v>
      </c>
      <c r="D186" t="s">
        <v>1184</v>
      </c>
      <c r="E186" t="s">
        <v>798</v>
      </c>
      <c r="F186" t="s">
        <v>2077</v>
      </c>
      <c r="G186" t="s">
        <v>2077</v>
      </c>
    </row>
    <row r="187" spans="1:7" x14ac:dyDescent="0.25">
      <c r="A187" t="str">
        <f t="shared" si="2"/>
        <v>TC_G_18_CS Core</v>
      </c>
      <c r="B187" t="s">
        <v>1185</v>
      </c>
      <c r="C187" t="s">
        <v>5</v>
      </c>
      <c r="D187" t="s">
        <v>1186</v>
      </c>
      <c r="E187" t="s">
        <v>798</v>
      </c>
      <c r="F187" t="s">
        <v>2077</v>
      </c>
      <c r="G187" t="s">
        <v>2077</v>
      </c>
    </row>
    <row r="188" spans="1:7" x14ac:dyDescent="0.25">
      <c r="A188" t="str">
        <f t="shared" si="2"/>
        <v>TC_G_05_CS Core</v>
      </c>
      <c r="B188" t="s">
        <v>1187</v>
      </c>
      <c r="C188" t="s">
        <v>5</v>
      </c>
      <c r="D188" t="s">
        <v>1188</v>
      </c>
      <c r="E188" t="s">
        <v>798</v>
      </c>
      <c r="F188" t="s">
        <v>2077</v>
      </c>
      <c r="G188" t="s">
        <v>2077</v>
      </c>
    </row>
    <row r="189" spans="1:7" x14ac:dyDescent="0.25">
      <c r="A189" t="str">
        <f t="shared" si="2"/>
        <v>TC_G_12_CS Core</v>
      </c>
      <c r="B189" t="s">
        <v>1189</v>
      </c>
      <c r="C189" t="s">
        <v>5</v>
      </c>
      <c r="D189" t="s">
        <v>1190</v>
      </c>
      <c r="E189" t="s">
        <v>798</v>
      </c>
      <c r="F189" t="s">
        <v>2077</v>
      </c>
      <c r="G189" t="s">
        <v>2077</v>
      </c>
    </row>
    <row r="190" spans="1:7" x14ac:dyDescent="0.25">
      <c r="A190" t="str">
        <f t="shared" si="2"/>
        <v>TC_G_06_CS Core</v>
      </c>
      <c r="B190" t="s">
        <v>1191</v>
      </c>
      <c r="C190" t="s">
        <v>5</v>
      </c>
      <c r="D190" t="s">
        <v>1192</v>
      </c>
      <c r="E190" t="s">
        <v>798</v>
      </c>
      <c r="F190" t="s">
        <v>2077</v>
      </c>
      <c r="G190" t="s">
        <v>2077</v>
      </c>
    </row>
    <row r="191" spans="1:7" x14ac:dyDescent="0.25">
      <c r="A191" t="str">
        <f t="shared" si="2"/>
        <v>TC_G_13_CS Core</v>
      </c>
      <c r="B191" t="s">
        <v>1193</v>
      </c>
      <c r="C191" t="s">
        <v>5</v>
      </c>
      <c r="D191" t="s">
        <v>1194</v>
      </c>
      <c r="E191" t="s">
        <v>798</v>
      </c>
      <c r="F191" t="s">
        <v>2077</v>
      </c>
      <c r="G191" t="s">
        <v>2077</v>
      </c>
    </row>
    <row r="192" spans="1:7" x14ac:dyDescent="0.25">
      <c r="A192" t="str">
        <f t="shared" si="2"/>
        <v>TC_G_21_CS Core</v>
      </c>
      <c r="B192" t="s">
        <v>1195</v>
      </c>
      <c r="C192" t="s">
        <v>5</v>
      </c>
      <c r="D192" t="s">
        <v>1196</v>
      </c>
      <c r="E192" t="s">
        <v>798</v>
      </c>
      <c r="F192" t="s">
        <v>2077</v>
      </c>
      <c r="G192" t="s">
        <v>2077</v>
      </c>
    </row>
    <row r="193" spans="1:7" x14ac:dyDescent="0.25">
      <c r="A193" t="str">
        <f t="shared" si="2"/>
        <v>TC_G_14_CS Core</v>
      </c>
      <c r="B193" t="s">
        <v>1197</v>
      </c>
      <c r="C193" t="s">
        <v>5</v>
      </c>
      <c r="D193" t="s">
        <v>1198</v>
      </c>
      <c r="E193" t="s">
        <v>798</v>
      </c>
      <c r="F193" t="s">
        <v>2077</v>
      </c>
      <c r="G193" t="s">
        <v>2077</v>
      </c>
    </row>
    <row r="194" spans="1:7" x14ac:dyDescent="0.25">
      <c r="A194" t="str">
        <f t="shared" ref="A194:A257" si="3">B194&amp;" "&amp;C194</f>
        <v>TC_G_07_CS Core</v>
      </c>
      <c r="B194" t="s">
        <v>1199</v>
      </c>
      <c r="C194" t="s">
        <v>5</v>
      </c>
      <c r="D194" t="s">
        <v>1200</v>
      </c>
      <c r="E194" t="s">
        <v>798</v>
      </c>
      <c r="F194" t="s">
        <v>2077</v>
      </c>
      <c r="G194" t="s">
        <v>2077</v>
      </c>
    </row>
    <row r="195" spans="1:7" x14ac:dyDescent="0.25">
      <c r="A195" t="str">
        <f t="shared" si="3"/>
        <v>TC_G_15_CS Core</v>
      </c>
      <c r="B195" t="s">
        <v>1201</v>
      </c>
      <c r="C195" t="s">
        <v>5</v>
      </c>
      <c r="D195" t="s">
        <v>1202</v>
      </c>
      <c r="E195" t="s">
        <v>798</v>
      </c>
      <c r="F195" t="s">
        <v>2077</v>
      </c>
      <c r="G195" t="s">
        <v>2077</v>
      </c>
    </row>
    <row r="196" spans="1:7" x14ac:dyDescent="0.25">
      <c r="A196" t="str">
        <f t="shared" si="3"/>
        <v>TC_G_08_CS Core</v>
      </c>
      <c r="B196" t="s">
        <v>1203</v>
      </c>
      <c r="C196" t="s">
        <v>5</v>
      </c>
      <c r="D196" t="s">
        <v>1204</v>
      </c>
      <c r="E196" t="s">
        <v>798</v>
      </c>
      <c r="F196" t="s">
        <v>2077</v>
      </c>
      <c r="G196" t="s">
        <v>2077</v>
      </c>
    </row>
    <row r="197" spans="1:7" x14ac:dyDescent="0.25">
      <c r="A197" t="str">
        <f t="shared" si="3"/>
        <v>TC_G_16_CS Core</v>
      </c>
      <c r="B197" t="s">
        <v>1205</v>
      </c>
      <c r="C197" t="s">
        <v>5</v>
      </c>
      <c r="D197" t="s">
        <v>1206</v>
      </c>
      <c r="E197" t="s">
        <v>798</v>
      </c>
      <c r="F197" t="s">
        <v>2077</v>
      </c>
      <c r="G197" t="s">
        <v>2077</v>
      </c>
    </row>
    <row r="198" spans="1:7" x14ac:dyDescent="0.25">
      <c r="A198" t="str">
        <f t="shared" si="3"/>
        <v>TC_G_17_CS Core</v>
      </c>
      <c r="B198" t="s">
        <v>1207</v>
      </c>
      <c r="C198" t="s">
        <v>5</v>
      </c>
      <c r="D198" t="s">
        <v>1208</v>
      </c>
      <c r="E198" t="s">
        <v>798</v>
      </c>
      <c r="F198" t="s">
        <v>2077</v>
      </c>
      <c r="G198" t="s">
        <v>2077</v>
      </c>
    </row>
    <row r="199" spans="1:7" x14ac:dyDescent="0.25">
      <c r="A199" t="str">
        <f t="shared" si="3"/>
        <v>TC_G_19_CS Core</v>
      </c>
      <c r="B199" t="s">
        <v>1209</v>
      </c>
      <c r="C199" t="s">
        <v>5</v>
      </c>
      <c r="D199" t="s">
        <v>1210</v>
      </c>
      <c r="E199" t="s">
        <v>798</v>
      </c>
      <c r="F199" t="s">
        <v>2077</v>
      </c>
      <c r="G199" t="s">
        <v>2077</v>
      </c>
    </row>
    <row r="200" spans="1:7" x14ac:dyDescent="0.25">
      <c r="A200" t="str">
        <f t="shared" si="3"/>
        <v>TC_J_01_CS Core</v>
      </c>
      <c r="B200" t="s">
        <v>1211</v>
      </c>
      <c r="C200" t="s">
        <v>5</v>
      </c>
      <c r="D200" t="s">
        <v>1212</v>
      </c>
      <c r="E200" t="s">
        <v>798</v>
      </c>
      <c r="F200" t="s">
        <v>2077</v>
      </c>
      <c r="G200" t="s">
        <v>2077</v>
      </c>
    </row>
    <row r="201" spans="1:7" x14ac:dyDescent="0.25">
      <c r="A201" t="str">
        <f t="shared" si="3"/>
        <v>TC_J_02_CS Core</v>
      </c>
      <c r="B201" t="s">
        <v>1213</v>
      </c>
      <c r="C201" t="s">
        <v>5</v>
      </c>
      <c r="D201" t="s">
        <v>1214</v>
      </c>
      <c r="E201" t="s">
        <v>798</v>
      </c>
      <c r="F201" t="s">
        <v>2077</v>
      </c>
      <c r="G201" t="s">
        <v>2077</v>
      </c>
    </row>
    <row r="202" spans="1:7" x14ac:dyDescent="0.25">
      <c r="A202" t="str">
        <f t="shared" si="3"/>
        <v>TC_J_03_CS Core</v>
      </c>
      <c r="B202" t="s">
        <v>1215</v>
      </c>
      <c r="C202" t="s">
        <v>5</v>
      </c>
      <c r="D202" t="s">
        <v>1216</v>
      </c>
      <c r="E202" t="s">
        <v>798</v>
      </c>
      <c r="F202" t="s">
        <v>2077</v>
      </c>
      <c r="G202" t="s">
        <v>2077</v>
      </c>
    </row>
    <row r="203" spans="1:7" x14ac:dyDescent="0.25">
      <c r="A203" t="str">
        <f t="shared" si="3"/>
        <v>TC_J_04_CS Core</v>
      </c>
      <c r="B203" t="s">
        <v>1217</v>
      </c>
      <c r="C203" t="s">
        <v>5</v>
      </c>
      <c r="D203" t="s">
        <v>1218</v>
      </c>
      <c r="E203" t="s">
        <v>811</v>
      </c>
      <c r="F203" t="s">
        <v>128</v>
      </c>
      <c r="G203" t="s">
        <v>1219</v>
      </c>
    </row>
    <row r="204" spans="1:7" x14ac:dyDescent="0.25">
      <c r="A204" t="str">
        <f t="shared" si="3"/>
        <v>TC_J_06_CS Core</v>
      </c>
      <c r="B204" t="s">
        <v>1220</v>
      </c>
      <c r="C204" t="s">
        <v>5</v>
      </c>
      <c r="D204" t="s">
        <v>1221</v>
      </c>
      <c r="E204" t="s">
        <v>811</v>
      </c>
      <c r="F204" t="s">
        <v>74</v>
      </c>
      <c r="G204" t="s">
        <v>1222</v>
      </c>
    </row>
    <row r="205" spans="1:7" x14ac:dyDescent="0.25">
      <c r="A205" t="str">
        <f t="shared" si="3"/>
        <v>TC_J_07_CS Core</v>
      </c>
      <c r="B205" t="s">
        <v>1223</v>
      </c>
      <c r="C205" t="s">
        <v>5</v>
      </c>
      <c r="D205" t="s">
        <v>1224</v>
      </c>
      <c r="E205" t="s">
        <v>798</v>
      </c>
      <c r="F205" t="s">
        <v>2077</v>
      </c>
      <c r="G205" t="s">
        <v>2077</v>
      </c>
    </row>
    <row r="206" spans="1:7" x14ac:dyDescent="0.25">
      <c r="A206" t="str">
        <f t="shared" si="3"/>
        <v>TC_J_08_CS Core</v>
      </c>
      <c r="B206" t="s">
        <v>1225</v>
      </c>
      <c r="C206" t="s">
        <v>5</v>
      </c>
      <c r="D206" t="s">
        <v>1226</v>
      </c>
      <c r="E206" t="s">
        <v>811</v>
      </c>
      <c r="F206" t="s">
        <v>689</v>
      </c>
      <c r="G206" t="s">
        <v>1227</v>
      </c>
    </row>
    <row r="207" spans="1:7" x14ac:dyDescent="0.25">
      <c r="A207" t="str">
        <f t="shared" si="3"/>
        <v>TC_J_09_CS Core</v>
      </c>
      <c r="B207" t="s">
        <v>1228</v>
      </c>
      <c r="C207" t="s">
        <v>5</v>
      </c>
      <c r="D207" t="s">
        <v>1229</v>
      </c>
      <c r="E207" t="s">
        <v>798</v>
      </c>
      <c r="F207" t="s">
        <v>2077</v>
      </c>
      <c r="G207" t="s">
        <v>2077</v>
      </c>
    </row>
    <row r="208" spans="1:7" x14ac:dyDescent="0.25">
      <c r="A208" t="str">
        <f t="shared" si="3"/>
        <v>TC_J_10_CS Core</v>
      </c>
      <c r="B208" t="s">
        <v>1230</v>
      </c>
      <c r="C208" t="s">
        <v>5</v>
      </c>
      <c r="D208" t="s">
        <v>1231</v>
      </c>
      <c r="E208" t="s">
        <v>798</v>
      </c>
      <c r="F208" t="s">
        <v>2077</v>
      </c>
      <c r="G208" t="s">
        <v>2077</v>
      </c>
    </row>
    <row r="209" spans="1:7" x14ac:dyDescent="0.25">
      <c r="A209" t="str">
        <f t="shared" si="3"/>
        <v>TC_J_11_CS Core</v>
      </c>
      <c r="B209" t="s">
        <v>1232</v>
      </c>
      <c r="C209" t="s">
        <v>5</v>
      </c>
      <c r="D209" t="s">
        <v>1233</v>
      </c>
      <c r="E209" t="s">
        <v>811</v>
      </c>
      <c r="F209" t="s">
        <v>128</v>
      </c>
      <c r="G209" t="s">
        <v>1219</v>
      </c>
    </row>
    <row r="210" spans="1:7" x14ac:dyDescent="0.25">
      <c r="A210" t="str">
        <f t="shared" si="3"/>
        <v>TC_K_38_CS Core</v>
      </c>
      <c r="B210" t="s">
        <v>1234</v>
      </c>
      <c r="C210" t="s">
        <v>5</v>
      </c>
      <c r="D210" t="s">
        <v>1235</v>
      </c>
      <c r="E210" t="s">
        <v>811</v>
      </c>
      <c r="F210" t="s">
        <v>665</v>
      </c>
      <c r="G210" t="s">
        <v>2077</v>
      </c>
    </row>
    <row r="211" spans="1:7" x14ac:dyDescent="0.25">
      <c r="A211" t="str">
        <f t="shared" si="3"/>
        <v>TC_L_01_CS Core</v>
      </c>
      <c r="B211" t="s">
        <v>1236</v>
      </c>
      <c r="C211" t="s">
        <v>5</v>
      </c>
      <c r="D211" t="s">
        <v>1237</v>
      </c>
      <c r="E211" t="s">
        <v>798</v>
      </c>
      <c r="F211" t="s">
        <v>2077</v>
      </c>
      <c r="G211" t="s">
        <v>2077</v>
      </c>
    </row>
    <row r="212" spans="1:7" x14ac:dyDescent="0.25">
      <c r="A212" t="str">
        <f t="shared" si="3"/>
        <v>TC_L_02_CS Core</v>
      </c>
      <c r="B212" t="s">
        <v>1238</v>
      </c>
      <c r="C212" t="s">
        <v>5</v>
      </c>
      <c r="D212" t="s">
        <v>1239</v>
      </c>
      <c r="E212" t="s">
        <v>798</v>
      </c>
      <c r="F212" t="s">
        <v>2077</v>
      </c>
      <c r="G212" t="s">
        <v>2077</v>
      </c>
    </row>
    <row r="213" spans="1:7" x14ac:dyDescent="0.25">
      <c r="A213" t="str">
        <f t="shared" si="3"/>
        <v>TC_L_03_CS Core</v>
      </c>
      <c r="B213" t="s">
        <v>1240</v>
      </c>
      <c r="C213" t="s">
        <v>5</v>
      </c>
      <c r="D213" t="s">
        <v>1241</v>
      </c>
      <c r="E213" t="s">
        <v>798</v>
      </c>
      <c r="F213" t="s">
        <v>2077</v>
      </c>
      <c r="G213" t="s">
        <v>2077</v>
      </c>
    </row>
    <row r="214" spans="1:7" x14ac:dyDescent="0.25">
      <c r="A214" t="str">
        <f t="shared" si="3"/>
        <v>TC_L_05_CS Core</v>
      </c>
      <c r="B214" t="s">
        <v>1242</v>
      </c>
      <c r="C214" t="s">
        <v>5</v>
      </c>
      <c r="D214" t="s">
        <v>1243</v>
      </c>
      <c r="E214" t="s">
        <v>798</v>
      </c>
      <c r="F214" t="s">
        <v>2077</v>
      </c>
      <c r="G214" t="s">
        <v>2077</v>
      </c>
    </row>
    <row r="215" spans="1:7" x14ac:dyDescent="0.25">
      <c r="A215" t="str">
        <f t="shared" si="3"/>
        <v>TC_L_06_CS Core</v>
      </c>
      <c r="B215" t="s">
        <v>1244</v>
      </c>
      <c r="C215" t="s">
        <v>5</v>
      </c>
      <c r="D215" t="s">
        <v>1245</v>
      </c>
      <c r="E215" t="s">
        <v>798</v>
      </c>
      <c r="F215" t="s">
        <v>2077</v>
      </c>
      <c r="G215" t="s">
        <v>2077</v>
      </c>
    </row>
    <row r="216" spans="1:7" x14ac:dyDescent="0.25">
      <c r="A216" t="str">
        <f t="shared" si="3"/>
        <v>TC_L_07_CS Core</v>
      </c>
      <c r="B216" t="s">
        <v>1246</v>
      </c>
      <c r="C216" t="s">
        <v>5</v>
      </c>
      <c r="D216" t="s">
        <v>1247</v>
      </c>
      <c r="E216" t="s">
        <v>798</v>
      </c>
      <c r="F216" t="s">
        <v>2077</v>
      </c>
      <c r="G216" t="s">
        <v>2077</v>
      </c>
    </row>
    <row r="217" spans="1:7" x14ac:dyDescent="0.25">
      <c r="A217" t="str">
        <f t="shared" si="3"/>
        <v>TC_L_08_CS Core</v>
      </c>
      <c r="B217" t="s">
        <v>1248</v>
      </c>
      <c r="C217" t="s">
        <v>5</v>
      </c>
      <c r="D217" t="s">
        <v>1249</v>
      </c>
      <c r="E217" t="s">
        <v>798</v>
      </c>
      <c r="F217" t="s">
        <v>2077</v>
      </c>
      <c r="G217" t="s">
        <v>2077</v>
      </c>
    </row>
    <row r="218" spans="1:7" x14ac:dyDescent="0.25">
      <c r="A218" t="str">
        <f t="shared" si="3"/>
        <v>TC_L_10_CS Core</v>
      </c>
      <c r="B218" t="s">
        <v>1250</v>
      </c>
      <c r="C218" t="s">
        <v>5</v>
      </c>
      <c r="D218" t="s">
        <v>1251</v>
      </c>
      <c r="E218" t="s">
        <v>811</v>
      </c>
      <c r="F218" t="s">
        <v>158</v>
      </c>
      <c r="G218" t="s">
        <v>2077</v>
      </c>
    </row>
    <row r="219" spans="1:7" x14ac:dyDescent="0.25">
      <c r="A219" t="str">
        <f t="shared" si="3"/>
        <v>TC_L_11_CS Core</v>
      </c>
      <c r="B219" t="s">
        <v>1252</v>
      </c>
      <c r="C219" t="s">
        <v>5</v>
      </c>
      <c r="D219" t="s">
        <v>1253</v>
      </c>
      <c r="E219" t="s">
        <v>811</v>
      </c>
      <c r="F219" t="s">
        <v>687</v>
      </c>
      <c r="G219" t="s">
        <v>2077</v>
      </c>
    </row>
    <row r="220" spans="1:7" x14ac:dyDescent="0.25">
      <c r="A220" t="str">
        <f t="shared" si="3"/>
        <v>TC_L_18_CS Core</v>
      </c>
      <c r="B220" t="s">
        <v>1254</v>
      </c>
      <c r="C220" t="s">
        <v>5</v>
      </c>
      <c r="D220" t="s">
        <v>1255</v>
      </c>
      <c r="E220" t="s">
        <v>798</v>
      </c>
      <c r="F220" t="s">
        <v>2077</v>
      </c>
      <c r="G220" t="s">
        <v>2077</v>
      </c>
    </row>
    <row r="221" spans="1:7" x14ac:dyDescent="0.25">
      <c r="A221" t="str">
        <f t="shared" si="3"/>
        <v>TC_L_12_CS Core</v>
      </c>
      <c r="B221" t="s">
        <v>1256</v>
      </c>
      <c r="C221" t="s">
        <v>5</v>
      </c>
      <c r="D221" t="s">
        <v>1257</v>
      </c>
      <c r="E221" t="s">
        <v>811</v>
      </c>
      <c r="F221" t="s">
        <v>715</v>
      </c>
      <c r="G221" t="s">
        <v>1258</v>
      </c>
    </row>
    <row r="222" spans="1:7" x14ac:dyDescent="0.25">
      <c r="A222" t="str">
        <f t="shared" si="3"/>
        <v>TC_L_13_CS Core</v>
      </c>
      <c r="B222" t="s">
        <v>1259</v>
      </c>
      <c r="C222" t="s">
        <v>5</v>
      </c>
      <c r="D222" t="s">
        <v>1260</v>
      </c>
      <c r="E222" t="s">
        <v>811</v>
      </c>
      <c r="F222" t="s">
        <v>693</v>
      </c>
      <c r="G222" t="s">
        <v>2077</v>
      </c>
    </row>
    <row r="223" spans="1:7" x14ac:dyDescent="0.25">
      <c r="A223" t="str">
        <f t="shared" si="3"/>
        <v>TC_L_14_CS Core</v>
      </c>
      <c r="B223" t="s">
        <v>1261</v>
      </c>
      <c r="C223" t="s">
        <v>5</v>
      </c>
      <c r="D223" t="s">
        <v>1262</v>
      </c>
      <c r="E223" t="s">
        <v>811</v>
      </c>
      <c r="F223" t="s">
        <v>714</v>
      </c>
      <c r="G223" t="s">
        <v>1258</v>
      </c>
    </row>
    <row r="224" spans="1:7" x14ac:dyDescent="0.25">
      <c r="A224" t="str">
        <f t="shared" si="3"/>
        <v>TC_L_15_CS Core</v>
      </c>
      <c r="B224" t="s">
        <v>1263</v>
      </c>
      <c r="C224" t="s">
        <v>5</v>
      </c>
      <c r="D224" t="s">
        <v>1264</v>
      </c>
      <c r="E224" t="s">
        <v>811</v>
      </c>
      <c r="F224" t="s">
        <v>694</v>
      </c>
      <c r="G224" t="s">
        <v>2077</v>
      </c>
    </row>
    <row r="225" spans="1:7" x14ac:dyDescent="0.25">
      <c r="A225" t="str">
        <f t="shared" si="3"/>
        <v>TC_L_16_CS Core</v>
      </c>
      <c r="B225" t="s">
        <v>1265</v>
      </c>
      <c r="C225" t="s">
        <v>5</v>
      </c>
      <c r="D225" t="s">
        <v>1266</v>
      </c>
      <c r="E225" t="s">
        <v>811</v>
      </c>
      <c r="F225" t="s">
        <v>130</v>
      </c>
      <c r="G225" t="s">
        <v>131</v>
      </c>
    </row>
    <row r="226" spans="1:7" x14ac:dyDescent="0.25">
      <c r="A226" t="str">
        <f t="shared" si="3"/>
        <v>TC_M_12_CS Core</v>
      </c>
      <c r="B226" t="s">
        <v>1267</v>
      </c>
      <c r="C226" t="s">
        <v>5</v>
      </c>
      <c r="D226" t="s">
        <v>1268</v>
      </c>
      <c r="E226" t="s">
        <v>798</v>
      </c>
      <c r="F226" t="s">
        <v>2077</v>
      </c>
      <c r="G226" t="s">
        <v>2077</v>
      </c>
    </row>
    <row r="227" spans="1:7" x14ac:dyDescent="0.25">
      <c r="A227" t="str">
        <f t="shared" si="3"/>
        <v>TC_M_13_CS Core</v>
      </c>
      <c r="B227" t="s">
        <v>1269</v>
      </c>
      <c r="C227" t="s">
        <v>5</v>
      </c>
      <c r="D227" t="s">
        <v>1270</v>
      </c>
      <c r="E227" t="s">
        <v>798</v>
      </c>
      <c r="F227" t="s">
        <v>2077</v>
      </c>
      <c r="G227" t="s">
        <v>2077</v>
      </c>
    </row>
    <row r="228" spans="1:7" x14ac:dyDescent="0.25">
      <c r="A228" t="str">
        <f t="shared" si="3"/>
        <v>TC_M_17_CS Core</v>
      </c>
      <c r="B228" t="s">
        <v>1271</v>
      </c>
      <c r="C228" t="s">
        <v>5</v>
      </c>
      <c r="D228" t="s">
        <v>1272</v>
      </c>
      <c r="E228" t="s">
        <v>798</v>
      </c>
      <c r="F228" t="s">
        <v>2077</v>
      </c>
      <c r="G228" t="s">
        <v>2077</v>
      </c>
    </row>
    <row r="229" spans="1:7" x14ac:dyDescent="0.25">
      <c r="A229" t="str">
        <f t="shared" si="3"/>
        <v>TC_M_18_CS Core</v>
      </c>
      <c r="B229" t="s">
        <v>1273</v>
      </c>
      <c r="C229" t="s">
        <v>5</v>
      </c>
      <c r="D229" t="s">
        <v>1274</v>
      </c>
      <c r="E229" t="s">
        <v>798</v>
      </c>
      <c r="F229" t="s">
        <v>2077</v>
      </c>
      <c r="G229" t="s">
        <v>2077</v>
      </c>
    </row>
    <row r="230" spans="1:7" x14ac:dyDescent="0.25">
      <c r="A230" t="str">
        <f t="shared" si="3"/>
        <v>TC_M_19_CS Core</v>
      </c>
      <c r="B230" t="s">
        <v>1275</v>
      </c>
      <c r="C230" t="s">
        <v>5</v>
      </c>
      <c r="D230" t="s">
        <v>1276</v>
      </c>
      <c r="E230" t="s">
        <v>798</v>
      </c>
      <c r="F230" t="s">
        <v>2077</v>
      </c>
      <c r="G230" t="s">
        <v>2077</v>
      </c>
    </row>
    <row r="231" spans="1:7" x14ac:dyDescent="0.25">
      <c r="A231" t="str">
        <f t="shared" si="3"/>
        <v>TC_M_20_CS Core</v>
      </c>
      <c r="B231" t="s">
        <v>1277</v>
      </c>
      <c r="C231" t="s">
        <v>5</v>
      </c>
      <c r="D231" t="s">
        <v>1278</v>
      </c>
      <c r="E231" t="s">
        <v>798</v>
      </c>
      <c r="F231" t="s">
        <v>2077</v>
      </c>
      <c r="G231" t="s">
        <v>2077</v>
      </c>
    </row>
    <row r="232" spans="1:7" x14ac:dyDescent="0.25">
      <c r="A232" t="str">
        <f t="shared" si="3"/>
        <v>TC_M_22_CS Core</v>
      </c>
      <c r="B232" t="s">
        <v>1279</v>
      </c>
      <c r="C232" t="s">
        <v>5</v>
      </c>
      <c r="D232" t="s">
        <v>1280</v>
      </c>
      <c r="E232" t="s">
        <v>798</v>
      </c>
      <c r="F232" t="s">
        <v>2077</v>
      </c>
      <c r="G232" t="s">
        <v>2077</v>
      </c>
    </row>
    <row r="233" spans="1:7" x14ac:dyDescent="0.25">
      <c r="A233" t="str">
        <f t="shared" si="3"/>
        <v>TC_M_01_CS Core</v>
      </c>
      <c r="B233" t="s">
        <v>1281</v>
      </c>
      <c r="C233" t="s">
        <v>5</v>
      </c>
      <c r="D233" t="s">
        <v>1282</v>
      </c>
      <c r="E233" t="s">
        <v>798</v>
      </c>
      <c r="F233" t="s">
        <v>2077</v>
      </c>
      <c r="G233" t="s">
        <v>2077</v>
      </c>
    </row>
    <row r="234" spans="1:7" x14ac:dyDescent="0.25">
      <c r="A234" t="str">
        <f t="shared" si="3"/>
        <v>TC_M_02_CS Core</v>
      </c>
      <c r="B234" t="s">
        <v>1283</v>
      </c>
      <c r="C234" t="s">
        <v>5</v>
      </c>
      <c r="D234" t="s">
        <v>1284</v>
      </c>
      <c r="E234" t="s">
        <v>798</v>
      </c>
      <c r="F234" t="s">
        <v>2077</v>
      </c>
      <c r="G234" t="s">
        <v>2077</v>
      </c>
    </row>
    <row r="235" spans="1:7" x14ac:dyDescent="0.25">
      <c r="A235" t="str">
        <f t="shared" si="3"/>
        <v>TC_M_07_CS Core</v>
      </c>
      <c r="B235" t="s">
        <v>1285</v>
      </c>
      <c r="C235" t="s">
        <v>5</v>
      </c>
      <c r="D235" t="s">
        <v>1286</v>
      </c>
      <c r="E235" t="s">
        <v>798</v>
      </c>
      <c r="F235" t="s">
        <v>2077</v>
      </c>
      <c r="G235" t="s">
        <v>2077</v>
      </c>
    </row>
    <row r="236" spans="1:7" x14ac:dyDescent="0.25">
      <c r="A236" t="str">
        <f t="shared" si="3"/>
        <v>TC_M_09_CS Core</v>
      </c>
      <c r="B236" t="s">
        <v>1287</v>
      </c>
      <c r="C236" t="s">
        <v>5</v>
      </c>
      <c r="D236" t="s">
        <v>1288</v>
      </c>
      <c r="E236" t="s">
        <v>811</v>
      </c>
      <c r="F236" t="s">
        <v>216</v>
      </c>
      <c r="G236" t="s">
        <v>1289</v>
      </c>
    </row>
    <row r="237" spans="1:7" x14ac:dyDescent="0.25">
      <c r="A237" t="str">
        <f t="shared" si="3"/>
        <v>TC_M_30_CS Core</v>
      </c>
      <c r="B237" t="s">
        <v>1290</v>
      </c>
      <c r="C237" t="s">
        <v>5</v>
      </c>
      <c r="D237" t="s">
        <v>1291</v>
      </c>
      <c r="E237" t="s">
        <v>811</v>
      </c>
      <c r="F237" t="s">
        <v>216</v>
      </c>
      <c r="G237" t="s">
        <v>1289</v>
      </c>
    </row>
    <row r="238" spans="1:7" x14ac:dyDescent="0.25">
      <c r="A238" t="str">
        <f t="shared" si="3"/>
        <v>TC_M_31_CS Core</v>
      </c>
      <c r="B238" t="s">
        <v>1292</v>
      </c>
      <c r="C238" t="s">
        <v>5</v>
      </c>
      <c r="D238" t="s">
        <v>1293</v>
      </c>
      <c r="E238" t="s">
        <v>811</v>
      </c>
      <c r="F238" t="s">
        <v>216</v>
      </c>
      <c r="G238" t="s">
        <v>1289</v>
      </c>
    </row>
    <row r="239" spans="1:7" x14ac:dyDescent="0.25">
      <c r="A239" t="str">
        <f t="shared" si="3"/>
        <v>TC_N_25_CS Core</v>
      </c>
      <c r="B239" t="s">
        <v>1294</v>
      </c>
      <c r="C239" t="s">
        <v>5</v>
      </c>
      <c r="D239" t="s">
        <v>1295</v>
      </c>
      <c r="E239" t="s">
        <v>798</v>
      </c>
      <c r="F239" t="s">
        <v>2077</v>
      </c>
      <c r="G239" t="s">
        <v>2077</v>
      </c>
    </row>
    <row r="240" spans="1:7" x14ac:dyDescent="0.25">
      <c r="A240" t="str">
        <f t="shared" si="3"/>
        <v>TC_N_26_CS Core</v>
      </c>
      <c r="B240" t="s">
        <v>1296</v>
      </c>
      <c r="C240" t="s">
        <v>5</v>
      </c>
      <c r="D240" t="s">
        <v>1297</v>
      </c>
      <c r="E240" t="s">
        <v>798</v>
      </c>
      <c r="F240" t="s">
        <v>2077</v>
      </c>
      <c r="G240" t="s">
        <v>2077</v>
      </c>
    </row>
    <row r="241" spans="1:7" x14ac:dyDescent="0.25">
      <c r="A241" t="str">
        <f t="shared" si="3"/>
        <v>TC_N_35_CS Core</v>
      </c>
      <c r="B241" t="s">
        <v>1298</v>
      </c>
      <c r="C241" t="s">
        <v>5</v>
      </c>
      <c r="D241" t="s">
        <v>1299</v>
      </c>
      <c r="E241" t="s">
        <v>798</v>
      </c>
      <c r="F241" t="s">
        <v>2077</v>
      </c>
      <c r="G241" t="s">
        <v>2077</v>
      </c>
    </row>
    <row r="242" spans="1:7" x14ac:dyDescent="0.25">
      <c r="A242" t="str">
        <f t="shared" si="3"/>
        <v>TC_N_36_CS Core</v>
      </c>
      <c r="B242" t="s">
        <v>1300</v>
      </c>
      <c r="C242" t="s">
        <v>5</v>
      </c>
      <c r="D242" t="s">
        <v>1301</v>
      </c>
      <c r="E242" t="s">
        <v>811</v>
      </c>
      <c r="F242" t="s">
        <v>156</v>
      </c>
      <c r="G242" t="s">
        <v>2077</v>
      </c>
    </row>
    <row r="243" spans="1:7" x14ac:dyDescent="0.25">
      <c r="A243" t="str">
        <f t="shared" si="3"/>
        <v>TC_N_100_CS Core</v>
      </c>
      <c r="B243" t="s">
        <v>1302</v>
      </c>
      <c r="C243" t="s">
        <v>5</v>
      </c>
      <c r="D243" t="s">
        <v>1303</v>
      </c>
      <c r="E243" t="s">
        <v>811</v>
      </c>
      <c r="F243" t="s">
        <v>2057</v>
      </c>
      <c r="G243" t="s">
        <v>1304</v>
      </c>
    </row>
    <row r="244" spans="1:7" x14ac:dyDescent="0.25">
      <c r="A244" t="str">
        <f t="shared" si="3"/>
        <v>TC_N_101_CS Core</v>
      </c>
      <c r="B244" t="s">
        <v>1305</v>
      </c>
      <c r="C244" t="s">
        <v>5</v>
      </c>
      <c r="D244" t="s">
        <v>1306</v>
      </c>
      <c r="E244" t="s">
        <v>811</v>
      </c>
      <c r="F244" t="s">
        <v>1307</v>
      </c>
      <c r="G244" t="s">
        <v>2077</v>
      </c>
    </row>
    <row r="245" spans="1:7" x14ac:dyDescent="0.25">
      <c r="A245" t="str">
        <f t="shared" si="3"/>
        <v>TC_N_102_CS Core</v>
      </c>
      <c r="B245" t="s">
        <v>1308</v>
      </c>
      <c r="C245" t="s">
        <v>5</v>
      </c>
      <c r="D245" t="s">
        <v>1309</v>
      </c>
      <c r="E245" t="s">
        <v>811</v>
      </c>
      <c r="F245" t="s">
        <v>1310</v>
      </c>
      <c r="G245" t="s">
        <v>2077</v>
      </c>
    </row>
    <row r="246" spans="1:7" x14ac:dyDescent="0.25">
      <c r="A246" t="str">
        <f t="shared" si="3"/>
        <v>TC_N_103_CS Core</v>
      </c>
      <c r="B246" t="s">
        <v>1311</v>
      </c>
      <c r="C246" t="s">
        <v>5</v>
      </c>
      <c r="D246" t="s">
        <v>1312</v>
      </c>
      <c r="E246" t="s">
        <v>811</v>
      </c>
      <c r="F246" t="s">
        <v>1313</v>
      </c>
      <c r="G246" t="s">
        <v>2077</v>
      </c>
    </row>
    <row r="247" spans="1:7" x14ac:dyDescent="0.25">
      <c r="A247" t="str">
        <f t="shared" si="3"/>
        <v>TC_N_27_CS Core</v>
      </c>
      <c r="B247" t="s">
        <v>1314</v>
      </c>
      <c r="C247" t="s">
        <v>5</v>
      </c>
      <c r="D247" t="s">
        <v>1315</v>
      </c>
      <c r="E247" t="s">
        <v>811</v>
      </c>
      <c r="F247" t="s">
        <v>765</v>
      </c>
      <c r="G247" t="s">
        <v>2077</v>
      </c>
    </row>
    <row r="248" spans="1:7" x14ac:dyDescent="0.25">
      <c r="A248" t="str">
        <f t="shared" si="3"/>
        <v>TC_N_28_CS Core</v>
      </c>
      <c r="B248" t="s">
        <v>1316</v>
      </c>
      <c r="C248" t="s">
        <v>5</v>
      </c>
      <c r="D248" t="s">
        <v>1317</v>
      </c>
      <c r="E248" t="s">
        <v>811</v>
      </c>
      <c r="F248" t="s">
        <v>765</v>
      </c>
      <c r="G248" t="s">
        <v>2077</v>
      </c>
    </row>
    <row r="249" spans="1:7" x14ac:dyDescent="0.25">
      <c r="A249" t="str">
        <f t="shared" si="3"/>
        <v>TC_N_30_CS Core</v>
      </c>
      <c r="B249" t="s">
        <v>1318</v>
      </c>
      <c r="C249" t="s">
        <v>5</v>
      </c>
      <c r="D249" t="s">
        <v>1319</v>
      </c>
      <c r="E249" t="s">
        <v>811</v>
      </c>
      <c r="F249" t="s">
        <v>765</v>
      </c>
      <c r="G249" t="s">
        <v>2077</v>
      </c>
    </row>
    <row r="250" spans="1:7" x14ac:dyDescent="0.25">
      <c r="A250" t="str">
        <f t="shared" si="3"/>
        <v>TC_N_31_CS Core</v>
      </c>
      <c r="B250" t="s">
        <v>1320</v>
      </c>
      <c r="C250" t="s">
        <v>5</v>
      </c>
      <c r="D250" t="s">
        <v>1321</v>
      </c>
      <c r="E250" t="s">
        <v>811</v>
      </c>
      <c r="F250" t="s">
        <v>765</v>
      </c>
      <c r="G250" t="s">
        <v>2077</v>
      </c>
    </row>
    <row r="251" spans="1:7" x14ac:dyDescent="0.25">
      <c r="A251" t="str">
        <f t="shared" si="3"/>
        <v>TC_N_32_CS Core</v>
      </c>
      <c r="B251" t="s">
        <v>1322</v>
      </c>
      <c r="C251" t="s">
        <v>5</v>
      </c>
      <c r="D251" t="s">
        <v>1323</v>
      </c>
      <c r="E251" t="s">
        <v>798</v>
      </c>
      <c r="F251" t="s">
        <v>2077</v>
      </c>
      <c r="G251" t="s">
        <v>2077</v>
      </c>
    </row>
    <row r="252" spans="1:7" x14ac:dyDescent="0.25">
      <c r="A252" t="str">
        <f t="shared" si="3"/>
        <v>TC_N_62_CS Core</v>
      </c>
      <c r="B252" t="s">
        <v>1324</v>
      </c>
      <c r="C252" t="s">
        <v>5</v>
      </c>
      <c r="D252" t="s">
        <v>1325</v>
      </c>
      <c r="E252" t="s">
        <v>811</v>
      </c>
      <c r="F252" t="s">
        <v>60</v>
      </c>
      <c r="G252" t="s">
        <v>2077</v>
      </c>
    </row>
    <row r="253" spans="1:7" x14ac:dyDescent="0.25">
      <c r="A253" t="str">
        <f t="shared" si="3"/>
        <v>TC_P_01_CS Core</v>
      </c>
      <c r="B253" t="s">
        <v>1326</v>
      </c>
      <c r="C253" t="s">
        <v>5</v>
      </c>
      <c r="D253" t="s">
        <v>1327</v>
      </c>
      <c r="E253" t="s">
        <v>798</v>
      </c>
      <c r="F253" t="s">
        <v>2077</v>
      </c>
      <c r="G253" t="s">
        <v>2077</v>
      </c>
    </row>
    <row r="254" spans="1:7" x14ac:dyDescent="0.25">
      <c r="A254" t="str">
        <f t="shared" si="3"/>
        <v>TC_P_03_CS Core</v>
      </c>
      <c r="B254" t="s">
        <v>1328</v>
      </c>
      <c r="C254" t="s">
        <v>5</v>
      </c>
      <c r="D254" t="s">
        <v>1329</v>
      </c>
      <c r="E254" t="s">
        <v>798</v>
      </c>
      <c r="F254" t="s">
        <v>2077</v>
      </c>
      <c r="G254" t="s">
        <v>2077</v>
      </c>
    </row>
    <row r="255" spans="1:7" x14ac:dyDescent="0.25">
      <c r="A255" t="str">
        <f t="shared" si="3"/>
        <v>TC_S_102_CS Core</v>
      </c>
      <c r="B255" t="s">
        <v>1330</v>
      </c>
      <c r="C255" t="s">
        <v>5</v>
      </c>
      <c r="D255" t="s">
        <v>2138</v>
      </c>
      <c r="E255" t="s">
        <v>811</v>
      </c>
      <c r="F255" t="s">
        <v>359</v>
      </c>
      <c r="G255" t="s">
        <v>2077</v>
      </c>
    </row>
    <row r="256" spans="1:7" x14ac:dyDescent="0.25">
      <c r="A256" t="str">
        <f t="shared" si="3"/>
        <v>TC_S_104_CS Core</v>
      </c>
      <c r="B256" t="s">
        <v>1331</v>
      </c>
      <c r="C256" t="s">
        <v>5</v>
      </c>
      <c r="D256" t="s">
        <v>2139</v>
      </c>
      <c r="E256" t="s">
        <v>811</v>
      </c>
      <c r="F256" t="s">
        <v>359</v>
      </c>
      <c r="G256" t="s">
        <v>2077</v>
      </c>
    </row>
    <row r="257" spans="1:7" x14ac:dyDescent="0.25">
      <c r="A257" t="str">
        <f t="shared" si="3"/>
        <v>TC_S_105_CS Core</v>
      </c>
      <c r="B257" t="s">
        <v>1332</v>
      </c>
      <c r="C257" t="s">
        <v>5</v>
      </c>
      <c r="D257" t="s">
        <v>2064</v>
      </c>
      <c r="E257" t="s">
        <v>811</v>
      </c>
      <c r="F257" t="s">
        <v>359</v>
      </c>
      <c r="G257" t="s">
        <v>2077</v>
      </c>
    </row>
    <row r="258" spans="1:7" x14ac:dyDescent="0.25">
      <c r="A258" t="str">
        <f t="shared" ref="A258:A321" si="4">B258&amp;" "&amp;C258</f>
        <v>TC_C_21_CS Core</v>
      </c>
      <c r="B258" t="s">
        <v>1333</v>
      </c>
      <c r="C258" t="s">
        <v>5</v>
      </c>
      <c r="D258" t="s">
        <v>1334</v>
      </c>
      <c r="E258" t="s">
        <v>811</v>
      </c>
      <c r="F258" t="s">
        <v>771</v>
      </c>
      <c r="G258" t="s">
        <v>2077</v>
      </c>
    </row>
    <row r="259" spans="1:7" x14ac:dyDescent="0.25">
      <c r="A259" t="str">
        <f t="shared" si="4"/>
        <v>TC_C_22_CS Core</v>
      </c>
      <c r="B259" t="s">
        <v>1335</v>
      </c>
      <c r="C259" t="s">
        <v>5</v>
      </c>
      <c r="D259" t="s">
        <v>1336</v>
      </c>
      <c r="E259" t="s">
        <v>811</v>
      </c>
      <c r="F259" t="s">
        <v>772</v>
      </c>
      <c r="G259" t="s">
        <v>2077</v>
      </c>
    </row>
    <row r="260" spans="1:7" x14ac:dyDescent="0.25">
      <c r="A260" t="str">
        <f t="shared" si="4"/>
        <v>TC_C_23_CS Core</v>
      </c>
      <c r="B260" t="s">
        <v>1337</v>
      </c>
      <c r="C260" t="s">
        <v>5</v>
      </c>
      <c r="D260" t="s">
        <v>1338</v>
      </c>
      <c r="E260" t="s">
        <v>811</v>
      </c>
      <c r="F260" t="s">
        <v>772</v>
      </c>
      <c r="G260" t="s">
        <v>2077</v>
      </c>
    </row>
    <row r="261" spans="1:7" x14ac:dyDescent="0.25">
      <c r="A261" t="str">
        <f t="shared" si="4"/>
        <v>TC_C_24_CS Core</v>
      </c>
      <c r="B261" t="s">
        <v>1339</v>
      </c>
      <c r="C261" t="s">
        <v>5</v>
      </c>
      <c r="D261" t="s">
        <v>1340</v>
      </c>
      <c r="E261" t="s">
        <v>811</v>
      </c>
      <c r="F261" t="s">
        <v>772</v>
      </c>
      <c r="G261" t="s">
        <v>2077</v>
      </c>
    </row>
    <row r="262" spans="1:7" x14ac:dyDescent="0.25">
      <c r="A262" t="str">
        <f t="shared" si="4"/>
        <v>TC_C_25_CS Core</v>
      </c>
      <c r="B262" t="s">
        <v>1341</v>
      </c>
      <c r="C262" t="s">
        <v>5</v>
      </c>
      <c r="D262" t="s">
        <v>1342</v>
      </c>
      <c r="E262" t="s">
        <v>811</v>
      </c>
      <c r="F262" t="s">
        <v>773</v>
      </c>
      <c r="G262" t="s">
        <v>2077</v>
      </c>
    </row>
    <row r="263" spans="1:7" x14ac:dyDescent="0.25">
      <c r="A263" t="str">
        <f t="shared" si="4"/>
        <v>TC_C_27_CS Core</v>
      </c>
      <c r="B263" t="s">
        <v>1343</v>
      </c>
      <c r="C263" t="s">
        <v>5</v>
      </c>
      <c r="D263" t="s">
        <v>1344</v>
      </c>
      <c r="E263" t="s">
        <v>811</v>
      </c>
      <c r="F263" t="s">
        <v>186</v>
      </c>
      <c r="G263" t="s">
        <v>2077</v>
      </c>
    </row>
    <row r="264" spans="1:7" x14ac:dyDescent="0.25">
      <c r="A264" t="str">
        <f t="shared" si="4"/>
        <v>TC_C_28_CS Core</v>
      </c>
      <c r="B264" t="s">
        <v>1345</v>
      </c>
      <c r="C264" t="s">
        <v>5</v>
      </c>
      <c r="D264" t="s">
        <v>1346</v>
      </c>
      <c r="E264" t="s">
        <v>811</v>
      </c>
      <c r="F264" t="s">
        <v>186</v>
      </c>
      <c r="G264" t="s">
        <v>2077</v>
      </c>
    </row>
    <row r="265" spans="1:7" x14ac:dyDescent="0.25">
      <c r="A265" t="str">
        <f t="shared" si="4"/>
        <v>TC_C_31_CS Core</v>
      </c>
      <c r="B265" t="s">
        <v>1347</v>
      </c>
      <c r="C265" t="s">
        <v>5</v>
      </c>
      <c r="D265" t="s">
        <v>1348</v>
      </c>
      <c r="E265" t="s">
        <v>811</v>
      </c>
      <c r="F265" t="s">
        <v>186</v>
      </c>
      <c r="G265" t="s">
        <v>2077</v>
      </c>
    </row>
    <row r="266" spans="1:7" x14ac:dyDescent="0.25">
      <c r="A266" t="str">
        <f t="shared" si="4"/>
        <v>TC_C_29_CS Core</v>
      </c>
      <c r="B266" t="s">
        <v>1349</v>
      </c>
      <c r="C266" t="s">
        <v>5</v>
      </c>
      <c r="D266" t="s">
        <v>1350</v>
      </c>
      <c r="E266" t="s">
        <v>811</v>
      </c>
      <c r="F266" t="s">
        <v>186</v>
      </c>
      <c r="G266" t="s">
        <v>2077</v>
      </c>
    </row>
    <row r="267" spans="1:7" x14ac:dyDescent="0.25">
      <c r="A267" t="str">
        <f t="shared" si="4"/>
        <v>TC_C_30_CS Core</v>
      </c>
      <c r="B267" t="s">
        <v>1351</v>
      </c>
      <c r="C267" t="s">
        <v>5</v>
      </c>
      <c r="D267" t="s">
        <v>1352</v>
      </c>
      <c r="E267" t="s">
        <v>811</v>
      </c>
      <c r="F267" t="s">
        <v>186</v>
      </c>
      <c r="G267" t="s">
        <v>2077</v>
      </c>
    </row>
    <row r="268" spans="1:7" x14ac:dyDescent="0.25">
      <c r="A268" t="str">
        <f t="shared" si="4"/>
        <v>TC_C_58_CS Core</v>
      </c>
      <c r="B268" t="s">
        <v>1353</v>
      </c>
      <c r="C268" t="s">
        <v>5</v>
      </c>
      <c r="D268" t="s">
        <v>1354</v>
      </c>
      <c r="E268" t="s">
        <v>811</v>
      </c>
      <c r="F268" t="s">
        <v>774</v>
      </c>
      <c r="G268" t="s">
        <v>2077</v>
      </c>
    </row>
    <row r="269" spans="1:7" x14ac:dyDescent="0.25">
      <c r="A269" t="str">
        <f t="shared" si="4"/>
        <v>TC_C_40_CS Core</v>
      </c>
      <c r="B269" t="s">
        <v>1355</v>
      </c>
      <c r="C269" t="s">
        <v>5</v>
      </c>
      <c r="D269" t="s">
        <v>1356</v>
      </c>
      <c r="E269" t="s">
        <v>811</v>
      </c>
      <c r="F269" t="s">
        <v>771</v>
      </c>
      <c r="G269" t="s">
        <v>2077</v>
      </c>
    </row>
    <row r="270" spans="1:7" x14ac:dyDescent="0.25">
      <c r="A270" t="str">
        <f t="shared" si="4"/>
        <v>TC_C_43_CS Core</v>
      </c>
      <c r="B270" t="s">
        <v>1357</v>
      </c>
      <c r="C270" t="s">
        <v>5</v>
      </c>
      <c r="D270" t="s">
        <v>1358</v>
      </c>
      <c r="E270" t="s">
        <v>811</v>
      </c>
      <c r="F270" t="s">
        <v>771</v>
      </c>
      <c r="G270" t="s">
        <v>2077</v>
      </c>
    </row>
    <row r="271" spans="1:7" x14ac:dyDescent="0.25">
      <c r="A271" t="str">
        <f t="shared" si="4"/>
        <v>TC_D_01_CS Core</v>
      </c>
      <c r="B271" t="s">
        <v>1359</v>
      </c>
      <c r="C271" t="s">
        <v>5</v>
      </c>
      <c r="D271" t="s">
        <v>1360</v>
      </c>
      <c r="E271" t="s">
        <v>811</v>
      </c>
      <c r="F271" t="s">
        <v>186</v>
      </c>
      <c r="G271" t="s">
        <v>2077</v>
      </c>
    </row>
    <row r="272" spans="1:7" x14ac:dyDescent="0.25">
      <c r="A272" t="str">
        <f t="shared" si="4"/>
        <v>TC_D_02_CS Core</v>
      </c>
      <c r="B272" t="s">
        <v>1361</v>
      </c>
      <c r="C272" t="s">
        <v>5</v>
      </c>
      <c r="D272" t="s">
        <v>1362</v>
      </c>
      <c r="E272" t="s">
        <v>811</v>
      </c>
      <c r="F272" t="s">
        <v>186</v>
      </c>
      <c r="G272" t="s">
        <v>2077</v>
      </c>
    </row>
    <row r="273" spans="1:7" x14ac:dyDescent="0.25">
      <c r="A273" t="str">
        <f t="shared" si="4"/>
        <v>TC_D_03_CS Core</v>
      </c>
      <c r="B273" t="s">
        <v>1363</v>
      </c>
      <c r="C273" t="s">
        <v>5</v>
      </c>
      <c r="D273" t="s">
        <v>1364</v>
      </c>
      <c r="E273" t="s">
        <v>811</v>
      </c>
      <c r="F273" t="s">
        <v>186</v>
      </c>
      <c r="G273" t="s">
        <v>2077</v>
      </c>
    </row>
    <row r="274" spans="1:7" x14ac:dyDescent="0.25">
      <c r="A274" t="str">
        <f t="shared" si="4"/>
        <v>TC_D_04_CS Core</v>
      </c>
      <c r="B274" t="s">
        <v>1365</v>
      </c>
      <c r="C274" t="s">
        <v>5</v>
      </c>
      <c r="D274" t="s">
        <v>1366</v>
      </c>
      <c r="E274" t="s">
        <v>811</v>
      </c>
      <c r="F274" t="s">
        <v>186</v>
      </c>
      <c r="G274" t="s">
        <v>2077</v>
      </c>
    </row>
    <row r="275" spans="1:7" x14ac:dyDescent="0.25">
      <c r="A275" t="str">
        <f t="shared" si="4"/>
        <v>TC_D_05_CS Core</v>
      </c>
      <c r="B275" t="s">
        <v>1367</v>
      </c>
      <c r="C275" t="s">
        <v>5</v>
      </c>
      <c r="D275" t="s">
        <v>1368</v>
      </c>
      <c r="E275" t="s">
        <v>811</v>
      </c>
      <c r="F275" t="s">
        <v>186</v>
      </c>
      <c r="G275" t="s">
        <v>2077</v>
      </c>
    </row>
    <row r="276" spans="1:7" x14ac:dyDescent="0.25">
      <c r="A276" t="str">
        <f t="shared" si="4"/>
        <v>TC_D_06_CS Core</v>
      </c>
      <c r="B276" t="s">
        <v>1369</v>
      </c>
      <c r="C276" t="s">
        <v>5</v>
      </c>
      <c r="D276" t="s">
        <v>1370</v>
      </c>
      <c r="E276" t="s">
        <v>811</v>
      </c>
      <c r="F276" t="s">
        <v>186</v>
      </c>
      <c r="G276" t="s">
        <v>2077</v>
      </c>
    </row>
    <row r="277" spans="1:7" x14ac:dyDescent="0.25">
      <c r="A277" t="str">
        <f t="shared" si="4"/>
        <v>TC_D_07_CS Core</v>
      </c>
      <c r="B277" t="s">
        <v>1371</v>
      </c>
      <c r="C277" t="s">
        <v>5</v>
      </c>
      <c r="D277" t="s">
        <v>1372</v>
      </c>
      <c r="E277" t="s">
        <v>811</v>
      </c>
      <c r="F277" t="s">
        <v>186</v>
      </c>
      <c r="G277" t="s">
        <v>2077</v>
      </c>
    </row>
    <row r="278" spans="1:7" x14ac:dyDescent="0.25">
      <c r="A278" t="str">
        <f t="shared" si="4"/>
        <v>TC_D_08_CS Core</v>
      </c>
      <c r="B278" t="s">
        <v>1373</v>
      </c>
      <c r="C278" t="s">
        <v>5</v>
      </c>
      <c r="D278" t="s">
        <v>1374</v>
      </c>
      <c r="E278" t="s">
        <v>811</v>
      </c>
      <c r="F278" t="s">
        <v>186</v>
      </c>
      <c r="G278" t="s">
        <v>1375</v>
      </c>
    </row>
    <row r="279" spans="1:7" x14ac:dyDescent="0.25">
      <c r="A279" t="str">
        <f t="shared" si="4"/>
        <v>TC_D_10_CS Core</v>
      </c>
      <c r="B279" t="s">
        <v>1376</v>
      </c>
      <c r="C279" t="s">
        <v>5</v>
      </c>
      <c r="D279" t="s">
        <v>1377</v>
      </c>
      <c r="E279" t="s">
        <v>811</v>
      </c>
      <c r="F279" t="s">
        <v>186</v>
      </c>
      <c r="G279" t="s">
        <v>2077</v>
      </c>
    </row>
    <row r="280" spans="1:7" x14ac:dyDescent="0.25">
      <c r="A280" t="str">
        <f t="shared" si="4"/>
        <v>TC_B_24_CS Core</v>
      </c>
      <c r="B280" t="s">
        <v>1378</v>
      </c>
      <c r="C280" t="s">
        <v>5</v>
      </c>
      <c r="D280" t="s">
        <v>1379</v>
      </c>
      <c r="E280" t="s">
        <v>811</v>
      </c>
      <c r="F280" t="s">
        <v>171</v>
      </c>
      <c r="G280" t="s">
        <v>2077</v>
      </c>
    </row>
    <row r="281" spans="1:7" x14ac:dyDescent="0.25">
      <c r="A281" t="str">
        <f t="shared" si="4"/>
        <v>TC_H_01_CS Core</v>
      </c>
      <c r="B281" t="s">
        <v>1380</v>
      </c>
      <c r="C281" t="s">
        <v>5</v>
      </c>
      <c r="D281" t="s">
        <v>1381</v>
      </c>
      <c r="E281" t="s">
        <v>811</v>
      </c>
      <c r="F281" t="s">
        <v>171</v>
      </c>
      <c r="G281" t="s">
        <v>2077</v>
      </c>
    </row>
    <row r="282" spans="1:7" x14ac:dyDescent="0.25">
      <c r="A282" t="str">
        <f t="shared" si="4"/>
        <v>TC_H_02_CS Core</v>
      </c>
      <c r="B282" t="s">
        <v>1382</v>
      </c>
      <c r="C282" t="s">
        <v>5</v>
      </c>
      <c r="D282" t="s">
        <v>1383</v>
      </c>
      <c r="E282" t="s">
        <v>811</v>
      </c>
      <c r="F282" t="s">
        <v>171</v>
      </c>
      <c r="G282" t="s">
        <v>2077</v>
      </c>
    </row>
    <row r="283" spans="1:7" x14ac:dyDescent="0.25">
      <c r="A283" t="str">
        <f t="shared" si="4"/>
        <v>TC_H_03_CS Core</v>
      </c>
      <c r="B283" t="s">
        <v>1384</v>
      </c>
      <c r="C283" t="s">
        <v>5</v>
      </c>
      <c r="D283" t="s">
        <v>1385</v>
      </c>
      <c r="E283" t="s">
        <v>811</v>
      </c>
      <c r="F283" t="s">
        <v>171</v>
      </c>
      <c r="G283" t="s">
        <v>2077</v>
      </c>
    </row>
    <row r="284" spans="1:7" x14ac:dyDescent="0.25">
      <c r="A284" t="str">
        <f t="shared" si="4"/>
        <v>TC_H_04_CS Core</v>
      </c>
      <c r="B284" t="s">
        <v>1386</v>
      </c>
      <c r="C284" t="s">
        <v>5</v>
      </c>
      <c r="D284" t="s">
        <v>1387</v>
      </c>
      <c r="E284" t="s">
        <v>811</v>
      </c>
      <c r="F284" t="s">
        <v>171</v>
      </c>
      <c r="G284" t="s">
        <v>2077</v>
      </c>
    </row>
    <row r="285" spans="1:7" x14ac:dyDescent="0.25">
      <c r="A285" t="str">
        <f t="shared" si="4"/>
        <v>TC_H_06_CS Core</v>
      </c>
      <c r="B285" t="s">
        <v>1388</v>
      </c>
      <c r="C285" t="s">
        <v>5</v>
      </c>
      <c r="D285" t="s">
        <v>1389</v>
      </c>
      <c r="E285" t="s">
        <v>811</v>
      </c>
      <c r="F285" t="s">
        <v>171</v>
      </c>
      <c r="G285" t="s">
        <v>2077</v>
      </c>
    </row>
    <row r="286" spans="1:7" x14ac:dyDescent="0.25">
      <c r="A286" t="str">
        <f t="shared" si="4"/>
        <v>TC_H_07_CS Core</v>
      </c>
      <c r="B286" t="s">
        <v>1390</v>
      </c>
      <c r="C286" t="s">
        <v>5</v>
      </c>
      <c r="D286" t="s">
        <v>1391</v>
      </c>
      <c r="E286" t="s">
        <v>811</v>
      </c>
      <c r="F286" t="s">
        <v>171</v>
      </c>
      <c r="G286" t="s">
        <v>2077</v>
      </c>
    </row>
    <row r="287" spans="1:7" x14ac:dyDescent="0.25">
      <c r="A287" t="str">
        <f t="shared" si="4"/>
        <v>TC_H_22_CS Core</v>
      </c>
      <c r="B287" t="s">
        <v>1392</v>
      </c>
      <c r="C287" t="s">
        <v>5</v>
      </c>
      <c r="D287" t="s">
        <v>1393</v>
      </c>
      <c r="E287" t="s">
        <v>811</v>
      </c>
      <c r="F287" t="s">
        <v>775</v>
      </c>
      <c r="G287" t="s">
        <v>2077</v>
      </c>
    </row>
    <row r="288" spans="1:7" x14ac:dyDescent="0.25">
      <c r="A288" t="str">
        <f t="shared" si="4"/>
        <v>TC_H_23_CS Core</v>
      </c>
      <c r="B288" t="s">
        <v>1394</v>
      </c>
      <c r="C288" t="s">
        <v>5</v>
      </c>
      <c r="D288" t="s">
        <v>1395</v>
      </c>
      <c r="E288" t="s">
        <v>811</v>
      </c>
      <c r="F288" t="s">
        <v>171</v>
      </c>
      <c r="G288" t="s">
        <v>2077</v>
      </c>
    </row>
    <row r="289" spans="1:7" x14ac:dyDescent="0.25">
      <c r="A289" t="str">
        <f t="shared" si="4"/>
        <v>TC_H_19_CS Core</v>
      </c>
      <c r="B289" t="s">
        <v>1396</v>
      </c>
      <c r="C289" t="s">
        <v>5</v>
      </c>
      <c r="D289" t="s">
        <v>1397</v>
      </c>
      <c r="E289" t="s">
        <v>811</v>
      </c>
      <c r="F289" t="s">
        <v>171</v>
      </c>
      <c r="G289" t="s">
        <v>2077</v>
      </c>
    </row>
    <row r="290" spans="1:7" x14ac:dyDescent="0.25">
      <c r="A290" t="str">
        <f t="shared" si="4"/>
        <v>TC_H_08_CS Core</v>
      </c>
      <c r="B290" t="s">
        <v>1398</v>
      </c>
      <c r="C290" t="s">
        <v>5</v>
      </c>
      <c r="D290" t="s">
        <v>1399</v>
      </c>
      <c r="E290" t="s">
        <v>811</v>
      </c>
      <c r="F290" t="s">
        <v>776</v>
      </c>
      <c r="G290" t="s">
        <v>1400</v>
      </c>
    </row>
    <row r="291" spans="1:7" x14ac:dyDescent="0.25">
      <c r="A291" t="str">
        <f t="shared" si="4"/>
        <v>TC_H_09_CS Core</v>
      </c>
      <c r="B291" t="s">
        <v>1401</v>
      </c>
      <c r="C291" t="s">
        <v>5</v>
      </c>
      <c r="D291" t="s">
        <v>1402</v>
      </c>
      <c r="E291" t="s">
        <v>811</v>
      </c>
      <c r="F291" t="s">
        <v>776</v>
      </c>
      <c r="G291" t="s">
        <v>1400</v>
      </c>
    </row>
    <row r="292" spans="1:7" x14ac:dyDescent="0.25">
      <c r="A292" t="str">
        <f t="shared" si="4"/>
        <v>TC_H_10_CS Core</v>
      </c>
      <c r="B292" t="s">
        <v>1403</v>
      </c>
      <c r="C292" t="s">
        <v>5</v>
      </c>
      <c r="D292" t="s">
        <v>1404</v>
      </c>
      <c r="E292" t="s">
        <v>811</v>
      </c>
      <c r="F292" t="s">
        <v>776</v>
      </c>
      <c r="G292" t="s">
        <v>1400</v>
      </c>
    </row>
    <row r="293" spans="1:7" x14ac:dyDescent="0.25">
      <c r="A293" t="str">
        <f t="shared" si="4"/>
        <v>TC_H_12_CS Core</v>
      </c>
      <c r="B293" t="s">
        <v>1405</v>
      </c>
      <c r="C293" t="s">
        <v>5</v>
      </c>
      <c r="D293" t="s">
        <v>1406</v>
      </c>
      <c r="E293" t="s">
        <v>811</v>
      </c>
      <c r="F293" t="s">
        <v>776</v>
      </c>
      <c r="G293" t="s">
        <v>1400</v>
      </c>
    </row>
    <row r="294" spans="1:7" x14ac:dyDescent="0.25">
      <c r="A294" t="str">
        <f t="shared" si="4"/>
        <v>TC_H_13_CS Core</v>
      </c>
      <c r="B294" t="s">
        <v>1407</v>
      </c>
      <c r="C294" t="s">
        <v>5</v>
      </c>
      <c r="D294" t="s">
        <v>1408</v>
      </c>
      <c r="E294" t="s">
        <v>811</v>
      </c>
      <c r="F294" t="s">
        <v>777</v>
      </c>
      <c r="G294" t="s">
        <v>1400</v>
      </c>
    </row>
    <row r="295" spans="1:7" x14ac:dyDescent="0.25">
      <c r="A295" t="str">
        <f t="shared" si="4"/>
        <v>TC_H_14_CS Core</v>
      </c>
      <c r="B295" t="s">
        <v>1409</v>
      </c>
      <c r="C295" t="s">
        <v>5</v>
      </c>
      <c r="D295" t="s">
        <v>1410</v>
      </c>
      <c r="E295" t="s">
        <v>811</v>
      </c>
      <c r="F295" t="s">
        <v>776</v>
      </c>
      <c r="G295" t="s">
        <v>1400</v>
      </c>
    </row>
    <row r="296" spans="1:7" x14ac:dyDescent="0.25">
      <c r="A296" t="str">
        <f t="shared" si="4"/>
        <v>TC_H_24_CS Core</v>
      </c>
      <c r="B296" t="s">
        <v>1411</v>
      </c>
      <c r="C296" t="s">
        <v>5</v>
      </c>
      <c r="D296" t="s">
        <v>1412</v>
      </c>
      <c r="E296" t="s">
        <v>811</v>
      </c>
      <c r="F296" t="s">
        <v>776</v>
      </c>
      <c r="G296" t="s">
        <v>1400</v>
      </c>
    </row>
    <row r="297" spans="1:7" x14ac:dyDescent="0.25">
      <c r="A297" t="str">
        <f t="shared" si="4"/>
        <v>TC_H_15_CS Core</v>
      </c>
      <c r="B297" t="s">
        <v>1413</v>
      </c>
      <c r="C297" t="s">
        <v>5</v>
      </c>
      <c r="D297" t="s">
        <v>1414</v>
      </c>
      <c r="E297" t="s">
        <v>811</v>
      </c>
      <c r="F297" t="s">
        <v>778</v>
      </c>
      <c r="G297" t="s">
        <v>1415</v>
      </c>
    </row>
    <row r="298" spans="1:7" x14ac:dyDescent="0.25">
      <c r="A298" t="str">
        <f t="shared" si="4"/>
        <v>TC_H_16_CS Core</v>
      </c>
      <c r="B298" t="s">
        <v>1416</v>
      </c>
      <c r="C298" t="s">
        <v>5</v>
      </c>
      <c r="D298" t="s">
        <v>1417</v>
      </c>
      <c r="E298" t="s">
        <v>811</v>
      </c>
      <c r="F298" t="s">
        <v>778</v>
      </c>
      <c r="G298" t="s">
        <v>1415</v>
      </c>
    </row>
    <row r="299" spans="1:7" x14ac:dyDescent="0.25">
      <c r="A299" t="str">
        <f t="shared" si="4"/>
        <v>TC_H_17_CS Core</v>
      </c>
      <c r="B299" t="s">
        <v>1418</v>
      </c>
      <c r="C299" t="s">
        <v>5</v>
      </c>
      <c r="D299" t="s">
        <v>1419</v>
      </c>
      <c r="E299" t="s">
        <v>811</v>
      </c>
      <c r="F299" t="s">
        <v>171</v>
      </c>
      <c r="G299" t="s">
        <v>2077</v>
      </c>
    </row>
    <row r="300" spans="1:7" x14ac:dyDescent="0.25">
      <c r="A300" t="str">
        <f t="shared" si="4"/>
        <v>TC_H_18_CS Core</v>
      </c>
      <c r="B300" t="s">
        <v>1420</v>
      </c>
      <c r="C300" t="s">
        <v>5</v>
      </c>
      <c r="D300" t="s">
        <v>1421</v>
      </c>
      <c r="E300" t="s">
        <v>811</v>
      </c>
      <c r="F300" t="s">
        <v>171</v>
      </c>
      <c r="G300" t="s">
        <v>2077</v>
      </c>
    </row>
    <row r="301" spans="1:7" x14ac:dyDescent="0.25">
      <c r="A301" t="str">
        <f t="shared" si="4"/>
        <v>TC_H_21_CS Core</v>
      </c>
      <c r="B301" t="s">
        <v>1422</v>
      </c>
      <c r="C301" t="s">
        <v>5</v>
      </c>
      <c r="D301" t="s">
        <v>1423</v>
      </c>
      <c r="E301" t="s">
        <v>811</v>
      </c>
      <c r="F301" t="s">
        <v>171</v>
      </c>
      <c r="G301" t="s">
        <v>2077</v>
      </c>
    </row>
    <row r="302" spans="1:7" x14ac:dyDescent="0.25">
      <c r="A302" t="str">
        <f t="shared" si="4"/>
        <v>TC_I_100_CS Core</v>
      </c>
      <c r="B302" t="s">
        <v>1424</v>
      </c>
      <c r="C302" t="s">
        <v>5</v>
      </c>
      <c r="D302" t="s">
        <v>2065</v>
      </c>
      <c r="E302" t="s">
        <v>811</v>
      </c>
      <c r="F302" t="s">
        <v>262</v>
      </c>
      <c r="G302" t="s">
        <v>2077</v>
      </c>
    </row>
    <row r="303" spans="1:7" x14ac:dyDescent="0.25">
      <c r="A303" t="str">
        <f t="shared" si="4"/>
        <v>TC_I_101_CS Core</v>
      </c>
      <c r="B303" t="s">
        <v>1425</v>
      </c>
      <c r="C303" t="s">
        <v>5</v>
      </c>
      <c r="D303" t="s">
        <v>2066</v>
      </c>
      <c r="E303" t="s">
        <v>811</v>
      </c>
      <c r="F303" t="s">
        <v>262</v>
      </c>
      <c r="G303" t="s">
        <v>2077</v>
      </c>
    </row>
    <row r="304" spans="1:7" x14ac:dyDescent="0.25">
      <c r="A304" t="str">
        <f t="shared" si="4"/>
        <v>TC_I_102_CS Core</v>
      </c>
      <c r="B304" t="s">
        <v>1426</v>
      </c>
      <c r="C304" t="s">
        <v>5</v>
      </c>
      <c r="D304" t="s">
        <v>2067</v>
      </c>
      <c r="E304" t="s">
        <v>811</v>
      </c>
      <c r="F304" t="s">
        <v>262</v>
      </c>
      <c r="G304" t="s">
        <v>2077</v>
      </c>
    </row>
    <row r="305" spans="1:7" x14ac:dyDescent="0.25">
      <c r="A305" t="str">
        <f t="shared" si="4"/>
        <v>TC_I_104_CS Core</v>
      </c>
      <c r="B305" t="s">
        <v>1427</v>
      </c>
      <c r="C305" t="s">
        <v>5</v>
      </c>
      <c r="D305" t="s">
        <v>2068</v>
      </c>
      <c r="E305" t="s">
        <v>811</v>
      </c>
      <c r="F305" t="s">
        <v>262</v>
      </c>
      <c r="G305" t="s">
        <v>2077</v>
      </c>
    </row>
    <row r="306" spans="1:7" x14ac:dyDescent="0.25">
      <c r="A306" t="str">
        <f t="shared" si="4"/>
        <v>TC_I_105_CS Core</v>
      </c>
      <c r="B306" t="s">
        <v>1428</v>
      </c>
      <c r="C306" t="s">
        <v>5</v>
      </c>
      <c r="D306" t="s">
        <v>2069</v>
      </c>
      <c r="E306" t="s">
        <v>811</v>
      </c>
      <c r="F306" t="s">
        <v>2058</v>
      </c>
      <c r="G306" t="s">
        <v>1429</v>
      </c>
    </row>
    <row r="307" spans="1:7" x14ac:dyDescent="0.25">
      <c r="A307" t="str">
        <f t="shared" si="4"/>
        <v>TC_I_106_CS Core</v>
      </c>
      <c r="B307" t="s">
        <v>1430</v>
      </c>
      <c r="C307" t="s">
        <v>5</v>
      </c>
      <c r="D307" t="s">
        <v>2070</v>
      </c>
      <c r="E307" t="s">
        <v>811</v>
      </c>
      <c r="F307" t="s">
        <v>262</v>
      </c>
      <c r="G307" t="s">
        <v>2077</v>
      </c>
    </row>
    <row r="308" spans="1:7" x14ac:dyDescent="0.25">
      <c r="A308" t="str">
        <f t="shared" si="4"/>
        <v>TC_I_107_CS Core</v>
      </c>
      <c r="B308" t="s">
        <v>1431</v>
      </c>
      <c r="C308" t="s">
        <v>5</v>
      </c>
      <c r="D308" t="s">
        <v>2071</v>
      </c>
      <c r="E308" t="s">
        <v>811</v>
      </c>
      <c r="F308" t="s">
        <v>262</v>
      </c>
      <c r="G308" t="s">
        <v>2077</v>
      </c>
    </row>
    <row r="309" spans="1:7" x14ac:dyDescent="0.25">
      <c r="A309" t="str">
        <f t="shared" si="4"/>
        <v>TC_I_108_CS Core</v>
      </c>
      <c r="B309" t="s">
        <v>1432</v>
      </c>
      <c r="C309" t="s">
        <v>5</v>
      </c>
      <c r="D309" t="s">
        <v>2072</v>
      </c>
      <c r="E309" t="s">
        <v>811</v>
      </c>
      <c r="F309" t="s">
        <v>262</v>
      </c>
      <c r="G309" t="s">
        <v>2077</v>
      </c>
    </row>
    <row r="310" spans="1:7" x14ac:dyDescent="0.25">
      <c r="A310" t="str">
        <f t="shared" si="4"/>
        <v>TC_I_109_CS Core</v>
      </c>
      <c r="B310" t="s">
        <v>1433</v>
      </c>
      <c r="C310" t="s">
        <v>5</v>
      </c>
      <c r="D310" t="s">
        <v>2073</v>
      </c>
      <c r="E310" t="s">
        <v>811</v>
      </c>
      <c r="F310" t="s">
        <v>262</v>
      </c>
      <c r="G310" t="s">
        <v>2077</v>
      </c>
    </row>
    <row r="311" spans="1:7" x14ac:dyDescent="0.25">
      <c r="A311" t="str">
        <f t="shared" si="4"/>
        <v>TC_I_110_CS Core</v>
      </c>
      <c r="B311" t="s">
        <v>1434</v>
      </c>
      <c r="C311" t="s">
        <v>5</v>
      </c>
      <c r="D311" t="s">
        <v>2074</v>
      </c>
      <c r="E311" t="s">
        <v>811</v>
      </c>
      <c r="F311" t="s">
        <v>262</v>
      </c>
      <c r="G311" t="s">
        <v>2077</v>
      </c>
    </row>
    <row r="312" spans="1:7" x14ac:dyDescent="0.25">
      <c r="A312" t="str">
        <f t="shared" si="4"/>
        <v>TC_I_111_CS Core</v>
      </c>
      <c r="B312" t="s">
        <v>1435</v>
      </c>
      <c r="C312" t="s">
        <v>5</v>
      </c>
      <c r="D312" t="s">
        <v>2075</v>
      </c>
      <c r="E312" t="s">
        <v>811</v>
      </c>
      <c r="F312" t="s">
        <v>262</v>
      </c>
      <c r="G312" t="s">
        <v>2077</v>
      </c>
    </row>
    <row r="313" spans="1:7" x14ac:dyDescent="0.25">
      <c r="A313" t="str">
        <f t="shared" si="4"/>
        <v>TC_I_113_CS Core</v>
      </c>
      <c r="B313" t="s">
        <v>1436</v>
      </c>
      <c r="C313" t="s">
        <v>5</v>
      </c>
      <c r="D313" t="s">
        <v>2140</v>
      </c>
      <c r="E313" t="s">
        <v>811</v>
      </c>
      <c r="F313" t="s">
        <v>262</v>
      </c>
      <c r="G313" t="s">
        <v>2077</v>
      </c>
    </row>
    <row r="314" spans="1:7" x14ac:dyDescent="0.25">
      <c r="A314" t="str">
        <f t="shared" si="4"/>
        <v>TC_I_114_CS Core</v>
      </c>
      <c r="B314" t="s">
        <v>1437</v>
      </c>
      <c r="C314" t="s">
        <v>5</v>
      </c>
      <c r="D314" t="s">
        <v>2141</v>
      </c>
      <c r="E314" t="s">
        <v>811</v>
      </c>
      <c r="F314" t="s">
        <v>262</v>
      </c>
      <c r="G314" t="s">
        <v>2077</v>
      </c>
    </row>
    <row r="315" spans="1:7" x14ac:dyDescent="0.25">
      <c r="A315" t="str">
        <f t="shared" si="4"/>
        <v>TC_I_115_CS Core</v>
      </c>
      <c r="B315" t="s">
        <v>1438</v>
      </c>
      <c r="C315" t="s">
        <v>5</v>
      </c>
      <c r="D315" t="s">
        <v>2142</v>
      </c>
      <c r="E315" t="s">
        <v>811</v>
      </c>
      <c r="F315" t="s">
        <v>2059</v>
      </c>
      <c r="G315" t="s">
        <v>1439</v>
      </c>
    </row>
    <row r="316" spans="1:7" x14ac:dyDescent="0.25">
      <c r="A316" t="str">
        <f t="shared" si="4"/>
        <v>TC_I_116_CS Core</v>
      </c>
      <c r="B316" t="s">
        <v>1440</v>
      </c>
      <c r="C316" t="s">
        <v>5</v>
      </c>
      <c r="D316" t="s">
        <v>2143</v>
      </c>
      <c r="E316" t="s">
        <v>811</v>
      </c>
      <c r="F316" t="s">
        <v>262</v>
      </c>
      <c r="G316" t="s">
        <v>2077</v>
      </c>
    </row>
    <row r="317" spans="1:7" x14ac:dyDescent="0.25">
      <c r="A317" t="str">
        <f t="shared" si="4"/>
        <v>TC_I_117_CS Core</v>
      </c>
      <c r="B317" t="s">
        <v>1441</v>
      </c>
      <c r="C317" t="s">
        <v>5</v>
      </c>
      <c r="D317" t="s">
        <v>2144</v>
      </c>
      <c r="E317" t="s">
        <v>811</v>
      </c>
      <c r="F317" t="s">
        <v>262</v>
      </c>
      <c r="G317" t="s">
        <v>2077</v>
      </c>
    </row>
    <row r="318" spans="1:7" x14ac:dyDescent="0.25">
      <c r="A318" t="str">
        <f t="shared" si="4"/>
        <v>TC_I_118_CS Core</v>
      </c>
      <c r="B318" t="s">
        <v>1442</v>
      </c>
      <c r="C318" t="s">
        <v>5</v>
      </c>
      <c r="D318" t="s">
        <v>2145</v>
      </c>
      <c r="E318" t="s">
        <v>811</v>
      </c>
      <c r="F318" t="s">
        <v>262</v>
      </c>
      <c r="G318" t="s">
        <v>2077</v>
      </c>
    </row>
    <row r="319" spans="1:7" x14ac:dyDescent="0.25">
      <c r="A319" t="str">
        <f t="shared" si="4"/>
        <v>TC_I_119_CS Core</v>
      </c>
      <c r="B319" t="s">
        <v>1443</v>
      </c>
      <c r="C319" t="s">
        <v>5</v>
      </c>
      <c r="D319" t="s">
        <v>2146</v>
      </c>
      <c r="E319" t="s">
        <v>811</v>
      </c>
      <c r="F319" t="s">
        <v>2059</v>
      </c>
      <c r="G319" t="s">
        <v>1439</v>
      </c>
    </row>
    <row r="320" spans="1:7" x14ac:dyDescent="0.25">
      <c r="A320" t="str">
        <f t="shared" si="4"/>
        <v>TC_I_120_CS Core</v>
      </c>
      <c r="B320" t="s">
        <v>1444</v>
      </c>
      <c r="C320" t="s">
        <v>5</v>
      </c>
      <c r="D320" t="s">
        <v>2147</v>
      </c>
      <c r="E320" t="s">
        <v>811</v>
      </c>
      <c r="F320" t="s">
        <v>262</v>
      </c>
      <c r="G320" t="s">
        <v>2077</v>
      </c>
    </row>
    <row r="321" spans="1:7" x14ac:dyDescent="0.25">
      <c r="A321" t="str">
        <f t="shared" si="4"/>
        <v>TC_I_121_CS Core</v>
      </c>
      <c r="B321" t="s">
        <v>1445</v>
      </c>
      <c r="C321" t="s">
        <v>5</v>
      </c>
      <c r="D321" t="s">
        <v>2148</v>
      </c>
      <c r="E321" t="s">
        <v>811</v>
      </c>
      <c r="F321" t="s">
        <v>262</v>
      </c>
      <c r="G321" t="s">
        <v>2077</v>
      </c>
    </row>
    <row r="322" spans="1:7" x14ac:dyDescent="0.25">
      <c r="A322" t="str">
        <f t="shared" ref="A322:A385" si="5">B322&amp;" "&amp;C322</f>
        <v>TC_C_103_CS Core</v>
      </c>
      <c r="B322" t="s">
        <v>1446</v>
      </c>
      <c r="C322" t="s">
        <v>5</v>
      </c>
      <c r="D322" t="s">
        <v>2149</v>
      </c>
      <c r="E322" t="s">
        <v>811</v>
      </c>
      <c r="F322" t="s">
        <v>2060</v>
      </c>
      <c r="G322" t="s">
        <v>270</v>
      </c>
    </row>
    <row r="323" spans="1:7" x14ac:dyDescent="0.25">
      <c r="A323" t="str">
        <f t="shared" si="5"/>
        <v>TC_C_104_CS Core</v>
      </c>
      <c r="B323" t="s">
        <v>1447</v>
      </c>
      <c r="C323" t="s">
        <v>5</v>
      </c>
      <c r="D323" t="s">
        <v>2150</v>
      </c>
      <c r="E323" t="s">
        <v>811</v>
      </c>
      <c r="F323" t="s">
        <v>2060</v>
      </c>
      <c r="G323" t="s">
        <v>270</v>
      </c>
    </row>
    <row r="324" spans="1:7" x14ac:dyDescent="0.25">
      <c r="A324" t="str">
        <f t="shared" si="5"/>
        <v>TC_C_105_CS Core</v>
      </c>
      <c r="B324" t="s">
        <v>1448</v>
      </c>
      <c r="C324" t="s">
        <v>5</v>
      </c>
      <c r="D324" t="s">
        <v>2151</v>
      </c>
      <c r="E324" t="s">
        <v>811</v>
      </c>
      <c r="F324" t="s">
        <v>1449</v>
      </c>
      <c r="G324" t="s">
        <v>1450</v>
      </c>
    </row>
    <row r="325" spans="1:7" x14ac:dyDescent="0.25">
      <c r="A325" t="str">
        <f t="shared" si="5"/>
        <v>TC_C_106_CS Core</v>
      </c>
      <c r="B325" t="s">
        <v>1451</v>
      </c>
      <c r="C325" t="s">
        <v>5</v>
      </c>
      <c r="D325" t="s">
        <v>2152</v>
      </c>
      <c r="E325" t="s">
        <v>811</v>
      </c>
      <c r="F325" t="s">
        <v>1449</v>
      </c>
      <c r="G325" t="s">
        <v>1450</v>
      </c>
    </row>
    <row r="326" spans="1:7" x14ac:dyDescent="0.25">
      <c r="A326" t="str">
        <f t="shared" si="5"/>
        <v>TC_C_107_CS Core</v>
      </c>
      <c r="B326" t="s">
        <v>1452</v>
      </c>
      <c r="C326" t="s">
        <v>5</v>
      </c>
      <c r="D326" t="s">
        <v>2153</v>
      </c>
      <c r="E326" t="s">
        <v>811</v>
      </c>
      <c r="F326" t="s">
        <v>1449</v>
      </c>
      <c r="G326" t="s">
        <v>1450</v>
      </c>
    </row>
    <row r="327" spans="1:7" x14ac:dyDescent="0.25">
      <c r="A327" t="str">
        <f t="shared" si="5"/>
        <v>TC_C_108_CS Core</v>
      </c>
      <c r="B327" t="s">
        <v>1453</v>
      </c>
      <c r="C327" t="s">
        <v>5</v>
      </c>
      <c r="D327" t="s">
        <v>2154</v>
      </c>
      <c r="E327" t="s">
        <v>811</v>
      </c>
      <c r="F327" t="s">
        <v>1449</v>
      </c>
      <c r="G327" t="s">
        <v>1450</v>
      </c>
    </row>
    <row r="328" spans="1:7" x14ac:dyDescent="0.25">
      <c r="A328" t="str">
        <f t="shared" si="5"/>
        <v>TC_C_109_CS Core</v>
      </c>
      <c r="B328" t="s">
        <v>1454</v>
      </c>
      <c r="C328" t="s">
        <v>5</v>
      </c>
      <c r="D328" t="s">
        <v>2155</v>
      </c>
      <c r="E328" t="s">
        <v>811</v>
      </c>
      <c r="F328" t="s">
        <v>1449</v>
      </c>
      <c r="G328" t="s">
        <v>1450</v>
      </c>
    </row>
    <row r="329" spans="1:7" x14ac:dyDescent="0.25">
      <c r="A329" t="str">
        <f t="shared" si="5"/>
        <v>TC_C_110_CS Core</v>
      </c>
      <c r="B329" t="s">
        <v>1455</v>
      </c>
      <c r="C329" t="s">
        <v>5</v>
      </c>
      <c r="D329" t="s">
        <v>2156</v>
      </c>
      <c r="E329" t="s">
        <v>811</v>
      </c>
      <c r="F329" t="s">
        <v>1449</v>
      </c>
      <c r="G329" t="s">
        <v>1450</v>
      </c>
    </row>
    <row r="330" spans="1:7" x14ac:dyDescent="0.25">
      <c r="A330" t="str">
        <f t="shared" si="5"/>
        <v>TC_C_111_CS Core</v>
      </c>
      <c r="B330" t="s">
        <v>1456</v>
      </c>
      <c r="C330" t="s">
        <v>5</v>
      </c>
      <c r="D330" t="s">
        <v>2157</v>
      </c>
      <c r="E330" t="s">
        <v>811</v>
      </c>
      <c r="F330" t="s">
        <v>1449</v>
      </c>
      <c r="G330" t="s">
        <v>1450</v>
      </c>
    </row>
    <row r="331" spans="1:7" x14ac:dyDescent="0.25">
      <c r="A331" t="str">
        <f t="shared" si="5"/>
        <v>TC_C_112_CS Core</v>
      </c>
      <c r="B331" t="s">
        <v>1457</v>
      </c>
      <c r="C331" t="s">
        <v>5</v>
      </c>
      <c r="D331" t="s">
        <v>2158</v>
      </c>
      <c r="E331" t="s">
        <v>811</v>
      </c>
      <c r="F331" t="s">
        <v>1449</v>
      </c>
      <c r="G331" t="s">
        <v>1450</v>
      </c>
    </row>
    <row r="332" spans="1:7" x14ac:dyDescent="0.25">
      <c r="A332" t="str">
        <f t="shared" si="5"/>
        <v>TC_C_113_CS Core</v>
      </c>
      <c r="B332" t="s">
        <v>1458</v>
      </c>
      <c r="C332" t="s">
        <v>5</v>
      </c>
      <c r="D332" t="s">
        <v>2159</v>
      </c>
      <c r="E332" t="s">
        <v>811</v>
      </c>
      <c r="F332" t="s">
        <v>1449</v>
      </c>
      <c r="G332" t="s">
        <v>1450</v>
      </c>
    </row>
    <row r="333" spans="1:7" x14ac:dyDescent="0.25">
      <c r="A333" t="str">
        <f t="shared" si="5"/>
        <v>TC_C_114_CS Core</v>
      </c>
      <c r="B333" t="s">
        <v>1459</v>
      </c>
      <c r="C333" t="s">
        <v>5</v>
      </c>
      <c r="D333" t="s">
        <v>2160</v>
      </c>
      <c r="E333" t="s">
        <v>811</v>
      </c>
      <c r="F333" t="s">
        <v>1449</v>
      </c>
      <c r="G333" t="s">
        <v>1450</v>
      </c>
    </row>
    <row r="334" spans="1:7" x14ac:dyDescent="0.25">
      <c r="A334" t="str">
        <f t="shared" si="5"/>
        <v>TC_C_115_CS Core</v>
      </c>
      <c r="B334" t="s">
        <v>1460</v>
      </c>
      <c r="C334" t="s">
        <v>5</v>
      </c>
      <c r="D334" t="s">
        <v>2161</v>
      </c>
      <c r="E334" t="s">
        <v>811</v>
      </c>
      <c r="F334" t="s">
        <v>1449</v>
      </c>
      <c r="G334" t="s">
        <v>1450</v>
      </c>
    </row>
    <row r="335" spans="1:7" x14ac:dyDescent="0.25">
      <c r="A335" t="str">
        <f t="shared" si="5"/>
        <v>TC_C_116_CS Core</v>
      </c>
      <c r="B335" t="s">
        <v>1461</v>
      </c>
      <c r="C335" t="s">
        <v>5</v>
      </c>
      <c r="D335" t="s">
        <v>2162</v>
      </c>
      <c r="E335" t="s">
        <v>811</v>
      </c>
      <c r="F335" t="s">
        <v>1449</v>
      </c>
      <c r="G335" t="s">
        <v>1450</v>
      </c>
    </row>
    <row r="336" spans="1:7" x14ac:dyDescent="0.25">
      <c r="A336" t="str">
        <f t="shared" si="5"/>
        <v>TC_C_119_CS Core</v>
      </c>
      <c r="B336" t="s">
        <v>1462</v>
      </c>
      <c r="C336" t="s">
        <v>5</v>
      </c>
      <c r="D336" t="s">
        <v>2163</v>
      </c>
      <c r="E336" t="s">
        <v>811</v>
      </c>
      <c r="F336" t="s">
        <v>1449</v>
      </c>
      <c r="G336" t="s">
        <v>1450</v>
      </c>
    </row>
    <row r="337" spans="1:7" x14ac:dyDescent="0.25">
      <c r="A337" t="str">
        <f t="shared" si="5"/>
        <v>TC_C_120_CS Core</v>
      </c>
      <c r="B337" t="s">
        <v>1463</v>
      </c>
      <c r="C337" t="s">
        <v>5</v>
      </c>
      <c r="D337" t="s">
        <v>2164</v>
      </c>
      <c r="E337" t="s">
        <v>811</v>
      </c>
      <c r="F337" t="s">
        <v>1449</v>
      </c>
      <c r="G337" t="s">
        <v>1450</v>
      </c>
    </row>
    <row r="338" spans="1:7" x14ac:dyDescent="0.25">
      <c r="A338" t="str">
        <f t="shared" si="5"/>
        <v>TC_C_121_CS Core</v>
      </c>
      <c r="B338" t="s">
        <v>1464</v>
      </c>
      <c r="C338" t="s">
        <v>5</v>
      </c>
      <c r="D338" t="s">
        <v>2165</v>
      </c>
      <c r="E338" t="s">
        <v>811</v>
      </c>
      <c r="F338" t="s">
        <v>1449</v>
      </c>
      <c r="G338" t="s">
        <v>1450</v>
      </c>
    </row>
    <row r="339" spans="1:7" x14ac:dyDescent="0.25">
      <c r="A339" t="str">
        <f t="shared" si="5"/>
        <v>TC_C_122_CS Core</v>
      </c>
      <c r="B339" t="s">
        <v>1465</v>
      </c>
      <c r="C339" t="s">
        <v>5</v>
      </c>
      <c r="D339" t="s">
        <v>2166</v>
      </c>
      <c r="E339" t="s">
        <v>811</v>
      </c>
      <c r="F339" t="s">
        <v>1449</v>
      </c>
      <c r="G339" t="s">
        <v>1450</v>
      </c>
    </row>
    <row r="340" spans="1:7" x14ac:dyDescent="0.25">
      <c r="A340" t="str">
        <f t="shared" si="5"/>
        <v>TC_C_123_CS Core</v>
      </c>
      <c r="B340" t="s">
        <v>1466</v>
      </c>
      <c r="C340" t="s">
        <v>5</v>
      </c>
      <c r="D340" t="s">
        <v>2167</v>
      </c>
      <c r="E340" t="s">
        <v>811</v>
      </c>
      <c r="F340" t="s">
        <v>1467</v>
      </c>
      <c r="G340" t="s">
        <v>1468</v>
      </c>
    </row>
    <row r="341" spans="1:7" x14ac:dyDescent="0.25">
      <c r="A341" t="str">
        <f t="shared" si="5"/>
        <v>TC_C_124_CS Core</v>
      </c>
      <c r="B341" t="s">
        <v>1469</v>
      </c>
      <c r="C341" t="s">
        <v>5</v>
      </c>
      <c r="D341" t="s">
        <v>2168</v>
      </c>
      <c r="E341" t="s">
        <v>811</v>
      </c>
      <c r="F341" t="s">
        <v>1467</v>
      </c>
      <c r="G341" t="s">
        <v>1468</v>
      </c>
    </row>
    <row r="342" spans="1:7" x14ac:dyDescent="0.25">
      <c r="A342" t="str">
        <f t="shared" si="5"/>
        <v>TC_C_127_CS Core</v>
      </c>
      <c r="B342" t="s">
        <v>1470</v>
      </c>
      <c r="C342" t="s">
        <v>5</v>
      </c>
      <c r="D342" t="s">
        <v>2169</v>
      </c>
      <c r="E342" t="s">
        <v>811</v>
      </c>
      <c r="F342" t="s">
        <v>1471</v>
      </c>
      <c r="G342" t="s">
        <v>1472</v>
      </c>
    </row>
    <row r="343" spans="1:7" x14ac:dyDescent="0.25">
      <c r="A343" t="str">
        <f t="shared" si="5"/>
        <v>TC_C_128_CS Core</v>
      </c>
      <c r="B343" t="s">
        <v>1473</v>
      </c>
      <c r="C343" t="s">
        <v>5</v>
      </c>
      <c r="D343" t="s">
        <v>2170</v>
      </c>
      <c r="E343" t="s">
        <v>811</v>
      </c>
      <c r="F343" t="s">
        <v>1471</v>
      </c>
      <c r="G343" t="s">
        <v>1472</v>
      </c>
    </row>
    <row r="344" spans="1:7" x14ac:dyDescent="0.25">
      <c r="A344" t="str">
        <f t="shared" si="5"/>
        <v>TC_C_129_CS Core</v>
      </c>
      <c r="B344" t="s">
        <v>1474</v>
      </c>
      <c r="C344" t="s">
        <v>5</v>
      </c>
      <c r="D344" t="s">
        <v>2171</v>
      </c>
      <c r="E344" t="s">
        <v>811</v>
      </c>
      <c r="F344" t="s">
        <v>1471</v>
      </c>
      <c r="G344" t="s">
        <v>1472</v>
      </c>
    </row>
    <row r="345" spans="1:7" x14ac:dyDescent="0.25">
      <c r="A345" t="str">
        <f t="shared" si="5"/>
        <v>TC_C_130_CS Core</v>
      </c>
      <c r="B345" t="s">
        <v>1475</v>
      </c>
      <c r="C345" t="s">
        <v>5</v>
      </c>
      <c r="D345" t="s">
        <v>2172</v>
      </c>
      <c r="E345" t="s">
        <v>811</v>
      </c>
      <c r="F345" t="s">
        <v>1471</v>
      </c>
      <c r="G345" t="s">
        <v>1472</v>
      </c>
    </row>
    <row r="346" spans="1:7" x14ac:dyDescent="0.25">
      <c r="A346" t="str">
        <f t="shared" si="5"/>
        <v>TC_B_16_CS Core</v>
      </c>
      <c r="B346" t="s">
        <v>1476</v>
      </c>
      <c r="C346" t="s">
        <v>5</v>
      </c>
      <c r="D346" t="s">
        <v>1477</v>
      </c>
      <c r="E346" t="s">
        <v>811</v>
      </c>
      <c r="F346" t="s">
        <v>181</v>
      </c>
      <c r="G346" t="s">
        <v>2077</v>
      </c>
    </row>
    <row r="347" spans="1:7" x14ac:dyDescent="0.25">
      <c r="A347" t="str">
        <f t="shared" si="5"/>
        <v>TC_B_17_CS Core</v>
      </c>
      <c r="B347" t="s">
        <v>1478</v>
      </c>
      <c r="C347" t="s">
        <v>5</v>
      </c>
      <c r="D347" t="s">
        <v>1479</v>
      </c>
      <c r="E347" t="s">
        <v>811</v>
      </c>
      <c r="F347" t="s">
        <v>181</v>
      </c>
      <c r="G347" t="s">
        <v>2077</v>
      </c>
    </row>
    <row r="348" spans="1:7" x14ac:dyDescent="0.25">
      <c r="A348" t="str">
        <f t="shared" si="5"/>
        <v>TC_B_18_CS Core</v>
      </c>
      <c r="B348" t="s">
        <v>1480</v>
      </c>
      <c r="C348" t="s">
        <v>5</v>
      </c>
      <c r="D348" t="s">
        <v>1481</v>
      </c>
      <c r="E348" t="s">
        <v>811</v>
      </c>
      <c r="F348" t="s">
        <v>181</v>
      </c>
      <c r="G348" t="s">
        <v>2077</v>
      </c>
    </row>
    <row r="349" spans="1:7" x14ac:dyDescent="0.25">
      <c r="A349" t="str">
        <f t="shared" si="5"/>
        <v>TC_B_54_CS Core</v>
      </c>
      <c r="B349" t="s">
        <v>1482</v>
      </c>
      <c r="C349" t="s">
        <v>5</v>
      </c>
      <c r="D349" t="s">
        <v>1483</v>
      </c>
      <c r="E349" t="s">
        <v>811</v>
      </c>
      <c r="F349" t="s">
        <v>181</v>
      </c>
      <c r="G349" t="s">
        <v>2077</v>
      </c>
    </row>
    <row r="350" spans="1:7" x14ac:dyDescent="0.25">
      <c r="A350" t="str">
        <f t="shared" si="5"/>
        <v>TC_B_55_CS Core</v>
      </c>
      <c r="B350" t="s">
        <v>1484</v>
      </c>
      <c r="C350" t="s">
        <v>5</v>
      </c>
      <c r="D350" t="s">
        <v>1485</v>
      </c>
      <c r="E350" t="s">
        <v>811</v>
      </c>
      <c r="F350" t="s">
        <v>181</v>
      </c>
      <c r="G350" t="s">
        <v>2077</v>
      </c>
    </row>
    <row r="351" spans="1:7" x14ac:dyDescent="0.25">
      <c r="A351" t="str">
        <f t="shared" si="5"/>
        <v>TC_B_56_CS Core</v>
      </c>
      <c r="B351" t="s">
        <v>1486</v>
      </c>
      <c r="C351" t="s">
        <v>5</v>
      </c>
      <c r="D351" t="s">
        <v>1487</v>
      </c>
      <c r="E351" t="s">
        <v>811</v>
      </c>
      <c r="F351" t="s">
        <v>181</v>
      </c>
      <c r="G351" t="s">
        <v>2077</v>
      </c>
    </row>
    <row r="352" spans="1:7" x14ac:dyDescent="0.25">
      <c r="A352" t="str">
        <f t="shared" si="5"/>
        <v>TC_N_01_CS Core</v>
      </c>
      <c r="B352" t="s">
        <v>1488</v>
      </c>
      <c r="C352" t="s">
        <v>5</v>
      </c>
      <c r="D352" t="s">
        <v>1489</v>
      </c>
      <c r="E352" t="s">
        <v>811</v>
      </c>
      <c r="F352" t="s">
        <v>181</v>
      </c>
      <c r="G352" t="s">
        <v>2077</v>
      </c>
    </row>
    <row r="353" spans="1:7" x14ac:dyDescent="0.25">
      <c r="A353" t="str">
        <f t="shared" si="5"/>
        <v>TC_N_02_CS Core</v>
      </c>
      <c r="B353" t="s">
        <v>1490</v>
      </c>
      <c r="C353" t="s">
        <v>5</v>
      </c>
      <c r="D353" t="s">
        <v>1491</v>
      </c>
      <c r="E353" t="s">
        <v>811</v>
      </c>
      <c r="F353" t="s">
        <v>181</v>
      </c>
      <c r="G353" t="s">
        <v>2077</v>
      </c>
    </row>
    <row r="354" spans="1:7" x14ac:dyDescent="0.25">
      <c r="A354" t="str">
        <f t="shared" si="5"/>
        <v>TC_N_03_CS Core</v>
      </c>
      <c r="B354" t="s">
        <v>1492</v>
      </c>
      <c r="C354" t="s">
        <v>5</v>
      </c>
      <c r="D354" t="s">
        <v>1493</v>
      </c>
      <c r="E354" t="s">
        <v>811</v>
      </c>
      <c r="F354" t="s">
        <v>181</v>
      </c>
      <c r="G354" t="s">
        <v>2077</v>
      </c>
    </row>
    <row r="355" spans="1:7" x14ac:dyDescent="0.25">
      <c r="A355" t="str">
        <f t="shared" si="5"/>
        <v>TC_N_47_CS Core</v>
      </c>
      <c r="B355" t="s">
        <v>1494</v>
      </c>
      <c r="C355" t="s">
        <v>5</v>
      </c>
      <c r="D355" t="s">
        <v>1495</v>
      </c>
      <c r="E355" t="s">
        <v>811</v>
      </c>
      <c r="F355" t="s">
        <v>181</v>
      </c>
      <c r="G355" t="s">
        <v>2077</v>
      </c>
    </row>
    <row r="356" spans="1:7" x14ac:dyDescent="0.25">
      <c r="A356" t="str">
        <f t="shared" si="5"/>
        <v>TC_N_104_CS Core</v>
      </c>
      <c r="B356" t="s">
        <v>1496</v>
      </c>
      <c r="C356" t="s">
        <v>5</v>
      </c>
      <c r="D356" t="s">
        <v>1497</v>
      </c>
      <c r="E356" t="s">
        <v>811</v>
      </c>
      <c r="F356" t="s">
        <v>181</v>
      </c>
      <c r="G356" t="s">
        <v>2077</v>
      </c>
    </row>
    <row r="357" spans="1:7" x14ac:dyDescent="0.25">
      <c r="A357" t="str">
        <f t="shared" si="5"/>
        <v>TC_N_05_CS Core</v>
      </c>
      <c r="B357" t="s">
        <v>1498</v>
      </c>
      <c r="C357" t="s">
        <v>5</v>
      </c>
      <c r="D357" t="s">
        <v>1499</v>
      </c>
      <c r="E357" t="s">
        <v>811</v>
      </c>
      <c r="F357" t="s">
        <v>181</v>
      </c>
      <c r="G357" t="s">
        <v>2077</v>
      </c>
    </row>
    <row r="358" spans="1:7" x14ac:dyDescent="0.25">
      <c r="A358" t="str">
        <f t="shared" si="5"/>
        <v>TC_N_06_CS Core</v>
      </c>
      <c r="B358" t="s">
        <v>1500</v>
      </c>
      <c r="C358" t="s">
        <v>5</v>
      </c>
      <c r="D358" t="s">
        <v>1501</v>
      </c>
      <c r="E358" t="s">
        <v>811</v>
      </c>
      <c r="F358" t="s">
        <v>181</v>
      </c>
      <c r="G358" t="s">
        <v>2077</v>
      </c>
    </row>
    <row r="359" spans="1:7" x14ac:dyDescent="0.25">
      <c r="A359" t="str">
        <f t="shared" si="5"/>
        <v>TC_N_08_CS Core</v>
      </c>
      <c r="B359" t="s">
        <v>1502</v>
      </c>
      <c r="C359" t="s">
        <v>5</v>
      </c>
      <c r="D359" t="s">
        <v>1503</v>
      </c>
      <c r="E359" t="s">
        <v>811</v>
      </c>
      <c r="F359" t="s">
        <v>181</v>
      </c>
      <c r="G359" t="s">
        <v>2077</v>
      </c>
    </row>
    <row r="360" spans="1:7" x14ac:dyDescent="0.25">
      <c r="A360" t="str">
        <f t="shared" si="5"/>
        <v>TC_N_09_CS Core</v>
      </c>
      <c r="B360" t="s">
        <v>1504</v>
      </c>
      <c r="C360" t="s">
        <v>5</v>
      </c>
      <c r="D360" t="s">
        <v>1505</v>
      </c>
      <c r="E360" t="s">
        <v>811</v>
      </c>
      <c r="F360" t="s">
        <v>181</v>
      </c>
      <c r="G360" t="s">
        <v>2077</v>
      </c>
    </row>
    <row r="361" spans="1:7" x14ac:dyDescent="0.25">
      <c r="A361" t="str">
        <f t="shared" si="5"/>
        <v>TC_N_10_CS Core</v>
      </c>
      <c r="B361" t="s">
        <v>1506</v>
      </c>
      <c r="C361" t="s">
        <v>5</v>
      </c>
      <c r="D361" t="s">
        <v>1507</v>
      </c>
      <c r="E361" t="s">
        <v>811</v>
      </c>
      <c r="F361" t="s">
        <v>181</v>
      </c>
      <c r="G361" t="s">
        <v>2077</v>
      </c>
    </row>
    <row r="362" spans="1:7" x14ac:dyDescent="0.25">
      <c r="A362" t="str">
        <f t="shared" si="5"/>
        <v>TC_N_11_CS Core</v>
      </c>
      <c r="B362" t="s">
        <v>1508</v>
      </c>
      <c r="C362" t="s">
        <v>5</v>
      </c>
      <c r="D362" t="s">
        <v>1509</v>
      </c>
      <c r="E362" t="s">
        <v>811</v>
      </c>
      <c r="F362" t="s">
        <v>181</v>
      </c>
      <c r="G362" t="s">
        <v>2077</v>
      </c>
    </row>
    <row r="363" spans="1:7" x14ac:dyDescent="0.25">
      <c r="A363" t="str">
        <f t="shared" si="5"/>
        <v>TC_N_12_CS Core</v>
      </c>
      <c r="B363" t="s">
        <v>1510</v>
      </c>
      <c r="C363" t="s">
        <v>5</v>
      </c>
      <c r="D363" t="s">
        <v>1511</v>
      </c>
      <c r="E363" t="s">
        <v>811</v>
      </c>
      <c r="F363" t="s">
        <v>181</v>
      </c>
      <c r="G363" t="s">
        <v>2077</v>
      </c>
    </row>
    <row r="364" spans="1:7" x14ac:dyDescent="0.25">
      <c r="A364" t="str">
        <f t="shared" si="5"/>
        <v>TC_N_13_CS Core</v>
      </c>
      <c r="B364" t="s">
        <v>1512</v>
      </c>
      <c r="C364" t="s">
        <v>5</v>
      </c>
      <c r="D364" t="s">
        <v>1513</v>
      </c>
      <c r="E364" t="s">
        <v>811</v>
      </c>
      <c r="F364" t="s">
        <v>181</v>
      </c>
      <c r="G364" t="s">
        <v>2077</v>
      </c>
    </row>
    <row r="365" spans="1:7" x14ac:dyDescent="0.25">
      <c r="A365" t="str">
        <f t="shared" si="5"/>
        <v>TC_N_15_CS Core</v>
      </c>
      <c r="B365" t="s">
        <v>1514</v>
      </c>
      <c r="C365" t="s">
        <v>5</v>
      </c>
      <c r="D365" t="s">
        <v>1515</v>
      </c>
      <c r="E365" t="s">
        <v>811</v>
      </c>
      <c r="F365" t="s">
        <v>181</v>
      </c>
      <c r="G365" t="s">
        <v>2077</v>
      </c>
    </row>
    <row r="366" spans="1:7" x14ac:dyDescent="0.25">
      <c r="A366" t="str">
        <f t="shared" si="5"/>
        <v>TC_N_24_CS Core</v>
      </c>
      <c r="B366" t="s">
        <v>1516</v>
      </c>
      <c r="C366" t="s">
        <v>5</v>
      </c>
      <c r="D366" t="s">
        <v>1517</v>
      </c>
      <c r="E366" t="s">
        <v>811</v>
      </c>
      <c r="F366" t="s">
        <v>181</v>
      </c>
      <c r="G366" t="s">
        <v>2077</v>
      </c>
    </row>
    <row r="367" spans="1:7" x14ac:dyDescent="0.25">
      <c r="A367" t="str">
        <f t="shared" si="5"/>
        <v>TC_N_37_CS Core</v>
      </c>
      <c r="B367" t="s">
        <v>1518</v>
      </c>
      <c r="C367" t="s">
        <v>5</v>
      </c>
      <c r="D367" t="s">
        <v>1519</v>
      </c>
      <c r="E367" t="s">
        <v>811</v>
      </c>
      <c r="F367" t="s">
        <v>181</v>
      </c>
      <c r="G367" t="s">
        <v>2077</v>
      </c>
    </row>
    <row r="368" spans="1:7" x14ac:dyDescent="0.25">
      <c r="A368" t="str">
        <f t="shared" si="5"/>
        <v>TC_N_39_CS Core</v>
      </c>
      <c r="B368" t="s">
        <v>1520</v>
      </c>
      <c r="C368" t="s">
        <v>5</v>
      </c>
      <c r="D368" t="s">
        <v>1521</v>
      </c>
      <c r="E368" t="s">
        <v>811</v>
      </c>
      <c r="F368" t="s">
        <v>181</v>
      </c>
      <c r="G368" t="s">
        <v>2077</v>
      </c>
    </row>
    <row r="369" spans="1:7" x14ac:dyDescent="0.25">
      <c r="A369" t="str">
        <f t="shared" si="5"/>
        <v>TC_N_40_CS Core</v>
      </c>
      <c r="B369" t="s">
        <v>1522</v>
      </c>
      <c r="C369" t="s">
        <v>5</v>
      </c>
      <c r="D369" t="s">
        <v>1523</v>
      </c>
      <c r="E369" t="s">
        <v>811</v>
      </c>
      <c r="F369" t="s">
        <v>181</v>
      </c>
      <c r="G369" t="s">
        <v>2077</v>
      </c>
    </row>
    <row r="370" spans="1:7" x14ac:dyDescent="0.25">
      <c r="A370" t="str">
        <f t="shared" si="5"/>
        <v>TC_N_41_CS Core</v>
      </c>
      <c r="B370" t="s">
        <v>1524</v>
      </c>
      <c r="C370" t="s">
        <v>5</v>
      </c>
      <c r="D370" t="s">
        <v>1525</v>
      </c>
      <c r="E370" t="s">
        <v>811</v>
      </c>
      <c r="F370" t="s">
        <v>181</v>
      </c>
      <c r="G370" t="s">
        <v>2077</v>
      </c>
    </row>
    <row r="371" spans="1:7" x14ac:dyDescent="0.25">
      <c r="A371" t="str">
        <f t="shared" si="5"/>
        <v>TC_N_43_CS Core</v>
      </c>
      <c r="B371" t="s">
        <v>1526</v>
      </c>
      <c r="C371" t="s">
        <v>5</v>
      </c>
      <c r="D371" t="s">
        <v>1527</v>
      </c>
      <c r="E371" t="s">
        <v>811</v>
      </c>
      <c r="F371" t="s">
        <v>181</v>
      </c>
      <c r="G371" t="s">
        <v>2077</v>
      </c>
    </row>
    <row r="372" spans="1:7" x14ac:dyDescent="0.25">
      <c r="A372" t="str">
        <f t="shared" si="5"/>
        <v>TC_N_51_CS Core</v>
      </c>
      <c r="B372" t="s">
        <v>1528</v>
      </c>
      <c r="C372" t="s">
        <v>5</v>
      </c>
      <c r="D372" t="s">
        <v>1529</v>
      </c>
      <c r="E372" t="s">
        <v>811</v>
      </c>
      <c r="F372" t="s">
        <v>181</v>
      </c>
      <c r="G372" t="s">
        <v>2077</v>
      </c>
    </row>
    <row r="373" spans="1:7" x14ac:dyDescent="0.25">
      <c r="A373" t="str">
        <f t="shared" si="5"/>
        <v>TC_N_52_CS Core</v>
      </c>
      <c r="B373" t="s">
        <v>1530</v>
      </c>
      <c r="C373" t="s">
        <v>5</v>
      </c>
      <c r="D373" t="s">
        <v>1531</v>
      </c>
      <c r="E373" t="s">
        <v>811</v>
      </c>
      <c r="F373" t="s">
        <v>181</v>
      </c>
      <c r="G373" t="s">
        <v>2077</v>
      </c>
    </row>
    <row r="374" spans="1:7" x14ac:dyDescent="0.25">
      <c r="A374" t="str">
        <f t="shared" si="5"/>
        <v>TC_N_105_CS Core</v>
      </c>
      <c r="B374" t="s">
        <v>1532</v>
      </c>
      <c r="C374" t="s">
        <v>5</v>
      </c>
      <c r="D374" t="s">
        <v>1533</v>
      </c>
      <c r="E374" t="s">
        <v>811</v>
      </c>
      <c r="F374" t="s">
        <v>181</v>
      </c>
      <c r="G374" t="s">
        <v>2077</v>
      </c>
    </row>
    <row r="375" spans="1:7" x14ac:dyDescent="0.25">
      <c r="A375" t="str">
        <f t="shared" si="5"/>
        <v>TC_N_106_CS Core</v>
      </c>
      <c r="B375" t="s">
        <v>1534</v>
      </c>
      <c r="C375" t="s">
        <v>5</v>
      </c>
      <c r="D375" t="s">
        <v>1535</v>
      </c>
      <c r="E375" t="s">
        <v>811</v>
      </c>
      <c r="F375" t="s">
        <v>181</v>
      </c>
      <c r="G375" t="s">
        <v>2077</v>
      </c>
    </row>
    <row r="376" spans="1:7" x14ac:dyDescent="0.25">
      <c r="A376" t="str">
        <f t="shared" si="5"/>
        <v>TC_N_108_CS Core</v>
      </c>
      <c r="B376" t="s">
        <v>1536</v>
      </c>
      <c r="C376" t="s">
        <v>5</v>
      </c>
      <c r="D376" t="s">
        <v>1537</v>
      </c>
      <c r="E376" t="s">
        <v>811</v>
      </c>
      <c r="F376" t="s">
        <v>181</v>
      </c>
      <c r="G376" t="s">
        <v>2077</v>
      </c>
    </row>
    <row r="377" spans="1:7" x14ac:dyDescent="0.25">
      <c r="A377" t="str">
        <f t="shared" si="5"/>
        <v>TC_N_109_CS Core</v>
      </c>
      <c r="B377" t="s">
        <v>1538</v>
      </c>
      <c r="C377" t="s">
        <v>5</v>
      </c>
      <c r="D377" t="s">
        <v>1539</v>
      </c>
      <c r="E377" t="s">
        <v>811</v>
      </c>
      <c r="F377" t="s">
        <v>181</v>
      </c>
      <c r="G377" t="s">
        <v>2077</v>
      </c>
    </row>
    <row r="378" spans="1:7" x14ac:dyDescent="0.25">
      <c r="A378" t="str">
        <f t="shared" si="5"/>
        <v>TC_N_16_CS Core</v>
      </c>
      <c r="B378" t="s">
        <v>1540</v>
      </c>
      <c r="C378" t="s">
        <v>5</v>
      </c>
      <c r="D378" t="s">
        <v>1541</v>
      </c>
      <c r="E378" t="s">
        <v>811</v>
      </c>
      <c r="F378" t="s">
        <v>181</v>
      </c>
      <c r="G378" t="s">
        <v>2077</v>
      </c>
    </row>
    <row r="379" spans="1:7" x14ac:dyDescent="0.25">
      <c r="A379" t="str">
        <f t="shared" si="5"/>
        <v>TC_N_17_CS Core</v>
      </c>
      <c r="B379" t="s">
        <v>1542</v>
      </c>
      <c r="C379" t="s">
        <v>5</v>
      </c>
      <c r="D379" t="s">
        <v>1543</v>
      </c>
      <c r="E379" t="s">
        <v>811</v>
      </c>
      <c r="F379" t="s">
        <v>181</v>
      </c>
      <c r="G379" t="s">
        <v>2077</v>
      </c>
    </row>
    <row r="380" spans="1:7" x14ac:dyDescent="0.25">
      <c r="A380" t="str">
        <f t="shared" si="5"/>
        <v>TC_N_18_CS Core</v>
      </c>
      <c r="B380" t="s">
        <v>1544</v>
      </c>
      <c r="C380" t="s">
        <v>5</v>
      </c>
      <c r="D380" t="s">
        <v>1545</v>
      </c>
      <c r="E380" t="s">
        <v>811</v>
      </c>
      <c r="F380" t="s">
        <v>181</v>
      </c>
      <c r="G380" t="s">
        <v>2077</v>
      </c>
    </row>
    <row r="381" spans="1:7" x14ac:dyDescent="0.25">
      <c r="A381" t="str">
        <f t="shared" si="5"/>
        <v>TC_N_19_CS Core</v>
      </c>
      <c r="B381" t="s">
        <v>1546</v>
      </c>
      <c r="C381" t="s">
        <v>5</v>
      </c>
      <c r="D381" t="s">
        <v>1547</v>
      </c>
      <c r="E381" t="s">
        <v>811</v>
      </c>
      <c r="F381" t="s">
        <v>181</v>
      </c>
      <c r="G381" t="s">
        <v>2077</v>
      </c>
    </row>
    <row r="382" spans="1:7" x14ac:dyDescent="0.25">
      <c r="A382" t="str">
        <f t="shared" si="5"/>
        <v>TC_N_44_CS Core</v>
      </c>
      <c r="B382" t="s">
        <v>1548</v>
      </c>
      <c r="C382" t="s">
        <v>5</v>
      </c>
      <c r="D382" t="s">
        <v>1549</v>
      </c>
      <c r="E382" t="s">
        <v>811</v>
      </c>
      <c r="F382" t="s">
        <v>779</v>
      </c>
      <c r="G382" t="s">
        <v>2077</v>
      </c>
    </row>
    <row r="383" spans="1:7" x14ac:dyDescent="0.25">
      <c r="A383" t="str">
        <f t="shared" si="5"/>
        <v>TC_N_20_CS Core</v>
      </c>
      <c r="B383" t="s">
        <v>1550</v>
      </c>
      <c r="C383" t="s">
        <v>5</v>
      </c>
      <c r="D383" t="s">
        <v>1551</v>
      </c>
      <c r="E383" t="s">
        <v>811</v>
      </c>
      <c r="F383" t="s">
        <v>181</v>
      </c>
      <c r="G383" t="s">
        <v>2077</v>
      </c>
    </row>
    <row r="384" spans="1:7" x14ac:dyDescent="0.25">
      <c r="A384" t="str">
        <f t="shared" si="5"/>
        <v>TC_N_21_CS Core</v>
      </c>
      <c r="B384" t="s">
        <v>1552</v>
      </c>
      <c r="C384" t="s">
        <v>5</v>
      </c>
      <c r="D384" t="s">
        <v>1553</v>
      </c>
      <c r="E384" t="s">
        <v>811</v>
      </c>
      <c r="F384" t="s">
        <v>779</v>
      </c>
      <c r="G384" t="s">
        <v>2077</v>
      </c>
    </row>
    <row r="385" spans="1:7" x14ac:dyDescent="0.25">
      <c r="A385" t="str">
        <f t="shared" si="5"/>
        <v>TC_N_45_CS Core</v>
      </c>
      <c r="B385" t="s">
        <v>1554</v>
      </c>
      <c r="C385" t="s">
        <v>5</v>
      </c>
      <c r="D385" t="s">
        <v>1555</v>
      </c>
      <c r="E385" t="s">
        <v>811</v>
      </c>
      <c r="F385" t="s">
        <v>181</v>
      </c>
      <c r="G385" t="s">
        <v>2077</v>
      </c>
    </row>
    <row r="386" spans="1:7" x14ac:dyDescent="0.25">
      <c r="A386" t="str">
        <f t="shared" ref="A386:A449" si="6">B386&amp;" "&amp;C386</f>
        <v>TC_N_48_CS Core</v>
      </c>
      <c r="B386" t="s">
        <v>1556</v>
      </c>
      <c r="C386" t="s">
        <v>5</v>
      </c>
      <c r="D386" t="s">
        <v>1557</v>
      </c>
      <c r="E386" t="s">
        <v>811</v>
      </c>
      <c r="F386" t="s">
        <v>780</v>
      </c>
      <c r="G386" t="s">
        <v>2077</v>
      </c>
    </row>
    <row r="387" spans="1:7" x14ac:dyDescent="0.25">
      <c r="A387" t="str">
        <f t="shared" si="6"/>
        <v>TC_N_53_CS Core</v>
      </c>
      <c r="B387" t="s">
        <v>1558</v>
      </c>
      <c r="C387" t="s">
        <v>5</v>
      </c>
      <c r="D387" t="s">
        <v>1559</v>
      </c>
      <c r="E387" t="s">
        <v>811</v>
      </c>
      <c r="F387" t="s">
        <v>181</v>
      </c>
      <c r="G387" t="s">
        <v>2077</v>
      </c>
    </row>
    <row r="388" spans="1:7" x14ac:dyDescent="0.25">
      <c r="A388" t="str">
        <f t="shared" si="6"/>
        <v>TC_N_56_CS Core</v>
      </c>
      <c r="B388" t="s">
        <v>1560</v>
      </c>
      <c r="C388" t="s">
        <v>5</v>
      </c>
      <c r="D388" t="s">
        <v>1561</v>
      </c>
      <c r="E388" t="s">
        <v>811</v>
      </c>
      <c r="F388" t="s">
        <v>181</v>
      </c>
      <c r="G388" t="s">
        <v>2077</v>
      </c>
    </row>
    <row r="389" spans="1:7" x14ac:dyDescent="0.25">
      <c r="A389" t="str">
        <f t="shared" si="6"/>
        <v>TC_N_22_CS Core</v>
      </c>
      <c r="B389" t="s">
        <v>1562</v>
      </c>
      <c r="C389" t="s">
        <v>5</v>
      </c>
      <c r="D389" t="s">
        <v>1563</v>
      </c>
      <c r="E389" t="s">
        <v>811</v>
      </c>
      <c r="F389" t="s">
        <v>781</v>
      </c>
      <c r="G389" t="s">
        <v>1564</v>
      </c>
    </row>
    <row r="390" spans="1:7" x14ac:dyDescent="0.25">
      <c r="A390" t="str">
        <f t="shared" si="6"/>
        <v>TC_N_23_CS Core</v>
      </c>
      <c r="B390" t="s">
        <v>1565</v>
      </c>
      <c r="C390" t="s">
        <v>5</v>
      </c>
      <c r="D390" t="s">
        <v>1566</v>
      </c>
      <c r="E390" t="s">
        <v>811</v>
      </c>
      <c r="F390" t="s">
        <v>781</v>
      </c>
      <c r="G390" t="s">
        <v>1564</v>
      </c>
    </row>
    <row r="391" spans="1:7" x14ac:dyDescent="0.25">
      <c r="A391" t="str">
        <f t="shared" si="6"/>
        <v>TC_I_01_CS Core</v>
      </c>
      <c r="B391" t="s">
        <v>1567</v>
      </c>
      <c r="C391" t="s">
        <v>5</v>
      </c>
      <c r="D391" t="s">
        <v>1568</v>
      </c>
      <c r="E391" t="s">
        <v>811</v>
      </c>
      <c r="F391" t="s">
        <v>193</v>
      </c>
      <c r="G391" t="s">
        <v>2077</v>
      </c>
    </row>
    <row r="392" spans="1:7" x14ac:dyDescent="0.25">
      <c r="A392" t="str">
        <f t="shared" si="6"/>
        <v>TC_I_02_CS Core</v>
      </c>
      <c r="B392" t="s">
        <v>1569</v>
      </c>
      <c r="C392" t="s">
        <v>5</v>
      </c>
      <c r="D392" t="s">
        <v>1570</v>
      </c>
      <c r="E392" t="s">
        <v>811</v>
      </c>
      <c r="F392" t="s">
        <v>193</v>
      </c>
      <c r="G392" t="s">
        <v>2077</v>
      </c>
    </row>
    <row r="393" spans="1:7" x14ac:dyDescent="0.25">
      <c r="A393" t="str">
        <f t="shared" si="6"/>
        <v>TC_I_07_CS Core</v>
      </c>
      <c r="B393" t="s">
        <v>1571</v>
      </c>
      <c r="C393" t="s">
        <v>5</v>
      </c>
      <c r="D393" t="s">
        <v>1572</v>
      </c>
      <c r="E393" t="s">
        <v>811</v>
      </c>
      <c r="F393" t="s">
        <v>193</v>
      </c>
      <c r="G393" t="s">
        <v>2077</v>
      </c>
    </row>
    <row r="394" spans="1:7" x14ac:dyDescent="0.25">
      <c r="A394" t="str">
        <f t="shared" si="6"/>
        <v>TC_O_01_CS Core</v>
      </c>
      <c r="B394" t="s">
        <v>1573</v>
      </c>
      <c r="C394" t="s">
        <v>5</v>
      </c>
      <c r="D394" t="s">
        <v>1574</v>
      </c>
      <c r="E394" t="s">
        <v>811</v>
      </c>
      <c r="F394" t="s">
        <v>193</v>
      </c>
      <c r="G394" t="s">
        <v>1575</v>
      </c>
    </row>
    <row r="395" spans="1:7" x14ac:dyDescent="0.25">
      <c r="A395" t="str">
        <f t="shared" si="6"/>
        <v>TC_O_13_CS Core</v>
      </c>
      <c r="B395" t="s">
        <v>1576</v>
      </c>
      <c r="C395" t="s">
        <v>5</v>
      </c>
      <c r="D395" t="s">
        <v>1577</v>
      </c>
      <c r="E395" t="s">
        <v>811</v>
      </c>
      <c r="F395" t="s">
        <v>193</v>
      </c>
      <c r="G395" t="s">
        <v>2077</v>
      </c>
    </row>
    <row r="396" spans="1:7" x14ac:dyDescent="0.25">
      <c r="A396" t="str">
        <f t="shared" si="6"/>
        <v>TC_O_14_CS Core</v>
      </c>
      <c r="B396" t="s">
        <v>1578</v>
      </c>
      <c r="C396" t="s">
        <v>5</v>
      </c>
      <c r="D396" t="s">
        <v>1579</v>
      </c>
      <c r="E396" t="s">
        <v>811</v>
      </c>
      <c r="F396" t="s">
        <v>193</v>
      </c>
      <c r="G396" t="s">
        <v>2077</v>
      </c>
    </row>
    <row r="397" spans="1:7" x14ac:dyDescent="0.25">
      <c r="A397" t="str">
        <f t="shared" si="6"/>
        <v>TC_O_17_CS Core</v>
      </c>
      <c r="B397" t="s">
        <v>1580</v>
      </c>
      <c r="C397" t="s">
        <v>5</v>
      </c>
      <c r="D397" t="s">
        <v>1581</v>
      </c>
      <c r="E397" t="s">
        <v>811</v>
      </c>
      <c r="F397" t="s">
        <v>782</v>
      </c>
      <c r="G397" t="s">
        <v>2077</v>
      </c>
    </row>
    <row r="398" spans="1:7" x14ac:dyDescent="0.25">
      <c r="A398" t="str">
        <f t="shared" si="6"/>
        <v>TC_O_19_CS Core</v>
      </c>
      <c r="B398" t="s">
        <v>1582</v>
      </c>
      <c r="C398" t="s">
        <v>5</v>
      </c>
      <c r="D398" t="s">
        <v>1583</v>
      </c>
      <c r="E398" t="s">
        <v>811</v>
      </c>
      <c r="F398" t="s">
        <v>783</v>
      </c>
      <c r="G398" t="s">
        <v>2077</v>
      </c>
    </row>
    <row r="399" spans="1:7" x14ac:dyDescent="0.25">
      <c r="A399" t="str">
        <f t="shared" si="6"/>
        <v>TC_O_20_CS Core</v>
      </c>
      <c r="B399" t="s">
        <v>1584</v>
      </c>
      <c r="C399" t="s">
        <v>5</v>
      </c>
      <c r="D399" t="s">
        <v>1585</v>
      </c>
      <c r="E399" t="s">
        <v>811</v>
      </c>
      <c r="F399" t="s">
        <v>193</v>
      </c>
      <c r="G399" t="s">
        <v>2077</v>
      </c>
    </row>
    <row r="400" spans="1:7" x14ac:dyDescent="0.25">
      <c r="A400" t="str">
        <f t="shared" si="6"/>
        <v>TC_O_22_CS Core</v>
      </c>
      <c r="B400" t="s">
        <v>1586</v>
      </c>
      <c r="C400" t="s">
        <v>5</v>
      </c>
      <c r="D400" t="s">
        <v>1587</v>
      </c>
      <c r="E400" t="s">
        <v>811</v>
      </c>
      <c r="F400" t="s">
        <v>784</v>
      </c>
      <c r="G400" t="s">
        <v>1588</v>
      </c>
    </row>
    <row r="401" spans="1:7" x14ac:dyDescent="0.25">
      <c r="A401" t="str">
        <f t="shared" si="6"/>
        <v>TC_O_24_CS Core</v>
      </c>
      <c r="B401" t="s">
        <v>1589</v>
      </c>
      <c r="C401" t="s">
        <v>5</v>
      </c>
      <c r="D401" t="s">
        <v>1590</v>
      </c>
      <c r="E401" t="s">
        <v>811</v>
      </c>
      <c r="F401" t="s">
        <v>785</v>
      </c>
      <c r="G401" t="s">
        <v>1591</v>
      </c>
    </row>
    <row r="402" spans="1:7" x14ac:dyDescent="0.25">
      <c r="A402" t="str">
        <f t="shared" si="6"/>
        <v>TC_O_36_CS Core</v>
      </c>
      <c r="B402" t="s">
        <v>1592</v>
      </c>
      <c r="C402" t="s">
        <v>5</v>
      </c>
      <c r="D402" t="s">
        <v>1593</v>
      </c>
      <c r="E402" t="s">
        <v>811</v>
      </c>
      <c r="F402" t="s">
        <v>193</v>
      </c>
      <c r="G402" t="s">
        <v>2077</v>
      </c>
    </row>
    <row r="403" spans="1:7" x14ac:dyDescent="0.25">
      <c r="A403" t="str">
        <f t="shared" si="6"/>
        <v>TC_O_37_CS Core</v>
      </c>
      <c r="B403" t="s">
        <v>1594</v>
      </c>
      <c r="C403" t="s">
        <v>5</v>
      </c>
      <c r="D403" t="s">
        <v>1595</v>
      </c>
      <c r="E403" t="s">
        <v>811</v>
      </c>
      <c r="F403" t="s">
        <v>794</v>
      </c>
      <c r="G403" t="s">
        <v>2077</v>
      </c>
    </row>
    <row r="404" spans="1:7" x14ac:dyDescent="0.25">
      <c r="A404" t="str">
        <f t="shared" si="6"/>
        <v>TC_O_38_CS Core</v>
      </c>
      <c r="B404" t="s">
        <v>1596</v>
      </c>
      <c r="C404" t="s">
        <v>5</v>
      </c>
      <c r="D404" t="s">
        <v>1597</v>
      </c>
      <c r="E404" t="s">
        <v>811</v>
      </c>
      <c r="F404" t="s">
        <v>193</v>
      </c>
      <c r="G404" t="s">
        <v>2077</v>
      </c>
    </row>
    <row r="405" spans="1:7" x14ac:dyDescent="0.25">
      <c r="A405" t="str">
        <f t="shared" si="6"/>
        <v>TC_O_12_CS Core</v>
      </c>
      <c r="B405" t="s">
        <v>1598</v>
      </c>
      <c r="C405" t="s">
        <v>5</v>
      </c>
      <c r="D405" t="s">
        <v>1599</v>
      </c>
      <c r="E405" t="s">
        <v>811</v>
      </c>
      <c r="F405" t="s">
        <v>193</v>
      </c>
      <c r="G405" t="s">
        <v>2077</v>
      </c>
    </row>
    <row r="406" spans="1:7" x14ac:dyDescent="0.25">
      <c r="A406" t="str">
        <f t="shared" si="6"/>
        <v>TC_O_100_CS Core</v>
      </c>
      <c r="B406" t="s">
        <v>1600</v>
      </c>
      <c r="C406" t="s">
        <v>5</v>
      </c>
      <c r="D406" t="s">
        <v>1601</v>
      </c>
      <c r="E406" t="s">
        <v>811</v>
      </c>
      <c r="F406" t="s">
        <v>2061</v>
      </c>
      <c r="G406" t="s">
        <v>2077</v>
      </c>
    </row>
    <row r="407" spans="1:7" x14ac:dyDescent="0.25">
      <c r="A407" t="str">
        <f t="shared" si="6"/>
        <v>TC_O_101_CS Core</v>
      </c>
      <c r="B407" t="s">
        <v>1602</v>
      </c>
      <c r="C407" t="s">
        <v>5</v>
      </c>
      <c r="D407" t="s">
        <v>1603</v>
      </c>
      <c r="E407" t="s">
        <v>811</v>
      </c>
      <c r="F407" t="s">
        <v>2062</v>
      </c>
      <c r="G407" t="s">
        <v>2077</v>
      </c>
    </row>
    <row r="408" spans="1:7" x14ac:dyDescent="0.25">
      <c r="A408" t="str">
        <f t="shared" si="6"/>
        <v>TC_O_06_CS Core</v>
      </c>
      <c r="B408" t="s">
        <v>1604</v>
      </c>
      <c r="C408" t="s">
        <v>5</v>
      </c>
      <c r="D408" t="s">
        <v>1605</v>
      </c>
      <c r="E408" t="s">
        <v>811</v>
      </c>
      <c r="F408" t="s">
        <v>193</v>
      </c>
      <c r="G408" t="s">
        <v>2077</v>
      </c>
    </row>
    <row r="409" spans="1:7" x14ac:dyDescent="0.25">
      <c r="A409" t="str">
        <f t="shared" si="6"/>
        <v>TC_O_10_CS Core</v>
      </c>
      <c r="B409" t="s">
        <v>1606</v>
      </c>
      <c r="C409" t="s">
        <v>5</v>
      </c>
      <c r="D409" t="s">
        <v>1607</v>
      </c>
      <c r="E409" t="s">
        <v>811</v>
      </c>
      <c r="F409" t="s">
        <v>193</v>
      </c>
      <c r="G409" t="s">
        <v>2077</v>
      </c>
    </row>
    <row r="410" spans="1:7" x14ac:dyDescent="0.25">
      <c r="A410" t="str">
        <f t="shared" si="6"/>
        <v>TC_O_27_CS Core</v>
      </c>
      <c r="B410" t="s">
        <v>1608</v>
      </c>
      <c r="C410" t="s">
        <v>5</v>
      </c>
      <c r="D410" t="s">
        <v>1609</v>
      </c>
      <c r="E410" t="s">
        <v>811</v>
      </c>
      <c r="F410" t="s">
        <v>193</v>
      </c>
      <c r="G410" t="s">
        <v>2077</v>
      </c>
    </row>
    <row r="411" spans="1:7" x14ac:dyDescent="0.25">
      <c r="A411" t="str">
        <f t="shared" si="6"/>
        <v>TC_O_28_CS Core</v>
      </c>
      <c r="B411" t="s">
        <v>1610</v>
      </c>
      <c r="C411" t="s">
        <v>5</v>
      </c>
      <c r="D411" t="s">
        <v>1611</v>
      </c>
      <c r="E411" t="s">
        <v>811</v>
      </c>
      <c r="F411" t="s">
        <v>193</v>
      </c>
      <c r="G411" t="s">
        <v>2077</v>
      </c>
    </row>
    <row r="412" spans="1:7" x14ac:dyDescent="0.25">
      <c r="A412" t="str">
        <f t="shared" si="6"/>
        <v>TC_O_30_CS Core</v>
      </c>
      <c r="B412" t="s">
        <v>1612</v>
      </c>
      <c r="C412" t="s">
        <v>5</v>
      </c>
      <c r="D412" t="s">
        <v>1613</v>
      </c>
      <c r="E412" t="s">
        <v>811</v>
      </c>
      <c r="F412" t="s">
        <v>784</v>
      </c>
      <c r="G412" t="s">
        <v>1588</v>
      </c>
    </row>
    <row r="413" spans="1:7" x14ac:dyDescent="0.25">
      <c r="A413" t="str">
        <f t="shared" si="6"/>
        <v>TC_O_32_CS Core</v>
      </c>
      <c r="B413" t="s">
        <v>1614</v>
      </c>
      <c r="C413" t="s">
        <v>5</v>
      </c>
      <c r="D413" t="s">
        <v>1615</v>
      </c>
      <c r="E413" t="s">
        <v>811</v>
      </c>
      <c r="F413" t="s">
        <v>785</v>
      </c>
      <c r="G413" t="s">
        <v>1591</v>
      </c>
    </row>
    <row r="414" spans="1:7" x14ac:dyDescent="0.25">
      <c r="A414" t="str">
        <f t="shared" si="6"/>
        <v>TC_O_02_CS Core</v>
      </c>
      <c r="B414" t="s">
        <v>1616</v>
      </c>
      <c r="C414" t="s">
        <v>5</v>
      </c>
      <c r="D414" t="s">
        <v>1617</v>
      </c>
      <c r="E414" t="s">
        <v>811</v>
      </c>
      <c r="F414" t="s">
        <v>193</v>
      </c>
      <c r="G414" t="s">
        <v>2077</v>
      </c>
    </row>
    <row r="415" spans="1:7" x14ac:dyDescent="0.25">
      <c r="A415" t="str">
        <f t="shared" si="6"/>
        <v>TC_O_03_CS Core</v>
      </c>
      <c r="B415" t="s">
        <v>1618</v>
      </c>
      <c r="C415" t="s">
        <v>5</v>
      </c>
      <c r="D415" t="s">
        <v>1619</v>
      </c>
      <c r="E415" t="s">
        <v>811</v>
      </c>
      <c r="F415" t="s">
        <v>193</v>
      </c>
      <c r="G415" t="s">
        <v>2077</v>
      </c>
    </row>
    <row r="416" spans="1:7" x14ac:dyDescent="0.25">
      <c r="A416" t="str">
        <f t="shared" si="6"/>
        <v>TC_O_07_CS Core</v>
      </c>
      <c r="B416" t="s">
        <v>1620</v>
      </c>
      <c r="C416" t="s">
        <v>5</v>
      </c>
      <c r="D416" t="s">
        <v>1621</v>
      </c>
      <c r="E416" t="s">
        <v>811</v>
      </c>
      <c r="F416" t="s">
        <v>193</v>
      </c>
      <c r="G416" t="s">
        <v>2077</v>
      </c>
    </row>
    <row r="417" spans="1:7" x14ac:dyDescent="0.25">
      <c r="A417" t="str">
        <f t="shared" si="6"/>
        <v>TC_O_08_CS Core</v>
      </c>
      <c r="B417" t="s">
        <v>1622</v>
      </c>
      <c r="C417" t="s">
        <v>5</v>
      </c>
      <c r="D417" t="s">
        <v>1623</v>
      </c>
      <c r="E417" t="s">
        <v>811</v>
      </c>
      <c r="F417" t="s">
        <v>193</v>
      </c>
      <c r="G417" t="s">
        <v>1624</v>
      </c>
    </row>
    <row r="418" spans="1:7" x14ac:dyDescent="0.25">
      <c r="A418" t="str">
        <f t="shared" si="6"/>
        <v>TC_O_09_CS Core</v>
      </c>
      <c r="B418" t="s">
        <v>1625</v>
      </c>
      <c r="C418" t="s">
        <v>5</v>
      </c>
      <c r="D418" t="s">
        <v>1626</v>
      </c>
      <c r="E418" t="s">
        <v>811</v>
      </c>
      <c r="F418" t="s">
        <v>193</v>
      </c>
      <c r="G418" t="s">
        <v>2077</v>
      </c>
    </row>
    <row r="419" spans="1:7" x14ac:dyDescent="0.25">
      <c r="A419" t="str">
        <f t="shared" si="6"/>
        <v>TC_O_11_CS Core</v>
      </c>
      <c r="B419" t="s">
        <v>1627</v>
      </c>
      <c r="C419" t="s">
        <v>5</v>
      </c>
      <c r="D419" t="s">
        <v>1628</v>
      </c>
      <c r="E419" t="s">
        <v>811</v>
      </c>
      <c r="F419" t="s">
        <v>193</v>
      </c>
      <c r="G419" t="s">
        <v>2077</v>
      </c>
    </row>
    <row r="420" spans="1:7" x14ac:dyDescent="0.25">
      <c r="A420" t="str">
        <f t="shared" si="6"/>
        <v>TC_O_33_CS Core</v>
      </c>
      <c r="B420" t="s">
        <v>1629</v>
      </c>
      <c r="C420" t="s">
        <v>5</v>
      </c>
      <c r="D420" t="s">
        <v>1630</v>
      </c>
      <c r="E420" t="s">
        <v>811</v>
      </c>
      <c r="F420" t="s">
        <v>193</v>
      </c>
      <c r="G420" t="s">
        <v>2077</v>
      </c>
    </row>
    <row r="421" spans="1:7" x14ac:dyDescent="0.25">
      <c r="A421" t="str">
        <f t="shared" si="6"/>
        <v>TC_O_34_CS Core</v>
      </c>
      <c r="B421" t="s">
        <v>1631</v>
      </c>
      <c r="C421" t="s">
        <v>5</v>
      </c>
      <c r="D421" t="s">
        <v>1632</v>
      </c>
      <c r="E421" t="s">
        <v>811</v>
      </c>
      <c r="F421" t="s">
        <v>193</v>
      </c>
      <c r="G421" t="s">
        <v>2077</v>
      </c>
    </row>
    <row r="422" spans="1:7" x14ac:dyDescent="0.25">
      <c r="A422" t="str">
        <f t="shared" si="6"/>
        <v>TC_O_35_CS Core</v>
      </c>
      <c r="B422" t="s">
        <v>1633</v>
      </c>
      <c r="C422" t="s">
        <v>5</v>
      </c>
      <c r="D422" t="s">
        <v>1634</v>
      </c>
      <c r="E422" t="s">
        <v>811</v>
      </c>
      <c r="F422" t="s">
        <v>786</v>
      </c>
      <c r="G422" t="s">
        <v>1635</v>
      </c>
    </row>
    <row r="423" spans="1:7" x14ac:dyDescent="0.25">
      <c r="A423" t="str">
        <f t="shared" si="6"/>
        <v>TC_O_04_CS Core</v>
      </c>
      <c r="B423" t="s">
        <v>1636</v>
      </c>
      <c r="C423" t="s">
        <v>5</v>
      </c>
      <c r="D423" t="s">
        <v>1637</v>
      </c>
      <c r="E423" t="s">
        <v>811</v>
      </c>
      <c r="F423" t="s">
        <v>193</v>
      </c>
      <c r="G423" t="s">
        <v>2077</v>
      </c>
    </row>
    <row r="424" spans="1:7" x14ac:dyDescent="0.25">
      <c r="A424" t="str">
        <f t="shared" si="6"/>
        <v>TC_O_05_CS Core</v>
      </c>
      <c r="B424" t="s">
        <v>1638</v>
      </c>
      <c r="C424" t="s">
        <v>5</v>
      </c>
      <c r="D424" t="s">
        <v>1639</v>
      </c>
      <c r="E424" t="s">
        <v>811</v>
      </c>
      <c r="F424" t="s">
        <v>193</v>
      </c>
      <c r="G424" t="s">
        <v>2077</v>
      </c>
    </row>
    <row r="425" spans="1:7" x14ac:dyDescent="0.25">
      <c r="A425" t="str">
        <f t="shared" si="6"/>
        <v>TC_A_07_CS Advanced Security</v>
      </c>
      <c r="B425" t="s">
        <v>1640</v>
      </c>
      <c r="C425" t="s">
        <v>217</v>
      </c>
      <c r="D425" t="s">
        <v>1641</v>
      </c>
      <c r="E425" t="s">
        <v>798</v>
      </c>
      <c r="F425" t="s">
        <v>2077</v>
      </c>
      <c r="G425" t="s">
        <v>2077</v>
      </c>
    </row>
    <row r="426" spans="1:7" x14ac:dyDescent="0.25">
      <c r="A426" t="str">
        <f t="shared" si="6"/>
        <v>TC_A_11_CS Advanced Security</v>
      </c>
      <c r="B426" t="s">
        <v>1642</v>
      </c>
      <c r="C426" t="s">
        <v>217</v>
      </c>
      <c r="D426" t="s">
        <v>1643</v>
      </c>
      <c r="E426" t="s">
        <v>798</v>
      </c>
      <c r="F426" t="s">
        <v>2077</v>
      </c>
      <c r="G426" t="s">
        <v>2077</v>
      </c>
    </row>
    <row r="427" spans="1:7" x14ac:dyDescent="0.25">
      <c r="A427" t="str">
        <f t="shared" si="6"/>
        <v>TC_A_14_CS Advanced Security</v>
      </c>
      <c r="B427" t="s">
        <v>1644</v>
      </c>
      <c r="C427" t="s">
        <v>217</v>
      </c>
      <c r="D427" t="s">
        <v>1645</v>
      </c>
      <c r="E427" t="s">
        <v>798</v>
      </c>
      <c r="F427" t="s">
        <v>2077</v>
      </c>
      <c r="G427" t="s">
        <v>2077</v>
      </c>
    </row>
    <row r="428" spans="1:7" x14ac:dyDescent="0.25">
      <c r="A428" t="str">
        <f t="shared" si="6"/>
        <v>TC_A_15_CS Advanced Security</v>
      </c>
      <c r="B428" t="s">
        <v>1646</v>
      </c>
      <c r="C428" t="s">
        <v>217</v>
      </c>
      <c r="D428" t="s">
        <v>1647</v>
      </c>
      <c r="E428" t="s">
        <v>798</v>
      </c>
      <c r="F428" t="s">
        <v>2077</v>
      </c>
      <c r="G428" t="s">
        <v>2077</v>
      </c>
    </row>
    <row r="429" spans="1:7" x14ac:dyDescent="0.25">
      <c r="A429" t="str">
        <f t="shared" si="6"/>
        <v>TC_A_23_CS Advanced Security</v>
      </c>
      <c r="B429" t="s">
        <v>1648</v>
      </c>
      <c r="C429" t="s">
        <v>217</v>
      </c>
      <c r="D429" t="s">
        <v>1649</v>
      </c>
      <c r="E429" t="s">
        <v>811</v>
      </c>
      <c r="F429" t="s">
        <v>219</v>
      </c>
      <c r="G429" t="s">
        <v>2077</v>
      </c>
    </row>
    <row r="430" spans="1:7" x14ac:dyDescent="0.25">
      <c r="A430" t="str">
        <f t="shared" si="6"/>
        <v>TC_A_21_CS Advanced Security</v>
      </c>
      <c r="B430" t="s">
        <v>1650</v>
      </c>
      <c r="C430" t="s">
        <v>217</v>
      </c>
      <c r="D430" t="s">
        <v>1651</v>
      </c>
      <c r="E430" t="s">
        <v>811</v>
      </c>
      <c r="F430" t="s">
        <v>408</v>
      </c>
      <c r="G430" t="s">
        <v>2077</v>
      </c>
    </row>
    <row r="431" spans="1:7" x14ac:dyDescent="0.25">
      <c r="A431" t="str">
        <f t="shared" si="6"/>
        <v>TC_M_23_CS Advanced Security</v>
      </c>
      <c r="B431" t="s">
        <v>1652</v>
      </c>
      <c r="C431" t="s">
        <v>217</v>
      </c>
      <c r="D431" t="s">
        <v>1653</v>
      </c>
      <c r="E431" t="s">
        <v>798</v>
      </c>
      <c r="F431" t="s">
        <v>2077</v>
      </c>
      <c r="G431" t="s">
        <v>2077</v>
      </c>
    </row>
    <row r="432" spans="1:7" x14ac:dyDescent="0.25">
      <c r="A432" t="str">
        <f t="shared" si="6"/>
        <v>TC_B_112_CS Advanced Security</v>
      </c>
      <c r="B432" t="s">
        <v>1654</v>
      </c>
      <c r="C432" t="s">
        <v>217</v>
      </c>
      <c r="D432" t="s">
        <v>2173</v>
      </c>
      <c r="E432" t="s">
        <v>811</v>
      </c>
      <c r="F432" t="s">
        <v>223</v>
      </c>
      <c r="G432" t="s">
        <v>224</v>
      </c>
    </row>
    <row r="433" spans="1:7" x14ac:dyDescent="0.25">
      <c r="A433" t="str">
        <f t="shared" si="6"/>
        <v>TC_B_113_CS Advanced Security</v>
      </c>
      <c r="B433" t="s">
        <v>1655</v>
      </c>
      <c r="C433" t="s">
        <v>217</v>
      </c>
      <c r="D433" t="s">
        <v>2174</v>
      </c>
      <c r="E433" t="s">
        <v>811</v>
      </c>
      <c r="F433" t="s">
        <v>223</v>
      </c>
      <c r="G433" t="s">
        <v>224</v>
      </c>
    </row>
    <row r="434" spans="1:7" x14ac:dyDescent="0.25">
      <c r="A434" t="str">
        <f t="shared" si="6"/>
        <v>TC_K_01_CS Smart Charging</v>
      </c>
      <c r="B434" t="s">
        <v>1656</v>
      </c>
      <c r="C434" t="s">
        <v>228</v>
      </c>
      <c r="D434" t="s">
        <v>1657</v>
      </c>
      <c r="E434" t="s">
        <v>798</v>
      </c>
      <c r="F434" t="s">
        <v>2077</v>
      </c>
      <c r="G434" t="s">
        <v>2077</v>
      </c>
    </row>
    <row r="435" spans="1:7" x14ac:dyDescent="0.25">
      <c r="A435" t="str">
        <f t="shared" si="6"/>
        <v>TC_K_10_CS Smart Charging</v>
      </c>
      <c r="B435" t="s">
        <v>1658</v>
      </c>
      <c r="C435" t="s">
        <v>228</v>
      </c>
      <c r="D435" t="s">
        <v>1659</v>
      </c>
      <c r="E435" t="s">
        <v>798</v>
      </c>
      <c r="F435" t="s">
        <v>2077</v>
      </c>
      <c r="G435" t="s">
        <v>2077</v>
      </c>
    </row>
    <row r="436" spans="1:7" x14ac:dyDescent="0.25">
      <c r="A436" t="str">
        <f t="shared" si="6"/>
        <v>TC_K_60_CS Smart Charging</v>
      </c>
      <c r="B436" t="s">
        <v>1660</v>
      </c>
      <c r="C436" t="s">
        <v>228</v>
      </c>
      <c r="D436" t="s">
        <v>1661</v>
      </c>
      <c r="E436" t="s">
        <v>798</v>
      </c>
      <c r="F436" t="s">
        <v>2077</v>
      </c>
      <c r="G436" t="s">
        <v>2077</v>
      </c>
    </row>
    <row r="437" spans="1:7" x14ac:dyDescent="0.25">
      <c r="A437" t="str">
        <f t="shared" si="6"/>
        <v>TC_K_02_CS Smart Charging</v>
      </c>
      <c r="B437" t="s">
        <v>1662</v>
      </c>
      <c r="C437" t="s">
        <v>228</v>
      </c>
      <c r="D437" t="s">
        <v>1663</v>
      </c>
      <c r="E437" t="s">
        <v>798</v>
      </c>
      <c r="F437" t="s">
        <v>2077</v>
      </c>
      <c r="G437" t="s">
        <v>2077</v>
      </c>
    </row>
    <row r="438" spans="1:7" x14ac:dyDescent="0.25">
      <c r="A438" t="str">
        <f t="shared" si="6"/>
        <v>TC_K_11_CS Smart Charging</v>
      </c>
      <c r="B438" t="s">
        <v>1664</v>
      </c>
      <c r="C438" t="s">
        <v>228</v>
      </c>
      <c r="D438" t="s">
        <v>1665</v>
      </c>
      <c r="E438" t="s">
        <v>798</v>
      </c>
      <c r="F438" t="s">
        <v>2077</v>
      </c>
      <c r="G438" t="s">
        <v>2077</v>
      </c>
    </row>
    <row r="439" spans="1:7" x14ac:dyDescent="0.25">
      <c r="A439" t="str">
        <f t="shared" si="6"/>
        <v>TC_K_03_CS Smart Charging</v>
      </c>
      <c r="B439" t="s">
        <v>1666</v>
      </c>
      <c r="C439" t="s">
        <v>228</v>
      </c>
      <c r="D439" t="s">
        <v>1667</v>
      </c>
      <c r="E439" t="s">
        <v>798</v>
      </c>
      <c r="F439" t="s">
        <v>2077</v>
      </c>
      <c r="G439" t="s">
        <v>2077</v>
      </c>
    </row>
    <row r="440" spans="1:7" x14ac:dyDescent="0.25">
      <c r="A440" t="str">
        <f t="shared" si="6"/>
        <v>TC_K_19_CS Smart Charging</v>
      </c>
      <c r="B440" t="s">
        <v>1668</v>
      </c>
      <c r="C440" t="s">
        <v>228</v>
      </c>
      <c r="D440" t="s">
        <v>1669</v>
      </c>
      <c r="E440" t="s">
        <v>798</v>
      </c>
      <c r="F440" t="s">
        <v>2077</v>
      </c>
      <c r="G440" t="s">
        <v>2077</v>
      </c>
    </row>
    <row r="441" spans="1:7" x14ac:dyDescent="0.25">
      <c r="A441" t="str">
        <f t="shared" si="6"/>
        <v>TC_K_12_CS Smart Charging</v>
      </c>
      <c r="B441" t="s">
        <v>1670</v>
      </c>
      <c r="C441" t="s">
        <v>228</v>
      </c>
      <c r="D441" t="s">
        <v>1671</v>
      </c>
      <c r="E441" t="s">
        <v>811</v>
      </c>
      <c r="F441" t="s">
        <v>673</v>
      </c>
      <c r="G441" t="s">
        <v>2077</v>
      </c>
    </row>
    <row r="442" spans="1:7" x14ac:dyDescent="0.25">
      <c r="A442" t="str">
        <f t="shared" si="6"/>
        <v>TC_K_13_CS Smart Charging</v>
      </c>
      <c r="B442" t="s">
        <v>1672</v>
      </c>
      <c r="C442" t="s">
        <v>228</v>
      </c>
      <c r="D442" t="s">
        <v>1673</v>
      </c>
      <c r="E442" t="s">
        <v>798</v>
      </c>
      <c r="F442" t="s">
        <v>2077</v>
      </c>
      <c r="G442" t="s">
        <v>2077</v>
      </c>
    </row>
    <row r="443" spans="1:7" x14ac:dyDescent="0.25">
      <c r="A443" t="str">
        <f t="shared" si="6"/>
        <v>TC_K_14_CS Smart Charging</v>
      </c>
      <c r="B443" t="s">
        <v>1674</v>
      </c>
      <c r="C443" t="s">
        <v>228</v>
      </c>
      <c r="D443" t="s">
        <v>1675</v>
      </c>
      <c r="E443" t="s">
        <v>798</v>
      </c>
      <c r="F443" t="s">
        <v>2077</v>
      </c>
      <c r="G443" t="s">
        <v>2077</v>
      </c>
    </row>
    <row r="444" spans="1:7" x14ac:dyDescent="0.25">
      <c r="A444" t="str">
        <f t="shared" si="6"/>
        <v>TC_K_28_CS Smart Charging</v>
      </c>
      <c r="B444" t="s">
        <v>1676</v>
      </c>
      <c r="C444" t="s">
        <v>228</v>
      </c>
      <c r="D444" t="s">
        <v>1677</v>
      </c>
      <c r="E444" t="s">
        <v>798</v>
      </c>
      <c r="F444" t="s">
        <v>2077</v>
      </c>
      <c r="G444" t="s">
        <v>2077</v>
      </c>
    </row>
    <row r="445" spans="1:7" x14ac:dyDescent="0.25">
      <c r="A445" t="str">
        <f t="shared" si="6"/>
        <v>TC_K_16_CS Smart Charging</v>
      </c>
      <c r="B445" t="s">
        <v>1678</v>
      </c>
      <c r="C445" t="s">
        <v>228</v>
      </c>
      <c r="D445" t="s">
        <v>1679</v>
      </c>
      <c r="E445" t="s">
        <v>798</v>
      </c>
      <c r="F445" t="s">
        <v>2077</v>
      </c>
      <c r="G445" t="s">
        <v>2077</v>
      </c>
    </row>
    <row r="446" spans="1:7" x14ac:dyDescent="0.25">
      <c r="A446" t="str">
        <f t="shared" si="6"/>
        <v>TC_K_21_CS Smart Charging</v>
      </c>
      <c r="B446" t="s">
        <v>1680</v>
      </c>
      <c r="C446" t="s">
        <v>228</v>
      </c>
      <c r="D446" t="s">
        <v>1681</v>
      </c>
      <c r="E446" t="s">
        <v>798</v>
      </c>
      <c r="F446" t="s">
        <v>2077</v>
      </c>
      <c r="G446" t="s">
        <v>2077</v>
      </c>
    </row>
    <row r="447" spans="1:7" x14ac:dyDescent="0.25">
      <c r="A447" t="str">
        <f t="shared" si="6"/>
        <v>TC_K_22_CS Smart Charging</v>
      </c>
      <c r="B447" t="s">
        <v>1682</v>
      </c>
      <c r="C447" t="s">
        <v>228</v>
      </c>
      <c r="D447" t="s">
        <v>1683</v>
      </c>
      <c r="E447" t="s">
        <v>798</v>
      </c>
      <c r="F447" t="s">
        <v>2077</v>
      </c>
      <c r="G447" t="s">
        <v>2077</v>
      </c>
    </row>
    <row r="448" spans="1:7" x14ac:dyDescent="0.25">
      <c r="A448" t="str">
        <f t="shared" si="6"/>
        <v>TC_K_23_CS Smart Charging</v>
      </c>
      <c r="B448" t="s">
        <v>1684</v>
      </c>
      <c r="C448" t="s">
        <v>228</v>
      </c>
      <c r="D448" t="s">
        <v>1685</v>
      </c>
      <c r="E448" t="s">
        <v>798</v>
      </c>
      <c r="F448" t="s">
        <v>2077</v>
      </c>
      <c r="G448" t="s">
        <v>2077</v>
      </c>
    </row>
    <row r="449" spans="1:7" x14ac:dyDescent="0.25">
      <c r="A449" t="str">
        <f t="shared" si="6"/>
        <v>TC_K_100_CS Smart Charging</v>
      </c>
      <c r="B449" t="s">
        <v>1686</v>
      </c>
      <c r="C449" t="s">
        <v>228</v>
      </c>
      <c r="D449" t="s">
        <v>1687</v>
      </c>
      <c r="E449" t="s">
        <v>798</v>
      </c>
      <c r="F449" t="s">
        <v>2077</v>
      </c>
      <c r="G449" t="s">
        <v>2077</v>
      </c>
    </row>
    <row r="450" spans="1:7" x14ac:dyDescent="0.25">
      <c r="A450" t="str">
        <f t="shared" ref="A450:A513" si="7">B450&amp;" "&amp;C450</f>
        <v>TC_K_102_CS Smart Charging</v>
      </c>
      <c r="B450" t="s">
        <v>1688</v>
      </c>
      <c r="C450" t="s">
        <v>228</v>
      </c>
      <c r="D450" t="s">
        <v>1689</v>
      </c>
      <c r="E450" t="s">
        <v>811</v>
      </c>
      <c r="F450" t="s">
        <v>234</v>
      </c>
      <c r="G450" t="s">
        <v>235</v>
      </c>
    </row>
    <row r="451" spans="1:7" x14ac:dyDescent="0.25">
      <c r="A451" t="str">
        <f t="shared" si="7"/>
        <v>TC_K_103_CS Smart Charging</v>
      </c>
      <c r="B451" t="s">
        <v>1690</v>
      </c>
      <c r="C451" t="s">
        <v>228</v>
      </c>
      <c r="D451" t="s">
        <v>1691</v>
      </c>
      <c r="E451" t="s">
        <v>811</v>
      </c>
      <c r="F451" t="s">
        <v>237</v>
      </c>
      <c r="G451" t="s">
        <v>1692</v>
      </c>
    </row>
    <row r="452" spans="1:7" x14ac:dyDescent="0.25">
      <c r="A452" t="str">
        <f t="shared" si="7"/>
        <v>TC_K_136_CS Smart Charging</v>
      </c>
      <c r="B452" t="s">
        <v>1693</v>
      </c>
      <c r="C452" t="s">
        <v>228</v>
      </c>
      <c r="D452" t="s">
        <v>1694</v>
      </c>
      <c r="E452" t="s">
        <v>811</v>
      </c>
      <c r="F452" t="s">
        <v>239</v>
      </c>
      <c r="G452" t="s">
        <v>1695</v>
      </c>
    </row>
    <row r="453" spans="1:7" x14ac:dyDescent="0.25">
      <c r="A453" t="str">
        <f t="shared" si="7"/>
        <v>TC_K_104_CS Smart Charging</v>
      </c>
      <c r="B453" t="s">
        <v>1696</v>
      </c>
      <c r="C453" t="s">
        <v>228</v>
      </c>
      <c r="D453" t="s">
        <v>1697</v>
      </c>
      <c r="E453" t="s">
        <v>811</v>
      </c>
      <c r="F453" t="s">
        <v>241</v>
      </c>
      <c r="G453" t="s">
        <v>242</v>
      </c>
    </row>
    <row r="454" spans="1:7" x14ac:dyDescent="0.25">
      <c r="A454" t="str">
        <f t="shared" si="7"/>
        <v>TC_K_105_CS Smart Charging</v>
      </c>
      <c r="B454" t="s">
        <v>1698</v>
      </c>
      <c r="C454" t="s">
        <v>228</v>
      </c>
      <c r="D454" t="s">
        <v>1699</v>
      </c>
      <c r="E454" t="s">
        <v>798</v>
      </c>
      <c r="F454" t="s">
        <v>2077</v>
      </c>
      <c r="G454" t="s">
        <v>2077</v>
      </c>
    </row>
    <row r="455" spans="1:7" x14ac:dyDescent="0.25">
      <c r="A455" t="str">
        <f t="shared" si="7"/>
        <v>TC_K_106_CS Smart Charging</v>
      </c>
      <c r="B455" t="s">
        <v>1700</v>
      </c>
      <c r="C455" t="s">
        <v>228</v>
      </c>
      <c r="D455" t="s">
        <v>1701</v>
      </c>
      <c r="E455" t="s">
        <v>811</v>
      </c>
      <c r="F455" t="s">
        <v>243</v>
      </c>
      <c r="G455" t="s">
        <v>244</v>
      </c>
    </row>
    <row r="456" spans="1:7" x14ac:dyDescent="0.25">
      <c r="A456" t="str">
        <f t="shared" si="7"/>
        <v>TC_K_107_CS Smart Charging</v>
      </c>
      <c r="B456" t="s">
        <v>1702</v>
      </c>
      <c r="C456" t="s">
        <v>228</v>
      </c>
      <c r="D456" t="s">
        <v>1703</v>
      </c>
      <c r="E456" t="s">
        <v>811</v>
      </c>
      <c r="F456" t="s">
        <v>243</v>
      </c>
      <c r="G456" t="s">
        <v>244</v>
      </c>
    </row>
    <row r="457" spans="1:7" x14ac:dyDescent="0.25">
      <c r="A457" t="str">
        <f t="shared" si="7"/>
        <v>TC_K_108_CS Smart Charging</v>
      </c>
      <c r="B457" t="s">
        <v>1704</v>
      </c>
      <c r="C457" t="s">
        <v>228</v>
      </c>
      <c r="D457" t="s">
        <v>1705</v>
      </c>
      <c r="E457" t="s">
        <v>811</v>
      </c>
      <c r="F457" t="s">
        <v>243</v>
      </c>
      <c r="G457" t="s">
        <v>244</v>
      </c>
    </row>
    <row r="458" spans="1:7" x14ac:dyDescent="0.25">
      <c r="A458" t="str">
        <f t="shared" si="7"/>
        <v>TC_K_129_CS Smart Charging</v>
      </c>
      <c r="B458" t="s">
        <v>1706</v>
      </c>
      <c r="C458" t="s">
        <v>228</v>
      </c>
      <c r="D458" t="s">
        <v>1707</v>
      </c>
      <c r="E458" t="s">
        <v>811</v>
      </c>
      <c r="F458" t="s">
        <v>241</v>
      </c>
      <c r="G458" t="s">
        <v>242</v>
      </c>
    </row>
    <row r="459" spans="1:7" x14ac:dyDescent="0.25">
      <c r="A459" t="str">
        <f t="shared" si="7"/>
        <v>TC_K_130_CS Smart Charging</v>
      </c>
      <c r="B459" t="s">
        <v>1708</v>
      </c>
      <c r="C459" t="s">
        <v>228</v>
      </c>
      <c r="D459" t="s">
        <v>1709</v>
      </c>
      <c r="E459" t="s">
        <v>811</v>
      </c>
      <c r="F459" t="s">
        <v>1710</v>
      </c>
      <c r="G459" t="s">
        <v>2077</v>
      </c>
    </row>
    <row r="460" spans="1:7" x14ac:dyDescent="0.25">
      <c r="A460" t="str">
        <f t="shared" si="7"/>
        <v>TC_K_131_CS Smart Charging</v>
      </c>
      <c r="B460" t="s">
        <v>1711</v>
      </c>
      <c r="C460" t="s">
        <v>228</v>
      </c>
      <c r="D460" t="s">
        <v>1712</v>
      </c>
      <c r="E460" t="s">
        <v>811</v>
      </c>
      <c r="F460" t="s">
        <v>1713</v>
      </c>
      <c r="G460" t="s">
        <v>2077</v>
      </c>
    </row>
    <row r="461" spans="1:7" x14ac:dyDescent="0.25">
      <c r="A461" t="str">
        <f t="shared" si="7"/>
        <v>TC_K_132_CS Smart Charging</v>
      </c>
      <c r="B461" t="s">
        <v>1714</v>
      </c>
      <c r="C461" t="s">
        <v>228</v>
      </c>
      <c r="D461" t="s">
        <v>1715</v>
      </c>
      <c r="E461" t="s">
        <v>811</v>
      </c>
      <c r="F461" t="s">
        <v>1716</v>
      </c>
      <c r="G461" t="s">
        <v>2077</v>
      </c>
    </row>
    <row r="462" spans="1:7" x14ac:dyDescent="0.25">
      <c r="A462" t="str">
        <f t="shared" si="7"/>
        <v>TC_K_133_CS Smart Charging</v>
      </c>
      <c r="B462" t="s">
        <v>1717</v>
      </c>
      <c r="C462" t="s">
        <v>228</v>
      </c>
      <c r="D462" t="s">
        <v>1718</v>
      </c>
      <c r="E462" t="s">
        <v>811</v>
      </c>
      <c r="F462" t="s">
        <v>1719</v>
      </c>
      <c r="G462" t="s">
        <v>2077</v>
      </c>
    </row>
    <row r="463" spans="1:7" x14ac:dyDescent="0.25">
      <c r="A463" t="str">
        <f t="shared" si="7"/>
        <v>TC_K_134_CS Smart Charging</v>
      </c>
      <c r="B463" t="s">
        <v>1720</v>
      </c>
      <c r="C463" t="s">
        <v>228</v>
      </c>
      <c r="D463" t="s">
        <v>1721</v>
      </c>
      <c r="E463" t="s">
        <v>811</v>
      </c>
      <c r="F463" t="s">
        <v>1722</v>
      </c>
      <c r="G463" t="s">
        <v>2077</v>
      </c>
    </row>
    <row r="464" spans="1:7" x14ac:dyDescent="0.25">
      <c r="A464" t="str">
        <f t="shared" si="7"/>
        <v>TC_K_04_CS Smart Charging</v>
      </c>
      <c r="B464" t="s">
        <v>1723</v>
      </c>
      <c r="C464" t="s">
        <v>228</v>
      </c>
      <c r="D464" t="s">
        <v>1724</v>
      </c>
      <c r="E464" t="s">
        <v>798</v>
      </c>
      <c r="F464" t="s">
        <v>2077</v>
      </c>
      <c r="G464" t="s">
        <v>2077</v>
      </c>
    </row>
    <row r="465" spans="1:7" x14ac:dyDescent="0.25">
      <c r="A465" t="str">
        <f t="shared" si="7"/>
        <v>TC_K_37_CS Smart Charging</v>
      </c>
      <c r="B465" t="s">
        <v>1725</v>
      </c>
      <c r="C465" t="s">
        <v>228</v>
      </c>
      <c r="D465" t="s">
        <v>1726</v>
      </c>
      <c r="E465" t="s">
        <v>798</v>
      </c>
      <c r="F465" t="s">
        <v>2077</v>
      </c>
      <c r="G465" t="s">
        <v>2077</v>
      </c>
    </row>
    <row r="466" spans="1:7" x14ac:dyDescent="0.25">
      <c r="A466" t="str">
        <f t="shared" si="7"/>
        <v>TC_K_39_CS Smart Charging</v>
      </c>
      <c r="B466" t="s">
        <v>1727</v>
      </c>
      <c r="C466" t="s">
        <v>228</v>
      </c>
      <c r="D466" t="s">
        <v>1728</v>
      </c>
      <c r="E466" t="s">
        <v>798</v>
      </c>
      <c r="F466" t="s">
        <v>2077</v>
      </c>
      <c r="G466" t="s">
        <v>2077</v>
      </c>
    </row>
    <row r="467" spans="1:7" x14ac:dyDescent="0.25">
      <c r="A467" t="str">
        <f t="shared" si="7"/>
        <v>TC_K_40_CS Smart Charging</v>
      </c>
      <c r="B467" t="s">
        <v>1729</v>
      </c>
      <c r="C467" t="s">
        <v>228</v>
      </c>
      <c r="D467" t="s">
        <v>1730</v>
      </c>
      <c r="E467" t="s">
        <v>798</v>
      </c>
      <c r="F467" t="s">
        <v>2077</v>
      </c>
      <c r="G467" t="s">
        <v>2077</v>
      </c>
    </row>
    <row r="468" spans="1:7" x14ac:dyDescent="0.25">
      <c r="A468" t="str">
        <f t="shared" si="7"/>
        <v>TC_K_41_CS Smart Charging</v>
      </c>
      <c r="B468" t="s">
        <v>1731</v>
      </c>
      <c r="C468" t="s">
        <v>228</v>
      </c>
      <c r="D468" t="s">
        <v>1732</v>
      </c>
      <c r="E468" t="s">
        <v>798</v>
      </c>
      <c r="F468" t="s">
        <v>2077</v>
      </c>
      <c r="G468" t="s">
        <v>2077</v>
      </c>
    </row>
    <row r="469" spans="1:7" x14ac:dyDescent="0.25">
      <c r="A469" t="str">
        <f t="shared" si="7"/>
        <v>TC_K_42_CS Smart Charging</v>
      </c>
      <c r="B469" t="s">
        <v>1733</v>
      </c>
      <c r="C469" t="s">
        <v>228</v>
      </c>
      <c r="D469" t="s">
        <v>1734</v>
      </c>
      <c r="E469" t="s">
        <v>811</v>
      </c>
      <c r="F469" t="s">
        <v>673</v>
      </c>
      <c r="G469" t="s">
        <v>2077</v>
      </c>
    </row>
    <row r="470" spans="1:7" x14ac:dyDescent="0.25">
      <c r="A470" t="str">
        <f t="shared" si="7"/>
        <v>TC_K_47_CS Smart Charging</v>
      </c>
      <c r="B470" t="s">
        <v>1735</v>
      </c>
      <c r="C470" t="s">
        <v>228</v>
      </c>
      <c r="D470" t="s">
        <v>1736</v>
      </c>
      <c r="E470" t="s">
        <v>798</v>
      </c>
      <c r="F470" t="s">
        <v>2077</v>
      </c>
      <c r="G470" t="s">
        <v>2077</v>
      </c>
    </row>
    <row r="471" spans="1:7" x14ac:dyDescent="0.25">
      <c r="A471" t="str">
        <f t="shared" si="7"/>
        <v>TC_K_112_CS Smart Charging</v>
      </c>
      <c r="B471" t="s">
        <v>1737</v>
      </c>
      <c r="C471" t="s">
        <v>228</v>
      </c>
      <c r="D471" t="s">
        <v>1738</v>
      </c>
      <c r="E471" t="s">
        <v>811</v>
      </c>
      <c r="F471" t="s">
        <v>243</v>
      </c>
      <c r="G471" t="s">
        <v>244</v>
      </c>
    </row>
    <row r="472" spans="1:7" x14ac:dyDescent="0.25">
      <c r="A472" t="str">
        <f t="shared" si="7"/>
        <v>TC_K_29_CS Smart Charging</v>
      </c>
      <c r="B472" t="s">
        <v>1739</v>
      </c>
      <c r="C472" t="s">
        <v>228</v>
      </c>
      <c r="D472" t="s">
        <v>1740</v>
      </c>
      <c r="E472" t="s">
        <v>798</v>
      </c>
      <c r="F472" t="s">
        <v>2077</v>
      </c>
      <c r="G472" t="s">
        <v>2077</v>
      </c>
    </row>
    <row r="473" spans="1:7" x14ac:dyDescent="0.25">
      <c r="A473" t="str">
        <f t="shared" si="7"/>
        <v>TC_K_30_CS Smart Charging</v>
      </c>
      <c r="B473" t="s">
        <v>1741</v>
      </c>
      <c r="C473" t="s">
        <v>228</v>
      </c>
      <c r="D473" t="s">
        <v>1742</v>
      </c>
      <c r="E473" t="s">
        <v>798</v>
      </c>
      <c r="F473" t="s">
        <v>2077</v>
      </c>
      <c r="G473" t="s">
        <v>2077</v>
      </c>
    </row>
    <row r="474" spans="1:7" x14ac:dyDescent="0.25">
      <c r="A474" t="str">
        <f t="shared" si="7"/>
        <v>TC_K_31_CS Smart Charging</v>
      </c>
      <c r="B474" t="s">
        <v>1743</v>
      </c>
      <c r="C474" t="s">
        <v>228</v>
      </c>
      <c r="D474" t="s">
        <v>1744</v>
      </c>
      <c r="E474" t="s">
        <v>798</v>
      </c>
      <c r="F474" t="s">
        <v>2077</v>
      </c>
      <c r="G474" t="s">
        <v>2077</v>
      </c>
    </row>
    <row r="475" spans="1:7" x14ac:dyDescent="0.25">
      <c r="A475" t="str">
        <f t="shared" si="7"/>
        <v>TC_K_32_CS Smart Charging</v>
      </c>
      <c r="B475" t="s">
        <v>1745</v>
      </c>
      <c r="C475" t="s">
        <v>228</v>
      </c>
      <c r="D475" t="s">
        <v>1746</v>
      </c>
      <c r="E475" t="s">
        <v>798</v>
      </c>
      <c r="F475" t="s">
        <v>2077</v>
      </c>
      <c r="G475" t="s">
        <v>2077</v>
      </c>
    </row>
    <row r="476" spans="1:7" x14ac:dyDescent="0.25">
      <c r="A476" t="str">
        <f t="shared" si="7"/>
        <v>TC_K_33_CS Smart Charging</v>
      </c>
      <c r="B476" t="s">
        <v>1747</v>
      </c>
      <c r="C476" t="s">
        <v>228</v>
      </c>
      <c r="D476" t="s">
        <v>1748</v>
      </c>
      <c r="E476" t="s">
        <v>798</v>
      </c>
      <c r="F476" t="s">
        <v>2077</v>
      </c>
      <c r="G476" t="s">
        <v>2077</v>
      </c>
    </row>
    <row r="477" spans="1:7" x14ac:dyDescent="0.25">
      <c r="A477" t="str">
        <f t="shared" si="7"/>
        <v>TC_K_34_CS Smart Charging</v>
      </c>
      <c r="B477" t="s">
        <v>1749</v>
      </c>
      <c r="C477" t="s">
        <v>228</v>
      </c>
      <c r="D477" t="s">
        <v>1750</v>
      </c>
      <c r="E477" t="s">
        <v>798</v>
      </c>
      <c r="F477" t="s">
        <v>2077</v>
      </c>
      <c r="G477" t="s">
        <v>2077</v>
      </c>
    </row>
    <row r="478" spans="1:7" x14ac:dyDescent="0.25">
      <c r="A478" t="str">
        <f t="shared" si="7"/>
        <v>TC_K_35_CS Smart Charging</v>
      </c>
      <c r="B478" t="s">
        <v>1751</v>
      </c>
      <c r="C478" t="s">
        <v>228</v>
      </c>
      <c r="D478" t="s">
        <v>1752</v>
      </c>
      <c r="E478" t="s">
        <v>798</v>
      </c>
      <c r="F478" t="s">
        <v>2077</v>
      </c>
      <c r="G478" t="s">
        <v>2077</v>
      </c>
    </row>
    <row r="479" spans="1:7" x14ac:dyDescent="0.25">
      <c r="A479" t="str">
        <f t="shared" si="7"/>
        <v>TC_K_36_CS Smart Charging</v>
      </c>
      <c r="B479" t="s">
        <v>1753</v>
      </c>
      <c r="C479" t="s">
        <v>228</v>
      </c>
      <c r="D479" t="s">
        <v>1754</v>
      </c>
      <c r="E479" t="s">
        <v>798</v>
      </c>
      <c r="F479" t="s">
        <v>2077</v>
      </c>
      <c r="G479" t="s">
        <v>2077</v>
      </c>
    </row>
    <row r="480" spans="1:7" x14ac:dyDescent="0.25">
      <c r="A480" t="str">
        <f t="shared" si="7"/>
        <v>TC_K_05_CS Smart Charging</v>
      </c>
      <c r="B480" t="s">
        <v>1755</v>
      </c>
      <c r="C480" t="s">
        <v>228</v>
      </c>
      <c r="D480" t="s">
        <v>1756</v>
      </c>
      <c r="E480" t="s">
        <v>798</v>
      </c>
      <c r="F480" t="s">
        <v>2077</v>
      </c>
      <c r="G480" t="s">
        <v>2077</v>
      </c>
    </row>
    <row r="481" spans="1:7" x14ac:dyDescent="0.25">
      <c r="A481" t="str">
        <f t="shared" si="7"/>
        <v>TC_K_06_CS Smart Charging</v>
      </c>
      <c r="B481" t="s">
        <v>1757</v>
      </c>
      <c r="C481" t="s">
        <v>228</v>
      </c>
      <c r="D481" t="s">
        <v>1758</v>
      </c>
      <c r="E481" t="s">
        <v>798</v>
      </c>
      <c r="F481" t="s">
        <v>2077</v>
      </c>
      <c r="G481" t="s">
        <v>2077</v>
      </c>
    </row>
    <row r="482" spans="1:7" x14ac:dyDescent="0.25">
      <c r="A482" t="str">
        <f t="shared" si="7"/>
        <v>TC_K_07_CS Smart Charging</v>
      </c>
      <c r="B482" t="s">
        <v>1759</v>
      </c>
      <c r="C482" t="s">
        <v>228</v>
      </c>
      <c r="D482" t="s">
        <v>1760</v>
      </c>
      <c r="E482" t="s">
        <v>798</v>
      </c>
      <c r="F482" t="s">
        <v>2077</v>
      </c>
      <c r="G482" t="s">
        <v>2077</v>
      </c>
    </row>
    <row r="483" spans="1:7" x14ac:dyDescent="0.25">
      <c r="A483" t="str">
        <f t="shared" si="7"/>
        <v>TC_K_08_CS Smart Charging</v>
      </c>
      <c r="B483" t="s">
        <v>1761</v>
      </c>
      <c r="C483" t="s">
        <v>228</v>
      </c>
      <c r="D483" t="s">
        <v>1762</v>
      </c>
      <c r="E483" t="s">
        <v>798</v>
      </c>
      <c r="F483" t="s">
        <v>2077</v>
      </c>
      <c r="G483" t="s">
        <v>2077</v>
      </c>
    </row>
    <row r="484" spans="1:7" x14ac:dyDescent="0.25">
      <c r="A484" t="str">
        <f t="shared" si="7"/>
        <v>TC_K_09_CS Smart Charging</v>
      </c>
      <c r="B484" t="s">
        <v>1763</v>
      </c>
      <c r="C484" t="s">
        <v>228</v>
      </c>
      <c r="D484" t="s">
        <v>1764</v>
      </c>
      <c r="E484" t="s">
        <v>798</v>
      </c>
      <c r="F484" t="s">
        <v>2077</v>
      </c>
      <c r="G484" t="s">
        <v>2077</v>
      </c>
    </row>
    <row r="485" spans="1:7" x14ac:dyDescent="0.25">
      <c r="A485" t="str">
        <f t="shared" si="7"/>
        <v>TC_K_24_CS Smart Charging</v>
      </c>
      <c r="B485" t="s">
        <v>1765</v>
      </c>
      <c r="C485" t="s">
        <v>228</v>
      </c>
      <c r="D485" t="s">
        <v>1766</v>
      </c>
      <c r="E485" t="s">
        <v>811</v>
      </c>
      <c r="F485" t="s">
        <v>674</v>
      </c>
      <c r="G485" t="s">
        <v>2077</v>
      </c>
    </row>
    <row r="486" spans="1:7" x14ac:dyDescent="0.25">
      <c r="A486" t="str">
        <f t="shared" si="7"/>
        <v>TC_K_118_CS Smart Charging</v>
      </c>
      <c r="B486" t="s">
        <v>1767</v>
      </c>
      <c r="C486" t="s">
        <v>228</v>
      </c>
      <c r="D486" t="s">
        <v>1768</v>
      </c>
      <c r="E486" t="s">
        <v>811</v>
      </c>
      <c r="F486" t="s">
        <v>241</v>
      </c>
      <c r="G486" t="s">
        <v>242</v>
      </c>
    </row>
    <row r="487" spans="1:7" x14ac:dyDescent="0.25">
      <c r="A487" t="str">
        <f t="shared" si="7"/>
        <v>TC_K_119_CS Smart Charging</v>
      </c>
      <c r="B487" t="s">
        <v>1769</v>
      </c>
      <c r="C487" t="s">
        <v>228</v>
      </c>
      <c r="D487" t="s">
        <v>1770</v>
      </c>
      <c r="E487" t="s">
        <v>811</v>
      </c>
      <c r="F487" t="s">
        <v>241</v>
      </c>
      <c r="G487" t="s">
        <v>242</v>
      </c>
    </row>
    <row r="488" spans="1:7" x14ac:dyDescent="0.25">
      <c r="A488" t="str">
        <f t="shared" si="7"/>
        <v>TC_K_121_CS Smart Charging</v>
      </c>
      <c r="B488" t="s">
        <v>1771</v>
      </c>
      <c r="C488" t="s">
        <v>228</v>
      </c>
      <c r="D488" t="s">
        <v>1772</v>
      </c>
      <c r="E488" t="s">
        <v>811</v>
      </c>
      <c r="F488" t="s">
        <v>245</v>
      </c>
      <c r="G488" t="s">
        <v>246</v>
      </c>
    </row>
    <row r="489" spans="1:7" x14ac:dyDescent="0.25">
      <c r="A489" t="str">
        <f t="shared" si="7"/>
        <v>TC_K_122_CS Smart Charging</v>
      </c>
      <c r="B489" t="s">
        <v>1773</v>
      </c>
      <c r="C489" t="s">
        <v>228</v>
      </c>
      <c r="D489" t="s">
        <v>1774</v>
      </c>
      <c r="E489" t="s">
        <v>811</v>
      </c>
      <c r="F489" t="s">
        <v>245</v>
      </c>
      <c r="G489" t="s">
        <v>246</v>
      </c>
    </row>
    <row r="490" spans="1:7" x14ac:dyDescent="0.25">
      <c r="A490" t="str">
        <f t="shared" si="7"/>
        <v>TC_K_123_CS Smart Charging</v>
      </c>
      <c r="B490" t="s">
        <v>1775</v>
      </c>
      <c r="C490" t="s">
        <v>228</v>
      </c>
      <c r="D490" t="s">
        <v>1776</v>
      </c>
      <c r="E490" t="s">
        <v>811</v>
      </c>
      <c r="F490" t="s">
        <v>245</v>
      </c>
      <c r="G490" t="s">
        <v>246</v>
      </c>
    </row>
    <row r="491" spans="1:7" x14ac:dyDescent="0.25">
      <c r="A491" t="str">
        <f t="shared" si="7"/>
        <v>TC_K_135_CS Smart Charging</v>
      </c>
      <c r="B491" t="s">
        <v>1784</v>
      </c>
      <c r="C491" t="s">
        <v>228</v>
      </c>
      <c r="D491" t="s">
        <v>1785</v>
      </c>
      <c r="E491" t="s">
        <v>811</v>
      </c>
      <c r="F491" t="s">
        <v>2175</v>
      </c>
      <c r="G491" t="s">
        <v>2077</v>
      </c>
    </row>
    <row r="492" spans="1:7" x14ac:dyDescent="0.25">
      <c r="A492" t="str">
        <f t="shared" si="7"/>
        <v>TC_K_52_CS Smart Charging</v>
      </c>
      <c r="B492" t="s">
        <v>1787</v>
      </c>
      <c r="C492" t="s">
        <v>228</v>
      </c>
      <c r="D492" t="s">
        <v>1788</v>
      </c>
      <c r="E492" t="s">
        <v>811</v>
      </c>
      <c r="F492" t="s">
        <v>249</v>
      </c>
      <c r="G492" t="s">
        <v>250</v>
      </c>
    </row>
    <row r="493" spans="1:7" x14ac:dyDescent="0.25">
      <c r="A493" t="str">
        <f t="shared" si="7"/>
        <v>TC_K_120_CS Smart Charging</v>
      </c>
      <c r="B493" t="s">
        <v>1789</v>
      </c>
      <c r="C493" t="s">
        <v>228</v>
      </c>
      <c r="D493" t="s">
        <v>1790</v>
      </c>
      <c r="E493" t="s">
        <v>811</v>
      </c>
      <c r="F493" t="s">
        <v>249</v>
      </c>
      <c r="G493" t="s">
        <v>250</v>
      </c>
    </row>
    <row r="494" spans="1:7" x14ac:dyDescent="0.25">
      <c r="A494" t="str">
        <f t="shared" si="7"/>
        <v>TC_K_109_CS Smart Charging</v>
      </c>
      <c r="B494" t="s">
        <v>1791</v>
      </c>
      <c r="C494" t="s">
        <v>228</v>
      </c>
      <c r="D494" t="s">
        <v>1792</v>
      </c>
      <c r="E494" t="s">
        <v>811</v>
      </c>
      <c r="F494" t="s">
        <v>249</v>
      </c>
      <c r="G494" t="s">
        <v>250</v>
      </c>
    </row>
    <row r="495" spans="1:7" x14ac:dyDescent="0.25">
      <c r="A495" t="str">
        <f t="shared" si="7"/>
        <v>TC_K_110_CS Smart Charging</v>
      </c>
      <c r="B495" t="s">
        <v>1793</v>
      </c>
      <c r="C495" t="s">
        <v>228</v>
      </c>
      <c r="D495" t="s">
        <v>1794</v>
      </c>
      <c r="E495" t="s">
        <v>811</v>
      </c>
      <c r="F495" t="s">
        <v>249</v>
      </c>
      <c r="G495" t="s">
        <v>250</v>
      </c>
    </row>
    <row r="496" spans="1:7" x14ac:dyDescent="0.25">
      <c r="A496" t="str">
        <f t="shared" si="7"/>
        <v>TC_K_124_CS Smart Charging</v>
      </c>
      <c r="B496" t="s">
        <v>1795</v>
      </c>
      <c r="C496" t="s">
        <v>228</v>
      </c>
      <c r="D496" t="s">
        <v>1796</v>
      </c>
      <c r="E496" t="s">
        <v>811</v>
      </c>
      <c r="F496" t="s">
        <v>249</v>
      </c>
      <c r="G496" t="s">
        <v>250</v>
      </c>
    </row>
    <row r="497" spans="1:7" x14ac:dyDescent="0.25">
      <c r="A497" t="str">
        <f t="shared" si="7"/>
        <v>TC_K_125_CS Smart Charging</v>
      </c>
      <c r="B497" t="s">
        <v>1797</v>
      </c>
      <c r="C497" t="s">
        <v>228</v>
      </c>
      <c r="D497" t="s">
        <v>1798</v>
      </c>
      <c r="E497" t="s">
        <v>811</v>
      </c>
      <c r="F497" t="s">
        <v>249</v>
      </c>
      <c r="G497" t="s">
        <v>250</v>
      </c>
    </row>
    <row r="498" spans="1:7" x14ac:dyDescent="0.25">
      <c r="A498" t="str">
        <f t="shared" si="7"/>
        <v>TC_A_12_CS ISO 15118 Support</v>
      </c>
      <c r="B498" t="s">
        <v>1813</v>
      </c>
      <c r="C498" t="s">
        <v>369</v>
      </c>
      <c r="D498" t="s">
        <v>1814</v>
      </c>
      <c r="E498" t="s">
        <v>811</v>
      </c>
      <c r="F498" t="s">
        <v>253</v>
      </c>
      <c r="G498" t="s">
        <v>254</v>
      </c>
    </row>
    <row r="499" spans="1:7" x14ac:dyDescent="0.25">
      <c r="A499" t="str">
        <f t="shared" si="7"/>
        <v>TC_A_112_CS ISO 15118 Support</v>
      </c>
      <c r="B499" t="s">
        <v>2199</v>
      </c>
      <c r="C499" t="s">
        <v>369</v>
      </c>
      <c r="D499" t="s">
        <v>2200</v>
      </c>
      <c r="E499" t="s">
        <v>811</v>
      </c>
      <c r="F499" t="s">
        <v>255</v>
      </c>
      <c r="G499" t="s">
        <v>256</v>
      </c>
    </row>
    <row r="500" spans="1:7" x14ac:dyDescent="0.25">
      <c r="A500" t="str">
        <f t="shared" si="7"/>
        <v>TC_C_50_CS ISO 15118 Support</v>
      </c>
      <c r="B500" t="s">
        <v>1815</v>
      </c>
      <c r="C500" t="s">
        <v>369</v>
      </c>
      <c r="D500" t="s">
        <v>1816</v>
      </c>
      <c r="E500" t="s">
        <v>798</v>
      </c>
      <c r="F500" t="s">
        <v>2077</v>
      </c>
      <c r="G500" t="s">
        <v>2077</v>
      </c>
    </row>
    <row r="501" spans="1:7" x14ac:dyDescent="0.25">
      <c r="A501" t="str">
        <f t="shared" si="7"/>
        <v>TC_C_51_CS ISO 15118 Support</v>
      </c>
      <c r="B501" t="s">
        <v>1817</v>
      </c>
      <c r="C501" t="s">
        <v>369</v>
      </c>
      <c r="D501" t="s">
        <v>1818</v>
      </c>
      <c r="E501" t="s">
        <v>798</v>
      </c>
      <c r="F501" t="s">
        <v>2077</v>
      </c>
      <c r="G501" t="s">
        <v>2077</v>
      </c>
    </row>
    <row r="502" spans="1:7" x14ac:dyDescent="0.25">
      <c r="A502" t="str">
        <f t="shared" si="7"/>
        <v>TC_C_52_CS ISO 15118 Support</v>
      </c>
      <c r="B502" t="s">
        <v>1819</v>
      </c>
      <c r="C502" t="s">
        <v>369</v>
      </c>
      <c r="D502" t="s">
        <v>1820</v>
      </c>
      <c r="E502" t="s">
        <v>811</v>
      </c>
      <c r="F502" t="s">
        <v>259</v>
      </c>
      <c r="G502" t="s">
        <v>2077</v>
      </c>
    </row>
    <row r="503" spans="1:7" x14ac:dyDescent="0.25">
      <c r="A503" t="str">
        <f t="shared" si="7"/>
        <v>TC_C_53_CS ISO 15118 Support</v>
      </c>
      <c r="B503" t="s">
        <v>1821</v>
      </c>
      <c r="C503" t="s">
        <v>369</v>
      </c>
      <c r="D503" t="s">
        <v>1822</v>
      </c>
      <c r="E503" t="s">
        <v>811</v>
      </c>
      <c r="F503" t="s">
        <v>259</v>
      </c>
      <c r="G503" t="s">
        <v>2077</v>
      </c>
    </row>
    <row r="504" spans="1:7" x14ac:dyDescent="0.25">
      <c r="A504" t="str">
        <f t="shared" si="7"/>
        <v>TC_C_54_CS ISO 15118 Support</v>
      </c>
      <c r="B504" t="s">
        <v>1823</v>
      </c>
      <c r="C504" t="s">
        <v>369</v>
      </c>
      <c r="D504" t="s">
        <v>1824</v>
      </c>
      <c r="E504" t="s">
        <v>798</v>
      </c>
      <c r="F504" t="s">
        <v>2077</v>
      </c>
      <c r="G504" t="s">
        <v>2077</v>
      </c>
    </row>
    <row r="505" spans="1:7" x14ac:dyDescent="0.25">
      <c r="A505" t="str">
        <f t="shared" si="7"/>
        <v>TC_C_55_CS ISO 15118 Support</v>
      </c>
      <c r="B505" t="s">
        <v>1825</v>
      </c>
      <c r="C505" t="s">
        <v>369</v>
      </c>
      <c r="D505" t="s">
        <v>1826</v>
      </c>
      <c r="E505" t="s">
        <v>798</v>
      </c>
      <c r="F505" t="s">
        <v>2077</v>
      </c>
      <c r="G505" t="s">
        <v>2077</v>
      </c>
    </row>
    <row r="506" spans="1:7" x14ac:dyDescent="0.25">
      <c r="A506" t="str">
        <f t="shared" si="7"/>
        <v>TC_E_46_CS ISO 15118 Support</v>
      </c>
      <c r="B506" t="s">
        <v>1827</v>
      </c>
      <c r="C506" t="s">
        <v>369</v>
      </c>
      <c r="D506" t="s">
        <v>1828</v>
      </c>
      <c r="E506" t="s">
        <v>798</v>
      </c>
      <c r="F506" t="s">
        <v>2077</v>
      </c>
      <c r="G506" t="s">
        <v>2077</v>
      </c>
    </row>
    <row r="507" spans="1:7" x14ac:dyDescent="0.25">
      <c r="A507" t="str">
        <f t="shared" si="7"/>
        <v>TC_K_01_CS ISO 15118 Support</v>
      </c>
      <c r="B507" t="s">
        <v>1656</v>
      </c>
      <c r="C507" t="s">
        <v>369</v>
      </c>
      <c r="D507" t="s">
        <v>1657</v>
      </c>
      <c r="E507" t="s">
        <v>798</v>
      </c>
      <c r="F507" t="s">
        <v>2077</v>
      </c>
      <c r="G507" t="s">
        <v>2077</v>
      </c>
    </row>
    <row r="508" spans="1:7" x14ac:dyDescent="0.25">
      <c r="A508" t="str">
        <f t="shared" si="7"/>
        <v>TC_K_10_CS ISO 15118 Support</v>
      </c>
      <c r="B508" t="s">
        <v>1658</v>
      </c>
      <c r="C508" t="s">
        <v>369</v>
      </c>
      <c r="D508" t="s">
        <v>1659</v>
      </c>
      <c r="E508" t="s">
        <v>798</v>
      </c>
      <c r="F508" t="s">
        <v>2077</v>
      </c>
      <c r="G508" t="s">
        <v>2077</v>
      </c>
    </row>
    <row r="509" spans="1:7" x14ac:dyDescent="0.25">
      <c r="A509" t="str">
        <f t="shared" si="7"/>
        <v>TC_K_60_CS ISO 15118 Support</v>
      </c>
      <c r="B509" t="s">
        <v>1660</v>
      </c>
      <c r="C509" t="s">
        <v>369</v>
      </c>
      <c r="D509" t="s">
        <v>1661</v>
      </c>
      <c r="E509" t="s">
        <v>798</v>
      </c>
      <c r="F509" t="s">
        <v>2077</v>
      </c>
      <c r="G509" t="s">
        <v>2077</v>
      </c>
    </row>
    <row r="510" spans="1:7" x14ac:dyDescent="0.25">
      <c r="A510" t="str">
        <f t="shared" si="7"/>
        <v>TC_K_02_CS ISO 15118 Support</v>
      </c>
      <c r="B510" t="s">
        <v>1662</v>
      </c>
      <c r="C510" t="s">
        <v>369</v>
      </c>
      <c r="D510" t="s">
        <v>1663</v>
      </c>
      <c r="E510" t="s">
        <v>798</v>
      </c>
      <c r="F510" t="s">
        <v>2077</v>
      </c>
      <c r="G510" t="s">
        <v>2077</v>
      </c>
    </row>
    <row r="511" spans="1:7" x14ac:dyDescent="0.25">
      <c r="A511" t="str">
        <f t="shared" si="7"/>
        <v>TC_K_11_CS ISO 15118 Support</v>
      </c>
      <c r="B511" t="s">
        <v>1664</v>
      </c>
      <c r="C511" t="s">
        <v>369</v>
      </c>
      <c r="D511" t="s">
        <v>1665</v>
      </c>
      <c r="E511" t="s">
        <v>798</v>
      </c>
      <c r="F511" t="s">
        <v>2077</v>
      </c>
      <c r="G511" t="s">
        <v>2077</v>
      </c>
    </row>
    <row r="512" spans="1:7" x14ac:dyDescent="0.25">
      <c r="A512" t="str">
        <f t="shared" si="7"/>
        <v>TC_K_03_CS ISO 15118 Support</v>
      </c>
      <c r="B512" t="s">
        <v>1666</v>
      </c>
      <c r="C512" t="s">
        <v>369</v>
      </c>
      <c r="D512" t="s">
        <v>1667</v>
      </c>
      <c r="E512" t="s">
        <v>798</v>
      </c>
      <c r="F512" t="s">
        <v>2077</v>
      </c>
      <c r="G512" t="s">
        <v>2077</v>
      </c>
    </row>
    <row r="513" spans="1:7" x14ac:dyDescent="0.25">
      <c r="A513" t="str">
        <f t="shared" si="7"/>
        <v>TC_K_19_CS ISO 15118 Support</v>
      </c>
      <c r="B513" t="s">
        <v>1668</v>
      </c>
      <c r="C513" t="s">
        <v>369</v>
      </c>
      <c r="D513" t="s">
        <v>1669</v>
      </c>
      <c r="E513" t="s">
        <v>798</v>
      </c>
      <c r="F513" t="s">
        <v>2077</v>
      </c>
      <c r="G513" t="s">
        <v>2077</v>
      </c>
    </row>
    <row r="514" spans="1:7" x14ac:dyDescent="0.25">
      <c r="A514" t="str">
        <f t="shared" ref="A514:A577" si="8">B514&amp;" "&amp;C514</f>
        <v>TC_K_12_CS ISO 15118 Support</v>
      </c>
      <c r="B514" t="s">
        <v>1670</v>
      </c>
      <c r="C514" t="s">
        <v>369</v>
      </c>
      <c r="D514" t="s">
        <v>1671</v>
      </c>
      <c r="E514" t="s">
        <v>811</v>
      </c>
      <c r="F514" t="s">
        <v>673</v>
      </c>
      <c r="G514" t="s">
        <v>2077</v>
      </c>
    </row>
    <row r="515" spans="1:7" x14ac:dyDescent="0.25">
      <c r="A515" t="str">
        <f t="shared" si="8"/>
        <v>TC_K_13_CS ISO 15118 Support</v>
      </c>
      <c r="B515" t="s">
        <v>1672</v>
      </c>
      <c r="C515" t="s">
        <v>369</v>
      </c>
      <c r="D515" t="s">
        <v>1673</v>
      </c>
      <c r="E515" t="s">
        <v>798</v>
      </c>
      <c r="F515" t="s">
        <v>2077</v>
      </c>
      <c r="G515" t="s">
        <v>2077</v>
      </c>
    </row>
    <row r="516" spans="1:7" x14ac:dyDescent="0.25">
      <c r="A516" t="str">
        <f t="shared" si="8"/>
        <v>TC_K_14_CS ISO 15118 Support</v>
      </c>
      <c r="B516" t="s">
        <v>1674</v>
      </c>
      <c r="C516" t="s">
        <v>369</v>
      </c>
      <c r="D516" t="s">
        <v>1675</v>
      </c>
      <c r="E516" t="s">
        <v>798</v>
      </c>
      <c r="F516" t="s">
        <v>2077</v>
      </c>
      <c r="G516" t="s">
        <v>2077</v>
      </c>
    </row>
    <row r="517" spans="1:7" x14ac:dyDescent="0.25">
      <c r="A517" t="str">
        <f t="shared" si="8"/>
        <v>TC_K_28_CS ISO 15118 Support</v>
      </c>
      <c r="B517" t="s">
        <v>1676</v>
      </c>
      <c r="C517" t="s">
        <v>369</v>
      </c>
      <c r="D517" t="s">
        <v>1677</v>
      </c>
      <c r="E517" t="s">
        <v>798</v>
      </c>
      <c r="F517" t="s">
        <v>2077</v>
      </c>
      <c r="G517" t="s">
        <v>2077</v>
      </c>
    </row>
    <row r="518" spans="1:7" x14ac:dyDescent="0.25">
      <c r="A518" t="str">
        <f t="shared" si="8"/>
        <v>TC_K_16_CS ISO 15118 Support</v>
      </c>
      <c r="B518" t="s">
        <v>1678</v>
      </c>
      <c r="C518" t="s">
        <v>369</v>
      </c>
      <c r="D518" t="s">
        <v>1679</v>
      </c>
      <c r="E518" t="s">
        <v>798</v>
      </c>
      <c r="F518" t="s">
        <v>2077</v>
      </c>
      <c r="G518" t="s">
        <v>2077</v>
      </c>
    </row>
    <row r="519" spans="1:7" x14ac:dyDescent="0.25">
      <c r="A519" t="str">
        <f t="shared" si="8"/>
        <v>TC_K_21_CS ISO 15118 Support</v>
      </c>
      <c r="B519" t="s">
        <v>1680</v>
      </c>
      <c r="C519" t="s">
        <v>369</v>
      </c>
      <c r="D519" t="s">
        <v>1681</v>
      </c>
      <c r="E519" t="s">
        <v>798</v>
      </c>
      <c r="F519" t="s">
        <v>2077</v>
      </c>
      <c r="G519" t="s">
        <v>2077</v>
      </c>
    </row>
    <row r="520" spans="1:7" x14ac:dyDescent="0.25">
      <c r="A520" t="str">
        <f t="shared" si="8"/>
        <v>TC_K_22_CS ISO 15118 Support</v>
      </c>
      <c r="B520" t="s">
        <v>1682</v>
      </c>
      <c r="C520" t="s">
        <v>369</v>
      </c>
      <c r="D520" t="s">
        <v>1683</v>
      </c>
      <c r="E520" t="s">
        <v>798</v>
      </c>
      <c r="F520" t="s">
        <v>2077</v>
      </c>
      <c r="G520" t="s">
        <v>2077</v>
      </c>
    </row>
    <row r="521" spans="1:7" x14ac:dyDescent="0.25">
      <c r="A521" t="str">
        <f t="shared" si="8"/>
        <v>TC_K_23_CS ISO 15118 Support</v>
      </c>
      <c r="B521" t="s">
        <v>1684</v>
      </c>
      <c r="C521" t="s">
        <v>369</v>
      </c>
      <c r="D521" t="s">
        <v>1685</v>
      </c>
      <c r="E521" t="s">
        <v>798</v>
      </c>
      <c r="F521" t="s">
        <v>2077</v>
      </c>
      <c r="G521" t="s">
        <v>2077</v>
      </c>
    </row>
    <row r="522" spans="1:7" x14ac:dyDescent="0.25">
      <c r="A522" t="str">
        <f t="shared" si="8"/>
        <v>TC_K_04_CS ISO 15118 Support</v>
      </c>
      <c r="B522" t="s">
        <v>1723</v>
      </c>
      <c r="C522" t="s">
        <v>369</v>
      </c>
      <c r="D522" t="s">
        <v>1724</v>
      </c>
      <c r="E522" t="s">
        <v>798</v>
      </c>
      <c r="F522" t="s">
        <v>2077</v>
      </c>
      <c r="G522" t="s">
        <v>2077</v>
      </c>
    </row>
    <row r="523" spans="1:7" x14ac:dyDescent="0.25">
      <c r="A523" t="str">
        <f t="shared" si="8"/>
        <v>TC_K_39_CS ISO 15118 Support</v>
      </c>
      <c r="B523" t="s">
        <v>1727</v>
      </c>
      <c r="C523" t="s">
        <v>369</v>
      </c>
      <c r="D523" t="s">
        <v>1728</v>
      </c>
      <c r="E523" t="s">
        <v>798</v>
      </c>
      <c r="F523" t="s">
        <v>2077</v>
      </c>
      <c r="G523" t="s">
        <v>2077</v>
      </c>
    </row>
    <row r="524" spans="1:7" x14ac:dyDescent="0.25">
      <c r="A524" t="str">
        <f t="shared" si="8"/>
        <v>TC_K_40_CS ISO 15118 Support</v>
      </c>
      <c r="B524" t="s">
        <v>1729</v>
      </c>
      <c r="C524" t="s">
        <v>369</v>
      </c>
      <c r="D524" t="s">
        <v>1730</v>
      </c>
      <c r="E524" t="s">
        <v>798</v>
      </c>
      <c r="F524" t="s">
        <v>2077</v>
      </c>
      <c r="G524" t="s">
        <v>2077</v>
      </c>
    </row>
    <row r="525" spans="1:7" x14ac:dyDescent="0.25">
      <c r="A525" t="str">
        <f t="shared" si="8"/>
        <v>TC_K_41_CS ISO 15118 Support</v>
      </c>
      <c r="B525" t="s">
        <v>1731</v>
      </c>
      <c r="C525" t="s">
        <v>369</v>
      </c>
      <c r="D525" t="s">
        <v>1732</v>
      </c>
      <c r="E525" t="s">
        <v>798</v>
      </c>
      <c r="F525" t="s">
        <v>2077</v>
      </c>
      <c r="G525" t="s">
        <v>2077</v>
      </c>
    </row>
    <row r="526" spans="1:7" x14ac:dyDescent="0.25">
      <c r="A526" t="str">
        <f t="shared" si="8"/>
        <v>TC_K_42_CS ISO 15118 Support</v>
      </c>
      <c r="B526" t="s">
        <v>1733</v>
      </c>
      <c r="C526" t="s">
        <v>369</v>
      </c>
      <c r="D526" t="s">
        <v>1829</v>
      </c>
      <c r="E526" t="s">
        <v>811</v>
      </c>
      <c r="F526" t="s">
        <v>673</v>
      </c>
      <c r="G526" t="s">
        <v>2077</v>
      </c>
    </row>
    <row r="527" spans="1:7" x14ac:dyDescent="0.25">
      <c r="A527" t="str">
        <f t="shared" si="8"/>
        <v>TC_K_47_CS ISO 15118 Support</v>
      </c>
      <c r="B527" t="s">
        <v>1735</v>
      </c>
      <c r="C527" t="s">
        <v>369</v>
      </c>
      <c r="D527" t="s">
        <v>1736</v>
      </c>
      <c r="E527" t="s">
        <v>798</v>
      </c>
      <c r="F527" t="s">
        <v>2077</v>
      </c>
      <c r="G527" t="s">
        <v>2077</v>
      </c>
    </row>
    <row r="528" spans="1:7" x14ac:dyDescent="0.25">
      <c r="A528" t="str">
        <f t="shared" si="8"/>
        <v>TC_K_29_CS ISO 15118 Support</v>
      </c>
      <c r="B528" t="s">
        <v>1739</v>
      </c>
      <c r="C528" t="s">
        <v>369</v>
      </c>
      <c r="D528" t="s">
        <v>1740</v>
      </c>
      <c r="E528" t="s">
        <v>798</v>
      </c>
      <c r="F528" t="s">
        <v>2077</v>
      </c>
      <c r="G528" t="s">
        <v>2077</v>
      </c>
    </row>
    <row r="529" spans="1:7" x14ac:dyDescent="0.25">
      <c r="A529" t="str">
        <f t="shared" si="8"/>
        <v>TC_K_30_CS ISO 15118 Support</v>
      </c>
      <c r="B529" t="s">
        <v>1741</v>
      </c>
      <c r="C529" t="s">
        <v>369</v>
      </c>
      <c r="D529" t="s">
        <v>1742</v>
      </c>
      <c r="E529" t="s">
        <v>798</v>
      </c>
      <c r="F529" t="s">
        <v>2077</v>
      </c>
      <c r="G529" t="s">
        <v>2077</v>
      </c>
    </row>
    <row r="530" spans="1:7" x14ac:dyDescent="0.25">
      <c r="A530" t="str">
        <f t="shared" si="8"/>
        <v>TC_K_31_CS ISO 15118 Support</v>
      </c>
      <c r="B530" t="s">
        <v>1743</v>
      </c>
      <c r="C530" t="s">
        <v>369</v>
      </c>
      <c r="D530" t="s">
        <v>1744</v>
      </c>
      <c r="E530" t="s">
        <v>798</v>
      </c>
      <c r="F530" t="s">
        <v>2077</v>
      </c>
      <c r="G530" t="s">
        <v>2077</v>
      </c>
    </row>
    <row r="531" spans="1:7" x14ac:dyDescent="0.25">
      <c r="A531" t="str">
        <f t="shared" si="8"/>
        <v>TC_K_32_CS ISO 15118 Support</v>
      </c>
      <c r="B531" t="s">
        <v>1745</v>
      </c>
      <c r="C531" t="s">
        <v>369</v>
      </c>
      <c r="D531" t="s">
        <v>1746</v>
      </c>
      <c r="E531" t="s">
        <v>798</v>
      </c>
      <c r="F531" t="s">
        <v>2077</v>
      </c>
      <c r="G531" t="s">
        <v>2077</v>
      </c>
    </row>
    <row r="532" spans="1:7" x14ac:dyDescent="0.25">
      <c r="A532" t="str">
        <f t="shared" si="8"/>
        <v>TC_K_33_CS ISO 15118 Support</v>
      </c>
      <c r="B532" t="s">
        <v>1747</v>
      </c>
      <c r="C532" t="s">
        <v>369</v>
      </c>
      <c r="D532" t="s">
        <v>1748</v>
      </c>
      <c r="E532" t="s">
        <v>798</v>
      </c>
      <c r="F532" t="s">
        <v>2077</v>
      </c>
      <c r="G532" t="s">
        <v>2077</v>
      </c>
    </row>
    <row r="533" spans="1:7" x14ac:dyDescent="0.25">
      <c r="A533" t="str">
        <f t="shared" si="8"/>
        <v>TC_K_34_CS ISO 15118 Support</v>
      </c>
      <c r="B533" t="s">
        <v>1749</v>
      </c>
      <c r="C533" t="s">
        <v>369</v>
      </c>
      <c r="D533" t="s">
        <v>1750</v>
      </c>
      <c r="E533" t="s">
        <v>798</v>
      </c>
      <c r="F533" t="s">
        <v>2077</v>
      </c>
      <c r="G533" t="s">
        <v>2077</v>
      </c>
    </row>
    <row r="534" spans="1:7" x14ac:dyDescent="0.25">
      <c r="A534" t="str">
        <f t="shared" si="8"/>
        <v>TC_K_35_CS ISO 15118 Support</v>
      </c>
      <c r="B534" t="s">
        <v>1751</v>
      </c>
      <c r="C534" t="s">
        <v>369</v>
      </c>
      <c r="D534" t="s">
        <v>1752</v>
      </c>
      <c r="E534" t="s">
        <v>798</v>
      </c>
      <c r="F534" t="s">
        <v>2077</v>
      </c>
      <c r="G534" t="s">
        <v>2077</v>
      </c>
    </row>
    <row r="535" spans="1:7" x14ac:dyDescent="0.25">
      <c r="A535" t="str">
        <f t="shared" si="8"/>
        <v>TC_K_36_CS ISO 15118 Support</v>
      </c>
      <c r="B535" t="s">
        <v>1753</v>
      </c>
      <c r="C535" t="s">
        <v>369</v>
      </c>
      <c r="D535" t="s">
        <v>1754</v>
      </c>
      <c r="E535" t="s">
        <v>798</v>
      </c>
      <c r="F535" t="s">
        <v>2077</v>
      </c>
      <c r="G535" t="s">
        <v>2077</v>
      </c>
    </row>
    <row r="536" spans="1:7" x14ac:dyDescent="0.25">
      <c r="A536" t="str">
        <f t="shared" si="8"/>
        <v>TC_K_05_CS ISO 15118 Support</v>
      </c>
      <c r="B536" t="s">
        <v>1755</v>
      </c>
      <c r="C536" t="s">
        <v>369</v>
      </c>
      <c r="D536" t="s">
        <v>1756</v>
      </c>
      <c r="E536" t="s">
        <v>798</v>
      </c>
      <c r="F536" t="s">
        <v>2077</v>
      </c>
      <c r="G536" t="s">
        <v>2077</v>
      </c>
    </row>
    <row r="537" spans="1:7" x14ac:dyDescent="0.25">
      <c r="A537" t="str">
        <f t="shared" si="8"/>
        <v>TC_K_06_CS ISO 15118 Support</v>
      </c>
      <c r="B537" t="s">
        <v>1757</v>
      </c>
      <c r="C537" t="s">
        <v>369</v>
      </c>
      <c r="D537" t="s">
        <v>1758</v>
      </c>
      <c r="E537" t="s">
        <v>798</v>
      </c>
      <c r="F537" t="s">
        <v>2077</v>
      </c>
      <c r="G537" t="s">
        <v>2077</v>
      </c>
    </row>
    <row r="538" spans="1:7" x14ac:dyDescent="0.25">
      <c r="A538" t="str">
        <f t="shared" si="8"/>
        <v>TC_K_24_CS ISO 15118 Support</v>
      </c>
      <c r="B538" t="s">
        <v>1765</v>
      </c>
      <c r="C538" t="s">
        <v>369</v>
      </c>
      <c r="D538" t="s">
        <v>1766</v>
      </c>
      <c r="E538" t="s">
        <v>811</v>
      </c>
      <c r="F538" t="s">
        <v>674</v>
      </c>
      <c r="G538" t="s">
        <v>2077</v>
      </c>
    </row>
    <row r="539" spans="1:7" x14ac:dyDescent="0.25">
      <c r="A539" t="str">
        <f t="shared" si="8"/>
        <v>TC_K_07_CS ISO 15118 Support</v>
      </c>
      <c r="B539" t="s">
        <v>1759</v>
      </c>
      <c r="C539" t="s">
        <v>369</v>
      </c>
      <c r="D539" t="s">
        <v>1760</v>
      </c>
      <c r="E539" t="s">
        <v>798</v>
      </c>
      <c r="F539" t="s">
        <v>2077</v>
      </c>
      <c r="G539" t="s">
        <v>2077</v>
      </c>
    </row>
    <row r="540" spans="1:7" x14ac:dyDescent="0.25">
      <c r="A540" t="str">
        <f t="shared" si="8"/>
        <v>TC_K_08_CS ISO 15118 Support</v>
      </c>
      <c r="B540" t="s">
        <v>1761</v>
      </c>
      <c r="C540" t="s">
        <v>369</v>
      </c>
      <c r="D540" t="s">
        <v>1762</v>
      </c>
      <c r="E540" t="s">
        <v>798</v>
      </c>
      <c r="F540" t="s">
        <v>2077</v>
      </c>
      <c r="G540" t="s">
        <v>2077</v>
      </c>
    </row>
    <row r="541" spans="1:7" x14ac:dyDescent="0.25">
      <c r="A541" t="str">
        <f t="shared" si="8"/>
        <v>TC_K_09_CS ISO 15118 Support</v>
      </c>
      <c r="B541" t="s">
        <v>1763</v>
      </c>
      <c r="C541" t="s">
        <v>369</v>
      </c>
      <c r="D541" t="s">
        <v>1764</v>
      </c>
      <c r="E541" t="s">
        <v>798</v>
      </c>
      <c r="F541" t="s">
        <v>2077</v>
      </c>
      <c r="G541" t="s">
        <v>2077</v>
      </c>
    </row>
    <row r="542" spans="1:7" x14ac:dyDescent="0.25">
      <c r="A542" t="str">
        <f t="shared" si="8"/>
        <v>TC_K_53_CS ISO 15118 Support</v>
      </c>
      <c r="B542" t="s">
        <v>1830</v>
      </c>
      <c r="C542" t="s">
        <v>369</v>
      </c>
      <c r="D542" t="s">
        <v>1831</v>
      </c>
      <c r="E542" t="s">
        <v>811</v>
      </c>
      <c r="F542" t="s">
        <v>253</v>
      </c>
      <c r="G542" t="s">
        <v>254</v>
      </c>
    </row>
    <row r="543" spans="1:7" x14ac:dyDescent="0.25">
      <c r="A543" t="str">
        <f t="shared" si="8"/>
        <v>TC_K_54_CS ISO 15118 Support</v>
      </c>
      <c r="B543" t="s">
        <v>1832</v>
      </c>
      <c r="C543" t="s">
        <v>369</v>
      </c>
      <c r="D543" t="s">
        <v>1833</v>
      </c>
      <c r="E543" t="s">
        <v>811</v>
      </c>
      <c r="F543" t="s">
        <v>253</v>
      </c>
      <c r="G543" t="s">
        <v>254</v>
      </c>
    </row>
    <row r="544" spans="1:7" x14ac:dyDescent="0.25">
      <c r="A544" t="str">
        <f t="shared" si="8"/>
        <v>TC_K_56_CS ISO 15118 Support</v>
      </c>
      <c r="B544" t="s">
        <v>1834</v>
      </c>
      <c r="C544" t="s">
        <v>369</v>
      </c>
      <c r="D544" t="s">
        <v>1835</v>
      </c>
      <c r="E544" t="s">
        <v>811</v>
      </c>
      <c r="F544" t="s">
        <v>253</v>
      </c>
      <c r="G544" t="s">
        <v>254</v>
      </c>
    </row>
    <row r="545" spans="1:7" x14ac:dyDescent="0.25">
      <c r="A545" t="str">
        <f t="shared" si="8"/>
        <v>TC_K_57_CS ISO 15118 Support</v>
      </c>
      <c r="B545" t="s">
        <v>1836</v>
      </c>
      <c r="C545" t="s">
        <v>369</v>
      </c>
      <c r="D545" t="s">
        <v>1837</v>
      </c>
      <c r="E545" t="s">
        <v>811</v>
      </c>
      <c r="F545" t="s">
        <v>253</v>
      </c>
      <c r="G545" t="s">
        <v>254</v>
      </c>
    </row>
    <row r="546" spans="1:7" x14ac:dyDescent="0.25">
      <c r="A546" t="str">
        <f t="shared" si="8"/>
        <v>TC_K_58_CS ISO 15118 Support</v>
      </c>
      <c r="B546" t="s">
        <v>1838</v>
      </c>
      <c r="C546" t="s">
        <v>369</v>
      </c>
      <c r="D546" t="s">
        <v>1839</v>
      </c>
      <c r="E546" t="s">
        <v>811</v>
      </c>
      <c r="F546" t="s">
        <v>253</v>
      </c>
      <c r="G546" t="s">
        <v>254</v>
      </c>
    </row>
    <row r="547" spans="1:7" x14ac:dyDescent="0.25">
      <c r="A547" t="str">
        <f t="shared" si="8"/>
        <v>TC_K_113_CS ISO 15118 Support</v>
      </c>
      <c r="B547" t="s">
        <v>1840</v>
      </c>
      <c r="C547" t="s">
        <v>369</v>
      </c>
      <c r="D547" t="s">
        <v>1841</v>
      </c>
      <c r="E547" t="s">
        <v>811</v>
      </c>
      <c r="F547" t="s">
        <v>255</v>
      </c>
      <c r="G547" t="s">
        <v>256</v>
      </c>
    </row>
    <row r="548" spans="1:7" x14ac:dyDescent="0.25">
      <c r="A548" t="str">
        <f t="shared" si="8"/>
        <v>TC_K_114_CS ISO 15118 Support</v>
      </c>
      <c r="B548" t="s">
        <v>1842</v>
      </c>
      <c r="C548" t="s">
        <v>369</v>
      </c>
      <c r="D548" t="s">
        <v>1843</v>
      </c>
      <c r="E548" t="s">
        <v>811</v>
      </c>
      <c r="F548" t="s">
        <v>255</v>
      </c>
      <c r="G548" t="s">
        <v>256</v>
      </c>
    </row>
    <row r="549" spans="1:7" x14ac:dyDescent="0.25">
      <c r="A549" t="str">
        <f t="shared" si="8"/>
        <v>TC_K_116_CS ISO 15118 Support</v>
      </c>
      <c r="B549" t="s">
        <v>1844</v>
      </c>
      <c r="C549" t="s">
        <v>369</v>
      </c>
      <c r="D549" t="s">
        <v>1845</v>
      </c>
      <c r="E549" t="s">
        <v>811</v>
      </c>
      <c r="F549" t="s">
        <v>255</v>
      </c>
      <c r="G549" t="s">
        <v>256</v>
      </c>
    </row>
    <row r="550" spans="1:7" x14ac:dyDescent="0.25">
      <c r="A550" t="str">
        <f t="shared" si="8"/>
        <v>TC_K_115_CS ISO 15118 Support</v>
      </c>
      <c r="B550" t="s">
        <v>1846</v>
      </c>
      <c r="C550" t="s">
        <v>369</v>
      </c>
      <c r="D550" t="s">
        <v>1847</v>
      </c>
      <c r="E550" t="s">
        <v>811</v>
      </c>
      <c r="F550" t="s">
        <v>255</v>
      </c>
      <c r="G550" t="s">
        <v>256</v>
      </c>
    </row>
    <row r="551" spans="1:7" x14ac:dyDescent="0.25">
      <c r="A551" t="str">
        <f t="shared" si="8"/>
        <v>TC_M_26_CS ISO 15118 Support</v>
      </c>
      <c r="B551" t="s">
        <v>1848</v>
      </c>
      <c r="C551" t="s">
        <v>369</v>
      </c>
      <c r="D551" t="s">
        <v>1849</v>
      </c>
      <c r="E551" t="s">
        <v>811</v>
      </c>
      <c r="F551" t="s">
        <v>253</v>
      </c>
      <c r="G551" t="s">
        <v>254</v>
      </c>
    </row>
    <row r="552" spans="1:7" x14ac:dyDescent="0.25">
      <c r="A552" t="str">
        <f t="shared" si="8"/>
        <v>TC_M_100_CS ISO 15118 Support</v>
      </c>
      <c r="B552" t="s">
        <v>1850</v>
      </c>
      <c r="C552" t="s">
        <v>369</v>
      </c>
      <c r="D552" t="s">
        <v>1851</v>
      </c>
      <c r="E552" t="s">
        <v>811</v>
      </c>
      <c r="F552" t="s">
        <v>255</v>
      </c>
      <c r="G552" t="s">
        <v>256</v>
      </c>
    </row>
    <row r="553" spans="1:7" x14ac:dyDescent="0.25">
      <c r="A553" t="str">
        <f t="shared" si="8"/>
        <v>TC_M_27_CS ISO 15118 Support</v>
      </c>
      <c r="B553" t="s">
        <v>1852</v>
      </c>
      <c r="C553" t="s">
        <v>369</v>
      </c>
      <c r="D553" t="s">
        <v>1853</v>
      </c>
      <c r="E553" t="s">
        <v>798</v>
      </c>
      <c r="F553" t="s">
        <v>2077</v>
      </c>
      <c r="G553" t="s">
        <v>2077</v>
      </c>
    </row>
    <row r="554" spans="1:7" x14ac:dyDescent="0.25">
      <c r="A554" t="str">
        <f t="shared" si="8"/>
        <v>TC_M_28_CS ISO 15118 Support</v>
      </c>
      <c r="B554" t="s">
        <v>1854</v>
      </c>
      <c r="C554" t="s">
        <v>369</v>
      </c>
      <c r="D554" t="s">
        <v>1855</v>
      </c>
      <c r="E554" t="s">
        <v>811</v>
      </c>
      <c r="F554" t="s">
        <v>253</v>
      </c>
      <c r="G554" t="s">
        <v>254</v>
      </c>
    </row>
    <row r="555" spans="1:7" x14ac:dyDescent="0.25">
      <c r="A555" t="str">
        <f t="shared" si="8"/>
        <v>TC_M_29_CS ISO 15118 Support</v>
      </c>
      <c r="B555" t="s">
        <v>1856</v>
      </c>
      <c r="C555" t="s">
        <v>369</v>
      </c>
      <c r="D555" t="s">
        <v>1857</v>
      </c>
      <c r="E555" t="s">
        <v>811</v>
      </c>
      <c r="F555" t="s">
        <v>253</v>
      </c>
      <c r="G555" t="s">
        <v>254</v>
      </c>
    </row>
    <row r="556" spans="1:7" x14ac:dyDescent="0.25">
      <c r="A556" t="str">
        <f t="shared" si="8"/>
        <v>TC_M_14_CS ISO 15118 Support</v>
      </c>
      <c r="B556" t="s">
        <v>1858</v>
      </c>
      <c r="C556" t="s">
        <v>369</v>
      </c>
      <c r="D556" t="s">
        <v>1859</v>
      </c>
      <c r="E556" t="s">
        <v>798</v>
      </c>
      <c r="F556" t="s">
        <v>2077</v>
      </c>
      <c r="G556" t="s">
        <v>2077</v>
      </c>
    </row>
    <row r="557" spans="1:7" x14ac:dyDescent="0.25">
      <c r="A557" t="str">
        <f t="shared" si="8"/>
        <v>TC_M_15_CS ISO 15118 Support</v>
      </c>
      <c r="B557" t="s">
        <v>1860</v>
      </c>
      <c r="C557" t="s">
        <v>369</v>
      </c>
      <c r="D557" t="s">
        <v>1861</v>
      </c>
      <c r="E557" t="s">
        <v>798</v>
      </c>
      <c r="F557" t="s">
        <v>2077</v>
      </c>
      <c r="G557" t="s">
        <v>2077</v>
      </c>
    </row>
    <row r="558" spans="1:7" x14ac:dyDescent="0.25">
      <c r="A558" t="str">
        <f t="shared" si="8"/>
        <v>TC_M_16_CS ISO 15118 Support</v>
      </c>
      <c r="B558" t="s">
        <v>1862</v>
      </c>
      <c r="C558" t="s">
        <v>369</v>
      </c>
      <c r="D558" t="s">
        <v>1863</v>
      </c>
      <c r="E558" t="s">
        <v>798</v>
      </c>
      <c r="F558" t="s">
        <v>2077</v>
      </c>
      <c r="G558" t="s">
        <v>2077</v>
      </c>
    </row>
    <row r="559" spans="1:7" x14ac:dyDescent="0.25">
      <c r="A559" t="str">
        <f t="shared" si="8"/>
        <v>TC_M_03_CS ISO 15118 Support</v>
      </c>
      <c r="B559" t="s">
        <v>1864</v>
      </c>
      <c r="C559" t="s">
        <v>369</v>
      </c>
      <c r="D559" t="s">
        <v>1865</v>
      </c>
      <c r="E559" t="s">
        <v>798</v>
      </c>
      <c r="F559" t="s">
        <v>2077</v>
      </c>
      <c r="G559" t="s">
        <v>2077</v>
      </c>
    </row>
    <row r="560" spans="1:7" x14ac:dyDescent="0.25">
      <c r="A560" t="str">
        <f t="shared" si="8"/>
        <v>TC_M_04_CS ISO 15118 Support</v>
      </c>
      <c r="B560" t="s">
        <v>1866</v>
      </c>
      <c r="C560" t="s">
        <v>369</v>
      </c>
      <c r="D560" t="s">
        <v>1867</v>
      </c>
      <c r="E560" t="s">
        <v>798</v>
      </c>
      <c r="F560" t="s">
        <v>2077</v>
      </c>
      <c r="G560" t="s">
        <v>2077</v>
      </c>
    </row>
    <row r="561" spans="1:7" x14ac:dyDescent="0.25">
      <c r="A561" t="str">
        <f t="shared" si="8"/>
        <v>TC_M_101_CS ISO 15118 Support</v>
      </c>
      <c r="B561" t="s">
        <v>1868</v>
      </c>
      <c r="C561" t="s">
        <v>369</v>
      </c>
      <c r="D561" t="s">
        <v>1869</v>
      </c>
      <c r="E561" t="s">
        <v>811</v>
      </c>
      <c r="F561" t="s">
        <v>255</v>
      </c>
      <c r="G561" t="s">
        <v>256</v>
      </c>
    </row>
    <row r="562" spans="1:7" x14ac:dyDescent="0.25">
      <c r="A562" t="str">
        <f t="shared" si="8"/>
        <v>TC_M_24_CS ISO 15118 Support</v>
      </c>
      <c r="B562" t="s">
        <v>1870</v>
      </c>
      <c r="C562" t="s">
        <v>369</v>
      </c>
      <c r="D562" t="s">
        <v>1871</v>
      </c>
      <c r="E562" t="s">
        <v>798</v>
      </c>
      <c r="F562" t="s">
        <v>2077</v>
      </c>
      <c r="G562" t="s">
        <v>2077</v>
      </c>
    </row>
    <row r="563" spans="1:7" x14ac:dyDescent="0.25">
      <c r="A563" t="str">
        <f t="shared" si="8"/>
        <v>TC_M_25_CS ISO 15118 Support</v>
      </c>
      <c r="B563" t="s">
        <v>1872</v>
      </c>
      <c r="C563" t="s">
        <v>369</v>
      </c>
      <c r="D563" t="s">
        <v>1873</v>
      </c>
      <c r="E563" t="s">
        <v>798</v>
      </c>
      <c r="F563" t="s">
        <v>2077</v>
      </c>
      <c r="G563" t="s">
        <v>2077</v>
      </c>
    </row>
    <row r="564" spans="1:7" x14ac:dyDescent="0.25">
      <c r="A564" t="str">
        <f t="shared" si="8"/>
        <v>TC_N_63_CS ISO 15118 Support</v>
      </c>
      <c r="B564" t="s">
        <v>1874</v>
      </c>
      <c r="C564" t="s">
        <v>369</v>
      </c>
      <c r="D564" t="s">
        <v>1875</v>
      </c>
      <c r="E564" t="s">
        <v>811</v>
      </c>
      <c r="F564" t="s">
        <v>257</v>
      </c>
      <c r="G564" t="s">
        <v>2077</v>
      </c>
    </row>
    <row r="565" spans="1:7" x14ac:dyDescent="0.25">
      <c r="A565" t="str">
        <f t="shared" si="8"/>
        <v>TC_Q_109_CS Bidirectional Power Transfer</v>
      </c>
      <c r="B565" t="s">
        <v>1876</v>
      </c>
      <c r="C565" t="s">
        <v>275</v>
      </c>
      <c r="D565" t="s">
        <v>1877</v>
      </c>
      <c r="E565" t="s">
        <v>798</v>
      </c>
      <c r="F565" t="s">
        <v>2077</v>
      </c>
      <c r="G565" t="s">
        <v>2077</v>
      </c>
    </row>
    <row r="566" spans="1:7" x14ac:dyDescent="0.25">
      <c r="A566" t="str">
        <f t="shared" si="8"/>
        <v>TC_Q_110_CS Bidirectional Power Transfer</v>
      </c>
      <c r="B566" t="s">
        <v>1878</v>
      </c>
      <c r="C566" t="s">
        <v>275</v>
      </c>
      <c r="D566" t="s">
        <v>1879</v>
      </c>
      <c r="E566" t="s">
        <v>798</v>
      </c>
      <c r="F566" t="s">
        <v>2077</v>
      </c>
      <c r="G566" t="s">
        <v>2077</v>
      </c>
    </row>
    <row r="567" spans="1:7" x14ac:dyDescent="0.25">
      <c r="A567" t="str">
        <f t="shared" si="8"/>
        <v>TC_Q_122_CS Bidirectional Power Transfer</v>
      </c>
      <c r="B567" t="s">
        <v>1880</v>
      </c>
      <c r="C567" t="s">
        <v>275</v>
      </c>
      <c r="D567" t="s">
        <v>1881</v>
      </c>
      <c r="E567" t="s">
        <v>811</v>
      </c>
      <c r="F567" t="s">
        <v>277</v>
      </c>
      <c r="G567" t="s">
        <v>278</v>
      </c>
    </row>
    <row r="568" spans="1:7" x14ac:dyDescent="0.25">
      <c r="A568" t="str">
        <f t="shared" si="8"/>
        <v>TC_Q_123_CS Bidirectional Power Transfer</v>
      </c>
      <c r="B568" t="s">
        <v>1882</v>
      </c>
      <c r="C568" t="s">
        <v>275</v>
      </c>
      <c r="D568" t="s">
        <v>1883</v>
      </c>
      <c r="E568" t="s">
        <v>811</v>
      </c>
      <c r="F568" t="s">
        <v>1884</v>
      </c>
      <c r="G568" t="s">
        <v>2077</v>
      </c>
    </row>
    <row r="569" spans="1:7" x14ac:dyDescent="0.25">
      <c r="A569" t="str">
        <f t="shared" si="8"/>
        <v>TC_Q_128_CS Bidirectional Power Transfer</v>
      </c>
      <c r="B569" t="s">
        <v>1885</v>
      </c>
      <c r="C569" t="s">
        <v>275</v>
      </c>
      <c r="D569" t="s">
        <v>1886</v>
      </c>
      <c r="E569" t="s">
        <v>798</v>
      </c>
      <c r="F569" t="s">
        <v>2077</v>
      </c>
      <c r="G569" t="s">
        <v>2077</v>
      </c>
    </row>
    <row r="570" spans="1:7" x14ac:dyDescent="0.25">
      <c r="A570" t="str">
        <f t="shared" si="8"/>
        <v>TC_K_101_CS Bidirectional Power Transfer</v>
      </c>
      <c r="B570" t="s">
        <v>1887</v>
      </c>
      <c r="C570" t="s">
        <v>275</v>
      </c>
      <c r="D570" t="s">
        <v>1888</v>
      </c>
      <c r="E570" t="s">
        <v>798</v>
      </c>
      <c r="F570" t="s">
        <v>2077</v>
      </c>
      <c r="G570" t="s">
        <v>2077</v>
      </c>
    </row>
    <row r="571" spans="1:7" x14ac:dyDescent="0.25">
      <c r="A571" t="str">
        <f t="shared" si="8"/>
        <v>TC_Q_100_CS Bidirectional Power Transfer</v>
      </c>
      <c r="B571" t="s">
        <v>1889</v>
      </c>
      <c r="C571" t="s">
        <v>275</v>
      </c>
      <c r="D571" t="s">
        <v>1890</v>
      </c>
      <c r="E571" t="s">
        <v>798</v>
      </c>
      <c r="F571" t="s">
        <v>2077</v>
      </c>
      <c r="G571" t="s">
        <v>2077</v>
      </c>
    </row>
    <row r="572" spans="1:7" x14ac:dyDescent="0.25">
      <c r="A572" t="str">
        <f t="shared" si="8"/>
        <v>TC_Q_101_CS Bidirectional Power Transfer</v>
      </c>
      <c r="B572" t="s">
        <v>1891</v>
      </c>
      <c r="C572" t="s">
        <v>275</v>
      </c>
      <c r="D572" t="s">
        <v>1892</v>
      </c>
      <c r="E572" t="s">
        <v>811</v>
      </c>
      <c r="F572" t="s">
        <v>255</v>
      </c>
      <c r="G572" t="s">
        <v>256</v>
      </c>
    </row>
    <row r="573" spans="1:7" x14ac:dyDescent="0.25">
      <c r="A573" t="str">
        <f t="shared" si="8"/>
        <v>TC_Q_102_CS Bidirectional Power Transfer</v>
      </c>
      <c r="B573" t="s">
        <v>1893</v>
      </c>
      <c r="C573" t="s">
        <v>275</v>
      </c>
      <c r="D573" t="s">
        <v>1894</v>
      </c>
      <c r="E573" t="s">
        <v>811</v>
      </c>
      <c r="F573" t="s">
        <v>255</v>
      </c>
      <c r="G573" t="s">
        <v>256</v>
      </c>
    </row>
    <row r="574" spans="1:7" x14ac:dyDescent="0.25">
      <c r="A574" t="str">
        <f t="shared" si="8"/>
        <v>TC_Q_103_CS Bidirectional Power Transfer</v>
      </c>
      <c r="B574" t="s">
        <v>1895</v>
      </c>
      <c r="C574" t="s">
        <v>275</v>
      </c>
      <c r="D574" t="s">
        <v>1896</v>
      </c>
      <c r="E574" t="s">
        <v>811</v>
      </c>
      <c r="F574" t="s">
        <v>2063</v>
      </c>
      <c r="G574" t="s">
        <v>256</v>
      </c>
    </row>
    <row r="575" spans="1:7" x14ac:dyDescent="0.25">
      <c r="A575" t="str">
        <f t="shared" si="8"/>
        <v>TC_Q_130_CS Bidirectional Power Transfer</v>
      </c>
      <c r="B575" t="s">
        <v>1897</v>
      </c>
      <c r="C575" t="s">
        <v>275</v>
      </c>
      <c r="D575" t="s">
        <v>1898</v>
      </c>
      <c r="E575" t="s">
        <v>811</v>
      </c>
      <c r="F575" t="s">
        <v>1899</v>
      </c>
      <c r="G575" t="s">
        <v>256</v>
      </c>
    </row>
    <row r="576" spans="1:7" x14ac:dyDescent="0.25">
      <c r="A576" t="str">
        <f t="shared" si="8"/>
        <v>TC_Q_104_CS Bidirectional Power Transfer</v>
      </c>
      <c r="B576" t="s">
        <v>1900</v>
      </c>
      <c r="C576" t="s">
        <v>275</v>
      </c>
      <c r="D576" t="s">
        <v>1901</v>
      </c>
      <c r="E576" t="s">
        <v>811</v>
      </c>
      <c r="F576" t="s">
        <v>255</v>
      </c>
      <c r="G576" t="s">
        <v>256</v>
      </c>
    </row>
    <row r="577" spans="1:7" x14ac:dyDescent="0.25">
      <c r="A577" t="str">
        <f t="shared" si="8"/>
        <v>TC_Q_107_CS Bidirectional Power Transfer</v>
      </c>
      <c r="B577" t="s">
        <v>1902</v>
      </c>
      <c r="C577" t="s">
        <v>275</v>
      </c>
      <c r="D577" t="s">
        <v>1903</v>
      </c>
      <c r="E577" t="s">
        <v>811</v>
      </c>
      <c r="F577" t="s">
        <v>255</v>
      </c>
      <c r="G577" t="s">
        <v>256</v>
      </c>
    </row>
    <row r="578" spans="1:7" x14ac:dyDescent="0.25">
      <c r="A578" t="str">
        <f t="shared" ref="A578:A597" si="9">B578&amp;" "&amp;C578</f>
        <v>TC_Q_117_CS Bidirectional Power Transfer</v>
      </c>
      <c r="B578" t="s">
        <v>1904</v>
      </c>
      <c r="C578" t="s">
        <v>275</v>
      </c>
      <c r="D578" t="s">
        <v>1905</v>
      </c>
      <c r="E578" t="s">
        <v>811</v>
      </c>
      <c r="F578" t="s">
        <v>274</v>
      </c>
      <c r="G578" t="s">
        <v>276</v>
      </c>
    </row>
    <row r="579" spans="1:7" x14ac:dyDescent="0.25">
      <c r="A579" t="str">
        <f t="shared" si="9"/>
        <v>TC_Q_118_CS Bidirectional Power Transfer</v>
      </c>
      <c r="B579" t="s">
        <v>1906</v>
      </c>
      <c r="C579" t="s">
        <v>275</v>
      </c>
      <c r="D579" t="s">
        <v>1907</v>
      </c>
      <c r="E579" t="s">
        <v>811</v>
      </c>
      <c r="F579" t="s">
        <v>274</v>
      </c>
      <c r="G579" t="s">
        <v>276</v>
      </c>
    </row>
    <row r="580" spans="1:7" x14ac:dyDescent="0.25">
      <c r="A580" t="str">
        <f t="shared" si="9"/>
        <v>TC_Q_119_CS Bidirectional Power Transfer</v>
      </c>
      <c r="B580" t="s">
        <v>1908</v>
      </c>
      <c r="C580" t="s">
        <v>275</v>
      </c>
      <c r="D580" t="s">
        <v>1909</v>
      </c>
      <c r="E580" t="s">
        <v>811</v>
      </c>
      <c r="F580" t="s">
        <v>274</v>
      </c>
      <c r="G580" t="s">
        <v>276</v>
      </c>
    </row>
    <row r="581" spans="1:7" x14ac:dyDescent="0.25">
      <c r="A581" t="str">
        <f t="shared" si="9"/>
        <v>TC_Q_120_CS Bidirectional Power Transfer</v>
      </c>
      <c r="B581" t="s">
        <v>1910</v>
      </c>
      <c r="C581" t="s">
        <v>275</v>
      </c>
      <c r="D581" t="s">
        <v>1911</v>
      </c>
      <c r="E581" t="s">
        <v>811</v>
      </c>
      <c r="F581" t="s">
        <v>274</v>
      </c>
      <c r="G581" t="s">
        <v>276</v>
      </c>
    </row>
    <row r="582" spans="1:7" x14ac:dyDescent="0.25">
      <c r="A582" t="str">
        <f t="shared" si="9"/>
        <v>TC_Q_125_CS Bidirectional Power Transfer</v>
      </c>
      <c r="B582" t="s">
        <v>1777</v>
      </c>
      <c r="C582" t="s">
        <v>275</v>
      </c>
      <c r="D582" t="s">
        <v>1778</v>
      </c>
      <c r="E582" t="s">
        <v>811</v>
      </c>
      <c r="F582" t="s">
        <v>2176</v>
      </c>
      <c r="G582" t="s">
        <v>248</v>
      </c>
    </row>
    <row r="583" spans="1:7" x14ac:dyDescent="0.25">
      <c r="A583" t="str">
        <f t="shared" si="9"/>
        <v>TC_Q_126_CS Bidirectional Power Transfer</v>
      </c>
      <c r="B583" t="s">
        <v>1779</v>
      </c>
      <c r="C583" t="s">
        <v>275</v>
      </c>
      <c r="D583" t="s">
        <v>1780</v>
      </c>
      <c r="E583" t="s">
        <v>811</v>
      </c>
      <c r="F583" t="s">
        <v>2177</v>
      </c>
      <c r="G583" t="s">
        <v>247</v>
      </c>
    </row>
    <row r="584" spans="1:7" x14ac:dyDescent="0.25">
      <c r="A584" t="str">
        <f t="shared" si="9"/>
        <v>TC_Q_127_CS Bidirectional Power Transfer</v>
      </c>
      <c r="B584" t="s">
        <v>1782</v>
      </c>
      <c r="C584" t="s">
        <v>275</v>
      </c>
      <c r="D584" t="s">
        <v>1783</v>
      </c>
      <c r="E584" t="s">
        <v>811</v>
      </c>
      <c r="F584" t="s">
        <v>2178</v>
      </c>
      <c r="G584" t="s">
        <v>247</v>
      </c>
    </row>
    <row r="585" spans="1:7" x14ac:dyDescent="0.25">
      <c r="A585" t="str">
        <f t="shared" si="9"/>
        <v>TC_Q_111_CS Bidirectional Power Transfer</v>
      </c>
      <c r="B585" t="s">
        <v>1807</v>
      </c>
      <c r="C585" t="s">
        <v>275</v>
      </c>
      <c r="D585" t="s">
        <v>1808</v>
      </c>
      <c r="E585" t="s">
        <v>811</v>
      </c>
      <c r="F585" t="s">
        <v>249</v>
      </c>
      <c r="G585" t="s">
        <v>1802</v>
      </c>
    </row>
    <row r="586" spans="1:7" x14ac:dyDescent="0.25">
      <c r="A586" t="str">
        <f t="shared" si="9"/>
        <v>TC_Q_112_CS Bidirectional Power Transfer</v>
      </c>
      <c r="B586" t="s">
        <v>1809</v>
      </c>
      <c r="C586" t="s">
        <v>275</v>
      </c>
      <c r="D586" t="s">
        <v>1810</v>
      </c>
      <c r="E586" t="s">
        <v>811</v>
      </c>
      <c r="F586" t="s">
        <v>249</v>
      </c>
      <c r="G586" t="s">
        <v>1802</v>
      </c>
    </row>
    <row r="587" spans="1:7" x14ac:dyDescent="0.25">
      <c r="A587" t="str">
        <f t="shared" si="9"/>
        <v>TC_Q_113_CS Bidirectional Power Transfer</v>
      </c>
      <c r="B587" t="s">
        <v>1811</v>
      </c>
      <c r="C587" t="s">
        <v>275</v>
      </c>
      <c r="D587" t="s">
        <v>1812</v>
      </c>
      <c r="E587" t="s">
        <v>811</v>
      </c>
      <c r="F587" t="s">
        <v>249</v>
      </c>
      <c r="G587" t="s">
        <v>1802</v>
      </c>
    </row>
    <row r="588" spans="1:7" x14ac:dyDescent="0.25">
      <c r="A588" t="str">
        <f t="shared" si="9"/>
        <v>TC_Q_114_CS Bidirectional Power Transfer</v>
      </c>
      <c r="B588" t="s">
        <v>1799</v>
      </c>
      <c r="C588" t="s">
        <v>275</v>
      </c>
      <c r="D588" t="s">
        <v>1800</v>
      </c>
      <c r="E588" t="s">
        <v>811</v>
      </c>
      <c r="F588" t="s">
        <v>249</v>
      </c>
      <c r="G588" t="s">
        <v>1802</v>
      </c>
    </row>
    <row r="589" spans="1:7" x14ac:dyDescent="0.25">
      <c r="A589" t="str">
        <f t="shared" si="9"/>
        <v>TC_Q_115_CS Bidirectional Power Transfer</v>
      </c>
      <c r="B589" t="s">
        <v>1803</v>
      </c>
      <c r="C589" t="s">
        <v>275</v>
      </c>
      <c r="D589" t="s">
        <v>1804</v>
      </c>
      <c r="E589" t="s">
        <v>811</v>
      </c>
      <c r="F589" t="s">
        <v>249</v>
      </c>
      <c r="G589" t="s">
        <v>1802</v>
      </c>
    </row>
    <row r="590" spans="1:7" x14ac:dyDescent="0.25">
      <c r="A590" t="str">
        <f t="shared" si="9"/>
        <v>TC_Q_116_CS Bidirectional Power Transfer</v>
      </c>
      <c r="B590" t="s">
        <v>1805</v>
      </c>
      <c r="C590" t="s">
        <v>275</v>
      </c>
      <c r="D590" t="s">
        <v>1806</v>
      </c>
      <c r="E590" t="s">
        <v>811</v>
      </c>
      <c r="F590" t="s">
        <v>249</v>
      </c>
      <c r="G590" t="s">
        <v>1802</v>
      </c>
    </row>
    <row r="591" spans="1:7" x14ac:dyDescent="0.25">
      <c r="A591" t="str">
        <f t="shared" si="9"/>
        <v>TC_R_100_CS DER Control</v>
      </c>
      <c r="B591" t="s">
        <v>1912</v>
      </c>
      <c r="C591" t="s">
        <v>372</v>
      </c>
      <c r="D591" t="s">
        <v>1913</v>
      </c>
      <c r="E591" t="s">
        <v>798</v>
      </c>
      <c r="F591" t="s">
        <v>2077</v>
      </c>
      <c r="G591" t="s">
        <v>2077</v>
      </c>
    </row>
    <row r="592" spans="1:7" x14ac:dyDescent="0.25">
      <c r="A592" t="str">
        <f t="shared" si="9"/>
        <v>TC_R_102_CS DER Control</v>
      </c>
      <c r="B592" t="s">
        <v>1914</v>
      </c>
      <c r="C592" t="s">
        <v>372</v>
      </c>
      <c r="D592" t="s">
        <v>1915</v>
      </c>
      <c r="E592" t="s">
        <v>798</v>
      </c>
      <c r="F592" t="s">
        <v>2077</v>
      </c>
      <c r="G592" t="s">
        <v>2077</v>
      </c>
    </row>
    <row r="593" spans="1:7" x14ac:dyDescent="0.25">
      <c r="A593" t="str">
        <f t="shared" si="9"/>
        <v>TC_R_103_CS DER Control</v>
      </c>
      <c r="B593" t="s">
        <v>1916</v>
      </c>
      <c r="C593" t="s">
        <v>372</v>
      </c>
      <c r="D593" t="s">
        <v>1917</v>
      </c>
      <c r="E593" t="s">
        <v>798</v>
      </c>
      <c r="F593" t="s">
        <v>2077</v>
      </c>
      <c r="G593" t="s">
        <v>2077</v>
      </c>
    </row>
    <row r="594" spans="1:7" x14ac:dyDescent="0.25">
      <c r="A594" t="str">
        <f t="shared" si="9"/>
        <v>TC_R_104_CS DER Control</v>
      </c>
      <c r="B594" t="s">
        <v>1918</v>
      </c>
      <c r="C594" t="s">
        <v>372</v>
      </c>
      <c r="D594" t="s">
        <v>1919</v>
      </c>
      <c r="E594" t="s">
        <v>798</v>
      </c>
      <c r="F594" t="s">
        <v>2077</v>
      </c>
      <c r="G594" t="s">
        <v>2077</v>
      </c>
    </row>
    <row r="595" spans="1:7" x14ac:dyDescent="0.25">
      <c r="A595" t="str">
        <f t="shared" si="9"/>
        <v>TC_R_105_CS DER Control</v>
      </c>
      <c r="B595" t="s">
        <v>1920</v>
      </c>
      <c r="C595" t="s">
        <v>372</v>
      </c>
      <c r="D595" t="s">
        <v>1921</v>
      </c>
      <c r="E595" t="s">
        <v>798</v>
      </c>
      <c r="F595" t="s">
        <v>2077</v>
      </c>
      <c r="G595" t="s">
        <v>2077</v>
      </c>
    </row>
    <row r="596" spans="1:7" x14ac:dyDescent="0.25">
      <c r="A596" t="str">
        <f t="shared" si="9"/>
        <v>TC_R_106_CS DER Control</v>
      </c>
      <c r="B596" t="s">
        <v>1922</v>
      </c>
      <c r="C596" t="s">
        <v>372</v>
      </c>
      <c r="D596" t="s">
        <v>1923</v>
      </c>
      <c r="E596" t="s">
        <v>798</v>
      </c>
      <c r="F596" t="s">
        <v>2077</v>
      </c>
      <c r="G596" t="s">
        <v>2077</v>
      </c>
    </row>
    <row r="597" spans="1:7" x14ac:dyDescent="0.25">
      <c r="A597" t="str">
        <f t="shared" si="9"/>
        <v>TC_R_108_CS DER Control</v>
      </c>
      <c r="B597" t="s">
        <v>1924</v>
      </c>
      <c r="C597" t="s">
        <v>372</v>
      </c>
      <c r="D597" t="s">
        <v>1925</v>
      </c>
      <c r="E597" t="s">
        <v>811</v>
      </c>
      <c r="F597" t="s">
        <v>1926</v>
      </c>
      <c r="G597" t="s">
        <v>256</v>
      </c>
    </row>
  </sheetData>
  <autoFilter ref="A1:G444" xr:uid="{00000000-0009-0000-0000-00000E000000}"/>
  <pageMargins left="0.7" right="0.7" top="0.75" bottom="0.75" header="0.3" footer="0.3"/>
  <pageSetup paperSize="9" orientation="portrait"/>
  <headerFooter>
    <oddHeader>&amp;L&amp;"Aptos"&amp;10&amp;K000000 TLP: GREEN&amp;1#_x000D_&amp;"Calibri"&amp;12&amp;K000000&amp;"Calibri"&amp;12&amp;K000000&amp;"Calibri"&amp;12&amp;K000000&amp;"Aptos"&amp;1 &amp;K000000 TLP: GREEN#_x000D_</oddHeader>
    <oddFooter>&amp;C&amp;"Arial"&amp;9 &amp;K000000_x000D_#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34"/>
  <sheetViews>
    <sheetView workbookViewId="0">
      <selection activeCell="A2" sqref="A2"/>
    </sheetView>
  </sheetViews>
  <sheetFormatPr defaultColWidth="8.625" defaultRowHeight="15.75" x14ac:dyDescent="0.25"/>
  <cols>
    <col min="1" max="1" width="51.125" customWidth="1"/>
    <col min="3" max="3" width="3" customWidth="1"/>
    <col min="4" max="4" width="30.125" bestFit="1" customWidth="1"/>
    <col min="5" max="5" width="8.875" customWidth="1"/>
    <col min="6" max="6" width="8.875" bestFit="1" customWidth="1"/>
    <col min="7" max="7" width="13" customWidth="1"/>
    <col min="14" max="14" width="65" customWidth="1"/>
    <col min="15" max="15" width="63.125" bestFit="1" customWidth="1"/>
    <col min="16" max="16" width="25.625" bestFit="1" customWidth="1"/>
    <col min="17" max="18" width="15.625" bestFit="1" customWidth="1"/>
    <col min="19" max="20" width="12.125" bestFit="1" customWidth="1"/>
  </cols>
  <sheetData>
    <row r="1" spans="1:21" x14ac:dyDescent="0.25">
      <c r="A1" t="s">
        <v>1927</v>
      </c>
      <c r="B1" t="s">
        <v>798</v>
      </c>
      <c r="D1" t="s">
        <v>2051</v>
      </c>
      <c r="E1" t="s">
        <v>1928</v>
      </c>
      <c r="F1" s="41">
        <v>1</v>
      </c>
      <c r="G1" t="s">
        <v>2048</v>
      </c>
      <c r="H1" t="s">
        <v>1929</v>
      </c>
      <c r="O1" t="s">
        <v>1930</v>
      </c>
      <c r="P1" t="s">
        <v>1931</v>
      </c>
      <c r="Q1" t="s">
        <v>1932</v>
      </c>
      <c r="R1" t="s">
        <v>1933</v>
      </c>
      <c r="S1" t="s">
        <v>1934</v>
      </c>
      <c r="T1" t="s">
        <v>1935</v>
      </c>
      <c r="U1" t="s">
        <v>349</v>
      </c>
    </row>
    <row r="2" spans="1:21" x14ac:dyDescent="0.25">
      <c r="A2" t="s">
        <v>1936</v>
      </c>
      <c r="B2" t="s">
        <v>811</v>
      </c>
      <c r="D2" t="s">
        <v>2045</v>
      </c>
      <c r="E2" t="s">
        <v>1937</v>
      </c>
      <c r="F2" s="41" t="s">
        <v>2046</v>
      </c>
      <c r="G2" t="s">
        <v>2049</v>
      </c>
      <c r="H2" t="s">
        <v>1938</v>
      </c>
      <c r="O2" t="s">
        <v>1939</v>
      </c>
      <c r="P2" t="s">
        <v>1940</v>
      </c>
      <c r="Q2" t="s">
        <v>1933</v>
      </c>
      <c r="R2" t="s">
        <v>1941</v>
      </c>
      <c r="S2" t="s">
        <v>1942</v>
      </c>
      <c r="T2" t="s">
        <v>1934</v>
      </c>
      <c r="U2" t="s">
        <v>1943</v>
      </c>
    </row>
    <row r="3" spans="1:21" x14ac:dyDescent="0.25">
      <c r="A3" t="s">
        <v>1944</v>
      </c>
      <c r="B3" t="s">
        <v>811</v>
      </c>
      <c r="D3" t="s">
        <v>2052</v>
      </c>
      <c r="E3" t="s">
        <v>1945</v>
      </c>
      <c r="F3" s="41" t="s">
        <v>2047</v>
      </c>
      <c r="G3" t="s">
        <v>2050</v>
      </c>
      <c r="H3" t="s">
        <v>1946</v>
      </c>
      <c r="O3" t="s">
        <v>1947</v>
      </c>
      <c r="P3" t="s">
        <v>1948</v>
      </c>
      <c r="Q3" t="s">
        <v>1949</v>
      </c>
      <c r="R3" t="s">
        <v>1950</v>
      </c>
      <c r="S3" t="s">
        <v>1935</v>
      </c>
      <c r="U3" t="s">
        <v>1951</v>
      </c>
    </row>
    <row r="4" spans="1:21" x14ac:dyDescent="0.25">
      <c r="D4" t="s">
        <v>2044</v>
      </c>
      <c r="F4" s="41">
        <v>3</v>
      </c>
      <c r="O4" t="s">
        <v>1952</v>
      </c>
      <c r="P4" t="s">
        <v>1953</v>
      </c>
      <c r="Q4" t="s">
        <v>1941</v>
      </c>
      <c r="R4" t="s">
        <v>1954</v>
      </c>
      <c r="U4" t="s">
        <v>1955</v>
      </c>
    </row>
    <row r="5" spans="1:21" x14ac:dyDescent="0.25">
      <c r="O5" t="s">
        <v>1956</v>
      </c>
      <c r="P5" t="s">
        <v>1957</v>
      </c>
      <c r="Q5" t="s">
        <v>1958</v>
      </c>
      <c r="R5" t="s">
        <v>1959</v>
      </c>
      <c r="U5" t="s">
        <v>1960</v>
      </c>
    </row>
    <row r="6" spans="1:21" x14ac:dyDescent="0.25">
      <c r="O6" t="s">
        <v>1961</v>
      </c>
      <c r="P6" t="s">
        <v>1962</v>
      </c>
      <c r="Q6" t="s">
        <v>1950</v>
      </c>
      <c r="R6" t="s">
        <v>1963</v>
      </c>
      <c r="U6" t="s">
        <v>1964</v>
      </c>
    </row>
    <row r="7" spans="1:21" x14ac:dyDescent="0.25">
      <c r="O7" t="s">
        <v>1965</v>
      </c>
      <c r="P7" t="s">
        <v>1966</v>
      </c>
      <c r="Q7" t="s">
        <v>1954</v>
      </c>
      <c r="R7" t="s">
        <v>1967</v>
      </c>
      <c r="U7" t="s">
        <v>1968</v>
      </c>
    </row>
    <row r="8" spans="1:21" x14ac:dyDescent="0.25">
      <c r="O8" t="s">
        <v>1969</v>
      </c>
      <c r="P8" t="s">
        <v>1970</v>
      </c>
      <c r="Q8" t="s">
        <v>1959</v>
      </c>
      <c r="R8" t="s">
        <v>1971</v>
      </c>
      <c r="U8" t="s">
        <v>1972</v>
      </c>
    </row>
    <row r="9" spans="1:21" x14ac:dyDescent="0.25">
      <c r="O9" t="s">
        <v>1973</v>
      </c>
      <c r="P9" t="s">
        <v>1974</v>
      </c>
      <c r="Q9" t="s">
        <v>1963</v>
      </c>
      <c r="R9" t="s">
        <v>1975</v>
      </c>
    </row>
    <row r="10" spans="1:21" x14ac:dyDescent="0.25">
      <c r="O10" t="s">
        <v>1976</v>
      </c>
      <c r="P10" t="s">
        <v>1977</v>
      </c>
      <c r="Q10" t="s">
        <v>1967</v>
      </c>
      <c r="R10" t="s">
        <v>1978</v>
      </c>
    </row>
    <row r="11" spans="1:21" x14ac:dyDescent="0.25">
      <c r="O11" t="s">
        <v>1979</v>
      </c>
      <c r="P11" t="s">
        <v>1980</v>
      </c>
      <c r="Q11" t="s">
        <v>1971</v>
      </c>
      <c r="R11" t="s">
        <v>1981</v>
      </c>
    </row>
    <row r="12" spans="1:21" x14ac:dyDescent="0.25">
      <c r="O12" t="s">
        <v>1982</v>
      </c>
      <c r="P12" t="s">
        <v>1983</v>
      </c>
      <c r="Q12" t="s">
        <v>1975</v>
      </c>
      <c r="R12" t="s">
        <v>1984</v>
      </c>
    </row>
    <row r="13" spans="1:21" x14ac:dyDescent="0.25">
      <c r="O13" t="s">
        <v>1985</v>
      </c>
      <c r="P13" t="s">
        <v>1986</v>
      </c>
      <c r="Q13" t="s">
        <v>1987</v>
      </c>
      <c r="R13" t="s">
        <v>1988</v>
      </c>
    </row>
    <row r="14" spans="1:21" x14ac:dyDescent="0.25">
      <c r="O14" t="s">
        <v>1989</v>
      </c>
      <c r="P14" t="s">
        <v>1990</v>
      </c>
      <c r="Q14" t="s">
        <v>1991</v>
      </c>
    </row>
    <row r="15" spans="1:21" x14ac:dyDescent="0.25">
      <c r="O15" t="s">
        <v>1992</v>
      </c>
      <c r="P15" t="s">
        <v>1993</v>
      </c>
      <c r="Q15" t="s">
        <v>1994</v>
      </c>
    </row>
    <row r="16" spans="1:21" x14ac:dyDescent="0.25">
      <c r="O16" t="s">
        <v>1995</v>
      </c>
      <c r="P16" t="s">
        <v>1996</v>
      </c>
      <c r="Q16" t="s">
        <v>1978</v>
      </c>
    </row>
    <row r="17" spans="15:17" x14ac:dyDescent="0.25">
      <c r="O17" t="s">
        <v>1997</v>
      </c>
      <c r="P17" t="s">
        <v>1998</v>
      </c>
      <c r="Q17" t="s">
        <v>1999</v>
      </c>
    </row>
    <row r="18" spans="15:17" x14ac:dyDescent="0.25">
      <c r="O18" t="s">
        <v>2000</v>
      </c>
      <c r="P18" t="s">
        <v>2001</v>
      </c>
      <c r="Q18" t="s">
        <v>2002</v>
      </c>
    </row>
    <row r="19" spans="15:17" x14ac:dyDescent="0.25">
      <c r="O19" t="s">
        <v>2003</v>
      </c>
      <c r="P19" t="s">
        <v>2004</v>
      </c>
      <c r="Q19" t="s">
        <v>2005</v>
      </c>
    </row>
    <row r="20" spans="15:17" x14ac:dyDescent="0.25">
      <c r="O20" t="s">
        <v>2006</v>
      </c>
      <c r="P20" t="s">
        <v>2007</v>
      </c>
      <c r="Q20" t="s">
        <v>2008</v>
      </c>
    </row>
    <row r="21" spans="15:17" x14ac:dyDescent="0.25">
      <c r="O21" t="s">
        <v>2009</v>
      </c>
      <c r="P21" t="s">
        <v>2010</v>
      </c>
      <c r="Q21" t="s">
        <v>2011</v>
      </c>
    </row>
    <row r="22" spans="15:17" x14ac:dyDescent="0.25">
      <c r="O22" t="s">
        <v>2012</v>
      </c>
      <c r="P22" t="s">
        <v>2013</v>
      </c>
      <c r="Q22" t="s">
        <v>2014</v>
      </c>
    </row>
    <row r="23" spans="15:17" x14ac:dyDescent="0.25">
      <c r="O23" t="s">
        <v>2015</v>
      </c>
      <c r="P23" t="s">
        <v>2016</v>
      </c>
      <c r="Q23" t="s">
        <v>1984</v>
      </c>
    </row>
    <row r="24" spans="15:17" x14ac:dyDescent="0.25">
      <c r="O24" t="s">
        <v>2017</v>
      </c>
      <c r="P24" t="s">
        <v>2018</v>
      </c>
      <c r="Q24" t="s">
        <v>1988</v>
      </c>
    </row>
    <row r="25" spans="15:17" x14ac:dyDescent="0.25">
      <c r="O25" t="s">
        <v>2019</v>
      </c>
      <c r="P25" t="s">
        <v>2020</v>
      </c>
      <c r="Q25" t="s">
        <v>2021</v>
      </c>
    </row>
    <row r="26" spans="15:17" x14ac:dyDescent="0.25">
      <c r="O26" t="s">
        <v>2022</v>
      </c>
      <c r="P26" t="s">
        <v>2023</v>
      </c>
      <c r="Q26" t="s">
        <v>2024</v>
      </c>
    </row>
    <row r="27" spans="15:17" x14ac:dyDescent="0.25">
      <c r="O27" t="s">
        <v>2025</v>
      </c>
      <c r="P27" t="s">
        <v>2026</v>
      </c>
      <c r="Q27" t="s">
        <v>1981</v>
      </c>
    </row>
    <row r="28" spans="15:17" x14ac:dyDescent="0.25">
      <c r="O28" t="s">
        <v>2027</v>
      </c>
      <c r="P28" t="s">
        <v>2028</v>
      </c>
      <c r="Q28" t="s">
        <v>2029</v>
      </c>
    </row>
    <row r="29" spans="15:17" x14ac:dyDescent="0.25">
      <c r="O29" t="s">
        <v>2030</v>
      </c>
      <c r="P29" t="s">
        <v>2031</v>
      </c>
      <c r="Q29" t="s">
        <v>2032</v>
      </c>
    </row>
    <row r="30" spans="15:17" x14ac:dyDescent="0.25">
      <c r="O30" t="s">
        <v>2033</v>
      </c>
      <c r="P30" t="s">
        <v>2034</v>
      </c>
      <c r="Q30" t="s">
        <v>2035</v>
      </c>
    </row>
    <row r="31" spans="15:17" x14ac:dyDescent="0.25">
      <c r="O31" t="s">
        <v>2036</v>
      </c>
      <c r="P31" t="s">
        <v>2037</v>
      </c>
      <c r="Q31" t="s">
        <v>2038</v>
      </c>
    </row>
    <row r="32" spans="15:17" x14ac:dyDescent="0.25">
      <c r="O32" t="s">
        <v>2039</v>
      </c>
      <c r="Q32" t="s">
        <v>2040</v>
      </c>
    </row>
    <row r="33" spans="17:17" x14ac:dyDescent="0.25">
      <c r="Q33" t="s">
        <v>2041</v>
      </c>
    </row>
    <row r="34" spans="17:17" x14ac:dyDescent="0.25">
      <c r="Q34" t="s">
        <v>2042</v>
      </c>
    </row>
  </sheetData>
  <pageMargins left="0.7" right="0.7" top="0.75" bottom="0.75" header="0.3" footer="0.3"/>
  <headerFooter>
    <oddHeader>&amp;L&amp;"Aptos"&amp;10&amp;K000000 TLP: GREEN&amp;1#_x000D_&amp;"Calibri"&amp;12&amp;K000000&amp;"Calibri"&amp;12&amp;K000000&amp;"Calibri"&amp;12&amp;K000000&amp;"Aptos"&amp;1 &amp;K000000 TLP: GREEN#_x000D_</oddHeader>
    <oddFooter>&amp;C&amp;"Arial"&amp;9 &amp;K000000_x000D_#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C989660-5E74-814B-B7BE-F9789F7D8BB0}">
  <ds:schemaRefs>
    <ds:schemaRef ds:uri="http://schemas.microsoft.com/DataMashup"/>
  </ds:schemaRefs>
</ds:datastoreItem>
</file>

<file path=docMetadata/LabelInfo.xml><?xml version="1.0" encoding="utf-8"?>
<clbl:labelList xmlns:clbl="http://schemas.microsoft.com/office/2020/mipLabelMetadata">
  <clbl:label id="{2c0a5b0b-6004-4e2e-bebe-8919e824c3c6}" enabled="1" method="Standard" siteId="{21429da9-e4ad-45f9-9a6f-cd126a64274b}" contentBits="1" removed="0"/>
  <clbl:label id="{6be7ebee-5b98-4973-86ef-ae3752ea54e7}" enabled="1" method="Privileged" siteId="{b9fec68c-c92d-461e-9a97-3d03a0f18b8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111</vt:i4>
      </vt:variant>
    </vt:vector>
  </HeadingPairs>
  <TitlesOfParts>
    <vt:vector size="128" baseType="lpstr">
      <vt:lpstr>Explanation</vt:lpstr>
      <vt:lpstr>Hardware Feature set</vt:lpstr>
      <vt:lpstr>Profile selection</vt:lpstr>
      <vt:lpstr>Optional features</vt:lpstr>
      <vt:lpstr>Additional questions</vt:lpstr>
      <vt:lpstr>Other relevant settings</vt:lpstr>
      <vt:lpstr>Vendor Specific Settings</vt:lpstr>
      <vt:lpstr>Performance Measurement</vt:lpstr>
      <vt:lpstr>Charging Station Testcases</vt:lpstr>
      <vt:lpstr>Statement of Approval</vt:lpstr>
      <vt:lpstr>Certification product summary</vt:lpstr>
      <vt:lpstr>OCPP family members</vt:lpstr>
      <vt:lpstr>HIDDEN Testrun Results</vt:lpstr>
      <vt:lpstr>HIDDEN calc sheet</vt:lpstr>
      <vt:lpstr>HIDDEN features</vt:lpstr>
      <vt:lpstr>HIDDEN import</vt:lpstr>
      <vt:lpstr>MD</vt:lpstr>
      <vt:lpstr>Additional_DUT_information</vt:lpstr>
      <vt:lpstr>Additional_Network_Communication_Ports</vt:lpstr>
      <vt:lpstr>Additional_questions</vt:lpstr>
      <vt:lpstr>Additional_questions_description</vt:lpstr>
      <vt:lpstr>Additional_Test_information</vt:lpstr>
      <vt:lpstr>Advanced_Device_Management</vt:lpstr>
      <vt:lpstr>Advanced_User_Interface</vt:lpstr>
      <vt:lpstr>AQ_Subset</vt:lpstr>
      <vt:lpstr>AQ_Validation</vt:lpstr>
      <vt:lpstr>Authorization_options_for_local_start</vt:lpstr>
      <vt:lpstr>Authorization_options_for_local_stop</vt:lpstr>
      <vt:lpstr>Authorization_options_for_remote_start</vt:lpstr>
      <vt:lpstr>certificate_photo</vt:lpstr>
      <vt:lpstr>Cipher_Suites</vt:lpstr>
      <vt:lpstr>Communication_technology</vt:lpstr>
      <vt:lpstr>ConfigID_value</vt:lpstr>
      <vt:lpstr>CP_Advanced_Security</vt:lpstr>
      <vt:lpstr>CP_Bidirectional</vt:lpstr>
      <vt:lpstr>CP_CORE</vt:lpstr>
      <vt:lpstr>CP_CORE_2</vt:lpstr>
      <vt:lpstr>CP_ISO15118_Support</vt:lpstr>
      <vt:lpstr>CP_Payment</vt:lpstr>
      <vt:lpstr>CP_Smart_Charging</vt:lpstr>
      <vt:lpstr>Device_info</vt:lpstr>
      <vt:lpstr>DUT_photo</vt:lpstr>
      <vt:lpstr>EVSE_ConnectorTypes</vt:lpstr>
      <vt:lpstr>EVSE_list</vt:lpstr>
      <vt:lpstr>Hardware_feature_set</vt:lpstr>
      <vt:lpstr>Hardware_feature_set_description</vt:lpstr>
      <vt:lpstr>Hash_AdditionalQuestions</vt:lpstr>
      <vt:lpstr>Hash_AdditionalQuestions_Scope</vt:lpstr>
      <vt:lpstr>Hash_FamilyMembers_A</vt:lpstr>
      <vt:lpstr>Hash_FamilyMembers_B</vt:lpstr>
      <vt:lpstr>Hash_HardwareFeatureSet</vt:lpstr>
      <vt:lpstr>Hash_HardwareFeatureSet_Scope</vt:lpstr>
      <vt:lpstr>Hash_OptionalFeatures_Main_A</vt:lpstr>
      <vt:lpstr>Hash_OptionalFeatures_Main_A_Scope</vt:lpstr>
      <vt:lpstr>Hash_OptionalFeatures_Main_B</vt:lpstr>
      <vt:lpstr>Hash_OptionalFeatures_Main_B_Scope</vt:lpstr>
      <vt:lpstr>Hash_OptionalFeatures_Measurands</vt:lpstr>
      <vt:lpstr>Hash_OptionalFeatures_Measurands_Scope</vt:lpstr>
      <vt:lpstr>Hash_OtherRelevantSettings</vt:lpstr>
      <vt:lpstr>Hash_OtherRelevantSettings_Scope</vt:lpstr>
      <vt:lpstr>Hash_PerformanceMeasurement</vt:lpstr>
      <vt:lpstr>Hash_PerformanceMeasurement_Scope</vt:lpstr>
      <vt:lpstr>Hash_ProfileSelection</vt:lpstr>
      <vt:lpstr>Hash_ProfileSelection_Scope</vt:lpstr>
      <vt:lpstr>Hash_VendorSpecificSettings</vt:lpstr>
      <vt:lpstr>Local_Authorization_List_Management</vt:lpstr>
      <vt:lpstr>MasterValidity</vt:lpstr>
      <vt:lpstr>MD_ConnectorTypes</vt:lpstr>
      <vt:lpstr>MD_CurrentTypes</vt:lpstr>
      <vt:lpstr>MD_RFIDOptions</vt:lpstr>
      <vt:lpstr>Measured_performance</vt:lpstr>
      <vt:lpstr>Metervalues</vt:lpstr>
      <vt:lpstr>OCPP_21_Certification</vt:lpstr>
      <vt:lpstr>OF_AuthLocalStop</vt:lpstr>
      <vt:lpstr>OF_LocalStart_Values</vt:lpstr>
      <vt:lpstr>OF_Measurands</vt:lpstr>
      <vt:lpstr>OF_RemoteStart_Values</vt:lpstr>
      <vt:lpstr>OF_TimeAndLocalStart</vt:lpstr>
      <vt:lpstr>OF_UIFormats_Values</vt:lpstr>
      <vt:lpstr>OF_UIPriorities_Values</vt:lpstr>
      <vt:lpstr>OF_Validation_AuthMeter</vt:lpstr>
      <vt:lpstr>OF_Validation_Bidirectional</vt:lpstr>
      <vt:lpstr>OF_Validation_Core</vt:lpstr>
      <vt:lpstr>OF_Validation_Core2</vt:lpstr>
      <vt:lpstr>OF_Validation_Payment</vt:lpstr>
      <vt:lpstr>OF_Validation_Profiles</vt:lpstr>
      <vt:lpstr>Optional_Features_description</vt:lpstr>
      <vt:lpstr>ORS_Validation</vt:lpstr>
      <vt:lpstr>ORS_Values</vt:lpstr>
      <vt:lpstr>Other_relevant_settings</vt:lpstr>
      <vt:lpstr>Other_relevant_settings_description</vt:lpstr>
      <vt:lpstr>Perf_validation</vt:lpstr>
      <vt:lpstr>Perf_Values</vt:lpstr>
      <vt:lpstr>Performance_measurement</vt:lpstr>
      <vt:lpstr>Performance_measurement_description</vt:lpstr>
      <vt:lpstr>Performed_On</vt:lpstr>
      <vt:lpstr>PICS_Id</vt:lpstr>
      <vt:lpstr>Product_Family_Distinct_Features</vt:lpstr>
      <vt:lpstr>Product_Family_Member_1</vt:lpstr>
      <vt:lpstr>Product_Family_Member_2</vt:lpstr>
      <vt:lpstr>Product_Family_Member_3</vt:lpstr>
      <vt:lpstr>Product_Family_Member_4</vt:lpstr>
      <vt:lpstr>Product_Family_Member_5</vt:lpstr>
      <vt:lpstr>Product_Family_Member_6</vt:lpstr>
      <vt:lpstr>Product_Family_Member_7</vt:lpstr>
      <vt:lpstr>Profile_Selection</vt:lpstr>
      <vt:lpstr>Profile_Selection_Validation</vt:lpstr>
      <vt:lpstr>Reservations</vt:lpstr>
      <vt:lpstr>SoA_TestLab_DateValidation</vt:lpstr>
      <vt:lpstr>SoA_TestLab_FieldValidation</vt:lpstr>
      <vt:lpstr>SoA_Vendor_DateValidation</vt:lpstr>
      <vt:lpstr>SoA_Vendor_FieldValidation</vt:lpstr>
      <vt:lpstr>Test_laboratory</vt:lpstr>
      <vt:lpstr>Test_laboratory_signature</vt:lpstr>
      <vt:lpstr>Test_laboratory_signature_image</vt:lpstr>
      <vt:lpstr>Test_Location</vt:lpstr>
      <vt:lpstr>Test_Report_Reference</vt:lpstr>
      <vt:lpstr>Testcase_List</vt:lpstr>
      <vt:lpstr>Testcase_List_description</vt:lpstr>
      <vt:lpstr>'HIDDEN Testrun Results'!testresults</vt:lpstr>
      <vt:lpstr>Vendor</vt:lpstr>
      <vt:lpstr>Vendor_Family_Members</vt:lpstr>
      <vt:lpstr>Vendor_signature</vt:lpstr>
      <vt:lpstr>Vendor_signature_Family_Members</vt:lpstr>
      <vt:lpstr>Vendor_signature_image</vt:lpstr>
      <vt:lpstr>vendor_signature_image_Family_Members</vt:lpstr>
      <vt:lpstr>Vendor_Specific_Settings</vt:lpstr>
      <vt:lpstr>Vendor_Specific_Settings_description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OCPP 2.0.1. PICS CS</dc:title>
  <dc:subject>OCPP 2.0.1 Protocol Implementation Confirmance Statement for Charging Stations</dc:subject>
  <dc:creator>Open Charge Alliance</dc:creator>
  <cp:lastModifiedBy>Klapwijk, Paul</cp:lastModifiedBy>
  <dcterms:created xsi:type="dcterms:W3CDTF">2023-01-12T22:50:24Z</dcterms:created>
  <dcterms:modified xsi:type="dcterms:W3CDTF">2026-09-30T19:43:53Z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0x010100381D62FE54BF1D49A4E2FF9B597CC145</vt:lpwstr>
  </property>
  <property fmtid="{D5CDD505-2E9C-101B-9397-08002B2CF9AE}" pid="3" name="MediaServiceImageTags">
    <vt:lpwstr/>
  </property>
</Properties>
</file>